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hász Anikó\Documents\1.KT\RENDELETEK 2014.01.01\Költségvetés\2014. évi Költségvetés\"/>
    </mc:Choice>
  </mc:AlternateContent>
  <bookViews>
    <workbookView xWindow="0" yWindow="0" windowWidth="15480" windowHeight="10995" tabRatio="895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létszám" sheetId="76" r:id="rId7"/>
    <sheet name="8.felhki" sheetId="57" r:id="rId8"/>
    <sheet name="9.tart" sheetId="59" r:id="rId9"/>
    <sheet name="10.Stab. tv. saját bev." sheetId="83" r:id="rId10"/>
    <sheet name="11. adósságot keletk. ügyletek" sheetId="84" r:id="rId11"/>
    <sheet name="12.normatívák" sheetId="69" r:id="rId12"/>
    <sheet name="13.EU-projektek" sheetId="79" r:id="rId13"/>
  </sheets>
  <definedNames>
    <definedName name="_xlnm.Print_Titles" localSheetId="0">'1. bevételek'!$5:$6</definedName>
    <definedName name="_xlnm.Print_Titles" localSheetId="11">'12.normatívák'!$5:$6</definedName>
    <definedName name="_xlnm.Print_Titles" localSheetId="12">'13.EU-projektek'!$8:$11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6">'7.létszám'!$6:$6</definedName>
    <definedName name="_xlnm.Print_Titles" localSheetId="8">'9.tart'!$7:$7</definedName>
    <definedName name="_xlnm.Print_Area" localSheetId="0">'1. bevételek'!$A$1:$I$148</definedName>
    <definedName name="_xlnm.Print_Area" localSheetId="11">'12.normatívák'!$A$1:$L$58</definedName>
    <definedName name="_xlnm.Print_Area" localSheetId="12">'13.EU-projektek'!$A$1:$J$90</definedName>
    <definedName name="_xlnm.Print_Area" localSheetId="1">'2. kiadások'!$A$1:$I$151</definedName>
    <definedName name="_xlnm.Print_Area" localSheetId="2">'3.műk.-felh.'!$A$1:$I$52</definedName>
    <definedName name="_xlnm.Print_Area" localSheetId="3">'4.önkorm.szakf. '!$A$1:$V$55</definedName>
    <definedName name="_xlnm.Print_Area" localSheetId="4">'5. kiadások megbontása'!$A$1:$M$79</definedName>
    <definedName name="_xlnm.Print_Area" localSheetId="5">'6. források sz. bontás'!$A$1:$AC$71</definedName>
    <definedName name="_xlnm.Print_Area" localSheetId="6">'7.létszám'!$A$1:$M$95</definedName>
    <definedName name="_xlnm.Print_Area" localSheetId="7">'8.felhki'!$A$1:$D$70</definedName>
  </definedNames>
  <calcPr calcId="152511"/>
</workbook>
</file>

<file path=xl/calcChain.xml><?xml version="1.0" encoding="utf-8"?>
<calcChain xmlns="http://schemas.openxmlformats.org/spreadsheetml/2006/main">
  <c r="C8" i="84" l="1"/>
  <c r="D37" i="57" l="1"/>
  <c r="D63" i="78"/>
  <c r="E63" i="78"/>
  <c r="D66" i="77"/>
  <c r="E66" i="77"/>
  <c r="H33" i="70"/>
  <c r="G11" i="70"/>
  <c r="H28" i="80"/>
  <c r="H114" i="80"/>
  <c r="F35" i="82" l="1"/>
  <c r="F32" i="82"/>
  <c r="J87" i="79" l="1"/>
  <c r="J86" i="79"/>
  <c r="J85" i="79"/>
  <c r="I82" i="79"/>
  <c r="G87" i="79"/>
  <c r="G86" i="79"/>
  <c r="J88" i="79"/>
  <c r="G88" i="79"/>
  <c r="E89" i="79"/>
  <c r="F89" i="79"/>
  <c r="H89" i="79"/>
  <c r="D89" i="79"/>
  <c r="E83" i="79"/>
  <c r="F83" i="79"/>
  <c r="G83" i="79"/>
  <c r="H83" i="79"/>
  <c r="I47" i="79"/>
  <c r="I48" i="79"/>
  <c r="J76" i="79"/>
  <c r="I66" i="79"/>
  <c r="G77" i="79"/>
  <c r="G69" i="79"/>
  <c r="G58" i="79"/>
  <c r="G49" i="79"/>
  <c r="G40" i="79"/>
  <c r="E35" i="79"/>
  <c r="F35" i="79"/>
  <c r="G35" i="79"/>
  <c r="H35" i="79"/>
  <c r="D35" i="79"/>
  <c r="G22" i="79"/>
  <c r="C27" i="79"/>
  <c r="C25" i="79"/>
  <c r="C15" i="79"/>
  <c r="C14" i="79"/>
  <c r="G16" i="79"/>
  <c r="C35" i="79" l="1"/>
  <c r="G89" i="79"/>
  <c r="C89" i="79"/>
  <c r="P68" i="78"/>
  <c r="E68" i="78"/>
  <c r="D68" i="78"/>
  <c r="H68" i="77"/>
  <c r="G68" i="77"/>
  <c r="G10" i="70"/>
  <c r="G9" i="70"/>
  <c r="G16" i="70"/>
  <c r="G18" i="70"/>
  <c r="G12" i="70"/>
  <c r="H34" i="70"/>
  <c r="G19" i="70"/>
  <c r="H40" i="70"/>
  <c r="G15" i="70"/>
  <c r="C19" i="70"/>
  <c r="D35" i="70"/>
  <c r="C12" i="70"/>
  <c r="C15" i="70"/>
  <c r="C24" i="70"/>
  <c r="C21" i="70"/>
  <c r="C27" i="70"/>
  <c r="C20" i="70"/>
  <c r="C10" i="70"/>
  <c r="C16" i="70"/>
  <c r="H22" i="80"/>
  <c r="H7" i="80"/>
  <c r="H48" i="82"/>
  <c r="H32" i="82"/>
  <c r="J8" i="78"/>
  <c r="J14" i="78"/>
  <c r="J64" i="78"/>
  <c r="J62" i="78"/>
  <c r="L52" i="69"/>
  <c r="F40" i="69"/>
  <c r="F32" i="69"/>
  <c r="F33" i="69"/>
  <c r="F31" i="69"/>
  <c r="F30" i="69" s="1"/>
  <c r="F34" i="69"/>
  <c r="D12" i="59" l="1"/>
  <c r="E20" i="77"/>
  <c r="D20" i="77"/>
  <c r="D33" i="57"/>
  <c r="D21" i="57"/>
  <c r="V11" i="78" l="1"/>
  <c r="V8" i="78" l="1"/>
  <c r="V17" i="78"/>
  <c r="V12" i="78"/>
  <c r="P26" i="78"/>
  <c r="P40" i="78"/>
  <c r="P34" i="78"/>
  <c r="V18" i="78"/>
  <c r="P16" i="78"/>
  <c r="P29" i="78"/>
  <c r="P12" i="78"/>
  <c r="V15" i="78"/>
  <c r="J15" i="78"/>
  <c r="J18" i="78" l="1"/>
  <c r="D58" i="77"/>
  <c r="D64" i="77" s="1"/>
  <c r="L44" i="77"/>
  <c r="I44" i="77"/>
  <c r="F44" i="77"/>
  <c r="G22" i="77"/>
  <c r="I22" i="77" s="1"/>
  <c r="G34" i="77"/>
  <c r="D25" i="77"/>
  <c r="F25" i="77" s="1"/>
  <c r="D12" i="77"/>
  <c r="D43" i="77"/>
  <c r="F43" i="77" s="1"/>
  <c r="D24" i="77"/>
  <c r="F24" i="77" s="1"/>
  <c r="E17" i="77"/>
  <c r="D17" i="77"/>
  <c r="D54" i="77"/>
  <c r="G56" i="77"/>
  <c r="I56" i="77" s="1"/>
  <c r="H56" i="77"/>
  <c r="D46" i="77"/>
  <c r="D45" i="77"/>
  <c r="E45" i="77"/>
  <c r="D16" i="77"/>
  <c r="D10" i="77"/>
  <c r="D18" i="77"/>
  <c r="G55" i="77"/>
  <c r="I55" i="77" s="1"/>
  <c r="D50" i="77"/>
  <c r="D47" i="77"/>
  <c r="D30" i="77"/>
  <c r="F30" i="77" s="1"/>
  <c r="D28" i="77"/>
  <c r="H24" i="77"/>
  <c r="I24" i="77" s="1"/>
  <c r="E18" i="54"/>
  <c r="J20" i="54"/>
  <c r="E20" i="54"/>
  <c r="E32" i="54"/>
  <c r="N23" i="54"/>
  <c r="E10" i="54"/>
  <c r="F41" i="54"/>
  <c r="F55" i="54" s="1"/>
  <c r="N55" i="54"/>
  <c r="E22" i="54"/>
  <c r="S15" i="54"/>
  <c r="E15" i="54"/>
  <c r="E52" i="54"/>
  <c r="Q52" i="54"/>
  <c r="E54" i="54"/>
  <c r="D20" i="54"/>
  <c r="C20" i="54"/>
  <c r="D44" i="54"/>
  <c r="C44" i="54"/>
  <c r="E43" i="54"/>
  <c r="R43" i="54"/>
  <c r="D43" i="54"/>
  <c r="C43" i="54"/>
  <c r="V42" i="54"/>
  <c r="V44" i="54"/>
  <c r="E14" i="54"/>
  <c r="H8" i="54"/>
  <c r="E16" i="54"/>
  <c r="E53" i="54"/>
  <c r="J45" i="54"/>
  <c r="J48" i="54"/>
  <c r="E28" i="54"/>
  <c r="E26" i="54"/>
  <c r="V26" i="54" s="1"/>
  <c r="K23" i="54"/>
  <c r="K55" i="54" s="1"/>
  <c r="R15" i="54"/>
  <c r="R22" i="54"/>
  <c r="F96" i="80"/>
  <c r="F111" i="80"/>
  <c r="I111" i="80" s="1"/>
  <c r="F122" i="80"/>
  <c r="F77" i="80"/>
  <c r="F79" i="80"/>
  <c r="F108" i="80"/>
  <c r="G33" i="82"/>
  <c r="F102" i="82"/>
  <c r="I102" i="82" s="1"/>
  <c r="F65" i="82"/>
  <c r="F95" i="82"/>
  <c r="F90" i="82"/>
  <c r="F89" i="82"/>
  <c r="F96" i="82"/>
  <c r="I96" i="82" s="1"/>
  <c r="F87" i="82"/>
  <c r="F48" i="82"/>
  <c r="F33" i="82"/>
  <c r="I33" i="82" s="1"/>
  <c r="I35" i="82"/>
  <c r="F51" i="82"/>
  <c r="I51" i="82" s="1"/>
  <c r="F86" i="82"/>
  <c r="F14" i="82"/>
  <c r="F11" i="82"/>
  <c r="F70" i="82"/>
  <c r="F69" i="82" s="1"/>
  <c r="I65" i="82"/>
  <c r="F13" i="82"/>
  <c r="F64" i="82"/>
  <c r="F34" i="82"/>
  <c r="I32" i="82"/>
  <c r="E44" i="54"/>
  <c r="L41" i="69"/>
  <c r="F50" i="69"/>
  <c r="F54" i="69" s="1"/>
  <c r="P50" i="78"/>
  <c r="V36" i="78"/>
  <c r="W36" i="78" s="1"/>
  <c r="Q26" i="78"/>
  <c r="V7" i="78"/>
  <c r="P9" i="78"/>
  <c r="P8" i="78"/>
  <c r="D59" i="77"/>
  <c r="E25" i="77"/>
  <c r="H51" i="77"/>
  <c r="G51" i="77"/>
  <c r="E29" i="77"/>
  <c r="D29" i="77"/>
  <c r="E16" i="77"/>
  <c r="E57" i="77" s="1"/>
  <c r="D31" i="77"/>
  <c r="F31" i="77" s="1"/>
  <c r="J22" i="54"/>
  <c r="V22" i="54" s="1"/>
  <c r="M23" i="54"/>
  <c r="M55" i="54" s="1"/>
  <c r="P23" i="54"/>
  <c r="R49" i="54"/>
  <c r="E49" i="54"/>
  <c r="E8" i="54"/>
  <c r="R27" i="54"/>
  <c r="D27" i="54"/>
  <c r="C27" i="54"/>
  <c r="R14" i="54"/>
  <c r="E29" i="54"/>
  <c r="E10" i="70"/>
  <c r="I11" i="70"/>
  <c r="D51" i="70"/>
  <c r="I9" i="70"/>
  <c r="E12" i="70"/>
  <c r="H18" i="70"/>
  <c r="H13" i="70" s="1"/>
  <c r="H8" i="70" s="1"/>
  <c r="C22" i="70"/>
  <c r="C18" i="70" s="1"/>
  <c r="E18" i="70" s="1"/>
  <c r="I33" i="70"/>
  <c r="F113" i="80"/>
  <c r="F112" i="80"/>
  <c r="I112" i="80" s="1"/>
  <c r="F131" i="82"/>
  <c r="F93" i="82"/>
  <c r="F91" i="82"/>
  <c r="I91" i="82" s="1"/>
  <c r="F99" i="82"/>
  <c r="I14" i="82"/>
  <c r="F36" i="82"/>
  <c r="F29" i="82" s="1"/>
  <c r="D8" i="83"/>
  <c r="I8" i="83"/>
  <c r="D68" i="57"/>
  <c r="D58" i="59"/>
  <c r="I38" i="79"/>
  <c r="I40" i="79" s="1"/>
  <c r="C38" i="79"/>
  <c r="C40" i="79" s="1"/>
  <c r="D70" i="78"/>
  <c r="J9" i="76"/>
  <c r="J22" i="76" s="1"/>
  <c r="K9" i="76"/>
  <c r="K22" i="76" s="1"/>
  <c r="L9" i="76"/>
  <c r="M9" i="76"/>
  <c r="B9" i="76"/>
  <c r="B22" i="76" s="1"/>
  <c r="F66" i="77"/>
  <c r="F146" i="80"/>
  <c r="D11" i="83"/>
  <c r="D10" i="83"/>
  <c r="I10" i="83" s="1"/>
  <c r="D9" i="83"/>
  <c r="I9" i="83" s="1"/>
  <c r="I16" i="83"/>
  <c r="I15" i="83"/>
  <c r="I14" i="83"/>
  <c r="I13" i="83"/>
  <c r="I12" i="83"/>
  <c r="I11" i="83"/>
  <c r="I26" i="79"/>
  <c r="I25" i="79"/>
  <c r="I68" i="79"/>
  <c r="J31" i="79"/>
  <c r="J35" i="79" s="1"/>
  <c r="I69" i="79"/>
  <c r="J71" i="79"/>
  <c r="C47" i="79"/>
  <c r="C49" i="79" s="1"/>
  <c r="J51" i="79"/>
  <c r="J53" i="79" s="1"/>
  <c r="C51" i="79"/>
  <c r="C53" i="79" s="1"/>
  <c r="L58" i="69"/>
  <c r="L51" i="69"/>
  <c r="L53" i="69"/>
  <c r="L50" i="69"/>
  <c r="L54" i="69" s="1"/>
  <c r="L43" i="69"/>
  <c r="L40" i="69"/>
  <c r="F42" i="69"/>
  <c r="F26" i="69"/>
  <c r="L17" i="69"/>
  <c r="D44" i="59"/>
  <c r="D60" i="59"/>
  <c r="D62" i="59" s="1"/>
  <c r="D23" i="59"/>
  <c r="D18" i="59"/>
  <c r="D53" i="59"/>
  <c r="D61" i="57"/>
  <c r="D65" i="57"/>
  <c r="D52" i="57"/>
  <c r="D53" i="57" s="1"/>
  <c r="D16" i="57"/>
  <c r="D9" i="57"/>
  <c r="D17" i="57"/>
  <c r="D13" i="57"/>
  <c r="D41" i="57"/>
  <c r="D44" i="57" s="1"/>
  <c r="D45" i="57" s="1"/>
  <c r="V21" i="78"/>
  <c r="V47" i="78"/>
  <c r="Q61" i="78"/>
  <c r="K61" i="78"/>
  <c r="P13" i="78"/>
  <c r="J45" i="78"/>
  <c r="K44" i="78"/>
  <c r="K57" i="78" s="1"/>
  <c r="P35" i="78"/>
  <c r="P15" i="78"/>
  <c r="D67" i="77"/>
  <c r="F67" i="77" s="1"/>
  <c r="G77" i="80"/>
  <c r="C89" i="76"/>
  <c r="C95" i="76" s="1"/>
  <c r="D89" i="76"/>
  <c r="D95" i="76" s="1"/>
  <c r="E89" i="76"/>
  <c r="E95" i="76" s="1"/>
  <c r="F89" i="76"/>
  <c r="F95" i="76" s="1"/>
  <c r="G89" i="76"/>
  <c r="G95" i="76" s="1"/>
  <c r="H89" i="76"/>
  <c r="H95" i="76" s="1"/>
  <c r="I89" i="76"/>
  <c r="I95" i="76" s="1"/>
  <c r="J89" i="76"/>
  <c r="J95" i="76" s="1"/>
  <c r="K89" i="76"/>
  <c r="K95" i="76" s="1"/>
  <c r="L89" i="76"/>
  <c r="L95" i="76" s="1"/>
  <c r="M89" i="76"/>
  <c r="M95" i="76" s="1"/>
  <c r="B89" i="76"/>
  <c r="B95" i="76" s="1"/>
  <c r="I27" i="76"/>
  <c r="F55" i="77"/>
  <c r="I48" i="77"/>
  <c r="I49" i="77"/>
  <c r="I50" i="77"/>
  <c r="I52" i="77"/>
  <c r="I53" i="77"/>
  <c r="I54" i="77"/>
  <c r="L52" i="77"/>
  <c r="L53" i="77"/>
  <c r="L54" i="77"/>
  <c r="L55" i="77"/>
  <c r="L56" i="77"/>
  <c r="F52" i="77"/>
  <c r="M52" i="77" s="1"/>
  <c r="F53" i="77"/>
  <c r="F54" i="77"/>
  <c r="F56" i="77"/>
  <c r="F48" i="77"/>
  <c r="M48" i="77"/>
  <c r="V50" i="54"/>
  <c r="V51" i="54"/>
  <c r="V46" i="54"/>
  <c r="V47" i="54"/>
  <c r="R18" i="54"/>
  <c r="R24" i="54"/>
  <c r="V24" i="54" s="1"/>
  <c r="E9" i="54"/>
  <c r="V9" i="54" s="1"/>
  <c r="E12" i="54"/>
  <c r="E17" i="54"/>
  <c r="J17" i="54"/>
  <c r="T48" i="54"/>
  <c r="T45" i="54"/>
  <c r="V45" i="54" s="1"/>
  <c r="U53" i="54"/>
  <c r="U55" i="54" s="1"/>
  <c r="D25" i="54"/>
  <c r="D16" i="54"/>
  <c r="D29" i="54"/>
  <c r="D31" i="54"/>
  <c r="C25" i="54"/>
  <c r="C16" i="54"/>
  <c r="V16" i="54" s="1"/>
  <c r="C29" i="54"/>
  <c r="V29" i="54" s="1"/>
  <c r="C31" i="54"/>
  <c r="C14" i="54"/>
  <c r="V14" i="54" s="1"/>
  <c r="V52" i="54"/>
  <c r="E25" i="54"/>
  <c r="R25" i="54"/>
  <c r="E31" i="54"/>
  <c r="O23" i="54"/>
  <c r="O55" i="54" s="1"/>
  <c r="R11" i="54"/>
  <c r="V11" i="54" s="1"/>
  <c r="S54" i="54"/>
  <c r="L23" i="54"/>
  <c r="L55" i="54" s="1"/>
  <c r="R31" i="54"/>
  <c r="I55" i="54"/>
  <c r="I16" i="70"/>
  <c r="I19" i="70"/>
  <c r="C48" i="70"/>
  <c r="E48" i="70"/>
  <c r="I12" i="70"/>
  <c r="G17" i="70"/>
  <c r="I15" i="70"/>
  <c r="I14" i="70"/>
  <c r="G14" i="70"/>
  <c r="H35" i="70"/>
  <c r="D34" i="70"/>
  <c r="H51" i="70"/>
  <c r="I51" i="70"/>
  <c r="C14" i="70"/>
  <c r="E14" i="70" s="1"/>
  <c r="C13" i="70"/>
  <c r="E13" i="70" s="1"/>
  <c r="I34" i="70"/>
  <c r="C29" i="70"/>
  <c r="C11" i="70"/>
  <c r="H113" i="80"/>
  <c r="H107" i="80" s="1"/>
  <c r="G113" i="80"/>
  <c r="G107" i="80"/>
  <c r="I113" i="80"/>
  <c r="F110" i="80"/>
  <c r="F109" i="80"/>
  <c r="F81" i="80"/>
  <c r="F93" i="80"/>
  <c r="G95" i="82"/>
  <c r="G90" i="82"/>
  <c r="G89" i="82"/>
  <c r="G85" i="82" s="1"/>
  <c r="F9" i="82"/>
  <c r="I9" i="82" s="1"/>
  <c r="F41" i="82"/>
  <c r="I41" i="82" s="1"/>
  <c r="F15" i="82"/>
  <c r="I15" i="82"/>
  <c r="F137" i="82"/>
  <c r="F114" i="82"/>
  <c r="F112" i="82" s="1"/>
  <c r="F25" i="82"/>
  <c r="V20" i="78"/>
  <c r="C47" i="70"/>
  <c r="I137" i="82"/>
  <c r="F13" i="77"/>
  <c r="J57" i="77"/>
  <c r="J70" i="77" s="1"/>
  <c r="K57" i="77"/>
  <c r="F51" i="77"/>
  <c r="L51" i="77"/>
  <c r="V54" i="54"/>
  <c r="P55" i="54"/>
  <c r="G55" i="54"/>
  <c r="D14" i="70"/>
  <c r="D18" i="70"/>
  <c r="D8" i="70" s="1"/>
  <c r="E25" i="70"/>
  <c r="F47" i="80"/>
  <c r="F46" i="80"/>
  <c r="F23" i="80"/>
  <c r="F22" i="80" s="1"/>
  <c r="I22" i="80" s="1"/>
  <c r="F16" i="80"/>
  <c r="F118" i="80"/>
  <c r="F116" i="80"/>
  <c r="F114" i="80" s="1"/>
  <c r="H77" i="79"/>
  <c r="F77" i="79"/>
  <c r="J77" i="79"/>
  <c r="H69" i="79"/>
  <c r="F69" i="79"/>
  <c r="Q67" i="78"/>
  <c r="X68" i="78"/>
  <c r="AA68" i="78" s="1"/>
  <c r="AC68" i="78" s="1"/>
  <c r="W33" i="78"/>
  <c r="Q33" i="78"/>
  <c r="K33" i="78"/>
  <c r="X35" i="78"/>
  <c r="W82" i="78" s="1"/>
  <c r="Q36" i="78"/>
  <c r="K36" i="78"/>
  <c r="Y83" i="78"/>
  <c r="D84" i="78"/>
  <c r="F84" i="78" s="1"/>
  <c r="AB68" i="78"/>
  <c r="W62" i="78"/>
  <c r="K70" i="78"/>
  <c r="F68" i="78"/>
  <c r="E69" i="77"/>
  <c r="G69" i="77"/>
  <c r="H69" i="77"/>
  <c r="J69" i="77"/>
  <c r="K69" i="77"/>
  <c r="L67" i="77"/>
  <c r="I67" i="77"/>
  <c r="H53" i="80"/>
  <c r="H52" i="80"/>
  <c r="H46" i="80"/>
  <c r="H23" i="80"/>
  <c r="H20" i="80"/>
  <c r="I20" i="80" s="1"/>
  <c r="D16" i="79"/>
  <c r="E16" i="79"/>
  <c r="F16" i="79"/>
  <c r="H16" i="79"/>
  <c r="I16" i="79"/>
  <c r="J16" i="79"/>
  <c r="C18" i="79"/>
  <c r="C19" i="79"/>
  <c r="C20" i="79"/>
  <c r="C21" i="79"/>
  <c r="D22" i="79"/>
  <c r="E22" i="79"/>
  <c r="F22" i="79"/>
  <c r="H22" i="79"/>
  <c r="I22" i="79"/>
  <c r="J22" i="79"/>
  <c r="C29" i="79"/>
  <c r="D29" i="79"/>
  <c r="E29" i="79"/>
  <c r="F29" i="79"/>
  <c r="H29" i="79"/>
  <c r="J29" i="79"/>
  <c r="C31" i="79"/>
  <c r="I35" i="79"/>
  <c r="D40" i="79"/>
  <c r="E40" i="79"/>
  <c r="F40" i="79"/>
  <c r="H40" i="79"/>
  <c r="C44" i="79"/>
  <c r="D44" i="79"/>
  <c r="E44" i="79"/>
  <c r="I44" i="79"/>
  <c r="J44" i="79"/>
  <c r="D49" i="79"/>
  <c r="E49" i="79"/>
  <c r="F49" i="79"/>
  <c r="H49" i="79"/>
  <c r="I49" i="79"/>
  <c r="J49" i="79"/>
  <c r="C58" i="79"/>
  <c r="D58" i="79"/>
  <c r="E58" i="79"/>
  <c r="F58" i="79"/>
  <c r="H58" i="79"/>
  <c r="I58" i="79"/>
  <c r="J58" i="79"/>
  <c r="C62" i="79"/>
  <c r="J62" i="79"/>
  <c r="D83" i="79"/>
  <c r="C83" i="79" s="1"/>
  <c r="I83" i="79"/>
  <c r="J83" i="79"/>
  <c r="C85" i="79"/>
  <c r="C86" i="79"/>
  <c r="C87" i="79"/>
  <c r="C88" i="79"/>
  <c r="I89" i="79"/>
  <c r="J89" i="79"/>
  <c r="F10" i="69"/>
  <c r="L10" i="69" s="1"/>
  <c r="F11" i="69"/>
  <c r="L12" i="69"/>
  <c r="L13" i="69"/>
  <c r="L14" i="69"/>
  <c r="L15" i="69"/>
  <c r="L16" i="69"/>
  <c r="K20" i="69"/>
  <c r="L20" i="69" s="1"/>
  <c r="K21" i="69"/>
  <c r="L21" i="69" s="1"/>
  <c r="J22" i="69"/>
  <c r="K22" i="69" s="1"/>
  <c r="L22" i="69" s="1"/>
  <c r="K23" i="69"/>
  <c r="L23" i="69" s="1"/>
  <c r="L26" i="69"/>
  <c r="F27" i="69"/>
  <c r="L27" i="69" s="1"/>
  <c r="L28" i="69"/>
  <c r="L29" i="69"/>
  <c r="K30" i="69"/>
  <c r="K25" i="69" s="1"/>
  <c r="L33" i="69"/>
  <c r="L34" i="69"/>
  <c r="F36" i="69"/>
  <c r="L36" i="69"/>
  <c r="F44" i="69"/>
  <c r="L44" i="69" s="1"/>
  <c r="L46" i="69"/>
  <c r="K47" i="69"/>
  <c r="D55" i="59"/>
  <c r="D64" i="59" s="1"/>
  <c r="D56" i="57"/>
  <c r="D69" i="57"/>
  <c r="C22" i="76"/>
  <c r="D22" i="76"/>
  <c r="E22" i="76"/>
  <c r="F22" i="76"/>
  <c r="G22" i="76"/>
  <c r="H22" i="76"/>
  <c r="I22" i="76"/>
  <c r="L22" i="76"/>
  <c r="M22" i="76"/>
  <c r="E27" i="76"/>
  <c r="E30" i="76" s="1"/>
  <c r="F27" i="76"/>
  <c r="F30" i="76" s="1"/>
  <c r="F52" i="76" s="1"/>
  <c r="G27" i="76"/>
  <c r="G30" i="76" s="1"/>
  <c r="G52" i="76" s="1"/>
  <c r="I30" i="76"/>
  <c r="I52" i="76" s="1"/>
  <c r="H28" i="76"/>
  <c r="H30" i="76"/>
  <c r="B30" i="76"/>
  <c r="C30" i="76"/>
  <c r="D30" i="76"/>
  <c r="J30" i="76"/>
  <c r="K30" i="76"/>
  <c r="L30" i="76"/>
  <c r="M30" i="76"/>
  <c r="B51" i="76"/>
  <c r="C51" i="76"/>
  <c r="C52" i="76"/>
  <c r="D51" i="76"/>
  <c r="D52" i="76"/>
  <c r="E51" i="76"/>
  <c r="E52" i="76" s="1"/>
  <c r="F51" i="76"/>
  <c r="G51" i="76"/>
  <c r="H51" i="76"/>
  <c r="H52" i="76" s="1"/>
  <c r="I51" i="76"/>
  <c r="J51" i="76"/>
  <c r="K51" i="76"/>
  <c r="L51" i="76"/>
  <c r="L52" i="76" s="1"/>
  <c r="M51" i="76"/>
  <c r="B52" i="76"/>
  <c r="F9" i="78"/>
  <c r="V26" i="78"/>
  <c r="W26" i="78" s="1"/>
  <c r="Y12" i="78" s="1"/>
  <c r="AB12" i="78" s="1"/>
  <c r="K26" i="78"/>
  <c r="F32" i="78"/>
  <c r="K32" i="78"/>
  <c r="Q32" i="78"/>
  <c r="X32" i="78"/>
  <c r="AA32" i="78" s="1"/>
  <c r="AC32" i="78" s="1"/>
  <c r="AB32" i="78"/>
  <c r="F36" i="78"/>
  <c r="F41" i="78" s="1"/>
  <c r="D41" i="78"/>
  <c r="E41" i="78"/>
  <c r="W68" i="78"/>
  <c r="W70" i="78" s="1"/>
  <c r="W44" i="78"/>
  <c r="W57" i="78"/>
  <c r="P44" i="78"/>
  <c r="F46" i="78"/>
  <c r="F57" i="78" s="1"/>
  <c r="AB46" i="78"/>
  <c r="F55" i="78"/>
  <c r="X55" i="78"/>
  <c r="D57" i="78"/>
  <c r="E57" i="78"/>
  <c r="AB57" i="78"/>
  <c r="E70" i="78"/>
  <c r="D76" i="78"/>
  <c r="F76" i="78" s="1"/>
  <c r="E76" i="78"/>
  <c r="D77" i="78"/>
  <c r="E77" i="78"/>
  <c r="X77" i="78"/>
  <c r="AB77" i="78" s="1"/>
  <c r="E78" i="78"/>
  <c r="AB78" i="78" s="1"/>
  <c r="X78" i="78"/>
  <c r="D82" i="78"/>
  <c r="D85" i="78" s="1"/>
  <c r="E82" i="78"/>
  <c r="F83" i="78"/>
  <c r="AA83" i="78"/>
  <c r="AB83" i="78"/>
  <c r="D88" i="78"/>
  <c r="E88" i="78"/>
  <c r="D89" i="78"/>
  <c r="F89" i="78" s="1"/>
  <c r="E89" i="78"/>
  <c r="AB89" i="78" s="1"/>
  <c r="AB91" i="78" s="1"/>
  <c r="F90" i="78"/>
  <c r="AB84" i="78"/>
  <c r="Y90" i="78"/>
  <c r="AA90" i="78"/>
  <c r="AC90" i="78"/>
  <c r="AB90" i="78"/>
  <c r="X91" i="78"/>
  <c r="F10" i="77"/>
  <c r="I10" i="77"/>
  <c r="L10" i="77"/>
  <c r="F11" i="77"/>
  <c r="I11" i="77"/>
  <c r="L11" i="77"/>
  <c r="F12" i="77"/>
  <c r="I12" i="77"/>
  <c r="L12" i="77"/>
  <c r="I13" i="77"/>
  <c r="M13" i="77" s="1"/>
  <c r="L13" i="77"/>
  <c r="F14" i="77"/>
  <c r="I14" i="77"/>
  <c r="L14" i="77"/>
  <c r="F15" i="77"/>
  <c r="I15" i="77"/>
  <c r="M15" i="77" s="1"/>
  <c r="L15" i="77"/>
  <c r="I16" i="77"/>
  <c r="L16" i="77"/>
  <c r="I17" i="77"/>
  <c r="L17" i="77"/>
  <c r="F18" i="77"/>
  <c r="I18" i="77"/>
  <c r="L18" i="77"/>
  <c r="F19" i="77"/>
  <c r="I19" i="77"/>
  <c r="M19" i="77" s="1"/>
  <c r="L19" i="77"/>
  <c r="F20" i="77"/>
  <c r="I20" i="77"/>
  <c r="L20" i="77"/>
  <c r="M20" i="77" s="1"/>
  <c r="F21" i="77"/>
  <c r="I21" i="77"/>
  <c r="M21" i="77" s="1"/>
  <c r="L21" i="77"/>
  <c r="F22" i="77"/>
  <c r="L22" i="77"/>
  <c r="F23" i="77"/>
  <c r="I23" i="77"/>
  <c r="L23" i="77"/>
  <c r="L24" i="77"/>
  <c r="I25" i="77"/>
  <c r="L25" i="77"/>
  <c r="F26" i="77"/>
  <c r="I26" i="77"/>
  <c r="L26" i="77"/>
  <c r="F27" i="77"/>
  <c r="I27" i="77"/>
  <c r="L27" i="77"/>
  <c r="F28" i="77"/>
  <c r="I28" i="77"/>
  <c r="L28" i="77"/>
  <c r="F29" i="77"/>
  <c r="I29" i="77"/>
  <c r="L29" i="77"/>
  <c r="I30" i="77"/>
  <c r="L30" i="77"/>
  <c r="I31" i="77"/>
  <c r="L31" i="77"/>
  <c r="F32" i="77"/>
  <c r="I32" i="77"/>
  <c r="L32" i="77"/>
  <c r="F33" i="77"/>
  <c r="I33" i="77"/>
  <c r="L33" i="77"/>
  <c r="F34" i="77"/>
  <c r="I34" i="77"/>
  <c r="L34" i="77"/>
  <c r="F35" i="77"/>
  <c r="I35" i="77"/>
  <c r="L35" i="77"/>
  <c r="F36" i="77"/>
  <c r="I36" i="77"/>
  <c r="L36" i="77"/>
  <c r="F37" i="77"/>
  <c r="I37" i="77"/>
  <c r="L37" i="77"/>
  <c r="F38" i="77"/>
  <c r="I38" i="77"/>
  <c r="L38" i="77"/>
  <c r="F39" i="77"/>
  <c r="I39" i="77"/>
  <c r="L39" i="77"/>
  <c r="F40" i="77"/>
  <c r="I40" i="77"/>
  <c r="L40" i="77"/>
  <c r="F41" i="77"/>
  <c r="I41" i="77"/>
  <c r="M41" i="77" s="1"/>
  <c r="L41" i="77"/>
  <c r="F42" i="77"/>
  <c r="I42" i="77"/>
  <c r="L42" i="77"/>
  <c r="I43" i="77"/>
  <c r="L43" i="77"/>
  <c r="I45" i="77"/>
  <c r="L45" i="77"/>
  <c r="F46" i="77"/>
  <c r="I46" i="77"/>
  <c r="L46" i="77"/>
  <c r="F47" i="77"/>
  <c r="I47" i="77"/>
  <c r="L47" i="77"/>
  <c r="F49" i="77"/>
  <c r="L49" i="77"/>
  <c r="F50" i="77"/>
  <c r="L50" i="77"/>
  <c r="I58" i="77"/>
  <c r="L58" i="77"/>
  <c r="F59" i="77"/>
  <c r="I59" i="77"/>
  <c r="L59" i="77"/>
  <c r="F60" i="77"/>
  <c r="I60" i="77"/>
  <c r="L60" i="77"/>
  <c r="M60" i="77" s="1"/>
  <c r="F61" i="77"/>
  <c r="I61" i="77"/>
  <c r="L61" i="77"/>
  <c r="F62" i="77"/>
  <c r="I62" i="77"/>
  <c r="L62" i="77"/>
  <c r="M62" i="77" s="1"/>
  <c r="F63" i="77"/>
  <c r="I63" i="77"/>
  <c r="L63" i="77"/>
  <c r="E64" i="77"/>
  <c r="G64" i="77"/>
  <c r="H64" i="77"/>
  <c r="J64" i="77"/>
  <c r="K64" i="77"/>
  <c r="K70" i="77" s="1"/>
  <c r="F65" i="77"/>
  <c r="I65" i="77"/>
  <c r="L65" i="77"/>
  <c r="I66" i="77"/>
  <c r="L66" i="77"/>
  <c r="F68" i="77"/>
  <c r="I68" i="77"/>
  <c r="L68" i="77"/>
  <c r="D69" i="77"/>
  <c r="V10" i="54"/>
  <c r="V12" i="54"/>
  <c r="V13" i="54"/>
  <c r="V19" i="54"/>
  <c r="V21" i="54"/>
  <c r="V28" i="54"/>
  <c r="V30" i="54"/>
  <c r="V32" i="54"/>
  <c r="V33" i="54"/>
  <c r="V34" i="54"/>
  <c r="V35" i="54"/>
  <c r="V36" i="54"/>
  <c r="V37" i="54"/>
  <c r="V38" i="54"/>
  <c r="V39" i="54"/>
  <c r="V40" i="54"/>
  <c r="V41" i="54"/>
  <c r="D41" i="70"/>
  <c r="E41" i="70"/>
  <c r="E15" i="70"/>
  <c r="E17" i="70"/>
  <c r="E19" i="70"/>
  <c r="E20" i="70"/>
  <c r="E22" i="70"/>
  <c r="E23" i="70"/>
  <c r="E26" i="70"/>
  <c r="E27" i="70"/>
  <c r="C28" i="70"/>
  <c r="E28" i="70"/>
  <c r="E29" i="70"/>
  <c r="E30" i="70"/>
  <c r="C33" i="70"/>
  <c r="E35" i="70"/>
  <c r="G35" i="70"/>
  <c r="G32" i="70"/>
  <c r="D36" i="70"/>
  <c r="E36" i="70"/>
  <c r="I36" i="70"/>
  <c r="E37" i="70"/>
  <c r="I37" i="70"/>
  <c r="C38" i="70"/>
  <c r="C36" i="70" s="1"/>
  <c r="E38" i="70"/>
  <c r="I38" i="70"/>
  <c r="E39" i="70"/>
  <c r="I39" i="70"/>
  <c r="E40" i="70"/>
  <c r="I40" i="70"/>
  <c r="C41" i="70"/>
  <c r="E42" i="70"/>
  <c r="E43" i="70"/>
  <c r="D47" i="70"/>
  <c r="E47" i="70" s="1"/>
  <c r="C49" i="70"/>
  <c r="E49" i="70" s="1"/>
  <c r="D49" i="70"/>
  <c r="G49" i="70"/>
  <c r="H49" i="70"/>
  <c r="E50" i="70"/>
  <c r="I50" i="70"/>
  <c r="E51" i="70"/>
  <c r="G18" i="80"/>
  <c r="H9" i="80"/>
  <c r="H18" i="80"/>
  <c r="I10" i="80"/>
  <c r="I11" i="80"/>
  <c r="I12" i="80"/>
  <c r="I13" i="80"/>
  <c r="H14" i="80"/>
  <c r="I15" i="80"/>
  <c r="G16" i="80"/>
  <c r="G8" i="80"/>
  <c r="G7" i="80" s="1"/>
  <c r="I17" i="80"/>
  <c r="F18" i="80"/>
  <c r="I18" i="80" s="1"/>
  <c r="I19" i="80"/>
  <c r="I21" i="80"/>
  <c r="G23" i="80"/>
  <c r="G22" i="80" s="1"/>
  <c r="I24" i="80"/>
  <c r="I25" i="80"/>
  <c r="I26" i="80"/>
  <c r="I27" i="80"/>
  <c r="F29" i="80"/>
  <c r="H30" i="80"/>
  <c r="I30" i="80"/>
  <c r="G31" i="80"/>
  <c r="H31" i="80"/>
  <c r="I31" i="80" s="1"/>
  <c r="F32" i="80"/>
  <c r="G33" i="80"/>
  <c r="G32" i="80" s="1"/>
  <c r="I32" i="80" s="1"/>
  <c r="H34" i="80"/>
  <c r="H32" i="80" s="1"/>
  <c r="F36" i="80"/>
  <c r="F35" i="80" s="1"/>
  <c r="I35" i="80" s="1"/>
  <c r="H36" i="80"/>
  <c r="H35" i="80" s="1"/>
  <c r="G36" i="80"/>
  <c r="I37" i="80"/>
  <c r="I38" i="80"/>
  <c r="I39" i="80"/>
  <c r="I40" i="80"/>
  <c r="I41" i="80"/>
  <c r="I42" i="80"/>
  <c r="I43" i="80"/>
  <c r="G44" i="80"/>
  <c r="I45" i="80"/>
  <c r="G46" i="80"/>
  <c r="I46" i="80" s="1"/>
  <c r="G47" i="80"/>
  <c r="I47" i="80" s="1"/>
  <c r="H47" i="80"/>
  <c r="I48" i="80"/>
  <c r="F49" i="80"/>
  <c r="G49" i="80"/>
  <c r="I49" i="80" s="1"/>
  <c r="H49" i="80"/>
  <c r="I50" i="80"/>
  <c r="I51" i="80"/>
  <c r="F52" i="80"/>
  <c r="G53" i="80"/>
  <c r="I53" i="80"/>
  <c r="G52" i="80"/>
  <c r="I54" i="80"/>
  <c r="I55" i="80"/>
  <c r="I57" i="80"/>
  <c r="F58" i="80"/>
  <c r="F63" i="80"/>
  <c r="F66" i="80"/>
  <c r="F68" i="80"/>
  <c r="I68" i="80" s="1"/>
  <c r="F71" i="80"/>
  <c r="H58" i="80"/>
  <c r="H63" i="80"/>
  <c r="H56" i="80" s="1"/>
  <c r="H66" i="80"/>
  <c r="H68" i="80"/>
  <c r="H71" i="80"/>
  <c r="I59" i="80"/>
  <c r="G60" i="80"/>
  <c r="G58" i="80"/>
  <c r="I58" i="80" s="1"/>
  <c r="G63" i="80"/>
  <c r="G66" i="80"/>
  <c r="I66" i="80" s="1"/>
  <c r="G68" i="80"/>
  <c r="G71" i="80"/>
  <c r="I71" i="80"/>
  <c r="I60" i="80"/>
  <c r="I61" i="80"/>
  <c r="I62" i="80"/>
  <c r="I64" i="80"/>
  <c r="I65" i="80"/>
  <c r="I67" i="80"/>
  <c r="I69" i="80"/>
  <c r="I70" i="80"/>
  <c r="I72" i="80"/>
  <c r="I73" i="80"/>
  <c r="I74" i="80"/>
  <c r="G81" i="80"/>
  <c r="G75" i="80" s="1"/>
  <c r="G96" i="80"/>
  <c r="I76" i="80"/>
  <c r="I77" i="80"/>
  <c r="I78" i="80"/>
  <c r="I79" i="80"/>
  <c r="I80" i="80"/>
  <c r="H81" i="80"/>
  <c r="H75" i="80" s="1"/>
  <c r="H96" i="80"/>
  <c r="I82" i="80"/>
  <c r="I83" i="80"/>
  <c r="I84" i="80"/>
  <c r="I85" i="80"/>
  <c r="I86" i="80"/>
  <c r="I87" i="80"/>
  <c r="I88" i="80"/>
  <c r="I89" i="80"/>
  <c r="I90" i="80"/>
  <c r="I91" i="80"/>
  <c r="I92" i="80"/>
  <c r="I93" i="80"/>
  <c r="I94" i="80"/>
  <c r="I95" i="80"/>
  <c r="I97" i="80"/>
  <c r="I98" i="80"/>
  <c r="I99" i="80"/>
  <c r="I100" i="80"/>
  <c r="I101" i="80"/>
  <c r="I102" i="80"/>
  <c r="I103" i="80"/>
  <c r="I104" i="80"/>
  <c r="I105" i="80"/>
  <c r="I106" i="80"/>
  <c r="I108" i="80"/>
  <c r="I109" i="80"/>
  <c r="I110" i="80"/>
  <c r="G114" i="80"/>
  <c r="I115" i="80"/>
  <c r="I116" i="80"/>
  <c r="I117" i="80"/>
  <c r="H118" i="80"/>
  <c r="I119" i="80"/>
  <c r="I120" i="80"/>
  <c r="H121" i="80"/>
  <c r="I121" i="80" s="1"/>
  <c r="G122" i="80"/>
  <c r="I122" i="80" s="1"/>
  <c r="H122" i="80"/>
  <c r="I123" i="80"/>
  <c r="I124" i="80"/>
  <c r="I125" i="80"/>
  <c r="I126" i="80"/>
  <c r="F135" i="80"/>
  <c r="F127" i="80" s="1"/>
  <c r="H135" i="80"/>
  <c r="H127" i="80"/>
  <c r="I128" i="80"/>
  <c r="I129" i="80"/>
  <c r="I130" i="80"/>
  <c r="I131" i="80"/>
  <c r="I132" i="80"/>
  <c r="I133" i="80"/>
  <c r="I134" i="80"/>
  <c r="G135" i="80"/>
  <c r="G127" i="80" s="1"/>
  <c r="I136" i="80"/>
  <c r="I137" i="80"/>
  <c r="I138" i="80"/>
  <c r="I139" i="80"/>
  <c r="I140" i="80"/>
  <c r="I141" i="80"/>
  <c r="I142" i="80"/>
  <c r="I143" i="80"/>
  <c r="I144" i="80"/>
  <c r="I145" i="80"/>
  <c r="G146" i="80"/>
  <c r="I146" i="80" s="1"/>
  <c r="H146" i="80"/>
  <c r="I147" i="80"/>
  <c r="I148" i="80"/>
  <c r="I149" i="80"/>
  <c r="G8" i="82"/>
  <c r="H8" i="82"/>
  <c r="I10" i="82"/>
  <c r="I11" i="82"/>
  <c r="I12" i="82"/>
  <c r="I13" i="82"/>
  <c r="I16" i="82"/>
  <c r="F17" i="82"/>
  <c r="G17" i="82"/>
  <c r="H17" i="82"/>
  <c r="I18" i="82"/>
  <c r="I19" i="82"/>
  <c r="I20" i="82"/>
  <c r="I21" i="82"/>
  <c r="I22" i="82"/>
  <c r="I23" i="82"/>
  <c r="I24" i="82"/>
  <c r="I25" i="82"/>
  <c r="I26" i="82"/>
  <c r="I27" i="82"/>
  <c r="I28" i="82"/>
  <c r="G29" i="82"/>
  <c r="G7" i="82" s="1"/>
  <c r="H29" i="82"/>
  <c r="H7" i="82" s="1"/>
  <c r="I30" i="82"/>
  <c r="I31" i="82"/>
  <c r="I34" i="82"/>
  <c r="I36" i="82"/>
  <c r="I37" i="82"/>
  <c r="I38" i="82"/>
  <c r="I39" i="82"/>
  <c r="I42" i="82"/>
  <c r="I43" i="82"/>
  <c r="I44" i="82"/>
  <c r="G45" i="82"/>
  <c r="H45" i="82"/>
  <c r="H40" i="82" s="1"/>
  <c r="I46" i="82"/>
  <c r="I47" i="82"/>
  <c r="I49" i="82"/>
  <c r="I50" i="82"/>
  <c r="I52" i="82"/>
  <c r="I53" i="82"/>
  <c r="I54" i="82"/>
  <c r="I55" i="82"/>
  <c r="I57" i="82"/>
  <c r="I58" i="82"/>
  <c r="I59" i="82"/>
  <c r="F60" i="82"/>
  <c r="G60" i="82"/>
  <c r="G56" i="82" s="1"/>
  <c r="I61" i="82"/>
  <c r="I62" i="82"/>
  <c r="G64" i="82"/>
  <c r="G63" i="82" s="1"/>
  <c r="I66" i="82"/>
  <c r="I67" i="82"/>
  <c r="I68" i="82"/>
  <c r="G69" i="82"/>
  <c r="F71" i="82"/>
  <c r="I71" i="82" s="1"/>
  <c r="I72" i="82"/>
  <c r="I73" i="82"/>
  <c r="I74" i="82"/>
  <c r="F75" i="82"/>
  <c r="G75" i="82"/>
  <c r="H75" i="82"/>
  <c r="I76" i="82"/>
  <c r="I77" i="82"/>
  <c r="I78" i="82"/>
  <c r="I79" i="82"/>
  <c r="I80" i="82"/>
  <c r="I81" i="82"/>
  <c r="I82" i="82"/>
  <c r="I83" i="82"/>
  <c r="I84" i="82"/>
  <c r="H85" i="82"/>
  <c r="I86" i="82"/>
  <c r="I87" i="82"/>
  <c r="I88" i="82"/>
  <c r="I90" i="82"/>
  <c r="I92" i="82"/>
  <c r="I93" i="82"/>
  <c r="I94" i="82"/>
  <c r="I95" i="82"/>
  <c r="I97" i="82"/>
  <c r="I98" i="82"/>
  <c r="I99" i="82"/>
  <c r="I100" i="82"/>
  <c r="I101" i="82"/>
  <c r="F103" i="82"/>
  <c r="G103" i="82"/>
  <c r="H103" i="82"/>
  <c r="I104" i="82"/>
  <c r="I105" i="82"/>
  <c r="I106" i="82"/>
  <c r="I107" i="82"/>
  <c r="I108" i="82"/>
  <c r="I109" i="82"/>
  <c r="G110" i="82"/>
  <c r="H110" i="82"/>
  <c r="I111" i="82"/>
  <c r="I113" i="82"/>
  <c r="I115" i="82"/>
  <c r="I116" i="82"/>
  <c r="I117" i="82"/>
  <c r="I118" i="82"/>
  <c r="I119" i="82"/>
  <c r="I120" i="82"/>
  <c r="I121" i="82"/>
  <c r="I122" i="82"/>
  <c r="I123" i="82"/>
  <c r="F124" i="82"/>
  <c r="G124" i="82"/>
  <c r="H124" i="82"/>
  <c r="I124" i="82" s="1"/>
  <c r="I125" i="82"/>
  <c r="I126" i="82"/>
  <c r="I127" i="82"/>
  <c r="F130" i="82"/>
  <c r="I130" i="82" s="1"/>
  <c r="G130" i="82"/>
  <c r="H130" i="82"/>
  <c r="I131" i="82"/>
  <c r="I132" i="82"/>
  <c r="I133" i="82"/>
  <c r="I134" i="82"/>
  <c r="G136" i="82"/>
  <c r="G135" i="82" s="1"/>
  <c r="H136" i="82"/>
  <c r="H135" i="82"/>
  <c r="H129" i="82" s="1"/>
  <c r="H128" i="82" s="1"/>
  <c r="I138" i="82"/>
  <c r="I139" i="82"/>
  <c r="I140" i="82"/>
  <c r="I141" i="82"/>
  <c r="I142" i="82"/>
  <c r="I143" i="82"/>
  <c r="I144" i="82"/>
  <c r="I145" i="82"/>
  <c r="I146" i="82"/>
  <c r="Y70" i="78"/>
  <c r="AB70" i="78" s="1"/>
  <c r="AB63" i="78"/>
  <c r="I48" i="82"/>
  <c r="I33" i="80"/>
  <c r="I23" i="80"/>
  <c r="L64" i="77"/>
  <c r="Q70" i="78"/>
  <c r="I44" i="80"/>
  <c r="F136" i="82"/>
  <c r="F135" i="82"/>
  <c r="I135" i="82" s="1"/>
  <c r="G40" i="82"/>
  <c r="I118" i="80"/>
  <c r="L11" i="69"/>
  <c r="H29" i="80"/>
  <c r="I70" i="82"/>
  <c r="I136" i="82"/>
  <c r="G29" i="80"/>
  <c r="I29" i="80"/>
  <c r="F129" i="82"/>
  <c r="F128" i="82" s="1"/>
  <c r="I103" i="82"/>
  <c r="AB88" i="78"/>
  <c r="E16" i="70"/>
  <c r="I35" i="70"/>
  <c r="E11" i="70"/>
  <c r="E24" i="70"/>
  <c r="I10" i="70"/>
  <c r="M42" i="77"/>
  <c r="M36" i="77"/>
  <c r="H56" i="82"/>
  <c r="I14" i="80"/>
  <c r="J52" i="76"/>
  <c r="I16" i="80"/>
  <c r="F8" i="80"/>
  <c r="F7" i="80" s="1"/>
  <c r="D33" i="70"/>
  <c r="E33" i="70" s="1"/>
  <c r="E34" i="70"/>
  <c r="I17" i="70"/>
  <c r="G13" i="70"/>
  <c r="G8" i="70" s="1"/>
  <c r="G7" i="70" s="1"/>
  <c r="G52" i="70" s="1"/>
  <c r="H8" i="80"/>
  <c r="I9" i="80"/>
  <c r="I75" i="82"/>
  <c r="K52" i="76"/>
  <c r="Z55" i="78"/>
  <c r="AA55" i="78"/>
  <c r="M52" i="76"/>
  <c r="F107" i="80"/>
  <c r="I107" i="80" s="1"/>
  <c r="E21" i="70"/>
  <c r="I49" i="70"/>
  <c r="I89" i="82"/>
  <c r="H32" i="70"/>
  <c r="I17" i="82"/>
  <c r="W89" i="78"/>
  <c r="AA89" i="78" s="1"/>
  <c r="AC89" i="78" s="1"/>
  <c r="D32" i="70"/>
  <c r="D7" i="70" s="1"/>
  <c r="D52" i="70" s="1"/>
  <c r="Y89" i="78"/>
  <c r="F85" i="82"/>
  <c r="F8" i="82"/>
  <c r="I8" i="82" s="1"/>
  <c r="F35" i="69"/>
  <c r="L35" i="69" s="1"/>
  <c r="F9" i="69"/>
  <c r="L9" i="69" s="1"/>
  <c r="AC83" i="78"/>
  <c r="E91" i="78"/>
  <c r="F77" i="78"/>
  <c r="D78" i="78"/>
  <c r="F78" i="78"/>
  <c r="X63" i="78"/>
  <c r="W78" i="78" s="1"/>
  <c r="W88" i="78"/>
  <c r="W91" i="78" s="1"/>
  <c r="F63" i="78"/>
  <c r="F88" i="78"/>
  <c r="F91" i="78" s="1"/>
  <c r="W84" i="78"/>
  <c r="AA84" i="78" s="1"/>
  <c r="AC84" i="78" s="1"/>
  <c r="E79" i="78"/>
  <c r="Z68" i="78"/>
  <c r="E71" i="78"/>
  <c r="Y35" i="78"/>
  <c r="AB35" i="78" s="1"/>
  <c r="Q7" i="78"/>
  <c r="Q44" i="78"/>
  <c r="X46" i="78" s="1"/>
  <c r="E85" i="78"/>
  <c r="I18" i="70"/>
  <c r="C9" i="70"/>
  <c r="E9" i="70" s="1"/>
  <c r="Y88" i="78"/>
  <c r="Y91" i="78" s="1"/>
  <c r="AA88" i="78"/>
  <c r="X70" i="78"/>
  <c r="AA70" i="78" s="1"/>
  <c r="AC88" i="78"/>
  <c r="AC91" i="78" s="1"/>
  <c r="I8" i="80"/>
  <c r="I127" i="80"/>
  <c r="I114" i="80"/>
  <c r="I63" i="80"/>
  <c r="G56" i="80"/>
  <c r="G35" i="80"/>
  <c r="I52" i="80"/>
  <c r="K19" i="69" l="1"/>
  <c r="AC70" i="78"/>
  <c r="I29" i="79"/>
  <c r="C16" i="79"/>
  <c r="C22" i="79"/>
  <c r="Y84" i="78"/>
  <c r="F79" i="78"/>
  <c r="M68" i="77"/>
  <c r="I13" i="70"/>
  <c r="I32" i="70"/>
  <c r="E32" i="70"/>
  <c r="C8" i="70"/>
  <c r="H148" i="82"/>
  <c r="AA63" i="78"/>
  <c r="AC63" i="78" s="1"/>
  <c r="AA78" i="78"/>
  <c r="AC78" i="78" s="1"/>
  <c r="Y78" i="78"/>
  <c r="Z63" i="78"/>
  <c r="D30" i="57"/>
  <c r="D38" i="57" s="1"/>
  <c r="Z46" i="78"/>
  <c r="X57" i="78"/>
  <c r="AA57" i="78" s="1"/>
  <c r="AC57" i="78" s="1"/>
  <c r="W77" i="78"/>
  <c r="Q57" i="78"/>
  <c r="I112" i="82"/>
  <c r="F110" i="82"/>
  <c r="I110" i="82" s="1"/>
  <c r="I8" i="70"/>
  <c r="H7" i="70"/>
  <c r="H52" i="70" s="1"/>
  <c r="I52" i="70" s="1"/>
  <c r="G151" i="80"/>
  <c r="AA91" i="78"/>
  <c r="G28" i="80"/>
  <c r="G129" i="82"/>
  <c r="C32" i="70"/>
  <c r="I81" i="80"/>
  <c r="F69" i="77"/>
  <c r="F47" i="69"/>
  <c r="L42" i="69"/>
  <c r="F70" i="78"/>
  <c r="W7" i="78"/>
  <c r="W41" i="78" s="1"/>
  <c r="W71" i="78" s="1"/>
  <c r="F28" i="80"/>
  <c r="I28" i="80" s="1"/>
  <c r="I69" i="77"/>
  <c r="M34" i="77"/>
  <c r="D91" i="78"/>
  <c r="I36" i="80"/>
  <c r="I135" i="80"/>
  <c r="Z70" i="78"/>
  <c r="AA46" i="78"/>
  <c r="AC46" i="78" s="1"/>
  <c r="X82" i="78"/>
  <c r="AA35" i="78"/>
  <c r="Z32" i="78"/>
  <c r="L30" i="69"/>
  <c r="I85" i="82"/>
  <c r="L69" i="77"/>
  <c r="I60" i="82"/>
  <c r="I34" i="80"/>
  <c r="I114" i="82"/>
  <c r="F56" i="80"/>
  <c r="I56" i="80" s="1"/>
  <c r="M66" i="77"/>
  <c r="M65" i="77"/>
  <c r="M63" i="77"/>
  <c r="M61" i="77"/>
  <c r="I64" i="77"/>
  <c r="M59" i="77"/>
  <c r="M50" i="77"/>
  <c r="M49" i="77"/>
  <c r="M40" i="77"/>
  <c r="M38" i="77"/>
  <c r="M37" i="77"/>
  <c r="M32" i="77"/>
  <c r="M26" i="77"/>
  <c r="M23" i="77"/>
  <c r="M14" i="77"/>
  <c r="M10" i="77"/>
  <c r="F82" i="78"/>
  <c r="F85" i="78" s="1"/>
  <c r="M67" i="77"/>
  <c r="L47" i="69"/>
  <c r="E70" i="77"/>
  <c r="H57" i="77"/>
  <c r="H70" i="77" s="1"/>
  <c r="I51" i="77"/>
  <c r="I57" i="77" s="1"/>
  <c r="F58" i="77"/>
  <c r="F64" i="77" s="1"/>
  <c r="I96" i="80"/>
  <c r="V8" i="54"/>
  <c r="M56" i="77"/>
  <c r="M54" i="77"/>
  <c r="V27" i="54"/>
  <c r="M31" i="77"/>
  <c r="I69" i="82"/>
  <c r="F16" i="77"/>
  <c r="M16" i="77" s="1"/>
  <c r="K7" i="78"/>
  <c r="K41" i="78" s="1"/>
  <c r="K71" i="78" s="1"/>
  <c r="AC35" i="78"/>
  <c r="Z35" i="78"/>
  <c r="Q41" i="78"/>
  <c r="AA82" i="78"/>
  <c r="AA85" i="78" s="1"/>
  <c r="Y82" i="78"/>
  <c r="Y85" i="78" s="1"/>
  <c r="W85" i="78"/>
  <c r="Y41" i="78"/>
  <c r="Y71" i="78" s="1"/>
  <c r="X76" i="78"/>
  <c r="AB41" i="78"/>
  <c r="AB71" i="78" s="1"/>
  <c r="X12" i="78"/>
  <c r="X41" i="78" s="1"/>
  <c r="D79" i="78"/>
  <c r="D93" i="78" s="1"/>
  <c r="D71" i="78"/>
  <c r="F71" i="78" s="1"/>
  <c r="E93" i="78"/>
  <c r="M44" i="77"/>
  <c r="M22" i="77"/>
  <c r="G57" i="77"/>
  <c r="G70" i="77" s="1"/>
  <c r="M47" i="77"/>
  <c r="M30" i="77"/>
  <c r="D57" i="77"/>
  <c r="D70" i="77" s="1"/>
  <c r="M58" i="77"/>
  <c r="M46" i="77"/>
  <c r="M39" i="77"/>
  <c r="M29" i="77"/>
  <c r="L57" i="77"/>
  <c r="L70" i="77" s="1"/>
  <c r="M27" i="77"/>
  <c r="M11" i="77"/>
  <c r="M35" i="77"/>
  <c r="M33" i="77"/>
  <c r="M28" i="77"/>
  <c r="M12" i="77"/>
  <c r="M55" i="77"/>
  <c r="M53" i="77"/>
  <c r="F45" i="77"/>
  <c r="M45" i="77" s="1"/>
  <c r="M43" i="77"/>
  <c r="M25" i="77"/>
  <c r="M18" i="77"/>
  <c r="M24" i="77"/>
  <c r="F17" i="77"/>
  <c r="H55" i="54"/>
  <c r="V25" i="54"/>
  <c r="V17" i="54"/>
  <c r="V49" i="54"/>
  <c r="V31" i="54"/>
  <c r="V15" i="54"/>
  <c r="J55" i="54"/>
  <c r="V53" i="54"/>
  <c r="R55" i="54"/>
  <c r="T55" i="54"/>
  <c r="V48" i="54"/>
  <c r="V18" i="54"/>
  <c r="V43" i="54"/>
  <c r="C55" i="54"/>
  <c r="S55" i="54"/>
  <c r="Q55" i="54"/>
  <c r="D55" i="54"/>
  <c r="V20" i="54"/>
  <c r="E55" i="54"/>
  <c r="V23" i="54"/>
  <c r="F75" i="80"/>
  <c r="I75" i="80" s="1"/>
  <c r="H151" i="80"/>
  <c r="I7" i="80"/>
  <c r="I29" i="82"/>
  <c r="F45" i="82"/>
  <c r="F7" i="82"/>
  <c r="I7" i="82" s="1"/>
  <c r="I64" i="82"/>
  <c r="F63" i="82"/>
  <c r="L19" i="69" l="1"/>
  <c r="K18" i="69"/>
  <c r="F93" i="78"/>
  <c r="M69" i="77"/>
  <c r="I70" i="77"/>
  <c r="H45" i="70"/>
  <c r="I7" i="70"/>
  <c r="C7" i="70"/>
  <c r="E8" i="70"/>
  <c r="Q71" i="78"/>
  <c r="Z71" i="78" s="1"/>
  <c r="Z57" i="78"/>
  <c r="AA77" i="78"/>
  <c r="AC77" i="78" s="1"/>
  <c r="Y77" i="78"/>
  <c r="Z12" i="78"/>
  <c r="AB82" i="78"/>
  <c r="AB85" i="78" s="1"/>
  <c r="X85" i="78"/>
  <c r="M51" i="77"/>
  <c r="G128" i="82"/>
  <c r="I129" i="82"/>
  <c r="M64" i="77"/>
  <c r="AC82" i="78"/>
  <c r="AC85" i="78" s="1"/>
  <c r="F25" i="69"/>
  <c r="AB76" i="78"/>
  <c r="AB79" i="78" s="1"/>
  <c r="AB93" i="78" s="1"/>
  <c r="X79" i="78"/>
  <c r="X93" i="78" s="1"/>
  <c r="W76" i="78"/>
  <c r="AA12" i="78"/>
  <c r="X71" i="78"/>
  <c r="Z41" i="78"/>
  <c r="F57" i="77"/>
  <c r="F70" i="77" s="1"/>
  <c r="M17" i="77"/>
  <c r="M57" i="77" s="1"/>
  <c r="V55" i="54"/>
  <c r="W55" i="54"/>
  <c r="I151" i="80"/>
  <c r="F151" i="80"/>
  <c r="F40" i="82"/>
  <c r="I40" i="82" s="1"/>
  <c r="I45" i="82"/>
  <c r="I63" i="82"/>
  <c r="F56" i="82"/>
  <c r="L18" i="69" l="1"/>
  <c r="K37" i="69"/>
  <c r="K56" i="69" s="1"/>
  <c r="M70" i="77"/>
  <c r="E7" i="70"/>
  <c r="G45" i="70"/>
  <c r="I45" i="70" s="1"/>
  <c r="C52" i="70"/>
  <c r="E52" i="70" s="1"/>
  <c r="G148" i="82"/>
  <c r="I128" i="82"/>
  <c r="L25" i="69"/>
  <c r="L37" i="69" s="1"/>
  <c r="F37" i="69"/>
  <c r="F56" i="69" s="1"/>
  <c r="L56" i="69" s="1"/>
  <c r="AC12" i="78"/>
  <c r="AA41" i="78"/>
  <c r="Y76" i="78"/>
  <c r="Y79" i="78" s="1"/>
  <c r="Y93" i="78" s="1"/>
  <c r="W79" i="78"/>
  <c r="W93" i="78" s="1"/>
  <c r="AA76" i="78"/>
  <c r="I56" i="82"/>
  <c r="F148" i="82"/>
  <c r="I148" i="82" s="1"/>
  <c r="AA71" i="78" l="1"/>
  <c r="AC41" i="78"/>
  <c r="AC71" i="78" s="1"/>
  <c r="AA79" i="78"/>
  <c r="AA93" i="78" s="1"/>
  <c r="AC76" i="78"/>
  <c r="AC79" i="78" s="1"/>
  <c r="AC93" i="78" s="1"/>
  <c r="D70" i="57"/>
</calcChain>
</file>

<file path=xl/sharedStrings.xml><?xml version="1.0" encoding="utf-8"?>
<sst xmlns="http://schemas.openxmlformats.org/spreadsheetml/2006/main" count="1793" uniqueCount="1162">
  <si>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</si>
  <si>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</si>
  <si>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</si>
  <si>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</si>
  <si>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</si>
  <si>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</si>
  <si>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</si>
  <si>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</si>
  <si>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</si>
  <si>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</si>
  <si>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</si>
  <si>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</si>
  <si>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</si>
  <si>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</si>
  <si>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</si>
  <si>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</si>
  <si>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</si>
  <si>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</si>
  <si>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3.1. Áru- és készletértékesítés ellenértéke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</si>
  <si>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</si>
  <si>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</si>
  <si>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</si>
  <si>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</si>
  <si>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</si>
  <si>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</si>
  <si>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</si>
  <si>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</si>
  <si>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</si>
  <si>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</si>
  <si>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</si>
  <si>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</si>
  <si>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</si>
  <si>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</si>
  <si>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</si>
  <si>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ebből működési</t>
  </si>
  <si>
    <t>ebből felhalmozási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</si>
  <si>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</si>
  <si>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</si>
  <si>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</si>
  <si>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</si>
  <si>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</si>
  <si>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</si>
  <si>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</si>
  <si>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</si>
  <si>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5.2. Műk. c. v.térítendő támogatások, kölcs. nyújt. állh-on belül.</t>
  </si>
  <si>
    <t>5.3. Egyéb műk. célú támogatások államh.-on kívülre</t>
  </si>
  <si>
    <t>5. Egyéb működési célú kiadások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</si>
  <si>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</si>
  <si>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</si>
  <si>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</si>
  <si>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</si>
  <si>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</si>
  <si>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</si>
  <si>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</si>
  <si>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</si>
  <si>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</si>
  <si>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</si>
  <si>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Nem veszélyes (települési) hulladék vegyes begyűjtése, szállítása, átrakása</t>
  </si>
  <si>
    <t>Szennyvízcsatorna építése, fenntartása, üzemeltetése</t>
  </si>
  <si>
    <t>Önk-i vagyonnal való gazdálkodással kapcs. feladatok</t>
  </si>
  <si>
    <t>Önk-ok és önk-i hivatalok jogalkotói és ált. igazgatási tevékenysége</t>
  </si>
  <si>
    <t>ÁROP projekt</t>
  </si>
  <si>
    <t>Város-, községgazd. egyéb szolg.</t>
  </si>
  <si>
    <t>Bűnmegelőzés</t>
  </si>
  <si>
    <t>Tűz- és katasztrófavédelmi tevékenységek</t>
  </si>
  <si>
    <t>Ár- és belvízvédelemmel összefüggő tevékenységek</t>
  </si>
  <si>
    <t>Óvodai nevelés</t>
  </si>
  <si>
    <t>21. Eü. ellátás</t>
  </si>
  <si>
    <t>Időskorúak, demens betegek tartós benntlakásos ellátása</t>
  </si>
  <si>
    <t>Hajléktalanok átmeneti ellátása</t>
  </si>
  <si>
    <t>Idősek, demens betegek nappali ellátása</t>
  </si>
  <si>
    <t>Gyermekjóléti szolgáltatások</t>
  </si>
  <si>
    <t>Hajléktalanok nappali ellátása</t>
  </si>
  <si>
    <t xml:space="preserve">Családsegítés </t>
  </si>
  <si>
    <t>A gyermekek, fiatalok és családok életminőségét javító programok</t>
  </si>
  <si>
    <t>22. Pelikán Kft. feladatell. tám.</t>
  </si>
  <si>
    <t>Téli közfoglalkoztatás</t>
  </si>
  <si>
    <t>24. Közfogl.</t>
  </si>
  <si>
    <t>Hagyományos közösségi kult. értékek gondozása - Közművelődés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</si>
  <si>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</si>
  <si>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</si>
  <si>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</si>
  <si>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</si>
  <si>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</si>
  <si>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</si>
  <si>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</si>
  <si>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</si>
  <si>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</si>
  <si>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13.§(1)17.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</si>
  <si>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</si>
  <si>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</si>
  <si>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</si>
  <si>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</si>
  <si>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</si>
  <si>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</si>
  <si>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</si>
  <si>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Betegséggel kapcs. pénzbeli ell. tám. -közgyógy ell.</t>
  </si>
  <si>
    <t>Egyéb szoc. természetbeni és pénzbeni ell. tám. - Hadigondozotti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</si>
  <si>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</si>
  <si>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</si>
  <si>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</si>
  <si>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</si>
  <si>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</si>
  <si>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</si>
  <si>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</si>
  <si>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</si>
  <si>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 xml:space="preserve"> </t>
  </si>
  <si>
    <t>Ingatlan, termőföld értékesítés</t>
  </si>
  <si>
    <t>Felhalm.célú hitelfelvétel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</si>
  <si>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</si>
  <si>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</si>
  <si>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</si>
  <si>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</si>
  <si>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</si>
  <si>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</si>
  <si>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</si>
  <si>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</si>
  <si>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</si>
  <si>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</si>
  <si>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</si>
  <si>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BEVÉTELEK</t>
  </si>
  <si>
    <t>felhalm.</t>
  </si>
  <si>
    <t>Kötelező feladatok</t>
  </si>
  <si>
    <t>Önkormányzat</t>
  </si>
  <si>
    <t>Gyermeklánc Óvoda és Bölcsőde</t>
  </si>
  <si>
    <t>Önként vállalt feladatok</t>
  </si>
  <si>
    <t>Állami feladatok</t>
  </si>
  <si>
    <t>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</si>
  <si>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</si>
  <si>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</si>
  <si>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</si>
  <si>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</si>
  <si>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(ált. isk, gimn.)</t>
  </si>
  <si>
    <t>Gyermekétkeztetés tám. - fin. szempontjából elismert dolgozók bértámogatása (óvoda)</t>
  </si>
  <si>
    <t>ÁROP szervezetfejl. projekt EU tám. műk.</t>
  </si>
  <si>
    <t>ÁROP szervezetfejl. projekt EU tám. felh.</t>
  </si>
  <si>
    <t>Kieg. RGYVK címén kifizetett összeg és kapcsolódó pótlék megtérítése</t>
  </si>
  <si>
    <t>Munkaügyi Kp. tám. -2013. évről áthúzódó START-munkaprogramok</t>
  </si>
  <si>
    <t>Munkaügyi Kp. tám. -2014. évben induló START-munkaprogramok</t>
  </si>
  <si>
    <t>Munkaügyi Kp. tám. -Téli közfoglalkoztatás</t>
  </si>
  <si>
    <t>Munkaügyi Kp. tám. -Egyéb közfoglalk.</t>
  </si>
  <si>
    <t>Települési önkormányzatok köznevelési feladatainak egyéb támogatása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</si>
  <si>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</si>
  <si>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</si>
  <si>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</si>
  <si>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3. melléklet</t>
  </si>
  <si>
    <t>Felhalmozás célú támogatás államháztartáson kívülre</t>
  </si>
  <si>
    <t>Dologi kiadások közül felhalmozási célúak</t>
  </si>
  <si>
    <t xml:space="preserve"> Hulladékgazdálkodási Kft - lakosságszám arányosan 1 millió Ft törzstőke jegyzése - 308/2013.(XII.11) Kt.</t>
  </si>
  <si>
    <t>2.1. Helyi adók és adójellegű bevételek</t>
  </si>
  <si>
    <t>2. melléklet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</si>
  <si>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</si>
  <si>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</si>
  <si>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</si>
  <si>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</si>
  <si>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</si>
  <si>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</si>
  <si>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</si>
  <si>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</si>
  <si>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</si>
  <si>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</si>
  <si>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</si>
  <si>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</si>
  <si>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</si>
  <si>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</si>
  <si>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16.</t>
  </si>
  <si>
    <t>16.b</t>
  </si>
  <si>
    <t>Köznevelési intézmények kiegészítő támogatása</t>
  </si>
  <si>
    <t>17.</t>
  </si>
  <si>
    <t>3. melléklet jogcímei mindösszesen:</t>
  </si>
  <si>
    <t>Központi költségvetési támogatások mindösszesen:</t>
  </si>
  <si>
    <t>Jánoshalma Város Polgármesteri Hivatalának szervezetfejlesztése II. (ÁROP-1.A.5-2013-2013-0111)</t>
  </si>
  <si>
    <t>Jánoshalma város közbiztonság javítása érdekében kamerarendszer kiépítése (LEADER 2013.)</t>
  </si>
  <si>
    <t>Imre Zoltán Műv. Kp. villamosenergia megtakarítását eredményező napelemes fejlesztés (KEOP-4.10.0/A/12-2013-0726)</t>
  </si>
  <si>
    <t xml:space="preserve">- Téli közfogl.                     (2013.12.01-2014.03.31)            </t>
  </si>
  <si>
    <t xml:space="preserve">-Alapkompetencia képzés                     (2013.12.01-2014.04.30)            </t>
  </si>
  <si>
    <t xml:space="preserve">-Kiskert                     (2013.12.31-2014.06.29)            </t>
  </si>
  <si>
    <t>253/2013.(X.10) Kt. sz. hat. szerinti közf.     (2013.10.01-2014.02.28)</t>
  </si>
  <si>
    <t>254/2013.(X.10) Kt. sz. hat. szerinti közf.     (2013.11.01-2014.02.28)</t>
  </si>
  <si>
    <t>2014. évben induló START munkaprogramok</t>
  </si>
  <si>
    <t xml:space="preserve">-Bio energia startmunka-pr.                  (2014.01.02-2014.04.30)            </t>
  </si>
  <si>
    <t xml:space="preserve">-Aszalós                  (2013.12.31-2014.01.30)            </t>
  </si>
  <si>
    <t xml:space="preserve">-Téli mg.                  (2014.01.02-2014.02.28)            </t>
  </si>
  <si>
    <t xml:space="preserve">-79 fő                      (2014.01.01-2014.04.30)            </t>
  </si>
  <si>
    <t>Helyi Önkorm. összesen</t>
  </si>
  <si>
    <t>Felmentési idejét töltő dolgozó</t>
  </si>
  <si>
    <t xml:space="preserve">- Felmentési idejüket töltő köztisztviselők                      </t>
  </si>
  <si>
    <t>Jánoshalma VárosI Önkormányzat  2014. évi költségvetési kiadásai feladatonként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</si>
  <si>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</si>
  <si>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</si>
  <si>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</si>
  <si>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</si>
  <si>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</si>
  <si>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</si>
  <si>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</si>
  <si>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</si>
  <si>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LEADER 2013. "Jánoshalma város közbiztonság javítása érdekében kamerarendszer kiépítése" projekt</t>
  </si>
  <si>
    <t>Tárgyi eszköz beszerzések Diákélelmezési Konyha részére (robotgép, botmixer, 2 db kosár mosogatógéphez, 1 db felmosókocsi)</t>
  </si>
  <si>
    <t>Polgármesteri Hivatal informatikai rendszerének megújítása (hardver), új operációs rendszer és Office szoftverek beszerzése  313/2013.(XII.11) Kt. hat. alapján</t>
  </si>
  <si>
    <t>ÁROP-1.A.5-2013-2013-0111 "Jánoshalma Város Polgármesteri Hivatalának Szervezetfejlesztése" c. projekt - szoftver beszerzés</t>
  </si>
  <si>
    <t xml:space="preserve"> Mitsubishi Pajero megvásárlása Városgazda Kft-től 376/2012.(XII.13.) Kt. hat.</t>
  </si>
  <si>
    <t>Tárgyi eszköz beszerzések (oxigénpalack, poroltó készülék 2 db) - Háziorvosi ügyeleti ellátás részére</t>
  </si>
  <si>
    <t>Tárgyi eszköz beszerzések (oxigénpalack) - Család- és nővédelmi eü. gondozás részére</t>
  </si>
  <si>
    <t>KEOP-4.10.0/A/12-2013-0726 "Imre Zoltán Művelődési Központ villamosenergia megtakarítását eredményező napelemes fejlesztés" c. projekt kiadásai</t>
  </si>
  <si>
    <t xml:space="preserve">KEOP-4.10.0/A/12-2013-0726 "Imre Zoltán Művelődési Központ villamosenergia megtakarítását eredményező napelemes fejlesztés" c. projekthez építészeti tervek készíttetése  2/2013.(I.07.) Kt. sz. </t>
  </si>
  <si>
    <t>Jánoshalma Városi Önkormányzat 2014. évi költségvetésében tervezett központi költségvetési támogatások</t>
  </si>
  <si>
    <t>Óvodapedagógusok pótlólagos bér támogatása a 2014/2015. nevelési évre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</si>
  <si>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</si>
  <si>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</si>
  <si>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</si>
  <si>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</si>
  <si>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</si>
  <si>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</si>
  <si>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</si>
  <si>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</si>
  <si>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</si>
  <si>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</si>
  <si>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</si>
  <si>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</si>
  <si>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</si>
  <si>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</si>
  <si>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</si>
  <si>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rendszeres szociális segéyl (Szoctv. 37.§(1) a-d pontok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</si>
  <si>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</si>
  <si>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</si>
  <si>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</si>
  <si>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</si>
  <si>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</si>
  <si>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</si>
  <si>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</si>
  <si>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</si>
  <si>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</si>
  <si>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</si>
  <si>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</si>
  <si>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</si>
  <si>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</si>
  <si>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</si>
  <si>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</si>
  <si>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</si>
  <si>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</si>
  <si>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</si>
  <si>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</si>
  <si>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</si>
  <si>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</si>
  <si>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</si>
  <si>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</si>
  <si>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</si>
  <si>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</si>
  <si>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</si>
  <si>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</si>
  <si>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</si>
  <si>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</si>
  <si>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</si>
  <si>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</si>
  <si>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</si>
  <si>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</si>
  <si>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</si>
  <si>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</si>
  <si>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</si>
  <si>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</si>
  <si>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</si>
  <si>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</si>
  <si>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Műk. c. visszatérítendő támogatások, kölcsönök nyújtása államháztartáson kívülre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</si>
  <si>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</si>
  <si>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</si>
  <si>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</si>
  <si>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</si>
  <si>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</si>
  <si>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</si>
  <si>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</si>
  <si>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</si>
  <si>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</si>
  <si>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</si>
  <si>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</si>
  <si>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</si>
  <si>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</si>
  <si>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</si>
  <si>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</si>
  <si>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</si>
  <si>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</si>
  <si>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</si>
  <si>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</si>
  <si>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</si>
  <si>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</si>
  <si>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</si>
  <si>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</si>
  <si>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</si>
  <si>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</si>
  <si>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</si>
  <si>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</si>
  <si>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</si>
  <si>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</si>
  <si>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</si>
  <si>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</si>
  <si>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</si>
  <si>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</si>
  <si>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</si>
  <si>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</si>
  <si>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</si>
  <si>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</si>
  <si>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</si>
  <si>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</si>
  <si>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</si>
  <si>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</si>
  <si>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</si>
  <si>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</si>
  <si>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</si>
  <si>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</si>
  <si>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</si>
  <si>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</si>
  <si>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</si>
  <si>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</si>
  <si>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</si>
  <si>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</si>
  <si>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</si>
  <si>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</si>
  <si>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</si>
  <si>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</si>
  <si>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</si>
  <si>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</si>
  <si>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</si>
  <si>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</si>
  <si>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</si>
  <si>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</si>
  <si>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</si>
  <si>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</si>
  <si>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</si>
  <si>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</si>
  <si>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</si>
  <si>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</si>
  <si>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</si>
  <si>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</si>
  <si>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</si>
  <si>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</si>
  <si>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</si>
  <si>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</si>
  <si>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</si>
  <si>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Telep. önk-ok szociális és gyermekjóléti feladatainak tám.</t>
  </si>
  <si>
    <t>B114</t>
  </si>
  <si>
    <t>Telep. önk-ok kulturális feladatainak támogatása</t>
  </si>
  <si>
    <t>B115</t>
  </si>
  <si>
    <t>Működési célú központosított előirányzatok</t>
  </si>
  <si>
    <t>B116</t>
  </si>
  <si>
    <t>Helyi önkormányzatok kiegészítő támogatásai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</si>
  <si>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</si>
  <si>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</si>
  <si>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</si>
  <si>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</si>
  <si>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</si>
  <si>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</si>
  <si>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</si>
  <si>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</si>
  <si>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</si>
  <si>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</si>
  <si>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</si>
  <si>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</si>
  <si>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</si>
  <si>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</si>
  <si>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</si>
  <si>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</si>
  <si>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</si>
  <si>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</si>
  <si>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</si>
  <si>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</si>
  <si>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</si>
  <si>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</si>
  <si>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</si>
  <si>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</si>
  <si>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</si>
  <si>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</si>
  <si>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</si>
  <si>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</si>
  <si>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</si>
  <si>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</si>
  <si>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</si>
  <si>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</si>
  <si>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</si>
  <si>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</si>
  <si>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</si>
  <si>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</si>
  <si>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</si>
  <si>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</si>
  <si>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</si>
  <si>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</si>
  <si>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</si>
  <si>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</si>
  <si>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</si>
  <si>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</si>
  <si>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</si>
  <si>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</si>
  <si>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</si>
  <si>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</si>
  <si>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</si>
  <si>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</si>
  <si>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környezetterhelési díj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</si>
  <si>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</si>
  <si>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</si>
  <si>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</si>
  <si>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</si>
  <si>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</si>
  <si>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</si>
  <si>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</si>
  <si>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</si>
  <si>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</si>
  <si>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</si>
  <si>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</si>
  <si>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</si>
  <si>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</si>
  <si>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</si>
  <si>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</si>
  <si>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</si>
  <si>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</si>
  <si>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</si>
  <si>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</si>
  <si>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</si>
  <si>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</si>
  <si>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</si>
  <si>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</si>
  <si>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</si>
  <si>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</si>
  <si>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</si>
  <si>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</si>
  <si>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</si>
  <si>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</si>
  <si>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</si>
  <si>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</si>
  <si>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Kamatbevételek (késedelmi kamat kivételével)</t>
  </si>
  <si>
    <t>B409</t>
  </si>
  <si>
    <t>Egyéb pénzügyi műveletek bevételei (pl. árfolyamnyereség)</t>
  </si>
  <si>
    <t>B410</t>
  </si>
  <si>
    <t>Egyéb működési bevételek (pl. közbesz. ajánlati biztosíték, pályázati díjak, biztosítók kártérítése, kötbér, késedelmi kamat, kerekítési különbözet stb.)</t>
  </si>
  <si>
    <t>biztosító által fizetett kártérítés</t>
  </si>
  <si>
    <t>szerződésben vállalt kötelezettségek elmulasztásához kapcsolódó bevételek, káreseményekkel kapcs. kapott bevételek, biztosítási bevételek, visszakapott óvadék, bánatpénz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</si>
  <si>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</si>
  <si>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</si>
  <si>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</si>
  <si>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</si>
  <si>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</si>
  <si>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</si>
  <si>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</si>
  <si>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</si>
  <si>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</si>
  <si>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</si>
  <si>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</si>
  <si>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</si>
  <si>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</si>
  <si>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</si>
  <si>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</si>
  <si>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</si>
  <si>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</si>
  <si>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</si>
  <si>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</si>
  <si>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</si>
  <si>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Felhalm.célú pm. igénybev. LEADER önerő</t>
  </si>
  <si>
    <t>Felhalm.célú pm. igénybev. - Imre Z. Műv. Kp. napelemes fejlesztés önerő</t>
  </si>
  <si>
    <t>Műk. c. pm. igénybev- napelem cserére</t>
  </si>
  <si>
    <t>Műk. c. pm. igénybev- hiány csökkentésre</t>
  </si>
  <si>
    <t>Helyi önkormányzatok kiegészítő támogatása</t>
  </si>
  <si>
    <t>Új erő = Tiszta lélek c. projekt EU tám. műk.</t>
  </si>
  <si>
    <t xml:space="preserve">  IPA Határon Átnyúló Projekt FAB (Magyarország-Szerbia) - Jánoshalma Város Önkormányzat </t>
  </si>
  <si>
    <t>EUR</t>
  </si>
  <si>
    <t>eFt</t>
  </si>
  <si>
    <t>Hazai társfinanszírozás</t>
  </si>
  <si>
    <t>EU-s forrás  (IPA)</t>
  </si>
  <si>
    <t>Felújítási kiadások (elszámolható)</t>
  </si>
  <si>
    <t>Felújítási kiadások (nem elszámolható)</t>
  </si>
  <si>
    <t>Beruházási kiadások (eszközbeszerzés)</t>
  </si>
  <si>
    <t>Bér+járulék kiadások (elszámolható)</t>
  </si>
  <si>
    <t xml:space="preserve">  </t>
  </si>
  <si>
    <t>Saját erő (viziközmű társ. hitel) I. elsz.</t>
  </si>
  <si>
    <t>Saját erő (viziközmű társ. hitel) II. nem elsz.</t>
  </si>
  <si>
    <t>IPA Határon Átnyúló Projekt</t>
  </si>
  <si>
    <t>3.7. Általános forgalmi adó visszatérítése</t>
  </si>
  <si>
    <t>43</t>
  </si>
  <si>
    <t>LEADER közbiztonság jav.projekt EU tám.</t>
  </si>
  <si>
    <t>Szennyvíz beruh. saját erő (Viziközmű társ. h.)</t>
  </si>
  <si>
    <t>Szennyvíz beruházás EU-s és hazai támogatás</t>
  </si>
  <si>
    <t>Szennyvíz beruh. ÁFA visszatérülés</t>
  </si>
  <si>
    <t>Műk. c. pm. igénybev- IPA projekt saját erő</t>
  </si>
  <si>
    <t>IPA Határon Átnyúló Projekt EU tám. műk.</t>
  </si>
  <si>
    <t>IPA Határon Átnyúló Projekt EU tám. felh.</t>
  </si>
  <si>
    <t>IPA Határon Átnyúló Projekt FAB (Magyarország - Szerbia) - eszközbeszerzés</t>
  </si>
  <si>
    <t>IPA Határon Átnyúló Projekt FAB (Magyarország - Szerbia) -Alkotóház felújítási kiadások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</si>
  <si>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</si>
  <si>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</si>
  <si>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</si>
  <si>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</si>
  <si>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</si>
  <si>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</si>
  <si>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</si>
  <si>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</si>
  <si>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</si>
  <si>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</si>
  <si>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</si>
  <si>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</si>
  <si>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</si>
  <si>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</si>
  <si>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</si>
  <si>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</si>
  <si>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</si>
  <si>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</si>
  <si>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Hosszú lejáratú hitelek, kölcsönök felvétele</t>
  </si>
  <si>
    <t>B8112</t>
  </si>
  <si>
    <t>Likviditási célú hitelek, kölcsönök felvétele pü-i vállalkozástól</t>
  </si>
  <si>
    <t>B8113</t>
  </si>
  <si>
    <t>Rövid lejáratú hitelek, kölcsönök felvétele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</si>
  <si>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</si>
  <si>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</si>
  <si>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</si>
  <si>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</si>
  <si>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</si>
  <si>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</si>
  <si>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</si>
  <si>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</si>
  <si>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</si>
  <si>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</si>
  <si>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</si>
  <si>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</si>
  <si>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</si>
  <si>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</si>
  <si>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</si>
  <si>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</si>
  <si>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</si>
  <si>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</si>
  <si>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</si>
  <si>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</si>
  <si>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</si>
  <si>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</si>
  <si>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2014. évi felhalmozási kiadások feladatonként, felújítási kiadások célonként</t>
  </si>
  <si>
    <t>Környezetvédelmi alap képzése a 2014. évre tervezett talajterhelési díj bevételből</t>
  </si>
  <si>
    <t xml:space="preserve">Támogatási szerződés szerinti bevételek, kiadások  (eFt)     </t>
  </si>
  <si>
    <t>Saját erő</t>
  </si>
  <si>
    <t>EU-s forrás</t>
  </si>
  <si>
    <t>Források összesen</t>
  </si>
  <si>
    <t>Beruházási kiadások (elszámolható)</t>
  </si>
  <si>
    <t>Beruházási kiadások (nem elszámolható)</t>
  </si>
  <si>
    <t>Dologi kiadások (elszámolható)</t>
  </si>
  <si>
    <t>Dologi kiadások (nem elszámolható)</t>
  </si>
  <si>
    <t>Szennyvíz-csatornázási és szennyvíztisztítási beruházás (KEOP-1.2.0/2F/09-2010-0029)</t>
  </si>
  <si>
    <t>EU-s forrás és hazai együtt</t>
  </si>
  <si>
    <t>Egyéb forrás (ÁFA visszatérülés)</t>
  </si>
  <si>
    <t>Új erő = Tiszta lélek c. projekt (TÁMOP 6.1.2/LHH/11-A-2012-0006)</t>
  </si>
  <si>
    <t>Személyi juttatások (elszámolható)</t>
  </si>
  <si>
    <t>Szoc. hj. adó (elszámolható)</t>
  </si>
  <si>
    <t>2014. költségvetésben tervezett, EU-forrásból finanszírozott  támogatással megvalósuló projektek kiadásai, a helyi önkormányzat ilyen projektekhez történő hozzájárulásai</t>
  </si>
  <si>
    <t xml:space="preserve">2014. évi költségvetésben tervezett bevételi előirányzatok (eFt)    </t>
  </si>
  <si>
    <t xml:space="preserve">2014. évi költségvetésben tervezett kiadási előirányzatok (eFt)    </t>
  </si>
  <si>
    <t>V. Értékpapírok vásárlásának kiadása</t>
  </si>
  <si>
    <t>II. Felhalmozási kiadások</t>
  </si>
  <si>
    <t>C. Költségvetési hiány belső finanszírozására szolgáló pénzforgalom nélküli bevételek</t>
  </si>
  <si>
    <t>D. Költségvetési hiány belső finanszírozását meghaladó összegének külső finanszírozására szolgáló bevételek</t>
  </si>
  <si>
    <t>E. Finanszírozási kiadások</t>
  </si>
  <si>
    <t>Össz.</t>
  </si>
  <si>
    <t>Felh. célú</t>
  </si>
  <si>
    <t>Műk. célú</t>
  </si>
  <si>
    <t>Áru- és készletértékesítés ellenértéke</t>
  </si>
  <si>
    <t>Szolgáltatások ellenértéke</t>
  </si>
  <si>
    <t>Immateriális javak értékesítése</t>
  </si>
  <si>
    <t>Beruházás</t>
  </si>
  <si>
    <t>Építményüzemeltetés</t>
  </si>
  <si>
    <t>- Gazdasági ügyintéző</t>
  </si>
  <si>
    <t>Közutak, alagutak üzemeltetése, fenntartása</t>
  </si>
  <si>
    <t>Munka-adót terh. jár.</t>
  </si>
  <si>
    <t>Személyi juttatások</t>
  </si>
  <si>
    <t>Kiadások mindösszesen: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</si>
  <si>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</si>
  <si>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</si>
  <si>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</si>
  <si>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</si>
  <si>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</si>
  <si>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</si>
  <si>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</si>
  <si>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</si>
  <si>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</si>
  <si>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</si>
  <si>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</si>
  <si>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</si>
  <si>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Jánoshalmi tagóvodák</t>
  </si>
  <si>
    <r>
      <t xml:space="preserve">Óvónő </t>
    </r>
    <r>
      <rPr>
        <i/>
        <sz val="9"/>
        <rFont val="Arial"/>
        <family val="2"/>
        <charset val="238"/>
      </rPr>
      <t>(90% részmunkaidős)</t>
    </r>
  </si>
  <si>
    <t>Óvodatitkár</t>
  </si>
  <si>
    <t>Bölcsődei gondozónő</t>
  </si>
  <si>
    <t>Kéleshalmi tagintézmény</t>
  </si>
  <si>
    <t>Óvónő</t>
  </si>
  <si>
    <t>Óvodai dajka</t>
  </si>
  <si>
    <t>Diákélelmezési Konyha</t>
  </si>
  <si>
    <t>- Konyhavezető</t>
  </si>
  <si>
    <t>- Szakács</t>
  </si>
  <si>
    <t>- Konyhai kisegítő</t>
  </si>
  <si>
    <t>- Gépkocsi vezető</t>
  </si>
  <si>
    <t>- Takarítónő</t>
  </si>
  <si>
    <t>- Fűtő, karbantartó</t>
  </si>
  <si>
    <t>- Technikus</t>
  </si>
  <si>
    <t>- Tűzoltók (közalkalmazottak)</t>
  </si>
  <si>
    <t xml:space="preserve">Közfoglalkoztatás </t>
  </si>
  <si>
    <t>- Polgármester</t>
  </si>
  <si>
    <t>- Főállású alpolgármester</t>
  </si>
  <si>
    <t>Ügyeleti Szolgálat</t>
  </si>
  <si>
    <t>- Ápolók</t>
  </si>
  <si>
    <t>- Gépkocsivezető</t>
  </si>
  <si>
    <t>Védőnői Szolgálat</t>
  </si>
  <si>
    <t>- Védőnők</t>
  </si>
  <si>
    <t>Felhalmozás célú hitel visszafizetése és kötvénybeváltás kiadása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</si>
  <si>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</si>
  <si>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</si>
  <si>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</si>
  <si>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</si>
  <si>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</si>
  <si>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</si>
  <si>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</si>
  <si>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</si>
  <si>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</si>
  <si>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</si>
  <si>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</si>
  <si>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</si>
  <si>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</si>
  <si>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</si>
  <si>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</si>
  <si>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</si>
  <si>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</si>
  <si>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</si>
  <si>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</si>
  <si>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</si>
  <si>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</si>
  <si>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</si>
  <si>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</si>
  <si>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</si>
  <si>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</si>
  <si>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</si>
  <si>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</si>
  <si>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</si>
  <si>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</si>
  <si>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</si>
  <si>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</si>
  <si>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</si>
  <si>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</si>
  <si>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</si>
  <si>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</si>
  <si>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</si>
  <si>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</si>
  <si>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</si>
  <si>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</si>
  <si>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</si>
  <si>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</si>
  <si>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</si>
  <si>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</si>
  <si>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</si>
  <si>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</si>
  <si>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</si>
  <si>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</si>
  <si>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</si>
  <si>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</si>
  <si>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</si>
  <si>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</si>
  <si>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</si>
  <si>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</si>
  <si>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</si>
  <si>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</si>
  <si>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</si>
  <si>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</si>
  <si>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</si>
  <si>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</si>
  <si>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</si>
  <si>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</si>
  <si>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</si>
  <si>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</si>
  <si>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</si>
  <si>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</si>
  <si>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</si>
  <si>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</si>
  <si>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</si>
  <si>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</si>
  <si>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R</t>
  </si>
  <si>
    <t>Védőnők 2014. évi OEP-finanszírozásának maradványa</t>
  </si>
  <si>
    <t>Petőfi utcai óvoda épület - Hernyótalpas lépcsőjáró beszerzés 16/2014.(I.30.) Kt. hat.</t>
  </si>
  <si>
    <t>Helyi önkorm. összesen:</t>
  </si>
  <si>
    <t xml:space="preserve">Óvónő </t>
  </si>
  <si>
    <t xml:space="preserve">Óvodai dajka </t>
  </si>
  <si>
    <t xml:space="preserve">Technikai dolgozó </t>
  </si>
  <si>
    <t xml:space="preserve">- Köztisztviselők                      </t>
  </si>
  <si>
    <t>Polgárm. Hiv. összesen:</t>
  </si>
  <si>
    <t>Önk. Tűzoltóság</t>
  </si>
  <si>
    <t>HELYI ÖNKORMÁNYZAT ÉS INTÉZMÉNYEI ÖSSZESEN:</t>
  </si>
  <si>
    <t>Összesen</t>
  </si>
  <si>
    <t>Felújítási alap befizetési kötelezettség (vegyes tulajdonú társasházak)</t>
  </si>
  <si>
    <t>Fejlesztési célú támogatásértékű kiadások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</si>
  <si>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</si>
  <si>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</si>
  <si>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</si>
  <si>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</si>
  <si>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</si>
  <si>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</si>
  <si>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</si>
  <si>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</si>
  <si>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</si>
  <si>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</si>
  <si>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</si>
  <si>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</si>
  <si>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Víztermelés, -kezelés, -ellátás</t>
  </si>
  <si>
    <t>33</t>
  </si>
  <si>
    <t>Család- és nővédelmi egészségügyi gondozás</t>
  </si>
  <si>
    <t>Körny. véd. alap</t>
  </si>
  <si>
    <t>2011. év</t>
  </si>
  <si>
    <t>Bevételek</t>
  </si>
  <si>
    <t>Bevételek mindösszesen:</t>
  </si>
  <si>
    <t>-</t>
  </si>
  <si>
    <t>2012. év</t>
  </si>
  <si>
    <t>2013. év</t>
  </si>
  <si>
    <t>Helyi önkormányzat</t>
  </si>
  <si>
    <t>2014.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</si>
  <si>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</si>
  <si>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</si>
  <si>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</si>
  <si>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</si>
  <si>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</si>
  <si>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</si>
  <si>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</si>
  <si>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</si>
  <si>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</si>
  <si>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Egyéb közfoglalkoztatás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</si>
  <si>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</si>
  <si>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</si>
  <si>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</si>
  <si>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</si>
  <si>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</si>
  <si>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</si>
  <si>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</si>
  <si>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</si>
  <si>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</si>
  <si>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</si>
  <si>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</si>
  <si>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</si>
  <si>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>Helyi Önkormányzat</t>
  </si>
  <si>
    <t xml:space="preserve">fajlagos Ft </t>
  </si>
  <si>
    <t xml:space="preserve">F </t>
  </si>
  <si>
    <t>1.a</t>
  </si>
  <si>
    <t>Önkormányzati hivatal működésének támogatása</t>
  </si>
  <si>
    <t>1.b</t>
  </si>
  <si>
    <t>1.ba</t>
  </si>
  <si>
    <t>A zöldterület-gazdálkodással kapcsolatos feladatok ellátásának támogatása</t>
  </si>
  <si>
    <t>1.bb</t>
  </si>
  <si>
    <t>Közvilágítás fenntartásának támogatása</t>
  </si>
  <si>
    <t>1.bc</t>
  </si>
  <si>
    <t>Köztemető fenntartással kapcsolatos feladatok támogatása</t>
  </si>
  <si>
    <t>1.bd</t>
  </si>
  <si>
    <t>Közutak fenntartásának támogatása</t>
  </si>
  <si>
    <t>1.c</t>
  </si>
  <si>
    <t>1.d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</si>
  <si>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</si>
  <si>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</si>
  <si>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</si>
  <si>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</si>
  <si>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</si>
  <si>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</si>
  <si>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</si>
  <si>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III.1</t>
  </si>
  <si>
    <t>III.2</t>
  </si>
  <si>
    <t>Hozzájárulás a pénzbeli szociális ellátásokhoz</t>
  </si>
  <si>
    <t>III.3</t>
  </si>
  <si>
    <t>Egyes szociális és gyermekjóléti feladatok támogatása</t>
  </si>
  <si>
    <t>Gyermekjóléti szolgálat</t>
  </si>
  <si>
    <t>IV.</t>
  </si>
  <si>
    <t>összeg Ft</t>
  </si>
  <si>
    <t>Egyes jövedelempótló támogatások kiegészítése</t>
  </si>
  <si>
    <t>2. melléklet jogcímei mindösszesen:</t>
  </si>
  <si>
    <t>- Fizikai alkalmazottak                              (1 gk. vezető, 1 takarítónő)</t>
  </si>
  <si>
    <t>- Hentes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</si>
  <si>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</si>
  <si>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</si>
  <si>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</si>
  <si>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</si>
  <si>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</si>
  <si>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</si>
  <si>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11. 21.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</si>
  <si>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</si>
  <si>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</si>
  <si>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</si>
  <si>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</si>
  <si>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</si>
  <si>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</si>
  <si>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</si>
  <si>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</si>
  <si>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</si>
  <si>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</si>
  <si>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</si>
  <si>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</si>
  <si>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</si>
  <si>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</si>
  <si>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</si>
  <si>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</si>
  <si>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</si>
  <si>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</si>
  <si>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</si>
  <si>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</si>
  <si>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</si>
  <si>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</si>
  <si>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</si>
  <si>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</si>
  <si>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</si>
  <si>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</si>
  <si>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</si>
  <si>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</si>
  <si>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</si>
  <si>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</si>
  <si>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</si>
  <si>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</si>
  <si>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</si>
  <si>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</si>
  <si>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</si>
  <si>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</si>
  <si>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</si>
  <si>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Szoc. tv. 50.§ (3)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</si>
  <si>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</si>
  <si>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</si>
  <si>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</si>
  <si>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</si>
  <si>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</si>
  <si>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</si>
  <si>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</si>
  <si>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</si>
  <si>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</si>
  <si>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</si>
  <si>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</si>
  <si>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</si>
  <si>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</si>
  <si>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</si>
  <si>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</si>
  <si>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</si>
  <si>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</si>
  <si>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</si>
  <si>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</si>
  <si>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</si>
  <si>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</si>
  <si>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</si>
  <si>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</si>
  <si>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</si>
  <si>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</si>
  <si>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</si>
  <si>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</si>
  <si>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</si>
  <si>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</si>
  <si>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</si>
  <si>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</si>
  <si>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</si>
  <si>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</si>
  <si>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</si>
  <si>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</si>
  <si>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</si>
  <si>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</si>
  <si>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Ügyelet látlelet, vérvétel bevétele</t>
  </si>
  <si>
    <t>Köztemetés kiadásának megtérítése</t>
  </si>
  <si>
    <t>Kölcsön visszatérülés</t>
  </si>
  <si>
    <t>Állami feladatok kiadása</t>
  </si>
  <si>
    <t>Tűzoltóság BM támogatása</t>
  </si>
  <si>
    <t>Tűzoltóság kulcskazetta őrzés bevétele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</si>
  <si>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</si>
  <si>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</si>
  <si>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</si>
  <si>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</si>
  <si>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</si>
  <si>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</si>
  <si>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</si>
  <si>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</si>
  <si>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</si>
  <si>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</si>
  <si>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</si>
  <si>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 xml:space="preserve">Közfoglalkoztatottak </t>
  </si>
  <si>
    <t>KÖZFOGLALKOZTATOTTAK LÉTSZÁMA ÖSSZESEN:</t>
  </si>
  <si>
    <t xml:space="preserve">A helyi önkormányzat és költségvetési szervei engedélyezett létszáma és a közfoglalkoztatottak létszáma </t>
  </si>
  <si>
    <t>IV. Előző évek pénzmaradványának (és váll. mar.) igénybevétele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</si>
  <si>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</si>
  <si>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</si>
  <si>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</si>
  <si>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Jánoshalma Város Önkormányzat 2014. évi költségvetésének bevételi előirányzatai</t>
  </si>
  <si>
    <t>Gyermeklánc Óvoda és Egységes Óvoda-Bölcsőde</t>
  </si>
  <si>
    <t>Jánoshalma Város Önkormányzat 2014. évi költségvetésének kiadási előirányzatai</t>
  </si>
  <si>
    <t>Jánoshalma Város Önkormányzat 2014. évi költségvetése működési és felhalmozási célú bontásban</t>
  </si>
  <si>
    <t>Jánoshalma Város Önkormányzatának és költségvetési szerveinek 2014. évi költségvetési kiadásai kötelező-, önként vállalt-, és állami (államigazgatási) feladatok szerinti bontásban</t>
  </si>
  <si>
    <t>Gyermeklánc Óvoda és Egységes Óvoda-Bölcsőde összesen:</t>
  </si>
  <si>
    <t>Céltartalék - Védőnők OEP fin. maradv.</t>
  </si>
  <si>
    <t>Maradványból képzett tartalék</t>
  </si>
  <si>
    <t>5.5. Tartalékok</t>
  </si>
  <si>
    <t>5.4. Műk. c. v.térítendő támogatások, kölcs. nyújt. állh-on kívülre</t>
  </si>
  <si>
    <t>5.6. Elvonások és befizetések</t>
  </si>
  <si>
    <t>1.4. Elvonások és befizetések bevételei</t>
  </si>
  <si>
    <t>VI. Hitelek törlesztése és kötvénybeváltás kiadásai</t>
  </si>
  <si>
    <t>Műk. célú kölcsön nyújtás ÁH bel.</t>
  </si>
  <si>
    <t>Egyéb felh. célú tám. ÁH-on kívülre</t>
  </si>
  <si>
    <t>Civil szervezetek működési támogatása</t>
  </si>
  <si>
    <t>Műk. célú v.tér.tám,  kölcsön nyújtás ÁH kív.</t>
  </si>
  <si>
    <t>Egyéb műk. c. tám. ÁH-on belülre</t>
  </si>
  <si>
    <t>Egyéb műk. célú tám. ÁH-on kívülre</t>
  </si>
  <si>
    <t>Marad-ványból képzett tartalék</t>
  </si>
  <si>
    <t>Központi költségvetési befizetések</t>
  </si>
  <si>
    <t>Forgatási és befektetési c. fin. műv.</t>
  </si>
  <si>
    <t>Védőnők OEP tart.</t>
  </si>
  <si>
    <t>Könyvtári állomány gyarapítása, nyilv.</t>
  </si>
  <si>
    <t>Építményüzemeltetés (iskolai okt.)</t>
  </si>
  <si>
    <t>S</t>
  </si>
  <si>
    <t>T</t>
  </si>
  <si>
    <t>U</t>
  </si>
  <si>
    <t>Építményüzemeltetés (Iskolai okt.)</t>
  </si>
  <si>
    <t>Könyvtári állomány gyarapítása</t>
  </si>
  <si>
    <t>5/2014. (I.24) EMMI rendelet 10.§ (2)</t>
  </si>
  <si>
    <t>Szabadidősport- (rekreációs sport-) tevékenység és támogatása</t>
  </si>
  <si>
    <t>Áht. 2011.évi CXCV. tv. 53.§.</t>
  </si>
  <si>
    <t>Forgatási és befektetési c finansz. műveletek (fejl. c. hitel vf., kötvénybeváltás - adósságkonszolidáció)</t>
  </si>
  <si>
    <t>2014. évi Közp. KV. tv. - 2013évi CCXXX. tv. 67.§</t>
  </si>
  <si>
    <t>EU projekt - TÁMOP</t>
  </si>
  <si>
    <t>2014. évi hosszabb időtartamú közfoglalkoztatás</t>
  </si>
  <si>
    <t>Intézményekben, gazd-i társaságoknál, VM Szakképző Int.-ben fogl.  (2014.06.01-2014.09.30)</t>
  </si>
  <si>
    <t>Parkgondozásban foglalkoztatott</t>
  </si>
  <si>
    <t>44</t>
  </si>
  <si>
    <t>45</t>
  </si>
  <si>
    <t>46</t>
  </si>
  <si>
    <t>47</t>
  </si>
  <si>
    <t>V.térítendő tám.visszatérülése (Gazdakör, Sportlovas Egy.)</t>
  </si>
  <si>
    <t>Munkaügyi Kp. tám. -2014. hosszabb id. közf.</t>
  </si>
  <si>
    <t>VM Szakképző tám.- 2014. hosszabb id. közf.</t>
  </si>
  <si>
    <t>Előző évi maradvány igénybevétel</t>
  </si>
  <si>
    <t>2013. dec. bérkompenzáció</t>
  </si>
  <si>
    <t>2014. évi bérkompenzáció</t>
  </si>
  <si>
    <t>Átmeneti ivóvízellátás támogatása</t>
  </si>
  <si>
    <t>Az e-útdíj bevezetésével kapcsolatos bevételkiesés ellentételezése</t>
  </si>
  <si>
    <t>Adósságkonszolidáció</t>
  </si>
  <si>
    <t>Biztos Kezdet Gyerekház támogatás</t>
  </si>
  <si>
    <t>Közművelődési érdekeltségnövelő támogatás</t>
  </si>
  <si>
    <t>Könyvtári érdekeltségnövelő támogatás</t>
  </si>
  <si>
    <t>Az országgyűlési képviselők 2014. évi választása lebony. támogatása</t>
  </si>
  <si>
    <t>Az Európai Parlamenti képviselők 2014. évi választása lebony. támogatása</t>
  </si>
  <si>
    <t>Kötelezettségv. terhelt 2013. évi maradv.</t>
  </si>
  <si>
    <t>2013. évi szabad maradvány</t>
  </si>
  <si>
    <t>2013. évi többlettámogatás</t>
  </si>
  <si>
    <t>2013. évi szabad maradvány, többlettámogatás elvonása</t>
  </si>
  <si>
    <t>Védőnői Szolgálat informatikai fejlesztése</t>
  </si>
  <si>
    <t>Tárgyi eszköz beszerzések (szerelő kulcskészlet, híradó-akku, tömlők), kamerarendszer kiépítése - Tűzoltóság</t>
  </si>
  <si>
    <t>Tárgyi eszköz beszerzések - Start munkaprogramok</t>
  </si>
  <si>
    <t>"Könyvtári szakmai eszközfejlesztés, korszerűsítés támogatása" - pályázati önerő átadás (Lajtha L. Kft.)</t>
  </si>
  <si>
    <t>Könyvtári érdekeltségnövelő támogatás átadása Lajtha L. Non-profit Kft. részére</t>
  </si>
  <si>
    <t xml:space="preserve">Közművelődési érdekeltségnövelő támogatás + önkormányzati önerő átadása Lajtha L. Non-profit Kft. r. </t>
  </si>
  <si>
    <t>Kötvény, fejlesztési hitel kamata</t>
  </si>
  <si>
    <t>MFB hitel 2014. évi adósságkonszolidáció</t>
  </si>
  <si>
    <t>Kötvény 2014. évi adósságkonszolidáció</t>
  </si>
  <si>
    <t>39/2014.(III.18.) Kt. hat."Könyvtári szakmai eszközfejlesztés, korsz. támogatása"- pályázati önerő</t>
  </si>
  <si>
    <t>51/2014.(III.27.) Kt. hat. Homokbánya geodéziai felmérése</t>
  </si>
  <si>
    <t>80/2014. (V.29.) Kt. hat. Magyar Zarándokút Önkormányzati Társulás - működési hozzájárulás</t>
  </si>
  <si>
    <t>79/2014. (V.29.) Kt. hat. Jánoshalma Város Önkormányzatának és a Polgármesteri Hivatal létszámkeretének bővítése</t>
  </si>
  <si>
    <t>83/2014.(V.29) Kt. hat. A 2014. évi Jánoshalmi Napok rendezvényeinek kiadásai</t>
  </si>
  <si>
    <t>Védőnők 2013. évi OEP-finanszírozásának maradványa</t>
  </si>
  <si>
    <t>94/2014.(V:29.) Kt. hat. Védőnői szolgálat informatikai fejlesztése</t>
  </si>
  <si>
    <t>Maradványból képzett tartalék képzése</t>
  </si>
  <si>
    <t>Maradványt terhelő kötelezettségek</t>
  </si>
  <si>
    <t>2013. évi állami támogatások elszámolása alapján visszafizetendő különbözet</t>
  </si>
  <si>
    <t>2012. évi állami támogatások elszámolásának felülvizsgálatakor megállapított visszafizetési kötelezettség</t>
  </si>
  <si>
    <t>Környezetvédelmi alap (Előző évek maradványa)</t>
  </si>
  <si>
    <t>Céltartalék - viziközművek 2013. évi bérleti díj bevétel maradványa</t>
  </si>
  <si>
    <t>Önkormányzati intézmények elvont 2013. évi szabad költségvetési maradványának tartalékba helyezése</t>
  </si>
  <si>
    <t>Polgármesteri Hivatal visszafizetett 2013. évi többlettámogatásából tartalék képzése</t>
  </si>
  <si>
    <t>Jánoshalma Város közbiztonsága javítása érdekében kamerarendszer kiépítése LEADER pályázat dologi kiadásaira</t>
  </si>
  <si>
    <t>Polgármesteri Hivatal informatikai rendszer felújítás többletköltsége</t>
  </si>
  <si>
    <t>Önkormányzati tisztviselők közszolgálati képzése</t>
  </si>
  <si>
    <t>Helyi önkormányzatok működésének általános támogatása beszámítás után összesen</t>
  </si>
  <si>
    <t>3.</t>
  </si>
  <si>
    <t>12.</t>
  </si>
  <si>
    <t>Könyvtári és közművelődési érdekeltségnövelő támogatás</t>
  </si>
  <si>
    <t>13.</t>
  </si>
  <si>
    <t>A 2013. évről áthúzódó bérkompenzáció támogatása</t>
  </si>
  <si>
    <t>4. melléklet</t>
  </si>
  <si>
    <t>Átmeneti ivóvízellátás biztosításával kapcs. költségek finanszírozásának támogatása</t>
  </si>
  <si>
    <t>2014. évi önkormányzati adósságkonszolidáció összege:</t>
  </si>
  <si>
    <t>4. melléklet jogcímei mindösszesen:</t>
  </si>
  <si>
    <t>a Magyarország 2014. évi központi költségvetéséről szóló 2013. évi CCXXX. törvény 2., 3.  és 4. sz.mellékletének jogcímei szerint</t>
  </si>
  <si>
    <t>353/2011. (XII. 30.) Korm. rendelet 2.§ (1) bek. szerinti saját bevétel összege az adósságot keletkeztető ügyletek (viziközmű-társulati hitel kapcsán vállalt készfizető kezesség)  futamidejének végéig</t>
  </si>
  <si>
    <t>Időszak</t>
  </si>
  <si>
    <t>Az önkormányzat saját bevételének típusa</t>
  </si>
  <si>
    <t>1. helyi adóból származó bevétel</t>
  </si>
  <si>
    <t>2. önkormányzati  vagyon és az önkormányzatot megillető vagyoni értékű jog értékesítéséből és hasznosításából származó bevétel</t>
  </si>
  <si>
    <t>3. osztalék, koncessziós díj és hozambevétel</t>
  </si>
  <si>
    <t>4. tárgyi eszköz és az immateriális jószág, részvény, részesedés, vállalat értékesítéséből vagy privatizációból származó bevétel</t>
  </si>
  <si>
    <t>5. bírság-, pótlék- és díjbevétel</t>
  </si>
  <si>
    <t>6. kezességvállalással kapcsolatos megtérülés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</si>
  <si>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</si>
  <si>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</si>
  <si>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</si>
  <si>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</si>
  <si>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</si>
  <si>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</si>
  <si>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</si>
  <si>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</si>
  <si>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- Mezőgazdasági programelem (2014.03.05-2014.12.31) 34 fő</t>
  </si>
  <si>
    <t>Egészségfejlesztési segítő (2014.06.02-2014.09.30.)</t>
  </si>
  <si>
    <t>Tisztítástechnológus (2014.06.02-2014.07.31.)</t>
  </si>
  <si>
    <t>Tisztítástechnológus (2014.06.11-2014.09.18.)</t>
  </si>
  <si>
    <t>2013-2014. évi téli közfoglkoztatási program</t>
  </si>
  <si>
    <t>Jánoshalma Város Önkormányzatának  és költségvetési szerveinek 2014. évi költségvetési bevételei és  kiadásai kötelező-, önként vállalt-, és állami (államigazgatási) feladatok szerinti bontásban</t>
  </si>
  <si>
    <t>Pedagógiai asszisztens</t>
  </si>
  <si>
    <t>Egységes Óvoda-Bölcsőde</t>
  </si>
  <si>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</si>
  <si>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</si>
  <si>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</si>
  <si>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</si>
  <si>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</si>
  <si>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</si>
  <si>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</si>
  <si>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</si>
  <si>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K1102</t>
  </si>
  <si>
    <t>Normatív jutalmak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</si>
  <si>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</si>
  <si>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</si>
  <si>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</si>
  <si>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</si>
  <si>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</si>
  <si>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</si>
  <si>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</si>
  <si>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</si>
  <si>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</si>
  <si>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</si>
  <si>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</si>
  <si>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</si>
  <si>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</si>
  <si>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</si>
  <si>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</si>
  <si>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</si>
  <si>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</si>
  <si>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</si>
  <si>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</si>
  <si>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</si>
  <si>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</si>
  <si>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</si>
  <si>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</si>
  <si>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</si>
  <si>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</si>
  <si>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</si>
  <si>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</si>
  <si>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</si>
  <si>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</si>
  <si>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</si>
  <si>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</si>
  <si>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</si>
  <si>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</si>
  <si>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</si>
  <si>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</si>
  <si>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</si>
  <si>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</si>
  <si>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</si>
  <si>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</si>
  <si>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</si>
  <si>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</si>
  <si>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</si>
  <si>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</si>
  <si>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</si>
  <si>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</si>
  <si>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</si>
  <si>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</si>
  <si>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</si>
  <si>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</si>
  <si>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</si>
  <si>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</si>
  <si>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</si>
  <si>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</si>
  <si>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</si>
  <si>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</si>
  <si>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</si>
  <si>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</si>
  <si>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</si>
  <si>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</si>
  <si>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</si>
  <si>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</si>
  <si>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</si>
  <si>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</si>
  <si>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</si>
  <si>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</si>
  <si>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</si>
  <si>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</si>
  <si>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</si>
  <si>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</si>
  <si>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</si>
  <si>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</si>
  <si>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</si>
  <si>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</si>
  <si>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</si>
  <si>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</si>
  <si>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</si>
  <si>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</si>
  <si>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</si>
  <si>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</si>
  <si>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 xml:space="preserve">Céltartalék - viziközművek 2014. évi bérleti díj bevételéből a viziközművek fejlesztésére </t>
  </si>
  <si>
    <t>59/2014.(IV.24.) Kt. Ügyeleti óradíj emeléséből adódó többletkiadások fedezése</t>
  </si>
  <si>
    <t>130/2014.(VI.18.). Kt. KEOP-2014-4-10-0/F pályázat előkészítő munkái</t>
  </si>
  <si>
    <t>Pótelőirányzat Áfa-befizetési kötelezettség teljesítésére</t>
  </si>
  <si>
    <t>Bevétel kiesés kompenzálása</t>
  </si>
  <si>
    <t>135/2014.(VIII.04.) Kt. 718/15.hrsz. ingatlan megvásárlása</t>
  </si>
  <si>
    <t xml:space="preserve">Céltartalék - viziközművek bérleti díj bevételéből (viziközművek fejlesztésére) </t>
  </si>
  <si>
    <t>Erdő-parkos                                   (2014.07.10-08.31.)</t>
  </si>
  <si>
    <t>Parkgondozás                            (2014.08.11-10.31.)</t>
  </si>
  <si>
    <t>Kerti munkás képzés (2014.07.01-10.21.)</t>
  </si>
  <si>
    <t>- Belterületi közutak karbantartása (2014.08.01-12.31.)</t>
  </si>
  <si>
    <t>- Belvízelvezetés (2014.08.01-12.31.)</t>
  </si>
  <si>
    <t>- Illegális hulladéklerakók felszámolása (2014.08.01-12.31.)</t>
  </si>
  <si>
    <t>Mezőgazdasági földutak karbantartása (2014.08.01-12.31.)</t>
  </si>
  <si>
    <t>3.4. Tulajdonosi bevételek</t>
  </si>
  <si>
    <t>Nyári gyermekétkeztetés</t>
  </si>
  <si>
    <t>Közüzemi díj túlfizetés visszautalása</t>
  </si>
  <si>
    <t>Iparterület "Napenergia hasznosítása.." projekt EU önerő alap támogatása</t>
  </si>
  <si>
    <t>9.</t>
  </si>
  <si>
    <t>Gyermekszegénység elleni program keretében nyári étkezés biztosítása</t>
  </si>
  <si>
    <t>Rendkívüli önkormányzati támogatás</t>
  </si>
  <si>
    <t>Finansz. kiad. Fejl. c. hitel vf.+ kötvény beváltás</t>
  </si>
  <si>
    <t>KEOP-4.10.0/C/12-2013-0048 "Napenergia hasznosítása villamos energia előállítására a Jánoshalmi ipari területen" c. projekt kiadásai</t>
  </si>
  <si>
    <t>Napenergia hasznosítása villamos energia előállítására a Jh-i ipari területen (KEOP-4.10.0/C/12-2013-0048)</t>
  </si>
  <si>
    <t>Rövid időtartamú közfoglalkoztatás</t>
  </si>
  <si>
    <t>Start-munka program - Téli közfoglalkoztatás</t>
  </si>
  <si>
    <t>Hosszabb időtartamú közfoglalkoztatás</t>
  </si>
  <si>
    <t>TÁMOP 1.1.1 Rehab. foglalkoztatás 1 fő tám.</t>
  </si>
  <si>
    <t>Háziorvosi feladatellátás OEP- finanszírozás</t>
  </si>
  <si>
    <t>Szoc. Otth. elhunytak tér.díj hátralék térítés</t>
  </si>
  <si>
    <t>Áru- és készletértékesítés bevétele</t>
  </si>
  <si>
    <t>2013.december havi óvódáztatási tám.</t>
  </si>
  <si>
    <t>Áfa visszatérítés</t>
  </si>
  <si>
    <t>A helyi önk. képviselők és polgármester 2014. évi választása lebony. támogatása</t>
  </si>
  <si>
    <t>A nemzetiségi önk. képviselők 2014. évi választása lebony. támogatása</t>
  </si>
  <si>
    <t xml:space="preserve">KEOP-2014-4-10-0/F pályázat -Polg. Hivatal  energetikai felújítása </t>
  </si>
  <si>
    <t>Buszmegállónál kerékpártároló építés 146/2014.(IX.11) Kt. hat.</t>
  </si>
  <si>
    <t>Kölcsey u. 12. sz. alatti épület gázkazán cseréje 147/2014.(IX.11) Kt. hat.</t>
  </si>
  <si>
    <t>Jánoshalma, Arany J. u. 13. sz. alatti ingatlanrész felújítása (Bács- Kiskun Megyei Kormányhivatal)</t>
  </si>
  <si>
    <t>Hunyadi J. Ált. Isk. "Óvjuk Gyermekeinket 2014. c. pályázat - biztonsági kamerák 150/2014.(IX.11) Kt. hat.</t>
  </si>
  <si>
    <t>Óvoda "Óvjuk Gyermekeinket 2014. c. pályázat - biztonsági kamerák 149/2014.(IX.11) Kt. hat.</t>
  </si>
  <si>
    <t>IPA Határon Átnyúló Projekt FAB (Magyarország - Szerbia) -Szerbiába továbbutalandó felhalm. c. támogatás</t>
  </si>
  <si>
    <t>2013. évi december havi óvodáztatási támogatással kapcsolatosan felmerült kamat</t>
  </si>
  <si>
    <t>Köztemetés kiadásaira pótelőirányzat</t>
  </si>
  <si>
    <t>Állati hullák elszállítás és ártalmatlanítás költségeire pótelőirányzat</t>
  </si>
  <si>
    <t>III.5.a (1)</t>
  </si>
  <si>
    <t xml:space="preserve">A finanszírozás szempontjából elismert dolgozók bértámogatása                 (óvodai étkeztetés)                              </t>
  </si>
  <si>
    <t>III.5.a (2)</t>
  </si>
  <si>
    <t>III.5.a (3)</t>
  </si>
  <si>
    <t xml:space="preserve">A finanszírozás szempontjából elismert dolgozók bértámogatása                          (ált. iskolai étkeztetés)                              </t>
  </si>
  <si>
    <t xml:space="preserve">A finanszírozás szempontjából elismert dolgozók bértámogatása                          (gimnáziumi étkeztetés)                              </t>
  </si>
  <si>
    <t>"Itthon vagy- Magyarország, szeretlek" programsorozat támogatása</t>
  </si>
  <si>
    <t>Rehabilitációs foglalkoztatás TÁMOP 1.11-12/1</t>
  </si>
  <si>
    <t>1 fő álláskereső közfogl. (2014.10.01-11.30.)</t>
  </si>
  <si>
    <t>38 fő álláskereső közfogl. (2014.11.01-2015.02.28.)</t>
  </si>
  <si>
    <t>- Téli és egyéb értékteremtő közfoglalkoztatás 46 fő (2014.05.01-2014.09.30.-2015.02.28)</t>
  </si>
  <si>
    <t>Fénymásoló beszerzés</t>
  </si>
  <si>
    <t>A 2014. év azon fejlesztési céljai, amelyek megvalósításához a Magyarország gazdasági stabilitásáról szóló 2011. évi CXCIV. törvény 3.§ (1) bek. szerinti adósságot keletkeztető ügylet megkötése szükséges</t>
  </si>
  <si>
    <t>Fejlesztési cél megnevezése</t>
  </si>
  <si>
    <t>Az adósságot keletkeztető ügylet típusa</t>
  </si>
  <si>
    <t>Az adósságot keletkeztető ügylet összege</t>
  </si>
  <si>
    <t>Módosította: 14/2014(IX.15.) ör. 4.§, Hatályos: 2014. 09.16.</t>
  </si>
  <si>
    <t>Módosította: 24/2014(XII.12.) ör. 4.§, Hatályos: 2014.12.13.</t>
  </si>
  <si>
    <t>Módosította: 13/2014(VI.23.) ör. 5.§, Hatályos: 2014. 06.24.</t>
  </si>
  <si>
    <r>
      <t xml:space="preserve">1. melléklet a 5/2014.(II.21.) önkormányzati rendelethez  </t>
    </r>
    <r>
      <rPr>
        <vertAlign val="superscript"/>
        <sz val="10"/>
        <color rgb="FF0070C0"/>
        <rFont val="Times New Roman CE"/>
        <charset val="238"/>
      </rPr>
      <t>1, 2, 3</t>
    </r>
  </si>
  <si>
    <r>
      <t xml:space="preserve">2. melléklet a 5/2014.(II.21.) önkormányzati rendelethez  </t>
    </r>
    <r>
      <rPr>
        <vertAlign val="superscript"/>
        <sz val="10"/>
        <color rgb="FF0070C0"/>
        <rFont val="Arial CE"/>
        <charset val="238"/>
      </rPr>
      <t>4, 5, 6</t>
    </r>
  </si>
  <si>
    <r>
      <t xml:space="preserve">3. melléklet a 5/2014.(II.21.) önkormányzati rendelethez </t>
    </r>
    <r>
      <rPr>
        <vertAlign val="superscript"/>
        <sz val="11"/>
        <color rgb="FF0070C0"/>
        <rFont val="Times New Roman CE"/>
        <charset val="238"/>
      </rPr>
      <t>7, 8, 9</t>
    </r>
  </si>
  <si>
    <r>
      <t xml:space="preserve">4. melléklet a 5/2014.(II.21.) önkormányzati rendelethez </t>
    </r>
    <r>
      <rPr>
        <vertAlign val="superscript"/>
        <sz val="11"/>
        <color rgb="FF0070C0"/>
        <rFont val="Times New Roman CE"/>
        <charset val="238"/>
      </rPr>
      <t>10, 11, 12</t>
    </r>
  </si>
  <si>
    <r>
      <t xml:space="preserve">5. melléklet a 5/2014.(II.21.) önkormányzati rendelethez </t>
    </r>
    <r>
      <rPr>
        <vertAlign val="superscript"/>
        <sz val="10"/>
        <color rgb="FF0070C0"/>
        <rFont val="Times New Roman CE"/>
        <charset val="238"/>
      </rPr>
      <t>13, 14, 15</t>
    </r>
  </si>
  <si>
    <r>
      <t xml:space="preserve">6. melléklet a 5/2014.(II.21.) önkormányzati rendelethez </t>
    </r>
    <r>
      <rPr>
        <vertAlign val="superscript"/>
        <sz val="11"/>
        <color rgb="FF0070C0"/>
        <rFont val="Times New Roman CE"/>
        <charset val="238"/>
      </rPr>
      <t>16, 17, 18</t>
    </r>
  </si>
  <si>
    <r>
      <t xml:space="preserve">7. melléklet a 5/2014(II.21) önkormányzati rendelethez </t>
    </r>
    <r>
      <rPr>
        <vertAlign val="superscript"/>
        <sz val="11"/>
        <color rgb="FF0070C0"/>
        <rFont val="Times New Roman CE"/>
        <charset val="238"/>
      </rPr>
      <t>19, 20, 21</t>
    </r>
  </si>
  <si>
    <r>
      <t xml:space="preserve">8. melléklet a 5/2015(II.21.)önkormányzati rendelethez </t>
    </r>
    <r>
      <rPr>
        <vertAlign val="superscript"/>
        <sz val="11"/>
        <color rgb="FF0070C0"/>
        <rFont val="Times New Roman CE"/>
        <charset val="238"/>
      </rPr>
      <t xml:space="preserve">22, 23, 24, </t>
    </r>
  </si>
  <si>
    <r>
      <t xml:space="preserve">9. melléklet a 5/2015(II.21.) önkormányzati rendelethez </t>
    </r>
    <r>
      <rPr>
        <vertAlign val="superscript"/>
        <sz val="11"/>
        <color rgb="FF0070C0"/>
        <rFont val="Times New Roman CE"/>
        <charset val="238"/>
      </rPr>
      <t>25, 26, 27</t>
    </r>
  </si>
  <si>
    <r>
      <t xml:space="preserve">10. melléklet a5/2014(II.21.) önkormányzati rendelethez </t>
    </r>
    <r>
      <rPr>
        <vertAlign val="superscript"/>
        <sz val="11"/>
        <color rgb="FF0070C0"/>
        <rFont val="Times New Roman"/>
        <family val="1"/>
        <charset val="238"/>
      </rPr>
      <t>28, 29, 30</t>
    </r>
  </si>
  <si>
    <r>
      <t xml:space="preserve">11. melléklet a 5/2014.(II.21.) önkormányzati rendelethez </t>
    </r>
    <r>
      <rPr>
        <vertAlign val="superscript"/>
        <sz val="11"/>
        <color rgb="FF0070C0"/>
        <rFont val="Times New Roman CE"/>
        <charset val="238"/>
      </rPr>
      <t>31</t>
    </r>
  </si>
  <si>
    <r>
      <t xml:space="preserve">11. melléklet a 5/2014(II.21.) önkormányzati rendelethez </t>
    </r>
    <r>
      <rPr>
        <vertAlign val="superscript"/>
        <sz val="11"/>
        <color rgb="FF0070C0"/>
        <rFont val="Times New Roman CE"/>
        <charset val="238"/>
      </rPr>
      <t>32, 33, 34</t>
    </r>
  </si>
  <si>
    <r>
      <t xml:space="preserve">12. melléklet a 5/2014. (II.21.) önkormányzati rendelethez </t>
    </r>
    <r>
      <rPr>
        <vertAlign val="superscript"/>
        <sz val="11"/>
        <color rgb="FF0070C0"/>
        <rFont val="Times New Roman CE"/>
        <charset val="238"/>
      </rPr>
      <t>35, 36, 37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</si>
</sst>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.0"/>
    <numFmt numFmtId="165" formatCode="#,##0\ &quot;Ft&quot;"/>
  </numFmts>
  <fonts count="10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family val="2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11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30"/>
      <name val="Arial"/>
      <family val="2"/>
      <charset val="238"/>
    </font>
    <font>
      <b/>
      <sz val="10"/>
      <color indexed="30"/>
      <name val="Arial CE"/>
      <family val="2"/>
      <charset val="238"/>
    </font>
    <font>
      <sz val="12"/>
      <name val="Times New Roman"/>
      <family val="1"/>
      <charset val="238"/>
    </font>
    <font>
      <b/>
      <sz val="11"/>
      <name val="Times New Roman CE"/>
      <charset val="238"/>
    </font>
    <font>
      <sz val="8"/>
      <color rgb="FF0070C0"/>
      <name val="Arial CE"/>
      <charset val="238"/>
    </font>
    <font>
      <vertAlign val="superscript"/>
      <sz val="10"/>
      <color rgb="FF0070C0"/>
      <name val="Times New Roman CE"/>
      <charset val="238"/>
    </font>
    <font>
      <vertAlign val="superscript"/>
      <sz val="8"/>
      <color rgb="FF0070C0"/>
      <name val="Arial CE"/>
      <charset val="238"/>
    </font>
    <font>
      <vertAlign val="superscript"/>
      <sz val="10"/>
      <color rgb="FF0070C0"/>
      <name val="Arial CE"/>
      <charset val="238"/>
    </font>
    <font>
      <vertAlign val="superscript"/>
      <sz val="11"/>
      <color rgb="FF0070C0"/>
      <name val="Times New Roman CE"/>
      <charset val="238"/>
    </font>
    <font>
      <vertAlign val="superscript"/>
      <sz val="11"/>
      <color rgb="FF0070C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21" fillId="0" borderId="0" applyFont="0" applyFill="0" applyBorder="0" applyAlignment="0" applyProtection="0"/>
    <xf numFmtId="0" fontId="21" fillId="0" borderId="0"/>
    <xf numFmtId="0" fontId="28" fillId="0" borderId="0"/>
    <xf numFmtId="0" fontId="1" fillId="0" borderId="0"/>
    <xf numFmtId="0" fontId="21" fillId="0" borderId="0"/>
    <xf numFmtId="0" fontId="1" fillId="0" borderId="0"/>
  </cellStyleXfs>
  <cellXfs count="1397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2" fillId="0" borderId="9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3" fontId="21" fillId="0" borderId="21" xfId="5" applyNumberFormat="1" applyBorder="1"/>
    <xf numFmtId="3" fontId="21" fillId="0" borderId="17" xfId="5" applyNumberFormat="1" applyBorder="1"/>
    <xf numFmtId="3" fontId="21" fillId="0" borderId="4" xfId="5" applyNumberFormat="1" applyBorder="1"/>
    <xf numFmtId="3" fontId="21" fillId="0" borderId="12" xfId="5" applyNumberFormat="1" applyBorder="1"/>
    <xf numFmtId="3" fontId="21" fillId="0" borderId="0" xfId="5" applyNumberFormat="1"/>
    <xf numFmtId="0" fontId="21" fillId="0" borderId="0" xfId="5"/>
    <xf numFmtId="0" fontId="21" fillId="0" borderId="9" xfId="5" applyBorder="1"/>
    <xf numFmtId="3" fontId="21" fillId="0" borderId="17" xfId="5" applyNumberFormat="1" applyFill="1" applyBorder="1"/>
    <xf numFmtId="2" fontId="21" fillId="0" borderId="12" xfId="5" applyNumberFormat="1" applyBorder="1"/>
    <xf numFmtId="2" fontId="21" fillId="0" borderId="21" xfId="5" applyNumberFormat="1" applyBorder="1"/>
    <xf numFmtId="3" fontId="21" fillId="0" borderId="12" xfId="5" applyNumberFormat="1" applyFill="1" applyBorder="1"/>
    <xf numFmtId="4" fontId="21" fillId="0" borderId="21" xfId="5" applyNumberFormat="1" applyFill="1" applyBorder="1"/>
    <xf numFmtId="3" fontId="3" fillId="0" borderId="0" xfId="5" applyNumberFormat="1" applyFont="1"/>
    <xf numFmtId="0" fontId="3" fillId="0" borderId="0" xfId="5" applyFont="1"/>
    <xf numFmtId="0" fontId="37" fillId="0" borderId="0" xfId="0" applyFont="1" applyFill="1" applyAlignment="1">
      <alignment vertical="center"/>
    </xf>
    <xf numFmtId="0" fontId="23" fillId="0" borderId="0" xfId="2" applyFont="1"/>
    <xf numFmtId="0" fontId="22" fillId="0" borderId="0" xfId="2" applyFont="1" applyAlignment="1">
      <alignment vertical="center"/>
    </xf>
    <xf numFmtId="0" fontId="24" fillId="0" borderId="17" xfId="2" applyFont="1" applyBorder="1" applyAlignment="1">
      <alignment horizontal="center" vertical="center" wrapText="1"/>
    </xf>
    <xf numFmtId="0" fontId="26" fillId="0" borderId="17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0" xfId="2" applyFont="1"/>
    <xf numFmtId="0" fontId="25" fillId="0" borderId="17" xfId="2" applyFont="1" applyBorder="1"/>
    <xf numFmtId="0" fontId="25" fillId="0" borderId="0" xfId="2" applyFont="1"/>
    <xf numFmtId="0" fontId="30" fillId="0" borderId="0" xfId="2" applyFont="1"/>
    <xf numFmtId="0" fontId="31" fillId="0" borderId="0" xfId="2" applyFont="1"/>
    <xf numFmtId="0" fontId="30" fillId="0" borderId="17" xfId="2" applyFont="1" applyBorder="1"/>
    <xf numFmtId="0" fontId="32" fillId="0" borderId="0" xfId="2" applyFont="1"/>
    <xf numFmtId="0" fontId="25" fillId="0" borderId="0" xfId="2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30" fillId="0" borderId="17" xfId="2" applyFont="1" applyBorder="1" applyAlignment="1">
      <alignment horizontal="left" vertical="center" indent="2"/>
    </xf>
    <xf numFmtId="16" fontId="30" fillId="0" borderId="17" xfId="2" applyNumberFormat="1" applyFont="1" applyBorder="1" applyAlignment="1">
      <alignment horizontal="left" vertical="center" indent="2"/>
    </xf>
    <xf numFmtId="0" fontId="30" fillId="0" borderId="17" xfId="2" applyFont="1" applyBorder="1" applyAlignment="1">
      <alignment horizontal="left" indent="2"/>
    </xf>
    <xf numFmtId="3" fontId="26" fillId="0" borderId="17" xfId="1" applyNumberFormat="1" applyFont="1" applyBorder="1" applyAlignment="1">
      <alignment horizontal="right"/>
    </xf>
    <xf numFmtId="3" fontId="25" fillId="0" borderId="17" xfId="1" applyNumberFormat="1" applyFont="1" applyBorder="1" applyAlignment="1">
      <alignment horizontal="right"/>
    </xf>
    <xf numFmtId="3" fontId="30" fillId="0" borderId="17" xfId="1" applyNumberFormat="1" applyFont="1" applyBorder="1" applyAlignment="1">
      <alignment horizontal="right"/>
    </xf>
    <xf numFmtId="0" fontId="38" fillId="0" borderId="17" xfId="2" applyFont="1" applyBorder="1" applyAlignment="1">
      <alignment horizontal="left" vertical="center" wrapText="1"/>
    </xf>
    <xf numFmtId="0" fontId="38" fillId="0" borderId="0" xfId="2" applyFont="1" applyAlignment="1">
      <alignment horizontal="center" vertical="center" wrapText="1"/>
    </xf>
    <xf numFmtId="3" fontId="38" fillId="0" borderId="17" xfId="1" applyNumberFormat="1" applyFont="1" applyBorder="1" applyAlignment="1">
      <alignment horizontal="right"/>
    </xf>
    <xf numFmtId="0" fontId="38" fillId="0" borderId="17" xfId="2" applyFont="1" applyBorder="1"/>
    <xf numFmtId="0" fontId="39" fillId="0" borderId="0" xfId="2" applyFont="1"/>
    <xf numFmtId="0" fontId="40" fillId="0" borderId="17" xfId="2" applyFont="1" applyBorder="1" applyAlignment="1">
      <alignment horizontal="right"/>
    </xf>
    <xf numFmtId="0" fontId="41" fillId="0" borderId="0" xfId="2" applyFont="1"/>
    <xf numFmtId="0" fontId="42" fillId="0" borderId="17" xfId="2" applyFont="1" applyBorder="1" applyAlignment="1">
      <alignment vertical="center"/>
    </xf>
    <xf numFmtId="3" fontId="42" fillId="0" borderId="17" xfId="1" applyNumberFormat="1" applyFont="1" applyBorder="1" applyAlignment="1">
      <alignment horizontal="right"/>
    </xf>
    <xf numFmtId="0" fontId="42" fillId="0" borderId="17" xfId="2" applyFont="1" applyBorder="1"/>
    <xf numFmtId="0" fontId="42" fillId="0" borderId="0" xfId="2" applyFont="1"/>
    <xf numFmtId="0" fontId="42" fillId="0" borderId="17" xfId="2" applyFont="1" applyBorder="1" applyAlignment="1">
      <alignment vertical="center" wrapText="1"/>
    </xf>
    <xf numFmtId="0" fontId="42" fillId="0" borderId="17" xfId="2" applyFont="1" applyBorder="1" applyAlignment="1">
      <alignment horizontal="left" vertical="center"/>
    </xf>
    <xf numFmtId="0" fontId="43" fillId="0" borderId="0" xfId="2" applyFont="1"/>
    <xf numFmtId="0" fontId="42" fillId="0" borderId="17" xfId="2" applyFont="1" applyBorder="1" applyAlignment="1">
      <alignment horizontal="left" vertical="center" wrapText="1"/>
    </xf>
    <xf numFmtId="0" fontId="44" fillId="0" borderId="0" xfId="2" applyFont="1"/>
    <xf numFmtId="0" fontId="26" fillId="0" borderId="17" xfId="2" applyFont="1" applyBorder="1" applyAlignment="1">
      <alignment horizontal="left" vertical="center" indent="1"/>
    </xf>
    <xf numFmtId="0" fontId="26" fillId="0" borderId="17" xfId="2" applyFont="1" applyBorder="1" applyAlignment="1">
      <alignment horizontal="left" indent="1"/>
    </xf>
    <xf numFmtId="3" fontId="45" fillId="0" borderId="17" xfId="2" applyNumberFormat="1" applyFont="1" applyBorder="1" applyAlignment="1">
      <alignment horizontal="right" vertical="center"/>
    </xf>
    <xf numFmtId="0" fontId="38" fillId="0" borderId="17" xfId="2" applyFont="1" applyBorder="1" applyAlignment="1">
      <alignment vertical="top"/>
    </xf>
    <xf numFmtId="3" fontId="45" fillId="0" borderId="17" xfId="1" applyNumberFormat="1" applyFont="1" applyBorder="1" applyAlignment="1">
      <alignment horizontal="right"/>
    </xf>
    <xf numFmtId="0" fontId="26" fillId="0" borderId="17" xfId="2" applyFont="1" applyBorder="1" applyAlignment="1">
      <alignment horizontal="left" vertical="top" inden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/>
    <xf numFmtId="0" fontId="35" fillId="0" borderId="0" xfId="0" applyFont="1"/>
    <xf numFmtId="0" fontId="33" fillId="0" borderId="0" xfId="0" applyFont="1"/>
    <xf numFmtId="0" fontId="0" fillId="0" borderId="0" xfId="0" applyAlignment="1"/>
    <xf numFmtId="0" fontId="18" fillId="0" borderId="0" xfId="0" applyFont="1" applyFill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3" fontId="23" fillId="0" borderId="17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7" fillId="0" borderId="17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7" fillId="0" borderId="17" xfId="2" applyFont="1" applyBorder="1" applyAlignment="1">
      <alignment horizontal="center"/>
    </xf>
    <xf numFmtId="0" fontId="13" fillId="0" borderId="22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6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5" fillId="0" borderId="9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9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49" fontId="49" fillId="0" borderId="27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vertical="center"/>
    </xf>
    <xf numFmtId="3" fontId="49" fillId="0" borderId="15" xfId="0" applyNumberFormat="1" applyFont="1" applyFill="1" applyBorder="1" applyAlignment="1">
      <alignment vertical="center"/>
    </xf>
    <xf numFmtId="3" fontId="49" fillId="0" borderId="13" xfId="0" applyNumberFormat="1" applyFont="1" applyFill="1" applyBorder="1" applyAlignment="1">
      <alignment vertical="center"/>
    </xf>
    <xf numFmtId="3" fontId="49" fillId="0" borderId="28" xfId="0" applyNumberFormat="1" applyFont="1" applyFill="1" applyBorder="1" applyAlignment="1">
      <alignment vertical="center"/>
    </xf>
    <xf numFmtId="164" fontId="49" fillId="0" borderId="0" xfId="0" applyNumberFormat="1" applyFont="1" applyFill="1" applyBorder="1" applyAlignment="1">
      <alignment vertical="center"/>
    </xf>
    <xf numFmtId="0" fontId="33" fillId="0" borderId="17" xfId="0" applyFont="1" applyBorder="1" applyAlignment="1">
      <alignment horizontal="center"/>
    </xf>
    <xf numFmtId="0" fontId="33" fillId="2" borderId="17" xfId="0" applyFont="1" applyFill="1" applyBorder="1"/>
    <xf numFmtId="0" fontId="28" fillId="3" borderId="17" xfId="0" applyFont="1" applyFill="1" applyBorder="1"/>
    <xf numFmtId="0" fontId="35" fillId="0" borderId="17" xfId="0" applyFont="1" applyBorder="1"/>
    <xf numFmtId="0" fontId="33" fillId="0" borderId="17" xfId="0" applyFont="1" applyFill="1" applyBorder="1"/>
    <xf numFmtId="0" fontId="33" fillId="0" borderId="0" xfId="0" applyFont="1" applyFill="1"/>
    <xf numFmtId="0" fontId="33" fillId="4" borderId="17" xfId="0" applyFont="1" applyFill="1" applyBorder="1"/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1" fillId="0" borderId="9" xfId="5" applyFont="1" applyBorder="1" applyAlignment="1">
      <alignment wrapText="1"/>
    </xf>
    <xf numFmtId="0" fontId="21" fillId="0" borderId="9" xfId="5" applyFont="1" applyBorder="1"/>
    <xf numFmtId="0" fontId="33" fillId="0" borderId="9" xfId="5" applyFont="1" applyBorder="1" applyAlignment="1">
      <alignment wrapText="1"/>
    </xf>
    <xf numFmtId="3" fontId="33" fillId="0" borderId="21" xfId="5" applyNumberFormat="1" applyFont="1" applyBorder="1"/>
    <xf numFmtId="3" fontId="33" fillId="0" borderId="17" xfId="5" applyNumberFormat="1" applyFont="1" applyBorder="1"/>
    <xf numFmtId="3" fontId="33" fillId="0" borderId="4" xfId="5" applyNumberFormat="1" applyFont="1" applyBorder="1"/>
    <xf numFmtId="3" fontId="33" fillId="0" borderId="12" xfId="5" applyNumberFormat="1" applyFont="1" applyBorder="1"/>
    <xf numFmtId="3" fontId="33" fillId="0" borderId="0" xfId="5" applyNumberFormat="1" applyFont="1"/>
    <xf numFmtId="0" fontId="33" fillId="0" borderId="0" xfId="5" applyFont="1"/>
    <xf numFmtId="0" fontId="33" fillId="0" borderId="9" xfId="5" applyFont="1" applyBorder="1"/>
    <xf numFmtId="3" fontId="33" fillId="0" borderId="17" xfId="5" applyNumberFormat="1" applyFont="1" applyFill="1" applyBorder="1"/>
    <xf numFmtId="3" fontId="33" fillId="0" borderId="0" xfId="5" applyNumberFormat="1" applyFont="1" applyAlignment="1">
      <alignment vertical="center"/>
    </xf>
    <xf numFmtId="0" fontId="33" fillId="0" borderId="0" xfId="5" applyFont="1" applyAlignment="1">
      <alignment vertical="center"/>
    </xf>
    <xf numFmtId="3" fontId="28" fillId="0" borderId="4" xfId="5" applyNumberFormat="1" applyFont="1" applyBorder="1"/>
    <xf numFmtId="3" fontId="33" fillId="0" borderId="21" xfId="5" applyNumberFormat="1" applyFont="1" applyFill="1" applyBorder="1"/>
    <xf numFmtId="0" fontId="33" fillId="5" borderId="9" xfId="5" applyFont="1" applyFill="1" applyBorder="1" applyAlignment="1">
      <alignment vertical="center" wrapText="1"/>
    </xf>
    <xf numFmtId="3" fontId="33" fillId="5" borderId="21" xfId="5" applyNumberFormat="1" applyFont="1" applyFill="1" applyBorder="1" applyAlignment="1">
      <alignment vertical="center"/>
    </xf>
    <xf numFmtId="3" fontId="33" fillId="5" borderId="17" xfId="5" applyNumberFormat="1" applyFont="1" applyFill="1" applyBorder="1" applyAlignment="1">
      <alignment vertical="center"/>
    </xf>
    <xf numFmtId="3" fontId="33" fillId="5" borderId="4" xfId="5" applyNumberFormat="1" applyFont="1" applyFill="1" applyBorder="1" applyAlignment="1">
      <alignment vertical="center"/>
    </xf>
    <xf numFmtId="3" fontId="33" fillId="5" borderId="12" xfId="5" applyNumberFormat="1" applyFont="1" applyFill="1" applyBorder="1" applyAlignment="1">
      <alignment vertical="center"/>
    </xf>
    <xf numFmtId="3" fontId="21" fillId="5" borderId="21" xfId="5" applyNumberFormat="1" applyFill="1" applyBorder="1"/>
    <xf numFmtId="3" fontId="21" fillId="5" borderId="17" xfId="5" applyNumberFormat="1" applyFill="1" applyBorder="1"/>
    <xf numFmtId="3" fontId="33" fillId="5" borderId="4" xfId="5" applyNumberFormat="1" applyFont="1" applyFill="1" applyBorder="1"/>
    <xf numFmtId="3" fontId="21" fillId="5" borderId="12" xfId="5" applyNumberFormat="1" applyFill="1" applyBorder="1"/>
    <xf numFmtId="3" fontId="33" fillId="5" borderId="12" xfId="5" applyNumberFormat="1" applyFont="1" applyFill="1" applyBorder="1"/>
    <xf numFmtId="3" fontId="33" fillId="5" borderId="21" xfId="5" applyNumberFormat="1" applyFont="1" applyFill="1" applyBorder="1"/>
    <xf numFmtId="3" fontId="33" fillId="5" borderId="17" xfId="5" applyNumberFormat="1" applyFont="1" applyFill="1" applyBorder="1"/>
    <xf numFmtId="4" fontId="33" fillId="5" borderId="21" xfId="5" applyNumberFormat="1" applyFont="1" applyFill="1" applyBorder="1"/>
    <xf numFmtId="4" fontId="33" fillId="5" borderId="12" xfId="5" applyNumberFormat="1" applyFont="1" applyFill="1" applyBorder="1"/>
    <xf numFmtId="2" fontId="33" fillId="0" borderId="12" xfId="5" applyNumberFormat="1" applyFont="1" applyBorder="1"/>
    <xf numFmtId="2" fontId="33" fillId="0" borderId="21" xfId="5" applyNumberFormat="1" applyFont="1" applyBorder="1"/>
    <xf numFmtId="3" fontId="3" fillId="5" borderId="21" xfId="5" applyNumberFormat="1" applyFont="1" applyFill="1" applyBorder="1" applyAlignment="1">
      <alignment horizontal="center"/>
    </xf>
    <xf numFmtId="3" fontId="3" fillId="5" borderId="17" xfId="5" applyNumberFormat="1" applyFont="1" applyFill="1" applyBorder="1" applyAlignment="1">
      <alignment horizontal="center"/>
    </xf>
    <xf numFmtId="3" fontId="2" fillId="5" borderId="4" xfId="5" applyNumberFormat="1" applyFont="1" applyFill="1" applyBorder="1"/>
    <xf numFmtId="3" fontId="3" fillId="5" borderId="12" xfId="5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48" fillId="0" borderId="0" xfId="4" applyFont="1" applyFill="1" applyAlignment="1">
      <alignment vertical="center"/>
    </xf>
    <xf numFmtId="0" fontId="8" fillId="0" borderId="0" xfId="4" applyFont="1" applyFill="1" applyAlignment="1">
      <alignment horizontal="left" vertical="center"/>
    </xf>
    <xf numFmtId="0" fontId="1" fillId="0" borderId="0" xfId="4" applyAlignment="1">
      <alignment horizontal="left"/>
    </xf>
    <xf numFmtId="0" fontId="1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4" fillId="0" borderId="16" xfId="4" applyFont="1" applyFill="1" applyBorder="1" applyAlignment="1">
      <alignment horizontal="center" vertical="center"/>
    </xf>
    <xf numFmtId="49" fontId="6" fillId="0" borderId="21" xfId="4" applyNumberFormat="1" applyFont="1" applyFill="1" applyBorder="1" applyAlignment="1">
      <alignment horizontal="center" vertical="center"/>
    </xf>
    <xf numFmtId="3" fontId="4" fillId="0" borderId="22" xfId="4" applyNumberFormat="1" applyFont="1" applyFill="1" applyBorder="1" applyAlignment="1">
      <alignment vertical="center" wrapText="1"/>
    </xf>
    <xf numFmtId="3" fontId="6" fillId="0" borderId="12" xfId="4" applyNumberFormat="1" applyFont="1" applyFill="1" applyBorder="1" applyAlignment="1">
      <alignment vertical="center"/>
    </xf>
    <xf numFmtId="3" fontId="6" fillId="0" borderId="17" xfId="4" applyNumberFormat="1" applyFont="1" applyFill="1" applyBorder="1" applyAlignment="1">
      <alignment vertical="center"/>
    </xf>
    <xf numFmtId="0" fontId="5" fillId="0" borderId="17" xfId="4" applyFont="1" applyFill="1" applyBorder="1" applyAlignment="1">
      <alignment vertical="center" wrapText="1"/>
    </xf>
    <xf numFmtId="3" fontId="4" fillId="0" borderId="2" xfId="4" applyNumberFormat="1" applyFont="1" applyFill="1" applyBorder="1" applyAlignment="1">
      <alignment vertical="center"/>
    </xf>
    <xf numFmtId="3" fontId="54" fillId="0" borderId="12" xfId="4" applyNumberFormat="1" applyFont="1" applyFill="1" applyBorder="1" applyAlignment="1">
      <alignment vertical="center"/>
    </xf>
    <xf numFmtId="0" fontId="5" fillId="0" borderId="29" xfId="4" applyFont="1" applyFill="1" applyBorder="1" applyAlignment="1">
      <alignment vertical="center" wrapText="1"/>
    </xf>
    <xf numFmtId="0" fontId="5" fillId="0" borderId="17" xfId="4" applyFont="1" applyFill="1" applyBorder="1" applyAlignment="1">
      <alignment horizontal="left" vertical="center" wrapText="1"/>
    </xf>
    <xf numFmtId="3" fontId="4" fillId="0" borderId="2" xfId="4" applyNumberFormat="1" applyFont="1" applyFill="1" applyBorder="1" applyAlignment="1">
      <alignment horizontal="left" vertical="center" wrapText="1"/>
    </xf>
    <xf numFmtId="3" fontId="6" fillId="0" borderId="12" xfId="4" applyNumberFormat="1" applyFont="1" applyFill="1" applyBorder="1" applyAlignment="1">
      <alignment horizontal="right" vertical="center" wrapText="1"/>
    </xf>
    <xf numFmtId="3" fontId="6" fillId="0" borderId="17" xfId="4" applyNumberFormat="1" applyFont="1" applyFill="1" applyBorder="1" applyAlignment="1">
      <alignment horizontal="right" vertical="center" wrapText="1"/>
    </xf>
    <xf numFmtId="3" fontId="4" fillId="0" borderId="2" xfId="4" applyNumberFormat="1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 wrapText="1"/>
    </xf>
    <xf numFmtId="3" fontId="24" fillId="0" borderId="17" xfId="2" applyNumberFormat="1" applyFont="1" applyBorder="1" applyAlignment="1">
      <alignment vertical="center"/>
    </xf>
    <xf numFmtId="0" fontId="56" fillId="0" borderId="0" xfId="0" applyFont="1"/>
    <xf numFmtId="0" fontId="61" fillId="0" borderId="0" xfId="0" applyFont="1"/>
    <xf numFmtId="0" fontId="0" fillId="0" borderId="0" xfId="0" applyBorder="1"/>
    <xf numFmtId="0" fontId="0" fillId="0" borderId="30" xfId="0" applyBorder="1"/>
    <xf numFmtId="0" fontId="35" fillId="0" borderId="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3" fillId="2" borderId="17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3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0" fillId="0" borderId="42" xfId="0" applyBorder="1"/>
    <xf numFmtId="0" fontId="25" fillId="0" borderId="43" xfId="0" applyFont="1" applyBorder="1" applyAlignment="1">
      <alignment horizontal="center"/>
    </xf>
    <xf numFmtId="0" fontId="0" fillId="0" borderId="44" xfId="0" applyBorder="1"/>
    <xf numFmtId="3" fontId="0" fillId="6" borderId="45" xfId="0" applyNumberFormat="1" applyFill="1" applyBorder="1"/>
    <xf numFmtId="3" fontId="0" fillId="0" borderId="47" xfId="0" applyNumberFormat="1" applyBorder="1"/>
    <xf numFmtId="3" fontId="0" fillId="6" borderId="48" xfId="0" applyNumberFormat="1" applyFill="1" applyBorder="1"/>
    <xf numFmtId="0" fontId="0" fillId="0" borderId="49" xfId="0" applyBorder="1"/>
    <xf numFmtId="3" fontId="0" fillId="6" borderId="21" xfId="0" applyNumberFormat="1" applyFill="1" applyBorder="1"/>
    <xf numFmtId="3" fontId="0" fillId="0" borderId="17" xfId="0" applyNumberFormat="1" applyBorder="1"/>
    <xf numFmtId="3" fontId="0" fillId="6" borderId="43" xfId="0" applyNumberFormat="1" applyFill="1" applyBorder="1"/>
    <xf numFmtId="0" fontId="33" fillId="0" borderId="50" xfId="0" applyFont="1" applyBorder="1"/>
    <xf numFmtId="3" fontId="33" fillId="6" borderId="51" xfId="0" applyNumberFormat="1" applyFont="1" applyFill="1" applyBorder="1"/>
    <xf numFmtId="3" fontId="33" fillId="7" borderId="52" xfId="0" applyNumberFormat="1" applyFont="1" applyFill="1" applyBorder="1"/>
    <xf numFmtId="3" fontId="33" fillId="7" borderId="53" xfId="0" applyNumberFormat="1" applyFont="1" applyFill="1" applyBorder="1"/>
    <xf numFmtId="3" fontId="33" fillId="6" borderId="54" xfId="0" applyNumberFormat="1" applyFont="1" applyFill="1" applyBorder="1"/>
    <xf numFmtId="3" fontId="33" fillId="6" borderId="50" xfId="0" applyNumberFormat="1" applyFont="1" applyFill="1" applyBorder="1"/>
    <xf numFmtId="0" fontId="25" fillId="0" borderId="55" xfId="0" applyFon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9" xfId="0" applyBorder="1" applyAlignment="1">
      <alignment horizontal="center"/>
    </xf>
    <xf numFmtId="3" fontId="0" fillId="6" borderId="41" xfId="0" applyNumberFormat="1" applyFill="1" applyBorder="1"/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center"/>
    </xf>
    <xf numFmtId="3" fontId="0" fillId="6" borderId="34" xfId="0" applyNumberFormat="1" applyFill="1" applyBorder="1"/>
    <xf numFmtId="3" fontId="0" fillId="6" borderId="27" xfId="0" applyNumberFormat="1" applyFill="1" applyBorder="1"/>
    <xf numFmtId="0" fontId="0" fillId="0" borderId="29" xfId="0" applyBorder="1" applyAlignment="1">
      <alignment horizontal="center"/>
    </xf>
    <xf numFmtId="3" fontId="0" fillId="6" borderId="55" xfId="0" applyNumberFormat="1" applyFill="1" applyBorder="1"/>
    <xf numFmtId="0" fontId="25" fillId="0" borderId="38" xfId="0" applyFont="1" applyBorder="1" applyAlignment="1">
      <alignment horizontal="center" vertical="center"/>
    </xf>
    <xf numFmtId="0" fontId="33" fillId="0" borderId="59" xfId="0" applyFont="1" applyBorder="1"/>
    <xf numFmtId="3" fontId="33" fillId="6" borderId="59" xfId="0" applyNumberFormat="1" applyFont="1" applyFill="1" applyBorder="1"/>
    <xf numFmtId="3" fontId="33" fillId="7" borderId="60" xfId="0" applyNumberFormat="1" applyFont="1" applyFill="1" applyBorder="1"/>
    <xf numFmtId="3" fontId="33" fillId="6" borderId="61" xfId="0" applyNumberFormat="1" applyFont="1" applyFill="1" applyBorder="1"/>
    <xf numFmtId="3" fontId="33" fillId="6" borderId="62" xfId="0" applyNumberFormat="1" applyFont="1" applyFill="1" applyBorder="1"/>
    <xf numFmtId="0" fontId="25" fillId="0" borderId="34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/>
    </xf>
    <xf numFmtId="0" fontId="0" fillId="0" borderId="64" xfId="0" applyBorder="1"/>
    <xf numFmtId="0" fontId="25" fillId="0" borderId="43" xfId="0" applyFont="1" applyBorder="1" applyAlignment="1">
      <alignment horizontal="center" vertical="center"/>
    </xf>
    <xf numFmtId="3" fontId="28" fillId="6" borderId="57" xfId="0" applyNumberFormat="1" applyFont="1" applyFill="1" applyBorder="1"/>
    <xf numFmtId="3" fontId="33" fillId="6" borderId="65" xfId="0" applyNumberFormat="1" applyFont="1" applyFill="1" applyBorder="1"/>
    <xf numFmtId="3" fontId="0" fillId="0" borderId="23" xfId="0" applyNumberFormat="1" applyBorder="1"/>
    <xf numFmtId="3" fontId="0" fillId="6" borderId="65" xfId="0" applyNumberFormat="1" applyFill="1" applyBorder="1"/>
    <xf numFmtId="0" fontId="0" fillId="0" borderId="45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6" borderId="67" xfId="0" applyNumberFormat="1" applyFill="1" applyBorder="1"/>
    <xf numFmtId="0" fontId="25" fillId="0" borderId="38" xfId="0" applyFont="1" applyBorder="1" applyAlignment="1">
      <alignment horizontal="center"/>
    </xf>
    <xf numFmtId="0" fontId="33" fillId="0" borderId="62" xfId="0" applyFont="1" applyBorder="1"/>
    <xf numFmtId="0" fontId="25" fillId="0" borderId="34" xfId="0" applyFont="1" applyBorder="1" applyAlignment="1">
      <alignment horizontal="center"/>
    </xf>
    <xf numFmtId="0" fontId="0" fillId="0" borderId="68" xfId="0" applyBorder="1"/>
    <xf numFmtId="0" fontId="33" fillId="0" borderId="35" xfId="0" applyFont="1" applyBorder="1"/>
    <xf numFmtId="3" fontId="33" fillId="7" borderId="0" xfId="0" applyNumberFormat="1" applyFont="1" applyFill="1" applyBorder="1"/>
    <xf numFmtId="0" fontId="0" fillId="0" borderId="69" xfId="0" applyBorder="1"/>
    <xf numFmtId="0" fontId="25" fillId="0" borderId="34" xfId="0" applyFont="1" applyBorder="1"/>
    <xf numFmtId="0" fontId="0" fillId="0" borderId="65" xfId="0" applyBorder="1"/>
    <xf numFmtId="3" fontId="0" fillId="6" borderId="57" xfId="0" applyNumberFormat="1" applyFill="1" applyBorder="1"/>
    <xf numFmtId="3" fontId="0" fillId="0" borderId="29" xfId="0" applyNumberFormat="1" applyBorder="1"/>
    <xf numFmtId="0" fontId="0" fillId="0" borderId="70" xfId="0" applyBorder="1" applyAlignment="1">
      <alignment horizontal="center"/>
    </xf>
    <xf numFmtId="3" fontId="0" fillId="7" borderId="47" xfId="0" applyNumberFormat="1" applyFill="1" applyBorder="1"/>
    <xf numFmtId="0" fontId="0" fillId="0" borderId="10" xfId="0" applyBorder="1" applyAlignment="1">
      <alignment horizontal="center"/>
    </xf>
    <xf numFmtId="3" fontId="0" fillId="7" borderId="29" xfId="0" applyNumberFormat="1" applyFill="1" applyBorder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center"/>
    </xf>
    <xf numFmtId="3" fontId="0" fillId="7" borderId="17" xfId="0" applyNumberFormat="1" applyFill="1" applyBorder="1"/>
    <xf numFmtId="0" fontId="25" fillId="0" borderId="55" xfId="0" applyFont="1" applyBorder="1" applyAlignment="1">
      <alignment horizontal="center" vertical="center"/>
    </xf>
    <xf numFmtId="3" fontId="0" fillId="7" borderId="13" xfId="0" applyNumberFormat="1" applyFill="1" applyBorder="1"/>
    <xf numFmtId="3" fontId="33" fillId="6" borderId="71" xfId="0" applyNumberFormat="1" applyFont="1" applyFill="1" applyBorder="1"/>
    <xf numFmtId="3" fontId="49" fillId="0" borderId="17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0" fontId="71" fillId="0" borderId="17" xfId="0" applyFont="1" applyBorder="1"/>
    <xf numFmtId="3" fontId="71" fillId="0" borderId="17" xfId="0" applyNumberFormat="1" applyFont="1" applyBorder="1"/>
    <xf numFmtId="0" fontId="72" fillId="0" borderId="17" xfId="0" applyFont="1" applyBorder="1"/>
    <xf numFmtId="0" fontId="72" fillId="0" borderId="0" xfId="0" applyFont="1"/>
    <xf numFmtId="0" fontId="72" fillId="0" borderId="17" xfId="0" applyFont="1" applyBorder="1" applyAlignment="1">
      <alignment horizontal="left"/>
    </xf>
    <xf numFmtId="3" fontId="72" fillId="0" borderId="17" xfId="0" applyNumberFormat="1" applyFont="1" applyBorder="1"/>
    <xf numFmtId="3" fontId="73" fillId="0" borderId="17" xfId="0" applyNumberFormat="1" applyFont="1" applyBorder="1"/>
    <xf numFmtId="0" fontId="50" fillId="0" borderId="17" xfId="0" applyFont="1" applyBorder="1"/>
    <xf numFmtId="3" fontId="50" fillId="0" borderId="17" xfId="0" applyNumberFormat="1" applyFont="1" applyBorder="1"/>
    <xf numFmtId="0" fontId="74" fillId="0" borderId="17" xfId="0" applyFont="1" applyBorder="1" applyAlignment="1">
      <alignment horizontal="left"/>
    </xf>
    <xf numFmtId="0" fontId="74" fillId="0" borderId="17" xfId="0" applyFont="1" applyBorder="1"/>
    <xf numFmtId="3" fontId="74" fillId="0" borderId="17" xfId="0" applyNumberFormat="1" applyFont="1" applyBorder="1"/>
    <xf numFmtId="0" fontId="0" fillId="0" borderId="17" xfId="0" applyBorder="1"/>
    <xf numFmtId="3" fontId="75" fillId="0" borderId="17" xfId="0" applyNumberFormat="1" applyFont="1" applyBorder="1"/>
    <xf numFmtId="0" fontId="74" fillId="0" borderId="9" xfId="0" applyFont="1" applyBorder="1" applyAlignment="1">
      <alignment horizontal="left"/>
    </xf>
    <xf numFmtId="0" fontId="74" fillId="0" borderId="12" xfId="0" applyFont="1" applyBorder="1" applyAlignment="1">
      <alignment horizontal="left"/>
    </xf>
    <xf numFmtId="3" fontId="0" fillId="0" borderId="0" xfId="0" applyNumberFormat="1"/>
    <xf numFmtId="0" fontId="74" fillId="0" borderId="17" xfId="0" applyFont="1" applyFill="1" applyBorder="1"/>
    <xf numFmtId="0" fontId="74" fillId="0" borderId="17" xfId="0" applyFont="1" applyFill="1" applyBorder="1" applyAlignment="1">
      <alignment horizontal="left"/>
    </xf>
    <xf numFmtId="0" fontId="76" fillId="0" borderId="17" xfId="0" applyFont="1" applyBorder="1"/>
    <xf numFmtId="0" fontId="74" fillId="0" borderId="17" xfId="0" applyFont="1" applyBorder="1" applyAlignment="1">
      <alignment horizontal="left" wrapText="1"/>
    </xf>
    <xf numFmtId="0" fontId="85" fillId="0" borderId="17" xfId="0" applyFont="1" applyBorder="1"/>
    <xf numFmtId="3" fontId="85" fillId="0" borderId="17" xfId="0" applyNumberFormat="1" applyFont="1" applyBorder="1"/>
    <xf numFmtId="0" fontId="86" fillId="0" borderId="0" xfId="0" applyFont="1"/>
    <xf numFmtId="3" fontId="51" fillId="0" borderId="17" xfId="0" applyNumberFormat="1" applyFont="1" applyBorder="1"/>
    <xf numFmtId="0" fontId="77" fillId="0" borderId="0" xfId="0" applyFont="1"/>
    <xf numFmtId="3" fontId="78" fillId="0" borderId="17" xfId="0" applyNumberFormat="1" applyFont="1" applyBorder="1"/>
    <xf numFmtId="3" fontId="79" fillId="0" borderId="17" xfId="0" applyNumberFormat="1" applyFont="1" applyBorder="1"/>
    <xf numFmtId="3" fontId="80" fillId="0" borderId="17" xfId="0" applyNumberFormat="1" applyFont="1" applyBorder="1"/>
    <xf numFmtId="0" fontId="87" fillId="0" borderId="17" xfId="0" applyFont="1" applyBorder="1"/>
    <xf numFmtId="3" fontId="87" fillId="0" borderId="17" xfId="0" applyNumberFormat="1" applyFont="1" applyBorder="1"/>
    <xf numFmtId="0" fontId="88" fillId="0" borderId="0" xfId="0" applyFont="1"/>
    <xf numFmtId="0" fontId="89" fillId="0" borderId="17" xfId="0" applyFont="1" applyBorder="1"/>
    <xf numFmtId="0" fontId="5" fillId="0" borderId="58" xfId="4" applyFont="1" applyFill="1" applyBorder="1" applyAlignment="1">
      <alignment vertical="center" wrapText="1"/>
    </xf>
    <xf numFmtId="49" fontId="19" fillId="0" borderId="21" xfId="4" applyNumberFormat="1" applyFont="1" applyFill="1" applyBorder="1" applyAlignment="1">
      <alignment horizontal="center" vertical="center"/>
    </xf>
    <xf numFmtId="3" fontId="4" fillId="0" borderId="45" xfId="4" applyNumberFormat="1" applyFont="1" applyFill="1" applyBorder="1" applyAlignment="1">
      <alignment vertical="center" wrapText="1"/>
    </xf>
    <xf numFmtId="3" fontId="4" fillId="0" borderId="47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 wrapText="1"/>
    </xf>
    <xf numFmtId="3" fontId="4" fillId="0" borderId="17" xfId="4" applyNumberFormat="1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/>
    </xf>
    <xf numFmtId="3" fontId="4" fillId="0" borderId="17" xfId="4" applyNumberFormat="1" applyFont="1" applyFill="1" applyBorder="1" applyAlignment="1">
      <alignment vertical="center"/>
    </xf>
    <xf numFmtId="3" fontId="53" fillId="0" borderId="21" xfId="4" applyNumberFormat="1" applyFont="1" applyFill="1" applyBorder="1" applyAlignment="1">
      <alignment vertical="center"/>
    </xf>
    <xf numFmtId="3" fontId="53" fillId="0" borderId="17" xfId="4" applyNumberFormat="1" applyFont="1" applyFill="1" applyBorder="1" applyAlignment="1">
      <alignment vertical="center"/>
    </xf>
    <xf numFmtId="3" fontId="55" fillId="0" borderId="17" xfId="4" applyNumberFormat="1" applyFont="1" applyFill="1" applyBorder="1" applyAlignment="1">
      <alignment vertical="center" wrapText="1"/>
    </xf>
    <xf numFmtId="3" fontId="6" fillId="0" borderId="45" xfId="4" applyNumberFormat="1" applyFont="1" applyFill="1" applyBorder="1" applyAlignment="1">
      <alignment vertical="center"/>
    </xf>
    <xf numFmtId="3" fontId="6" fillId="0" borderId="47" xfId="4" applyNumberFormat="1" applyFont="1" applyFill="1" applyBorder="1" applyAlignment="1">
      <alignment vertical="center"/>
    </xf>
    <xf numFmtId="3" fontId="4" fillId="0" borderId="46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/>
    </xf>
    <xf numFmtId="3" fontId="53" fillId="0" borderId="12" xfId="4" applyNumberFormat="1" applyFont="1" applyFill="1" applyBorder="1" applyAlignment="1">
      <alignment vertical="center"/>
    </xf>
    <xf numFmtId="3" fontId="55" fillId="0" borderId="12" xfId="4" applyNumberFormat="1" applyFont="1" applyFill="1" applyBorder="1" applyAlignment="1">
      <alignment vertical="center" wrapText="1"/>
    </xf>
    <xf numFmtId="3" fontId="4" fillId="0" borderId="28" xfId="4" applyNumberFormat="1" applyFont="1" applyFill="1" applyBorder="1" applyAlignment="1">
      <alignment vertical="center" wrapText="1"/>
    </xf>
    <xf numFmtId="3" fontId="4" fillId="0" borderId="72" xfId="4" applyNumberFormat="1" applyFont="1" applyFill="1" applyBorder="1" applyAlignment="1">
      <alignment vertical="center" wrapText="1"/>
    </xf>
    <xf numFmtId="3" fontId="50" fillId="0" borderId="21" xfId="4" applyNumberFormat="1" applyFont="1" applyFill="1" applyBorder="1" applyAlignment="1">
      <alignment vertical="center" wrapText="1"/>
    </xf>
    <xf numFmtId="3" fontId="50" fillId="0" borderId="17" xfId="4" applyNumberFormat="1" applyFont="1" applyFill="1" applyBorder="1" applyAlignment="1">
      <alignment vertical="center" wrapText="1"/>
    </xf>
    <xf numFmtId="3" fontId="58" fillId="0" borderId="24" xfId="4" applyNumberFormat="1" applyFont="1" applyFill="1" applyBorder="1" applyAlignment="1">
      <alignment vertical="center"/>
    </xf>
    <xf numFmtId="3" fontId="6" fillId="0" borderId="15" xfId="4" applyNumberFormat="1" applyFont="1" applyFill="1" applyBorder="1" applyAlignment="1">
      <alignment vertical="center"/>
    </xf>
    <xf numFmtId="3" fontId="6" fillId="0" borderId="13" xfId="4" applyNumberFormat="1" applyFont="1" applyFill="1" applyBorder="1" applyAlignment="1">
      <alignment vertical="center"/>
    </xf>
    <xf numFmtId="3" fontId="4" fillId="0" borderId="21" xfId="4" applyNumberFormat="1" applyFont="1" applyFill="1" applyBorder="1" applyAlignment="1">
      <alignment horizontal="left" vertical="center" wrapText="1"/>
    </xf>
    <xf numFmtId="3" fontId="4" fillId="0" borderId="17" xfId="4" applyNumberFormat="1" applyFont="1" applyFill="1" applyBorder="1" applyAlignment="1">
      <alignment horizontal="left" vertical="center" wrapText="1"/>
    </xf>
    <xf numFmtId="3" fontId="4" fillId="0" borderId="21" xfId="4" applyNumberFormat="1" applyFont="1" applyFill="1" applyBorder="1" applyAlignment="1">
      <alignment horizontal="right" vertical="center" wrapText="1"/>
    </xf>
    <xf numFmtId="3" fontId="4" fillId="0" borderId="17" xfId="4" applyNumberFormat="1" applyFont="1" applyFill="1" applyBorder="1" applyAlignment="1">
      <alignment horizontal="right" vertical="center" wrapText="1"/>
    </xf>
    <xf numFmtId="3" fontId="4" fillId="0" borderId="27" xfId="4" applyNumberFormat="1" applyFont="1" applyFill="1" applyBorder="1" applyAlignment="1">
      <alignment vertical="center" wrapText="1"/>
    </xf>
    <xf numFmtId="3" fontId="4" fillId="0" borderId="13" xfId="4" applyNumberFormat="1" applyFont="1" applyFill="1" applyBorder="1" applyAlignment="1">
      <alignment vertical="center" wrapText="1"/>
    </xf>
    <xf numFmtId="3" fontId="6" fillId="0" borderId="21" xfId="4" applyNumberFormat="1" applyFont="1" applyFill="1" applyBorder="1" applyAlignment="1">
      <alignment vertical="center"/>
    </xf>
    <xf numFmtId="3" fontId="6" fillId="0" borderId="21" xfId="4" applyNumberFormat="1" applyFont="1" applyFill="1" applyBorder="1" applyAlignment="1">
      <alignment horizontal="right" vertical="center" wrapText="1"/>
    </xf>
    <xf numFmtId="3" fontId="6" fillId="0" borderId="27" xfId="4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 wrapText="1"/>
    </xf>
    <xf numFmtId="0" fontId="5" fillId="0" borderId="28" xfId="4" applyFont="1" applyFill="1" applyBorder="1" applyAlignment="1">
      <alignment horizontal="center" vertical="center" wrapText="1"/>
    </xf>
    <xf numFmtId="49" fontId="6" fillId="0" borderId="57" xfId="4" applyNumberFormat="1" applyFont="1" applyFill="1" applyBorder="1" applyAlignment="1">
      <alignment horizontal="center" vertical="center"/>
    </xf>
    <xf numFmtId="3" fontId="4" fillId="0" borderId="57" xfId="4" applyNumberFormat="1" applyFont="1" applyFill="1" applyBorder="1" applyAlignment="1">
      <alignment vertical="center" wrapText="1"/>
    </xf>
    <xf numFmtId="3" fontId="4" fillId="0" borderId="29" xfId="4" applyNumberFormat="1" applyFont="1" applyFill="1" applyBorder="1" applyAlignment="1">
      <alignment vertical="center" wrapText="1"/>
    </xf>
    <xf numFmtId="3" fontId="4" fillId="0" borderId="73" xfId="4" applyNumberFormat="1" applyFont="1" applyFill="1" applyBorder="1" applyAlignment="1">
      <alignment vertical="center" wrapText="1"/>
    </xf>
    <xf numFmtId="3" fontId="58" fillId="0" borderId="54" xfId="4" applyNumberFormat="1" applyFont="1" applyFill="1" applyBorder="1" applyAlignment="1">
      <alignment vertical="center"/>
    </xf>
    <xf numFmtId="3" fontId="60" fillId="0" borderId="24" xfId="4" applyNumberFormat="1" applyFont="1" applyFill="1" applyBorder="1" applyAlignment="1">
      <alignment vertical="center"/>
    </xf>
    <xf numFmtId="3" fontId="57" fillId="0" borderId="51" xfId="4" applyNumberFormat="1" applyFont="1" applyFill="1" applyBorder="1" applyAlignment="1">
      <alignment horizontal="right" vertical="center"/>
    </xf>
    <xf numFmtId="0" fontId="33" fillId="0" borderId="74" xfId="3" applyFont="1" applyBorder="1" applyAlignment="1">
      <alignment horizontal="center"/>
    </xf>
    <xf numFmtId="0" fontId="33" fillId="0" borderId="16" xfId="3" applyFont="1" applyBorder="1"/>
    <xf numFmtId="0" fontId="2" fillId="0" borderId="75" xfId="4" applyFont="1" applyFill="1" applyBorder="1" applyAlignment="1">
      <alignment horizontal="center" vertical="center" wrapText="1"/>
    </xf>
    <xf numFmtId="0" fontId="33" fillId="0" borderId="76" xfId="3" applyFont="1" applyBorder="1" applyAlignment="1">
      <alignment horizontal="center"/>
    </xf>
    <xf numFmtId="0" fontId="33" fillId="0" borderId="13" xfId="3" applyFont="1" applyBorder="1"/>
    <xf numFmtId="0" fontId="2" fillId="0" borderId="16" xfId="4" applyFont="1" applyFill="1" applyBorder="1" applyAlignment="1">
      <alignment horizontal="center" vertical="center" wrapText="1"/>
    </xf>
    <xf numFmtId="0" fontId="33" fillId="0" borderId="77" xfId="3" applyFont="1" applyBorder="1" applyAlignment="1">
      <alignment horizontal="center"/>
    </xf>
    <xf numFmtId="0" fontId="33" fillId="0" borderId="52" xfId="3" applyFont="1" applyBorder="1"/>
    <xf numFmtId="0" fontId="2" fillId="0" borderId="78" xfId="4" applyFont="1" applyFill="1" applyBorder="1" applyAlignment="1">
      <alignment horizontal="center" vertical="center" wrapText="1"/>
    </xf>
    <xf numFmtId="0" fontId="35" fillId="0" borderId="79" xfId="3" applyFont="1" applyBorder="1"/>
    <xf numFmtId="0" fontId="35" fillId="0" borderId="0" xfId="3" applyFont="1" applyBorder="1"/>
    <xf numFmtId="0" fontId="35" fillId="0" borderId="80" xfId="3" applyFont="1" applyBorder="1"/>
    <xf numFmtId="0" fontId="35" fillId="0" borderId="81" xfId="3" applyFont="1" applyBorder="1"/>
    <xf numFmtId="0" fontId="35" fillId="0" borderId="82" xfId="3" applyFont="1" applyBorder="1"/>
    <xf numFmtId="3" fontId="35" fillId="7" borderId="31" xfId="3" applyNumberFormat="1" applyFont="1" applyFill="1" applyBorder="1"/>
    <xf numFmtId="3" fontId="35" fillId="0" borderId="31" xfId="3" applyNumberFormat="1" applyFont="1" applyBorder="1"/>
    <xf numFmtId="0" fontId="35" fillId="0" borderId="35" xfId="3" applyFont="1" applyBorder="1" applyAlignment="1">
      <alignment horizontal="left"/>
    </xf>
    <xf numFmtId="0" fontId="35" fillId="0" borderId="0" xfId="3" applyFont="1" applyBorder="1" applyAlignment="1">
      <alignment horizontal="left"/>
    </xf>
    <xf numFmtId="3" fontId="35" fillId="0" borderId="0" xfId="3" applyNumberFormat="1" applyFont="1" applyBorder="1"/>
    <xf numFmtId="3" fontId="34" fillId="0" borderId="83" xfId="3" applyNumberFormat="1" applyFont="1" applyBorder="1" applyAlignment="1">
      <alignment horizontal="right" vertical="center"/>
    </xf>
    <xf numFmtId="3" fontId="34" fillId="0" borderId="58" xfId="3" applyNumberFormat="1" applyFont="1" applyBorder="1" applyAlignment="1">
      <alignment horizontal="right" vertical="center"/>
    </xf>
    <xf numFmtId="3" fontId="34" fillId="0" borderId="0" xfId="3" applyNumberFormat="1" applyFont="1" applyBorder="1" applyAlignment="1">
      <alignment horizontal="right" vertical="center"/>
    </xf>
    <xf numFmtId="0" fontId="15" fillId="0" borderId="83" xfId="4" applyFont="1" applyFill="1" applyBorder="1" applyAlignment="1">
      <alignment horizontal="center" vertical="center" wrapText="1"/>
    </xf>
    <xf numFmtId="0" fontId="15" fillId="0" borderId="58" xfId="4" applyFont="1" applyFill="1" applyBorder="1" applyAlignment="1">
      <alignment horizontal="center" vertical="center" wrapText="1"/>
    </xf>
    <xf numFmtId="0" fontId="15" fillId="0" borderId="84" xfId="4" applyFont="1" applyFill="1" applyBorder="1" applyAlignment="1">
      <alignment horizontal="center" vertical="center" wrapText="1"/>
    </xf>
    <xf numFmtId="3" fontId="35" fillId="7" borderId="0" xfId="3" applyNumberFormat="1" applyFont="1" applyFill="1" applyBorder="1"/>
    <xf numFmtId="3" fontId="34" fillId="0" borderId="79" xfId="3" applyNumberFormat="1" applyFont="1" applyBorder="1" applyAlignment="1">
      <alignment horizontal="right" vertical="center"/>
    </xf>
    <xf numFmtId="3" fontId="35" fillId="0" borderId="85" xfId="3" applyNumberFormat="1" applyFont="1" applyBorder="1"/>
    <xf numFmtId="0" fontId="35" fillId="0" borderId="58" xfId="3" applyFont="1" applyBorder="1"/>
    <xf numFmtId="0" fontId="63" fillId="0" borderId="82" xfId="3" applyFont="1" applyBorder="1" applyAlignment="1">
      <alignment horizontal="right" vertical="center"/>
    </xf>
    <xf numFmtId="0" fontId="64" fillId="0" borderId="79" xfId="3" applyFont="1" applyBorder="1" applyAlignment="1">
      <alignment horizontal="right"/>
    </xf>
    <xf numFmtId="0" fontId="64" fillId="0" borderId="0" xfId="3" applyFont="1" applyBorder="1" applyAlignment="1">
      <alignment horizontal="right"/>
    </xf>
    <xf numFmtId="0" fontId="64" fillId="0" borderId="81" xfId="3" applyFont="1" applyBorder="1" applyAlignment="1">
      <alignment horizontal="right"/>
    </xf>
    <xf numFmtId="3" fontId="33" fillId="0" borderId="81" xfId="3" applyNumberFormat="1" applyFont="1" applyBorder="1" applyAlignment="1">
      <alignment horizontal="right"/>
    </xf>
    <xf numFmtId="3" fontId="33" fillId="0" borderId="0" xfId="3" applyNumberFormat="1" applyFont="1" applyBorder="1"/>
    <xf numFmtId="3" fontId="33" fillId="0" borderId="82" xfId="3" applyNumberFormat="1" applyFont="1" applyBorder="1"/>
    <xf numFmtId="3" fontId="63" fillId="0" borderId="79" xfId="3" applyNumberFormat="1" applyFont="1" applyBorder="1" applyAlignment="1">
      <alignment horizontal="right" vertical="center"/>
    </xf>
    <xf numFmtId="3" fontId="63" fillId="0" borderId="58" xfId="3" applyNumberFormat="1" applyFont="1" applyBorder="1" applyAlignment="1">
      <alignment horizontal="right" vertical="center"/>
    </xf>
    <xf numFmtId="3" fontId="35" fillId="0" borderId="79" xfId="3" applyNumberFormat="1" applyFont="1" applyBorder="1"/>
    <xf numFmtId="3" fontId="35" fillId="0" borderId="58" xfId="3" applyNumberFormat="1" applyFont="1" applyBorder="1"/>
    <xf numFmtId="3" fontId="63" fillId="0" borderId="82" xfId="3" applyNumberFormat="1" applyFont="1" applyBorder="1" applyAlignment="1">
      <alignment horizontal="right" vertical="center"/>
    </xf>
    <xf numFmtId="0" fontId="35" fillId="0" borderId="79" xfId="3" applyFont="1" applyBorder="1" applyAlignment="1">
      <alignment horizontal="right"/>
    </xf>
    <xf numFmtId="0" fontId="35" fillId="0" borderId="0" xfId="3" applyFont="1" applyBorder="1" applyAlignment="1">
      <alignment horizontal="right"/>
    </xf>
    <xf numFmtId="0" fontId="35" fillId="0" borderId="81" xfId="3" applyFont="1" applyBorder="1" applyAlignment="1">
      <alignment horizontal="right"/>
    </xf>
    <xf numFmtId="0" fontId="35" fillId="0" borderId="79" xfId="3" applyFont="1" applyBorder="1" applyAlignment="1">
      <alignment horizontal="left"/>
    </xf>
    <xf numFmtId="0" fontId="63" fillId="0" borderId="82" xfId="3" applyFont="1" applyBorder="1"/>
    <xf numFmtId="3" fontId="63" fillId="0" borderId="79" xfId="3" applyNumberFormat="1" applyFont="1" applyBorder="1"/>
    <xf numFmtId="3" fontId="63" fillId="0" borderId="58" xfId="3" applyNumberFormat="1" applyFont="1" applyBorder="1"/>
    <xf numFmtId="3" fontId="63" fillId="0" borderId="85" xfId="3" applyNumberFormat="1" applyFont="1" applyBorder="1"/>
    <xf numFmtId="3" fontId="63" fillId="0" borderId="82" xfId="3" applyNumberFormat="1" applyFont="1" applyBorder="1"/>
    <xf numFmtId="0" fontId="28" fillId="0" borderId="79" xfId="3" applyBorder="1" applyAlignment="1">
      <alignment horizontal="right"/>
    </xf>
    <xf numFmtId="0" fontId="28" fillId="0" borderId="0" xfId="3" applyBorder="1" applyAlignment="1">
      <alignment horizontal="right"/>
    </xf>
    <xf numFmtId="0" fontId="28" fillId="0" borderId="81" xfId="3" applyBorder="1" applyAlignment="1">
      <alignment horizontal="right"/>
    </xf>
    <xf numFmtId="0" fontId="28" fillId="0" borderId="0" xfId="3" applyBorder="1"/>
    <xf numFmtId="0" fontId="28" fillId="0" borderId="82" xfId="3" applyBorder="1"/>
    <xf numFmtId="3" fontId="35" fillId="0" borderId="0" xfId="3" applyNumberFormat="1" applyFont="1" applyFill="1" applyBorder="1"/>
    <xf numFmtId="3" fontId="35" fillId="0" borderId="42" xfId="3" applyNumberFormat="1" applyFont="1" applyFill="1" applyBorder="1"/>
    <xf numFmtId="0" fontId="28" fillId="0" borderId="0" xfId="3" applyFont="1" applyBorder="1"/>
    <xf numFmtId="3" fontId="35" fillId="0" borderId="86" xfId="3" applyNumberFormat="1" applyFont="1" applyBorder="1"/>
    <xf numFmtId="3" fontId="35" fillId="0" borderId="86" xfId="3" applyNumberFormat="1" applyFont="1" applyFill="1" applyBorder="1"/>
    <xf numFmtId="0" fontId="28" fillId="0" borderId="79" xfId="3" applyBorder="1"/>
    <xf numFmtId="0" fontId="35" fillId="0" borderId="0" xfId="3" applyFont="1" applyBorder="1" applyAlignment="1">
      <alignment horizontal="center"/>
    </xf>
    <xf numFmtId="0" fontId="64" fillId="0" borderId="87" xfId="3" applyFont="1" applyBorder="1" applyAlignment="1">
      <alignment horizontal="right"/>
    </xf>
    <xf numFmtId="3" fontId="33" fillId="0" borderId="88" xfId="3" applyNumberFormat="1" applyFont="1" applyBorder="1" applyAlignment="1">
      <alignment horizontal="right"/>
    </xf>
    <xf numFmtId="3" fontId="33" fillId="0" borderId="33" xfId="3" applyNumberFormat="1" applyFont="1" applyBorder="1"/>
    <xf numFmtId="3" fontId="33" fillId="0" borderId="89" xfId="3" applyNumberFormat="1" applyFont="1" applyBorder="1"/>
    <xf numFmtId="3" fontId="34" fillId="0" borderId="40" xfId="3" applyNumberFormat="1" applyFont="1" applyBorder="1"/>
    <xf numFmtId="3" fontId="28" fillId="0" borderId="33" xfId="3" applyNumberFormat="1" applyFont="1" applyBorder="1"/>
    <xf numFmtId="0" fontId="35" fillId="0" borderId="87" xfId="3" applyFont="1" applyBorder="1" applyAlignment="1">
      <alignment horizontal="left"/>
    </xf>
    <xf numFmtId="3" fontId="64" fillId="0" borderId="33" xfId="3" applyNumberFormat="1" applyFont="1" applyFill="1" applyBorder="1"/>
    <xf numFmtId="3" fontId="34" fillId="0" borderId="87" xfId="3" applyNumberFormat="1" applyFont="1" applyBorder="1"/>
    <xf numFmtId="3" fontId="63" fillId="0" borderId="90" xfId="3" applyNumberFormat="1" applyFont="1" applyBorder="1"/>
    <xf numFmtId="3" fontId="63" fillId="0" borderId="88" xfId="3" applyNumberFormat="1" applyFont="1" applyBorder="1"/>
    <xf numFmtId="3" fontId="63" fillId="0" borderId="91" xfId="3" applyNumberFormat="1" applyFont="1" applyBorder="1"/>
    <xf numFmtId="3" fontId="63" fillId="0" borderId="89" xfId="3" applyNumberFormat="1" applyFont="1" applyBorder="1" applyAlignment="1">
      <alignment horizontal="right" vertical="center"/>
    </xf>
    <xf numFmtId="0" fontId="28" fillId="0" borderId="35" xfId="3" applyBorder="1"/>
    <xf numFmtId="0" fontId="28" fillId="0" borderId="81" xfId="3" applyBorder="1"/>
    <xf numFmtId="0" fontId="28" fillId="0" borderId="58" xfId="3" applyBorder="1"/>
    <xf numFmtId="3" fontId="35" fillId="0" borderId="42" xfId="3" applyNumberFormat="1" applyFont="1" applyBorder="1"/>
    <xf numFmtId="0" fontId="28" fillId="0" borderId="92" xfId="3" applyBorder="1"/>
    <xf numFmtId="0" fontId="28" fillId="0" borderId="93" xfId="3" applyBorder="1"/>
    <xf numFmtId="0" fontId="28" fillId="0" borderId="94" xfId="3" applyBorder="1"/>
    <xf numFmtId="3" fontId="63" fillId="0" borderId="95" xfId="3" applyNumberFormat="1" applyFont="1" applyBorder="1" applyAlignment="1">
      <alignment horizontal="right"/>
    </xf>
    <xf numFmtId="3" fontId="63" fillId="0" borderId="58" xfId="3" applyNumberFormat="1" applyFont="1" applyBorder="1" applyAlignment="1">
      <alignment horizontal="right"/>
    </xf>
    <xf numFmtId="3" fontId="35" fillId="0" borderId="7" xfId="3" applyNumberFormat="1" applyFont="1" applyBorder="1"/>
    <xf numFmtId="3" fontId="33" fillId="0" borderId="58" xfId="3" applyNumberFormat="1" applyFont="1" applyBorder="1" applyAlignment="1">
      <alignment horizontal="right"/>
    </xf>
    <xf numFmtId="3" fontId="63" fillId="0" borderId="79" xfId="3" applyNumberFormat="1" applyFont="1" applyBorder="1" applyAlignment="1">
      <alignment horizontal="right"/>
    </xf>
    <xf numFmtId="0" fontId="64" fillId="0" borderId="96" xfId="3" applyFont="1" applyBorder="1" applyAlignment="1">
      <alignment horizontal="right"/>
    </xf>
    <xf numFmtId="0" fontId="64" fillId="0" borderId="16" xfId="3" applyFont="1" applyBorder="1" applyAlignment="1">
      <alignment horizontal="right"/>
    </xf>
    <xf numFmtId="0" fontId="64" fillId="0" borderId="24" xfId="3" applyFont="1" applyBorder="1" applyAlignment="1">
      <alignment horizontal="right"/>
    </xf>
    <xf numFmtId="3" fontId="33" fillId="0" borderId="74" xfId="3" applyNumberFormat="1" applyFont="1" applyBorder="1" applyAlignment="1">
      <alignment horizontal="right"/>
    </xf>
    <xf numFmtId="3" fontId="33" fillId="0" borderId="16" xfId="3" applyNumberFormat="1" applyFont="1" applyBorder="1"/>
    <xf numFmtId="3" fontId="33" fillId="0" borderId="75" xfId="3" applyNumberFormat="1" applyFont="1" applyBorder="1"/>
    <xf numFmtId="3" fontId="63" fillId="0" borderId="75" xfId="3" applyNumberFormat="1" applyFont="1" applyBorder="1" applyAlignment="1">
      <alignment horizontal="right" vertical="center"/>
    </xf>
    <xf numFmtId="3" fontId="33" fillId="8" borderId="97" xfId="3" applyNumberFormat="1" applyFont="1" applyFill="1" applyBorder="1" applyAlignment="1">
      <alignment horizontal="right"/>
    </xf>
    <xf numFmtId="3" fontId="33" fillId="8" borderId="32" xfId="3" applyNumberFormat="1" applyFont="1" applyFill="1" applyBorder="1"/>
    <xf numFmtId="3" fontId="33" fillId="8" borderId="98" xfId="3" applyNumberFormat="1" applyFont="1" applyFill="1" applyBorder="1"/>
    <xf numFmtId="0" fontId="28" fillId="8" borderId="32" xfId="3" applyFill="1" applyBorder="1"/>
    <xf numFmtId="0" fontId="28" fillId="8" borderId="99" xfId="3" applyFill="1" applyBorder="1"/>
    <xf numFmtId="3" fontId="34" fillId="8" borderId="100" xfId="3" applyNumberFormat="1" applyFont="1" applyFill="1" applyBorder="1" applyAlignment="1">
      <alignment horizontal="right"/>
    </xf>
    <xf numFmtId="0" fontId="28" fillId="8" borderId="59" xfId="3" applyFill="1" applyBorder="1"/>
    <xf numFmtId="3" fontId="34" fillId="8" borderId="99" xfId="3" applyNumberFormat="1" applyFont="1" applyFill="1" applyBorder="1" applyAlignment="1">
      <alignment horizontal="right"/>
    </xf>
    <xf numFmtId="3" fontId="63" fillId="8" borderId="101" xfId="3" applyNumberFormat="1" applyFont="1" applyFill="1" applyBorder="1" applyAlignment="1">
      <alignment horizontal="right"/>
    </xf>
    <xf numFmtId="3" fontId="63" fillId="8" borderId="60" xfId="3" applyNumberFormat="1" applyFont="1" applyFill="1" applyBorder="1" applyAlignment="1">
      <alignment horizontal="right"/>
    </xf>
    <xf numFmtId="3" fontId="63" fillId="8" borderId="102" xfId="3" applyNumberFormat="1" applyFont="1" applyFill="1" applyBorder="1"/>
    <xf numFmtId="3" fontId="63" fillId="8" borderId="101" xfId="3" applyNumberFormat="1" applyFont="1" applyFill="1" applyBorder="1"/>
    <xf numFmtId="3" fontId="63" fillId="8" borderId="60" xfId="3" applyNumberFormat="1" applyFont="1" applyFill="1" applyBorder="1"/>
    <xf numFmtId="0" fontId="33" fillId="0" borderId="96" xfId="3" applyFont="1" applyBorder="1" applyAlignment="1">
      <alignment horizontal="center"/>
    </xf>
    <xf numFmtId="0" fontId="33" fillId="0" borderId="103" xfId="3" applyFont="1" applyBorder="1"/>
    <xf numFmtId="0" fontId="2" fillId="0" borderId="28" xfId="4" applyFont="1" applyFill="1" applyBorder="1" applyAlignment="1">
      <alignment horizontal="center" vertical="center" wrapText="1"/>
    </xf>
    <xf numFmtId="0" fontId="33" fillId="0" borderId="16" xfId="3" applyFont="1" applyBorder="1" applyAlignment="1">
      <alignment horizontal="center"/>
    </xf>
    <xf numFmtId="0" fontId="34" fillId="0" borderId="0" xfId="3" applyFont="1" applyBorder="1" applyAlignment="1">
      <alignment horizontal="right" vertical="center"/>
    </xf>
    <xf numFmtId="0" fontId="34" fillId="0" borderId="104" xfId="3" applyFont="1" applyBorder="1" applyAlignment="1">
      <alignment horizontal="right" vertical="center"/>
    </xf>
    <xf numFmtId="0" fontId="35" fillId="0" borderId="85" xfId="3" applyFont="1" applyBorder="1"/>
    <xf numFmtId="0" fontId="28" fillId="0" borderId="58" xfId="3" applyBorder="1" applyAlignment="1">
      <alignment horizontal="right"/>
    </xf>
    <xf numFmtId="3" fontId="63" fillId="0" borderId="0" xfId="3" applyNumberFormat="1" applyFont="1" applyBorder="1" applyAlignment="1">
      <alignment horizontal="right" vertical="center"/>
    </xf>
    <xf numFmtId="3" fontId="28" fillId="0" borderId="58" xfId="3" applyNumberFormat="1" applyFont="1" applyBorder="1" applyAlignment="1">
      <alignment horizontal="right"/>
    </xf>
    <xf numFmtId="3" fontId="28" fillId="0" borderId="0" xfId="3" applyNumberFormat="1" applyFont="1" applyBorder="1"/>
    <xf numFmtId="3" fontId="28" fillId="0" borderId="82" xfId="3" applyNumberFormat="1" applyFont="1" applyBorder="1"/>
    <xf numFmtId="3" fontId="28" fillId="0" borderId="75" xfId="3" applyNumberFormat="1" applyFont="1" applyBorder="1"/>
    <xf numFmtId="3" fontId="35" fillId="0" borderId="16" xfId="3" applyNumberFormat="1" applyFont="1" applyBorder="1"/>
    <xf numFmtId="3" fontId="35" fillId="0" borderId="74" xfId="3" applyNumberFormat="1" applyFont="1" applyBorder="1"/>
    <xf numFmtId="3" fontId="35" fillId="0" borderId="105" xfId="3" applyNumberFormat="1" applyFont="1" applyBorder="1"/>
    <xf numFmtId="3" fontId="35" fillId="0" borderId="76" xfId="3" applyNumberFormat="1" applyFont="1" applyBorder="1"/>
    <xf numFmtId="0" fontId="28" fillId="0" borderId="77" xfId="3" applyBorder="1"/>
    <xf numFmtId="3" fontId="33" fillId="0" borderId="52" xfId="3" applyNumberFormat="1" applyFont="1" applyBorder="1" applyAlignment="1">
      <alignment horizontal="right"/>
    </xf>
    <xf numFmtId="3" fontId="33" fillId="0" borderId="106" xfId="3" applyNumberFormat="1" applyFont="1" applyBorder="1"/>
    <xf numFmtId="3" fontId="33" fillId="0" borderId="78" xfId="3" applyNumberFormat="1" applyFont="1" applyBorder="1"/>
    <xf numFmtId="3" fontId="35" fillId="7" borderId="107" xfId="3" applyNumberFormat="1" applyFont="1" applyFill="1" applyBorder="1" applyAlignment="1"/>
    <xf numFmtId="3" fontId="34" fillId="0" borderId="50" xfId="3" applyNumberFormat="1" applyFont="1" applyBorder="1" applyAlignment="1">
      <alignment horizontal="right"/>
    </xf>
    <xf numFmtId="0" fontId="28" fillId="0" borderId="51" xfId="3" applyBorder="1"/>
    <xf numFmtId="0" fontId="28" fillId="0" borderId="106" xfId="3" applyBorder="1"/>
    <xf numFmtId="3" fontId="28" fillId="0" borderId="107" xfId="3" applyNumberFormat="1" applyBorder="1"/>
    <xf numFmtId="0" fontId="28" fillId="0" borderId="107" xfId="3" applyBorder="1"/>
    <xf numFmtId="3" fontId="34" fillId="0" borderId="108" xfId="3" applyNumberFormat="1" applyFont="1" applyBorder="1" applyAlignment="1">
      <alignment horizontal="right"/>
    </xf>
    <xf numFmtId="3" fontId="63" fillId="0" borderId="16" xfId="3" applyNumberFormat="1" applyFont="1" applyBorder="1" applyAlignment="1">
      <alignment horizontal="right"/>
    </xf>
    <xf numFmtId="3" fontId="63" fillId="0" borderId="74" xfId="3" applyNumberFormat="1" applyFont="1" applyBorder="1" applyAlignment="1">
      <alignment horizontal="right"/>
    </xf>
    <xf numFmtId="3" fontId="63" fillId="0" borderId="105" xfId="3" applyNumberFormat="1" applyFont="1" applyBorder="1"/>
    <xf numFmtId="3" fontId="63" fillId="0" borderId="77" xfId="3" applyNumberFormat="1" applyFont="1" applyBorder="1"/>
    <xf numFmtId="3" fontId="63" fillId="0" borderId="52" xfId="3" applyNumberFormat="1" applyFont="1" applyBorder="1"/>
    <xf numFmtId="3" fontId="63" fillId="0" borderId="78" xfId="3" applyNumberFormat="1" applyFont="1" applyBorder="1" applyAlignment="1">
      <alignment horizontal="right" vertical="center"/>
    </xf>
    <xf numFmtId="0" fontId="35" fillId="7" borderId="0" xfId="3" applyFont="1" applyFill="1" applyBorder="1" applyAlignment="1"/>
    <xf numFmtId="3" fontId="34" fillId="0" borderId="34" xfId="3" applyNumberFormat="1" applyFont="1" applyBorder="1" applyAlignment="1">
      <alignment horizontal="right"/>
    </xf>
    <xf numFmtId="3" fontId="28" fillId="0" borderId="0" xfId="3" applyNumberFormat="1" applyBorder="1"/>
    <xf numFmtId="3" fontId="34" fillId="0" borderId="109" xfId="3" applyNumberFormat="1" applyFont="1" applyBorder="1" applyAlignment="1">
      <alignment horizontal="right"/>
    </xf>
    <xf numFmtId="3" fontId="63" fillId="0" borderId="0" xfId="3" applyNumberFormat="1" applyFont="1" applyBorder="1" applyAlignment="1">
      <alignment horizontal="right"/>
    </xf>
    <xf numFmtId="0" fontId="35" fillId="8" borderId="110" xfId="3" applyFont="1" applyFill="1" applyBorder="1" applyAlignment="1">
      <alignment horizontal="left"/>
    </xf>
    <xf numFmtId="3" fontId="34" fillId="8" borderId="111" xfId="3" applyNumberFormat="1" applyFont="1" applyFill="1" applyBorder="1" applyAlignment="1">
      <alignment horizontal="right"/>
    </xf>
    <xf numFmtId="3" fontId="63" fillId="8" borderId="32" xfId="3" applyNumberFormat="1" applyFont="1" applyFill="1" applyBorder="1" applyAlignment="1">
      <alignment horizontal="right"/>
    </xf>
    <xf numFmtId="3" fontId="63" fillId="8" borderId="97" xfId="3" applyNumberFormat="1" applyFont="1" applyFill="1" applyBorder="1" applyAlignment="1">
      <alignment horizontal="right"/>
    </xf>
    <xf numFmtId="3" fontId="63" fillId="8" borderId="112" xfId="3" applyNumberFormat="1" applyFont="1" applyFill="1" applyBorder="1"/>
    <xf numFmtId="3" fontId="63" fillId="8" borderId="110" xfId="3" applyNumberFormat="1" applyFont="1" applyFill="1" applyBorder="1"/>
    <xf numFmtId="3" fontId="63" fillId="8" borderId="97" xfId="3" applyNumberFormat="1" applyFont="1" applyFill="1" applyBorder="1"/>
    <xf numFmtId="3" fontId="63" fillId="8" borderId="98" xfId="3" applyNumberFormat="1" applyFont="1" applyFill="1" applyBorder="1" applyAlignment="1">
      <alignment horizontal="right" vertical="center"/>
    </xf>
    <xf numFmtId="0" fontId="28" fillId="0" borderId="110" xfId="3" applyBorder="1"/>
    <xf numFmtId="0" fontId="28" fillId="0" borderId="32" xfId="3" applyBorder="1" applyAlignment="1">
      <alignment horizontal="right"/>
    </xf>
    <xf numFmtId="0" fontId="28" fillId="0" borderId="97" xfId="3" applyBorder="1" applyAlignment="1">
      <alignment horizontal="right"/>
    </xf>
    <xf numFmtId="0" fontId="28" fillId="0" borderId="32" xfId="3" applyBorder="1"/>
    <xf numFmtId="0" fontId="28" fillId="0" borderId="98" xfId="3" applyBorder="1"/>
    <xf numFmtId="0" fontId="28" fillId="0" borderId="32" xfId="3" applyBorder="1" applyAlignment="1"/>
    <xf numFmtId="0" fontId="34" fillId="0" borderId="100" xfId="3" applyFont="1" applyBorder="1" applyAlignment="1">
      <alignment horizontal="right"/>
    </xf>
    <xf numFmtId="0" fontId="28" fillId="0" borderId="99" xfId="3" applyBorder="1"/>
    <xf numFmtId="3" fontId="34" fillId="0" borderId="111" xfId="3" applyNumberFormat="1" applyFont="1" applyBorder="1" applyAlignment="1">
      <alignment horizontal="right"/>
    </xf>
    <xf numFmtId="0" fontId="34" fillId="0" borderId="32" xfId="3" applyFont="1" applyBorder="1" applyAlignment="1">
      <alignment horizontal="right"/>
    </xf>
    <xf numFmtId="0" fontId="34" fillId="0" borderId="97" xfId="3" applyFont="1" applyBorder="1" applyAlignment="1">
      <alignment horizontal="right"/>
    </xf>
    <xf numFmtId="0" fontId="28" fillId="0" borderId="112" xfId="3" applyBorder="1"/>
    <xf numFmtId="0" fontId="28" fillId="0" borderId="97" xfId="3" applyBorder="1"/>
    <xf numFmtId="0" fontId="63" fillId="0" borderId="89" xfId="3" applyFont="1" applyBorder="1" applyAlignment="1">
      <alignment horizontal="right" vertical="center"/>
    </xf>
    <xf numFmtId="0" fontId="28" fillId="0" borderId="0" xfId="3"/>
    <xf numFmtId="3" fontId="28" fillId="0" borderId="0" xfId="3" applyNumberFormat="1"/>
    <xf numFmtId="3" fontId="34" fillId="0" borderId="75" xfId="3" applyNumberFormat="1" applyFont="1" applyBorder="1"/>
    <xf numFmtId="3" fontId="34" fillId="0" borderId="113" xfId="3" applyNumberFormat="1" applyFont="1" applyBorder="1" applyAlignment="1">
      <alignment vertical="center"/>
    </xf>
    <xf numFmtId="3" fontId="63" fillId="0" borderId="76" xfId="3" applyNumberFormat="1" applyFont="1" applyBorder="1" applyAlignment="1">
      <alignment horizontal="right" vertical="center"/>
    </xf>
    <xf numFmtId="3" fontId="63" fillId="0" borderId="74" xfId="3" applyNumberFormat="1" applyFont="1" applyBorder="1" applyAlignment="1">
      <alignment horizontal="right" vertical="center"/>
    </xf>
    <xf numFmtId="3" fontId="63" fillId="0" borderId="76" xfId="3" applyNumberFormat="1" applyFont="1" applyBorder="1"/>
    <xf numFmtId="3" fontId="63" fillId="0" borderId="74" xfId="3" applyNumberFormat="1" applyFont="1" applyBorder="1"/>
    <xf numFmtId="3" fontId="33" fillId="8" borderId="114" xfId="3" applyNumberFormat="1" applyFont="1" applyFill="1" applyBorder="1"/>
    <xf numFmtId="0" fontId="35" fillId="8" borderId="0" xfId="3" applyFont="1" applyFill="1" applyBorder="1" applyAlignment="1">
      <alignment horizontal="left" wrapText="1"/>
    </xf>
    <xf numFmtId="3" fontId="34" fillId="8" borderId="34" xfId="3" applyNumberFormat="1" applyFont="1" applyFill="1" applyBorder="1"/>
    <xf numFmtId="3" fontId="34" fillId="8" borderId="99" xfId="3" applyNumberFormat="1" applyFont="1" applyFill="1" applyBorder="1"/>
    <xf numFmtId="3" fontId="63" fillId="8" borderId="115" xfId="3" applyNumberFormat="1" applyFont="1" applyFill="1" applyBorder="1"/>
    <xf numFmtId="3" fontId="63" fillId="8" borderId="88" xfId="3" applyNumberFormat="1" applyFont="1" applyFill="1" applyBorder="1"/>
    <xf numFmtId="3" fontId="63" fillId="8" borderId="89" xfId="3" applyNumberFormat="1" applyFont="1" applyFill="1" applyBorder="1"/>
    <xf numFmtId="3" fontId="63" fillId="8" borderId="116" xfId="3" applyNumberFormat="1" applyFont="1" applyFill="1" applyBorder="1"/>
    <xf numFmtId="3" fontId="65" fillId="0" borderId="88" xfId="3" applyNumberFormat="1" applyFont="1" applyBorder="1" applyAlignment="1">
      <alignment horizontal="center"/>
    </xf>
    <xf numFmtId="3" fontId="65" fillId="0" borderId="117" xfId="3" applyNumberFormat="1" applyFont="1" applyBorder="1" applyAlignment="1">
      <alignment horizontal="center"/>
    </xf>
    <xf numFmtId="3" fontId="65" fillId="0" borderId="118" xfId="3" applyNumberFormat="1" applyFont="1" applyBorder="1"/>
    <xf numFmtId="3" fontId="34" fillId="0" borderId="87" xfId="3" applyNumberFormat="1" applyFont="1" applyBorder="1" applyAlignment="1">
      <alignment horizontal="right" vertical="center"/>
    </xf>
    <xf numFmtId="0" fontId="28" fillId="0" borderId="87" xfId="3" applyBorder="1"/>
    <xf numFmtId="0" fontId="28" fillId="0" borderId="33" xfId="3" applyBorder="1"/>
    <xf numFmtId="3" fontId="66" fillId="0" borderId="88" xfId="3" applyNumberFormat="1" applyFont="1" applyBorder="1"/>
    <xf numFmtId="3" fontId="66" fillId="0" borderId="33" xfId="3" applyNumberFormat="1" applyFont="1" applyBorder="1"/>
    <xf numFmtId="3" fontId="66" fillId="0" borderId="89" xfId="3" applyNumberFormat="1" applyFont="1" applyBorder="1"/>
    <xf numFmtId="0" fontId="35" fillId="0" borderId="30" xfId="3" applyFont="1" applyBorder="1" applyAlignment="1">
      <alignment horizontal="left"/>
    </xf>
    <xf numFmtId="0" fontId="35" fillId="0" borderId="30" xfId="3" applyFont="1" applyBorder="1"/>
    <xf numFmtId="0" fontId="28" fillId="0" borderId="30" xfId="3" applyBorder="1"/>
    <xf numFmtId="0" fontId="33" fillId="0" borderId="0" xfId="3" applyFont="1" applyAlignment="1">
      <alignment horizontal="center"/>
    </xf>
    <xf numFmtId="0" fontId="33" fillId="0" borderId="0" xfId="3" applyFont="1" applyAlignment="1">
      <alignment horizontal="right"/>
    </xf>
    <xf numFmtId="0" fontId="82" fillId="0" borderId="0" xfId="3" applyFont="1"/>
    <xf numFmtId="0" fontId="33" fillId="0" borderId="0" xfId="3" applyFont="1" applyAlignment="1">
      <alignment horizontal="left"/>
    </xf>
    <xf numFmtId="0" fontId="28" fillId="0" borderId="0" xfId="3" applyFont="1"/>
    <xf numFmtId="0" fontId="35" fillId="0" borderId="0" xfId="3" applyFont="1" applyFill="1" applyBorder="1"/>
    <xf numFmtId="0" fontId="83" fillId="0" borderId="25" xfId="3" applyFont="1" applyBorder="1"/>
    <xf numFmtId="3" fontId="28" fillId="0" borderId="25" xfId="3" applyNumberFormat="1" applyBorder="1"/>
    <xf numFmtId="0" fontId="28" fillId="0" borderId="25" xfId="3" applyBorder="1"/>
    <xf numFmtId="0" fontId="28" fillId="0" borderId="25" xfId="3" applyFont="1" applyBorder="1"/>
    <xf numFmtId="0" fontId="28" fillId="0" borderId="0" xfId="3" applyFont="1" applyAlignment="1">
      <alignment horizontal="right"/>
    </xf>
    <xf numFmtId="0" fontId="28" fillId="0" borderId="0" xfId="3" applyAlignment="1"/>
    <xf numFmtId="0" fontId="0" fillId="0" borderId="0" xfId="0" applyAlignment="1">
      <alignment horizontal="left"/>
    </xf>
    <xf numFmtId="0" fontId="33" fillId="0" borderId="0" xfId="3" applyFont="1"/>
    <xf numFmtId="3" fontId="33" fillId="0" borderId="0" xfId="3" applyNumberFormat="1" applyFont="1"/>
    <xf numFmtId="0" fontId="64" fillId="0" borderId="35" xfId="3" applyFont="1" applyBorder="1" applyAlignment="1">
      <alignment horizontal="right"/>
    </xf>
    <xf numFmtId="3" fontId="33" fillId="8" borderId="60" xfId="3" applyNumberFormat="1" applyFont="1" applyFill="1" applyBorder="1"/>
    <xf numFmtId="3" fontId="33" fillId="8" borderId="119" xfId="3" applyNumberFormat="1" applyFont="1" applyFill="1" applyBorder="1"/>
    <xf numFmtId="3" fontId="90" fillId="0" borderId="0" xfId="3" applyNumberFormat="1" applyFont="1" applyBorder="1"/>
    <xf numFmtId="0" fontId="90" fillId="0" borderId="0" xfId="3" applyFont="1" applyBorder="1" applyAlignment="1">
      <alignment horizontal="left"/>
    </xf>
    <xf numFmtId="0" fontId="90" fillId="0" borderId="79" xfId="3" applyFont="1" applyBorder="1" applyAlignment="1">
      <alignment horizontal="left"/>
    </xf>
    <xf numFmtId="3" fontId="90" fillId="0" borderId="42" xfId="3" applyNumberFormat="1" applyFont="1" applyBorder="1"/>
    <xf numFmtId="0" fontId="90" fillId="0" borderId="83" xfId="3" applyFont="1" applyBorder="1" applyAlignment="1">
      <alignment horizontal="left"/>
    </xf>
    <xf numFmtId="0" fontId="90" fillId="0" borderId="31" xfId="3" applyFont="1" applyBorder="1" applyAlignment="1">
      <alignment horizontal="left"/>
    </xf>
    <xf numFmtId="3" fontId="90" fillId="0" borderId="86" xfId="3" applyNumberFormat="1" applyFont="1" applyFill="1" applyBorder="1"/>
    <xf numFmtId="0" fontId="91" fillId="0" borderId="76" xfId="3" applyFont="1" applyBorder="1"/>
    <xf numFmtId="0" fontId="91" fillId="0" borderId="16" xfId="3" applyFont="1" applyBorder="1"/>
    <xf numFmtId="0" fontId="91" fillId="0" borderId="7" xfId="3" applyFont="1" applyBorder="1"/>
    <xf numFmtId="3" fontId="90" fillId="0" borderId="42" xfId="3" applyNumberFormat="1" applyFont="1" applyFill="1" applyBorder="1"/>
    <xf numFmtId="3" fontId="90" fillId="0" borderId="33" xfId="3" applyNumberFormat="1" applyFont="1" applyBorder="1"/>
    <xf numFmtId="0" fontId="90" fillId="0" borderId="35" xfId="3" applyFont="1" applyBorder="1" applyAlignment="1">
      <alignment horizontal="left"/>
    </xf>
    <xf numFmtId="3" fontId="90" fillId="0" borderId="7" xfId="3" applyNumberFormat="1" applyFont="1" applyFill="1" applyBorder="1"/>
    <xf numFmtId="3" fontId="90" fillId="0" borderId="0" xfId="3" applyNumberFormat="1" applyFont="1" applyFill="1" applyBorder="1"/>
    <xf numFmtId="0" fontId="0" fillId="0" borderId="35" xfId="0" applyBorder="1"/>
    <xf numFmtId="3" fontId="35" fillId="0" borderId="0" xfId="3" applyNumberFormat="1" applyFont="1" applyBorder="1" applyAlignment="1">
      <alignment horizontal="right"/>
    </xf>
    <xf numFmtId="3" fontId="34" fillId="8" borderId="62" xfId="3" applyNumberFormat="1" applyFont="1" applyFill="1" applyBorder="1"/>
    <xf numFmtId="0" fontId="28" fillId="8" borderId="120" xfId="3" applyFill="1" applyBorder="1"/>
    <xf numFmtId="3" fontId="63" fillId="8" borderId="121" xfId="3" applyNumberFormat="1" applyFont="1" applyFill="1" applyBorder="1"/>
    <xf numFmtId="0" fontId="28" fillId="0" borderId="122" xfId="3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4" fontId="33" fillId="0" borderId="21" xfId="5" applyNumberFormat="1" applyFont="1" applyBorder="1"/>
    <xf numFmtId="164" fontId="21" fillId="0" borderId="21" xfId="5" applyNumberFormat="1" applyBorder="1"/>
    <xf numFmtId="164" fontId="33" fillId="0" borderId="21" xfId="5" applyNumberFormat="1" applyFont="1" applyBorder="1"/>
    <xf numFmtId="164" fontId="21" fillId="0" borderId="12" xfId="5" applyNumberFormat="1" applyBorder="1"/>
    <xf numFmtId="164" fontId="33" fillId="0" borderId="12" xfId="5" applyNumberFormat="1" applyFont="1" applyBorder="1"/>
    <xf numFmtId="0" fontId="28" fillId="0" borderId="9" xfId="5" applyFont="1" applyBorder="1" applyAlignment="1">
      <alignment wrapText="1"/>
    </xf>
    <xf numFmtId="4" fontId="21" fillId="0" borderId="21" xfId="5" applyNumberFormat="1" applyBorder="1"/>
    <xf numFmtId="3" fontId="62" fillId="5" borderId="21" xfId="5" applyNumberFormat="1" applyFont="1" applyFill="1" applyBorder="1" applyAlignment="1">
      <alignment horizontal="center"/>
    </xf>
    <xf numFmtId="3" fontId="62" fillId="5" borderId="17" xfId="5" applyNumberFormat="1" applyFont="1" applyFill="1" applyBorder="1" applyAlignment="1">
      <alignment horizontal="center"/>
    </xf>
    <xf numFmtId="3" fontId="62" fillId="5" borderId="4" xfId="5" applyNumberFormat="1" applyFont="1" applyFill="1" applyBorder="1"/>
    <xf numFmtId="3" fontId="62" fillId="5" borderId="12" xfId="5" applyNumberFormat="1" applyFont="1" applyFill="1" applyBorder="1" applyAlignment="1">
      <alignment horizontal="center"/>
    </xf>
    <xf numFmtId="3" fontId="33" fillId="6" borderId="44" xfId="0" applyNumberFormat="1" applyFont="1" applyFill="1" applyBorder="1"/>
    <xf numFmtId="3" fontId="33" fillId="0" borderId="0" xfId="0" applyNumberFormat="1" applyFont="1" applyFill="1" applyBorder="1"/>
    <xf numFmtId="3" fontId="33" fillId="0" borderId="42" xfId="0" applyNumberFormat="1" applyFont="1" applyFill="1" applyBorder="1"/>
    <xf numFmtId="0" fontId="28" fillId="0" borderId="17" xfId="0" applyFont="1" applyFill="1" applyBorder="1"/>
    <xf numFmtId="0" fontId="28" fillId="0" borderId="0" xfId="0" applyFont="1" applyFill="1"/>
    <xf numFmtId="0" fontId="28" fillId="9" borderId="17" xfId="0" applyFont="1" applyFill="1" applyBorder="1"/>
    <xf numFmtId="0" fontId="33" fillId="0" borderId="21" xfId="0" applyFont="1" applyBorder="1" applyAlignment="1">
      <alignment horizontal="center"/>
    </xf>
    <xf numFmtId="0" fontId="33" fillId="2" borderId="21" xfId="0" applyFont="1" applyFill="1" applyBorder="1"/>
    <xf numFmtId="0" fontId="28" fillId="3" borderId="21" xfId="0" applyFont="1" applyFill="1" applyBorder="1" applyAlignment="1">
      <alignment wrapText="1"/>
    </xf>
    <xf numFmtId="0" fontId="35" fillId="0" borderId="21" xfId="0" applyFont="1" applyBorder="1" applyAlignment="1">
      <alignment wrapText="1"/>
    </xf>
    <xf numFmtId="0" fontId="35" fillId="0" borderId="21" xfId="0" applyFont="1" applyBorder="1" applyAlignment="1"/>
    <xf numFmtId="0" fontId="33" fillId="2" borderId="21" xfId="0" applyFont="1" applyFill="1" applyBorder="1" applyAlignment="1">
      <alignment vertical="center" wrapText="1"/>
    </xf>
    <xf numFmtId="49" fontId="35" fillId="0" borderId="21" xfId="0" applyNumberFormat="1" applyFont="1" applyBorder="1"/>
    <xf numFmtId="49" fontId="35" fillId="0" borderId="21" xfId="0" applyNumberFormat="1" applyFont="1" applyBorder="1" applyAlignment="1">
      <alignment wrapText="1"/>
    </xf>
    <xf numFmtId="0" fontId="33" fillId="0" borderId="21" xfId="0" applyFont="1" applyFill="1" applyBorder="1"/>
    <xf numFmtId="49" fontId="36" fillId="0" borderId="21" xfId="0" applyNumberFormat="1" applyFont="1" applyBorder="1"/>
    <xf numFmtId="0" fontId="33" fillId="4" borderId="21" xfId="0" applyFont="1" applyFill="1" applyBorder="1" applyAlignment="1">
      <alignment wrapText="1"/>
    </xf>
    <xf numFmtId="0" fontId="28" fillId="0" borderId="21" xfId="0" applyFont="1" applyFill="1" applyBorder="1" applyAlignment="1">
      <alignment wrapText="1"/>
    </xf>
    <xf numFmtId="0" fontId="28" fillId="9" borderId="21" xfId="0" applyFont="1" applyFill="1" applyBorder="1" applyAlignment="1">
      <alignment wrapText="1"/>
    </xf>
    <xf numFmtId="0" fontId="35" fillId="0" borderId="0" xfId="0" applyFont="1" applyFill="1"/>
    <xf numFmtId="0" fontId="33" fillId="3" borderId="21" xfId="0" applyFont="1" applyFill="1" applyBorder="1" applyAlignment="1">
      <alignment wrapText="1"/>
    </xf>
    <xf numFmtId="0" fontId="33" fillId="3" borderId="17" xfId="0" applyFont="1" applyFill="1" applyBorder="1"/>
    <xf numFmtId="0" fontId="64" fillId="0" borderId="0" xfId="0" applyFont="1"/>
    <xf numFmtId="0" fontId="90" fillId="0" borderId="16" xfId="3" applyFont="1" applyBorder="1" applyAlignment="1">
      <alignment horizontal="left"/>
    </xf>
    <xf numFmtId="0" fontId="90" fillId="0" borderId="76" xfId="3" applyFont="1" applyBorder="1" applyAlignment="1">
      <alignment horizontal="left"/>
    </xf>
    <xf numFmtId="0" fontId="74" fillId="0" borderId="17" xfId="0" applyFont="1" applyBorder="1" applyAlignment="1">
      <alignment horizontal="left" vertical="center" wrapText="1"/>
    </xf>
    <xf numFmtId="0" fontId="0" fillId="0" borderId="9" xfId="0" applyBorder="1"/>
    <xf numFmtId="0" fontId="92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 wrapText="1"/>
    </xf>
    <xf numFmtId="3" fontId="4" fillId="0" borderId="56" xfId="4" applyNumberFormat="1" applyFont="1" applyFill="1" applyBorder="1" applyAlignment="1">
      <alignment vertical="center" wrapText="1"/>
    </xf>
    <xf numFmtId="3" fontId="4" fillId="0" borderId="19" xfId="4" applyNumberFormat="1" applyFont="1" applyFill="1" applyBorder="1" applyAlignment="1">
      <alignment vertical="center" wrapText="1"/>
    </xf>
    <xf numFmtId="3" fontId="6" fillId="0" borderId="18" xfId="4" applyNumberFormat="1" applyFont="1" applyFill="1" applyBorder="1" applyAlignment="1">
      <alignment vertical="center"/>
    </xf>
    <xf numFmtId="3" fontId="6" fillId="0" borderId="56" xfId="4" applyNumberFormat="1" applyFont="1" applyFill="1" applyBorder="1" applyAlignment="1">
      <alignment vertical="center"/>
    </xf>
    <xf numFmtId="3" fontId="6" fillId="0" borderId="19" xfId="4" applyNumberFormat="1" applyFont="1" applyFill="1" applyBorder="1" applyAlignment="1">
      <alignment vertical="center"/>
    </xf>
    <xf numFmtId="0" fontId="5" fillId="0" borderId="10" xfId="4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/>
    </xf>
    <xf numFmtId="3" fontId="67" fillId="0" borderId="4" xfId="4" applyNumberFormat="1" applyFont="1" applyFill="1" applyBorder="1" applyAlignment="1">
      <alignment vertical="center"/>
    </xf>
    <xf numFmtId="3" fontId="53" fillId="0" borderId="4" xfId="4" applyNumberFormat="1" applyFont="1" applyFill="1" applyBorder="1" applyAlignment="1">
      <alignment vertical="center"/>
    </xf>
    <xf numFmtId="49" fontId="5" fillId="0" borderId="66" xfId="4" applyNumberFormat="1" applyFont="1" applyFill="1" applyBorder="1" applyAlignment="1">
      <alignment vertical="center"/>
    </xf>
    <xf numFmtId="49" fontId="6" fillId="0" borderId="45" xfId="4" applyNumberFormat="1" applyFont="1" applyFill="1" applyBorder="1" applyAlignment="1">
      <alignment horizontal="center" vertical="center"/>
    </xf>
    <xf numFmtId="0" fontId="5" fillId="0" borderId="47" xfId="4" applyFont="1" applyFill="1" applyBorder="1" applyAlignment="1">
      <alignment vertical="center" wrapText="1"/>
    </xf>
    <xf numFmtId="0" fontId="5" fillId="0" borderId="27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3" fontId="60" fillId="0" borderId="16" xfId="4" applyNumberFormat="1" applyFont="1" applyFill="1" applyBorder="1" applyAlignment="1">
      <alignment vertical="center"/>
    </xf>
    <xf numFmtId="3" fontId="58" fillId="0" borderId="50" xfId="4" applyNumberFormat="1" applyFont="1" applyFill="1" applyBorder="1" applyAlignment="1">
      <alignment vertical="center"/>
    </xf>
    <xf numFmtId="3" fontId="5" fillId="0" borderId="124" xfId="4" applyNumberFormat="1" applyFont="1" applyFill="1" applyBorder="1" applyAlignment="1">
      <alignment vertical="center"/>
    </xf>
    <xf numFmtId="3" fontId="5" fillId="0" borderId="43" xfId="4" applyNumberFormat="1" applyFont="1" applyFill="1" applyBorder="1" applyAlignment="1">
      <alignment vertical="center"/>
    </xf>
    <xf numFmtId="3" fontId="5" fillId="0" borderId="41" xfId="4" applyNumberFormat="1" applyFont="1" applyFill="1" applyBorder="1" applyAlignment="1">
      <alignment vertical="center"/>
    </xf>
    <xf numFmtId="3" fontId="60" fillId="0" borderId="50" xfId="4" applyNumberFormat="1" applyFont="1" applyFill="1" applyBorder="1" applyAlignment="1">
      <alignment vertical="center"/>
    </xf>
    <xf numFmtId="3" fontId="90" fillId="0" borderId="42" xfId="3" applyNumberFormat="1" applyFont="1" applyBorder="1" applyAlignment="1"/>
    <xf numFmtId="0" fontId="23" fillId="0" borderId="17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wrapText="1"/>
    </xf>
    <xf numFmtId="3" fontId="84" fillId="5" borderId="43" xfId="5" applyNumberFormat="1" applyFont="1" applyFill="1" applyBorder="1"/>
    <xf numFmtId="3" fontId="33" fillId="5" borderId="43" xfId="5" applyNumberFormat="1" applyFont="1" applyFill="1" applyBorder="1"/>
    <xf numFmtId="3" fontId="29" fillId="5" borderId="43" xfId="5" applyNumberFormat="1" applyFont="1" applyFill="1" applyBorder="1"/>
    <xf numFmtId="0" fontId="47" fillId="0" borderId="41" xfId="5" applyFont="1" applyBorder="1" applyAlignment="1">
      <alignment horizontal="center" vertical="center" wrapText="1"/>
    </xf>
    <xf numFmtId="3" fontId="33" fillId="5" borderId="43" xfId="5" applyNumberFormat="1" applyFont="1" applyFill="1" applyBorder="1" applyAlignment="1">
      <alignment vertical="center"/>
    </xf>
    <xf numFmtId="3" fontId="33" fillId="0" borderId="43" xfId="5" applyNumberFormat="1" applyFont="1" applyBorder="1"/>
    <xf numFmtId="3" fontId="21" fillId="0" borderId="43" xfId="5" applyNumberFormat="1" applyBorder="1"/>
    <xf numFmtId="3" fontId="0" fillId="0" borderId="13" xfId="0" applyNumberFormat="1" applyBorder="1"/>
    <xf numFmtId="0" fontId="72" fillId="0" borderId="17" xfId="0" applyFont="1" applyBorder="1" applyAlignment="1">
      <alignment horizontal="right"/>
    </xf>
    <xf numFmtId="0" fontId="76" fillId="0" borderId="0" xfId="0" applyFont="1"/>
    <xf numFmtId="0" fontId="19" fillId="0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21" xfId="5" applyBorder="1"/>
    <xf numFmtId="3" fontId="21" fillId="0" borderId="9" xfId="5" applyNumberFormat="1" applyBorder="1"/>
    <xf numFmtId="4" fontId="21" fillId="0" borderId="17" xfId="5" applyNumberFormat="1" applyBorder="1"/>
    <xf numFmtId="3" fontId="65" fillId="0" borderId="90" xfId="3" applyNumberFormat="1" applyFont="1" applyBorder="1"/>
    <xf numFmtId="3" fontId="65" fillId="0" borderId="88" xfId="3" applyNumberFormat="1" applyFont="1" applyBorder="1"/>
    <xf numFmtId="3" fontId="65" fillId="0" borderId="91" xfId="3" applyNumberFormat="1" applyFont="1" applyBorder="1"/>
    <xf numFmtId="3" fontId="34" fillId="0" borderId="125" xfId="3" applyNumberFormat="1" applyFont="1" applyBorder="1" applyAlignment="1">
      <alignment horizontal="right" vertical="center"/>
    </xf>
    <xf numFmtId="0" fontId="33" fillId="0" borderId="35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3" fontId="33" fillId="6" borderId="17" xfId="0" applyNumberFormat="1" applyFont="1" applyFill="1" applyBorder="1"/>
    <xf numFmtId="3" fontId="33" fillId="6" borderId="4" xfId="0" applyNumberFormat="1" applyFont="1" applyFill="1" applyBorder="1"/>
    <xf numFmtId="4" fontId="33" fillId="6" borderId="17" xfId="0" applyNumberFormat="1" applyFont="1" applyFill="1" applyBorder="1"/>
    <xf numFmtId="4" fontId="33" fillId="6" borderId="29" xfId="0" applyNumberFormat="1" applyFont="1" applyFill="1" applyBorder="1"/>
    <xf numFmtId="3" fontId="33" fillId="6" borderId="73" xfId="0" applyNumberFormat="1" applyFont="1" applyFill="1" applyBorder="1"/>
    <xf numFmtId="4" fontId="33" fillId="6" borderId="52" xfId="0" applyNumberFormat="1" applyFont="1" applyFill="1" applyBorder="1"/>
    <xf numFmtId="3" fontId="33" fillId="6" borderId="52" xfId="0" applyNumberFormat="1" applyFont="1" applyFill="1" applyBorder="1"/>
    <xf numFmtId="3" fontId="33" fillId="6" borderId="53" xfId="0" applyNumberFormat="1" applyFont="1" applyFill="1" applyBorder="1"/>
    <xf numFmtId="0" fontId="25" fillId="0" borderId="0" xfId="0" applyFont="1" applyFill="1"/>
    <xf numFmtId="4" fontId="33" fillId="7" borderId="17" xfId="0" applyNumberFormat="1" applyFont="1" applyFill="1" applyBorder="1"/>
    <xf numFmtId="4" fontId="33" fillId="7" borderId="29" xfId="0" applyNumberFormat="1" applyFont="1" applyFill="1" applyBorder="1"/>
    <xf numFmtId="4" fontId="33" fillId="7" borderId="52" xfId="0" applyNumberFormat="1" applyFont="1" applyFill="1" applyBorder="1"/>
    <xf numFmtId="4" fontId="28" fillId="7" borderId="17" xfId="0" applyNumberFormat="1" applyFont="1" applyFill="1" applyBorder="1"/>
    <xf numFmtId="4" fontId="28" fillId="7" borderId="29" xfId="0" applyNumberFormat="1" applyFont="1" applyFill="1" applyBorder="1"/>
    <xf numFmtId="3" fontId="28" fillId="6" borderId="29" xfId="0" applyNumberFormat="1" applyFont="1" applyFill="1" applyBorder="1"/>
    <xf numFmtId="3" fontId="28" fillId="6" borderId="17" xfId="0" applyNumberFormat="1" applyFont="1" applyFill="1" applyBorder="1"/>
    <xf numFmtId="3" fontId="28" fillId="6" borderId="4" xfId="0" applyNumberFormat="1" applyFont="1" applyFill="1" applyBorder="1"/>
    <xf numFmtId="0" fontId="25" fillId="0" borderId="30" xfId="0" applyFont="1" applyBorder="1" applyAlignment="1">
      <alignment horizontal="center"/>
    </xf>
    <xf numFmtId="0" fontId="35" fillId="0" borderId="0" xfId="3" applyFont="1" applyBorder="1" applyAlignment="1">
      <alignment horizontal="left" wrapText="1"/>
    </xf>
    <xf numFmtId="49" fontId="6" fillId="0" borderId="57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6" fillId="0" borderId="23" xfId="4" applyNumberFormat="1" applyFont="1" applyFill="1" applyBorder="1" applyAlignment="1">
      <alignment vertical="center"/>
    </xf>
    <xf numFmtId="3" fontId="6" fillId="0" borderId="57" xfId="4" applyNumberFormat="1" applyFont="1" applyFill="1" applyBorder="1" applyAlignment="1">
      <alignment vertical="center"/>
    </xf>
    <xf numFmtId="3" fontId="6" fillId="0" borderId="29" xfId="4" applyNumberFormat="1" applyFont="1" applyFill="1" applyBorder="1" applyAlignment="1">
      <alignment vertical="center"/>
    </xf>
    <xf numFmtId="3" fontId="5" fillId="0" borderId="67" xfId="4" applyNumberFormat="1" applyFont="1" applyFill="1" applyBorder="1" applyAlignment="1">
      <alignment vertical="center"/>
    </xf>
    <xf numFmtId="3" fontId="58" fillId="0" borderId="53" xfId="4" applyNumberFormat="1" applyFont="1" applyFill="1" applyBorder="1" applyAlignment="1">
      <alignment vertical="center"/>
    </xf>
    <xf numFmtId="3" fontId="20" fillId="0" borderId="42" xfId="0" applyNumberFormat="1" applyFont="1" applyFill="1" applyBorder="1" applyAlignment="1">
      <alignment horizontal="right" vertical="center"/>
    </xf>
    <xf numFmtId="0" fontId="50" fillId="0" borderId="17" xfId="0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vertical="center" wrapText="1"/>
    </xf>
    <xf numFmtId="3" fontId="58" fillId="0" borderId="52" xfId="4" applyNumberFormat="1" applyFont="1" applyFill="1" applyBorder="1" applyAlignment="1">
      <alignment vertical="center"/>
    </xf>
    <xf numFmtId="0" fontId="35" fillId="0" borderId="35" xfId="3" applyFont="1" applyBorder="1" applyAlignment="1">
      <alignment horizontal="left" wrapText="1"/>
    </xf>
    <xf numFmtId="0" fontId="28" fillId="0" borderId="95" xfId="3" applyBorder="1"/>
    <xf numFmtId="0" fontId="20" fillId="0" borderId="14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3" fontId="93" fillId="0" borderId="17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49" fontId="24" fillId="0" borderId="17" xfId="0" applyNumberFormat="1" applyFont="1" applyBorder="1" applyAlignment="1">
      <alignment vertical="center"/>
    </xf>
    <xf numFmtId="49" fontId="23" fillId="0" borderId="17" xfId="0" applyNumberFormat="1" applyFont="1" applyBorder="1" applyAlignment="1">
      <alignment horizontal="right" vertical="center"/>
    </xf>
    <xf numFmtId="49" fontId="24" fillId="0" borderId="11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3" fontId="23" fillId="0" borderId="12" xfId="0" applyNumberFormat="1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49" fontId="68" fillId="0" borderId="17" xfId="0" applyNumberFormat="1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3" fontId="68" fillId="0" borderId="17" xfId="0" applyNumberFormat="1" applyFont="1" applyBorder="1" applyAlignment="1">
      <alignment vertical="center"/>
    </xf>
    <xf numFmtId="49" fontId="94" fillId="0" borderId="17" xfId="0" applyNumberFormat="1" applyFont="1" applyBorder="1" applyAlignment="1">
      <alignment vertical="center"/>
    </xf>
    <xf numFmtId="0" fontId="94" fillId="0" borderId="17" xfId="0" applyFont="1" applyBorder="1" applyAlignment="1">
      <alignment vertical="center"/>
    </xf>
    <xf numFmtId="3" fontId="94" fillId="0" borderId="17" xfId="0" applyNumberFormat="1" applyFont="1" applyBorder="1" applyAlignment="1">
      <alignment vertical="center"/>
    </xf>
    <xf numFmtId="0" fontId="3" fillId="7" borderId="0" xfId="5" applyFont="1" applyFill="1" applyBorder="1" applyAlignment="1">
      <alignment horizontal="right"/>
    </xf>
    <xf numFmtId="3" fontId="3" fillId="7" borderId="0" xfId="5" applyNumberFormat="1" applyFont="1" applyFill="1" applyBorder="1" applyAlignment="1">
      <alignment horizontal="center"/>
    </xf>
    <xf numFmtId="3" fontId="2" fillId="7" borderId="0" xfId="5" applyNumberFormat="1" applyFont="1" applyFill="1" applyBorder="1"/>
    <xf numFmtId="3" fontId="33" fillId="7" borderId="0" xfId="5" applyNumberFormat="1" applyFont="1" applyFill="1" applyBorder="1"/>
    <xf numFmtId="3" fontId="3" fillId="7" borderId="0" xfId="5" applyNumberFormat="1" applyFont="1" applyFill="1"/>
    <xf numFmtId="0" fontId="3" fillId="7" borderId="0" xfId="5" applyFont="1" applyFill="1"/>
    <xf numFmtId="3" fontId="95" fillId="0" borderId="4" xfId="5" applyNumberFormat="1" applyFont="1" applyBorder="1"/>
    <xf numFmtId="0" fontId="33" fillId="7" borderId="9" xfId="5" applyFont="1" applyFill="1" applyBorder="1" applyAlignment="1">
      <alignment vertical="center" wrapText="1"/>
    </xf>
    <xf numFmtId="3" fontId="3" fillId="7" borderId="21" xfId="5" applyNumberFormat="1" applyFont="1" applyFill="1" applyBorder="1" applyAlignment="1">
      <alignment horizontal="center"/>
    </xf>
    <xf numFmtId="3" fontId="3" fillId="7" borderId="17" xfId="5" applyNumberFormat="1" applyFont="1" applyFill="1" applyBorder="1" applyAlignment="1">
      <alignment horizontal="center"/>
    </xf>
    <xf numFmtId="3" fontId="2" fillId="7" borderId="4" xfId="5" applyNumberFormat="1" applyFont="1" applyFill="1" applyBorder="1"/>
    <xf numFmtId="3" fontId="3" fillId="7" borderId="12" xfId="5" applyNumberFormat="1" applyFont="1" applyFill="1" applyBorder="1" applyAlignment="1">
      <alignment horizontal="center"/>
    </xf>
    <xf numFmtId="3" fontId="33" fillId="7" borderId="43" xfId="5" applyNumberFormat="1" applyFont="1" applyFill="1" applyBorder="1"/>
    <xf numFmtId="3" fontId="33" fillId="7" borderId="0" xfId="5" applyNumberFormat="1" applyFont="1" applyFill="1"/>
    <xf numFmtId="3" fontId="33" fillId="7" borderId="21" xfId="5" applyNumberFormat="1" applyFont="1" applyFill="1" applyBorder="1"/>
    <xf numFmtId="3" fontId="33" fillId="7" borderId="17" xfId="5" applyNumberFormat="1" applyFont="1" applyFill="1" applyBorder="1"/>
    <xf numFmtId="3" fontId="33" fillId="7" borderId="4" xfId="5" applyNumberFormat="1" applyFont="1" applyFill="1" applyBorder="1"/>
    <xf numFmtId="4" fontId="33" fillId="7" borderId="21" xfId="5" applyNumberFormat="1" applyFont="1" applyFill="1" applyBorder="1"/>
    <xf numFmtId="3" fontId="33" fillId="7" borderId="12" xfId="5" applyNumberFormat="1" applyFont="1" applyFill="1" applyBorder="1"/>
    <xf numFmtId="4" fontId="33" fillId="7" borderId="12" xfId="5" applyNumberFormat="1" applyFont="1" applyFill="1" applyBorder="1"/>
    <xf numFmtId="0" fontId="33" fillId="7" borderId="0" xfId="5" applyFont="1" applyFill="1"/>
    <xf numFmtId="0" fontId="35" fillId="7" borderId="9" xfId="5" applyFont="1" applyFill="1" applyBorder="1" applyAlignment="1">
      <alignment wrapText="1"/>
    </xf>
    <xf numFmtId="3" fontId="35" fillId="7" borderId="21" xfId="5" applyNumberFormat="1" applyFont="1" applyFill="1" applyBorder="1"/>
    <xf numFmtId="3" fontId="35" fillId="7" borderId="17" xfId="5" applyNumberFormat="1" applyFont="1" applyFill="1" applyBorder="1"/>
    <xf numFmtId="3" fontId="35" fillId="7" borderId="4" xfId="5" applyNumberFormat="1" applyFont="1" applyFill="1" applyBorder="1"/>
    <xf numFmtId="4" fontId="35" fillId="7" borderId="21" xfId="5" applyNumberFormat="1" applyFont="1" applyFill="1" applyBorder="1"/>
    <xf numFmtId="3" fontId="35" fillId="7" borderId="12" xfId="5" applyNumberFormat="1" applyFont="1" applyFill="1" applyBorder="1"/>
    <xf numFmtId="2" fontId="35" fillId="7" borderId="12" xfId="5" applyNumberFormat="1" applyFont="1" applyFill="1" applyBorder="1"/>
    <xf numFmtId="3" fontId="35" fillId="7" borderId="0" xfId="5" applyNumberFormat="1" applyFont="1" applyFill="1"/>
    <xf numFmtId="0" fontId="35" fillId="7" borderId="0" xfId="5" applyFont="1" applyFill="1"/>
    <xf numFmtId="3" fontId="96" fillId="7" borderId="4" xfId="5" applyNumberFormat="1" applyFont="1" applyFill="1" applyBorder="1"/>
    <xf numFmtId="49" fontId="21" fillId="0" borderId="0" xfId="5" applyNumberFormat="1" applyAlignment="1">
      <alignment horizontal="left"/>
    </xf>
    <xf numFmtId="0" fontId="21" fillId="0" borderId="0" xfId="5" applyAlignment="1">
      <alignment horizontal="left"/>
    </xf>
    <xf numFmtId="49" fontId="33" fillId="5" borderId="17" xfId="5" applyNumberFormat="1" applyFont="1" applyFill="1" applyBorder="1" applyAlignment="1">
      <alignment horizontal="left" vertical="center"/>
    </xf>
    <xf numFmtId="0" fontId="33" fillId="5" borderId="17" xfId="5" applyFont="1" applyFill="1" applyBorder="1" applyAlignment="1">
      <alignment horizontal="left"/>
    </xf>
    <xf numFmtId="0" fontId="3" fillId="7" borderId="0" xfId="5" applyFont="1" applyFill="1" applyBorder="1" applyAlignment="1">
      <alignment horizontal="left"/>
    </xf>
    <xf numFmtId="3" fontId="0" fillId="0" borderId="104" xfId="0" applyNumberFormat="1" applyBorder="1"/>
    <xf numFmtId="3" fontId="0" fillId="6" borderId="124" xfId="0" applyNumberFormat="1" applyFill="1" applyBorder="1"/>
    <xf numFmtId="0" fontId="0" fillId="0" borderId="127" xfId="0" applyBorder="1" applyAlignment="1">
      <alignment horizontal="left"/>
    </xf>
    <xf numFmtId="3" fontId="0" fillId="6" borderId="127" xfId="0" applyNumberFormat="1" applyFill="1" applyBorder="1"/>
    <xf numFmtId="0" fontId="0" fillId="0" borderId="72" xfId="0" applyBorder="1" applyAlignment="1">
      <alignment horizontal="center"/>
    </xf>
    <xf numFmtId="0" fontId="0" fillId="0" borderId="123" xfId="0" applyBorder="1" applyAlignment="1">
      <alignment horizontal="left"/>
    </xf>
    <xf numFmtId="3" fontId="0" fillId="6" borderId="123" xfId="0" applyNumberFormat="1" applyFill="1" applyBorder="1"/>
    <xf numFmtId="0" fontId="0" fillId="0" borderId="103" xfId="0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33" fillId="0" borderId="35" xfId="0" applyFont="1" applyFill="1" applyBorder="1"/>
    <xf numFmtId="0" fontId="27" fillId="0" borderId="0" xfId="6" applyFont="1" applyAlignment="1">
      <alignment horizontal="center" vertical="center"/>
    </xf>
    <xf numFmtId="0" fontId="97" fillId="0" borderId="0" xfId="6" applyFont="1" applyAlignment="1">
      <alignment vertical="center"/>
    </xf>
    <xf numFmtId="0" fontId="22" fillId="0" borderId="0" xfId="6" applyFont="1" applyAlignment="1">
      <alignment horizontal="center" vertical="center" wrapText="1"/>
    </xf>
    <xf numFmtId="0" fontId="26" fillId="0" borderId="17" xfId="6" applyFont="1" applyBorder="1" applyAlignment="1">
      <alignment horizontal="center" vertical="center" wrapText="1"/>
    </xf>
    <xf numFmtId="0" fontId="27" fillId="0" borderId="17" xfId="6" applyFont="1" applyBorder="1" applyAlignment="1">
      <alignment horizontal="center" vertical="center"/>
    </xf>
    <xf numFmtId="3" fontId="27" fillId="0" borderId="17" xfId="6" applyNumberFormat="1" applyFont="1" applyBorder="1" applyAlignment="1">
      <alignment horizontal="center" vertical="center" wrapText="1"/>
    </xf>
    <xf numFmtId="3" fontId="27" fillId="0" borderId="4" xfId="6" applyNumberFormat="1" applyFont="1" applyBorder="1" applyAlignment="1">
      <alignment horizontal="center" vertical="center" wrapText="1"/>
    </xf>
    <xf numFmtId="0" fontId="27" fillId="0" borderId="21" xfId="6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97" fillId="7" borderId="17" xfId="6" applyNumberFormat="1" applyFont="1" applyFill="1" applyBorder="1" applyAlignment="1">
      <alignment horizontal="right" vertical="center" wrapText="1"/>
    </xf>
    <xf numFmtId="3" fontId="97" fillId="0" borderId="17" xfId="6" applyNumberFormat="1" applyFont="1" applyBorder="1" applyAlignment="1">
      <alignment horizontal="right" vertical="center" wrapText="1"/>
    </xf>
    <xf numFmtId="3" fontId="22" fillId="0" borderId="4" xfId="6" applyNumberFormat="1" applyFont="1" applyBorder="1" applyAlignment="1">
      <alignment horizontal="right" vertical="center" wrapText="1"/>
    </xf>
    <xf numFmtId="3" fontId="97" fillId="0" borderId="17" xfId="6" applyNumberFormat="1" applyFont="1" applyBorder="1" applyAlignment="1">
      <alignment horizontal="right" vertical="center"/>
    </xf>
    <xf numFmtId="3" fontId="97" fillId="0" borderId="17" xfId="6" applyNumberFormat="1" applyFont="1" applyFill="1" applyBorder="1" applyAlignment="1">
      <alignment horizontal="right" vertical="center" wrapText="1"/>
    </xf>
    <xf numFmtId="3" fontId="20" fillId="0" borderId="73" xfId="0" applyNumberFormat="1" applyFont="1" applyFill="1" applyBorder="1" applyAlignment="1">
      <alignment horizontal="right" vertical="center"/>
    </xf>
    <xf numFmtId="3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/>
    </xf>
    <xf numFmtId="0" fontId="27" fillId="0" borderId="17" xfId="0" applyFont="1" applyBorder="1" applyAlignment="1">
      <alignment horizontal="center" vertical="center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12" fillId="0" borderId="25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3" fontId="12" fillId="0" borderId="128" xfId="0" applyNumberFormat="1" applyFont="1" applyFill="1" applyBorder="1" applyAlignment="1">
      <alignment vertical="center"/>
    </xf>
    <xf numFmtId="0" fontId="14" fillId="0" borderId="18" xfId="0" applyFont="1" applyFill="1" applyBorder="1" applyAlignment="1">
      <alignment horizontal="right" vertical="center"/>
    </xf>
    <xf numFmtId="3" fontId="46" fillId="0" borderId="3" xfId="0" applyNumberFormat="1" applyFont="1" applyFill="1" applyBorder="1" applyAlignment="1">
      <alignment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1" fillId="0" borderId="11" xfId="5" applyNumberFormat="1" applyBorder="1"/>
    <xf numFmtId="4" fontId="21" fillId="0" borderId="12" xfId="5" applyNumberFormat="1" applyBorder="1"/>
    <xf numFmtId="0" fontId="28" fillId="0" borderId="4" xfId="5" applyFont="1" applyBorder="1" applyAlignment="1">
      <alignment wrapText="1"/>
    </xf>
    <xf numFmtId="0" fontId="16" fillId="11" borderId="0" xfId="0" applyFont="1" applyFill="1" applyAlignment="1">
      <alignment vertical="center"/>
    </xf>
    <xf numFmtId="0" fontId="17" fillId="11" borderId="17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3" fontId="87" fillId="11" borderId="17" xfId="0" applyNumberFormat="1" applyFont="1" applyFill="1" applyBorder="1"/>
    <xf numFmtId="3" fontId="19" fillId="11" borderId="17" xfId="0" applyNumberFormat="1" applyFont="1" applyFill="1" applyBorder="1"/>
    <xf numFmtId="3" fontId="50" fillId="11" borderId="17" xfId="0" applyNumberFormat="1" applyFont="1" applyFill="1" applyBorder="1"/>
    <xf numFmtId="3" fontId="74" fillId="11" borderId="17" xfId="0" applyNumberFormat="1" applyFont="1" applyFill="1" applyBorder="1"/>
    <xf numFmtId="3" fontId="71" fillId="11" borderId="17" xfId="0" applyNumberFormat="1" applyFont="1" applyFill="1" applyBorder="1"/>
    <xf numFmtId="3" fontId="72" fillId="11" borderId="17" xfId="0" applyNumberFormat="1" applyFont="1" applyFill="1" applyBorder="1"/>
    <xf numFmtId="3" fontId="0" fillId="11" borderId="17" xfId="0" applyNumberFormat="1" applyFill="1" applyBorder="1"/>
    <xf numFmtId="3" fontId="51" fillId="11" borderId="17" xfId="0" applyNumberFormat="1" applyFont="1" applyFill="1" applyBorder="1"/>
    <xf numFmtId="0" fontId="0" fillId="11" borderId="0" xfId="0" applyFill="1"/>
    <xf numFmtId="0" fontId="8" fillId="11" borderId="0" xfId="0" applyFont="1" applyFill="1" applyAlignment="1">
      <alignment vertical="center"/>
    </xf>
    <xf numFmtId="3" fontId="85" fillId="11" borderId="17" xfId="0" applyNumberFormat="1" applyFont="1" applyFill="1" applyBorder="1"/>
    <xf numFmtId="0" fontId="27" fillId="11" borderId="0" xfId="2" applyFont="1" applyFill="1" applyAlignment="1">
      <alignment horizontal="center"/>
    </xf>
    <xf numFmtId="0" fontId="23" fillId="11" borderId="0" xfId="2" applyFont="1" applyFill="1"/>
    <xf numFmtId="49" fontId="6" fillId="11" borderId="21" xfId="4" applyNumberFormat="1" applyFont="1" applyFill="1" applyBorder="1" applyAlignment="1">
      <alignment horizontal="center" vertical="center"/>
    </xf>
    <xf numFmtId="0" fontId="5" fillId="11" borderId="17" xfId="4" applyFont="1" applyFill="1" applyBorder="1" applyAlignment="1">
      <alignment vertical="center" wrapText="1"/>
    </xf>
    <xf numFmtId="3" fontId="4" fillId="11" borderId="2" xfId="4" applyNumberFormat="1" applyFont="1" applyFill="1" applyBorder="1" applyAlignment="1">
      <alignment vertical="center"/>
    </xf>
    <xf numFmtId="3" fontId="4" fillId="11" borderId="45" xfId="4" applyNumberFormat="1" applyFont="1" applyFill="1" applyBorder="1" applyAlignment="1">
      <alignment vertical="center"/>
    </xf>
    <xf numFmtId="3" fontId="4" fillId="11" borderId="47" xfId="4" applyNumberFormat="1" applyFont="1" applyFill="1" applyBorder="1" applyAlignment="1">
      <alignment vertical="center"/>
    </xf>
    <xf numFmtId="3" fontId="4" fillId="11" borderId="1" xfId="4" applyNumberFormat="1" applyFont="1" applyFill="1" applyBorder="1" applyAlignment="1">
      <alignment vertical="center" wrapText="1"/>
    </xf>
    <xf numFmtId="3" fontId="4" fillId="11" borderId="72" xfId="4" applyNumberFormat="1" applyFont="1" applyFill="1" applyBorder="1" applyAlignment="1">
      <alignment vertical="center" wrapText="1"/>
    </xf>
    <xf numFmtId="3" fontId="5" fillId="11" borderId="43" xfId="4" applyNumberFormat="1" applyFont="1" applyFill="1" applyBorder="1" applyAlignment="1">
      <alignment vertical="center"/>
    </xf>
    <xf numFmtId="3" fontId="4" fillId="11" borderId="22" xfId="4" applyNumberFormat="1" applyFont="1" applyFill="1" applyBorder="1" applyAlignment="1">
      <alignment vertical="center" wrapText="1"/>
    </xf>
    <xf numFmtId="3" fontId="4" fillId="11" borderId="21" xfId="4" applyNumberFormat="1" applyFont="1" applyFill="1" applyBorder="1" applyAlignment="1">
      <alignment vertical="center" wrapText="1"/>
    </xf>
    <xf numFmtId="3" fontId="4" fillId="11" borderId="17" xfId="4" applyNumberFormat="1" applyFont="1" applyFill="1" applyBorder="1" applyAlignment="1">
      <alignment vertical="center" wrapText="1"/>
    </xf>
    <xf numFmtId="3" fontId="4" fillId="11" borderId="4" xfId="4" applyNumberFormat="1" applyFont="1" applyFill="1" applyBorder="1" applyAlignment="1">
      <alignment vertical="center" wrapText="1"/>
    </xf>
    <xf numFmtId="3" fontId="4" fillId="11" borderId="73" xfId="4" applyNumberFormat="1" applyFont="1" applyFill="1" applyBorder="1" applyAlignment="1">
      <alignment vertical="center" wrapText="1"/>
    </xf>
    <xf numFmtId="49" fontId="6" fillId="11" borderId="57" xfId="4" applyNumberFormat="1" applyFont="1" applyFill="1" applyBorder="1" applyAlignment="1">
      <alignment horizontal="center" vertical="center"/>
    </xf>
    <xf numFmtId="0" fontId="5" fillId="11" borderId="29" xfId="4" applyFont="1" applyFill="1" applyBorder="1" applyAlignment="1">
      <alignment vertical="center" wrapText="1"/>
    </xf>
    <xf numFmtId="3" fontId="4" fillId="11" borderId="57" xfId="4" applyNumberFormat="1" applyFont="1" applyFill="1" applyBorder="1" applyAlignment="1">
      <alignment vertical="center" wrapText="1"/>
    </xf>
    <xf numFmtId="3" fontId="4" fillId="11" borderId="29" xfId="4" applyNumberFormat="1" applyFont="1" applyFill="1" applyBorder="1" applyAlignment="1">
      <alignment vertical="center" wrapText="1"/>
    </xf>
    <xf numFmtId="3" fontId="4" fillId="11" borderId="28" xfId="4" applyNumberFormat="1" applyFont="1" applyFill="1" applyBorder="1" applyAlignment="1">
      <alignment vertical="center" wrapText="1"/>
    </xf>
    <xf numFmtId="0" fontId="0" fillId="11" borderId="0" xfId="0" applyFill="1" applyBorder="1"/>
    <xf numFmtId="0" fontId="33" fillId="11" borderId="74" xfId="3" applyFont="1" applyFill="1" applyBorder="1" applyAlignment="1">
      <alignment horizontal="center"/>
    </xf>
    <xf numFmtId="0" fontId="33" fillId="11" borderId="16" xfId="3" applyFont="1" applyFill="1" applyBorder="1"/>
    <xf numFmtId="0" fontId="2" fillId="11" borderId="75" xfId="4" applyFont="1" applyFill="1" applyBorder="1" applyAlignment="1">
      <alignment horizontal="center" vertical="center" wrapText="1"/>
    </xf>
    <xf numFmtId="0" fontId="33" fillId="11" borderId="96" xfId="3" applyFont="1" applyFill="1" applyBorder="1" applyAlignment="1">
      <alignment horizontal="center"/>
    </xf>
    <xf numFmtId="0" fontId="33" fillId="11" borderId="13" xfId="3" applyFont="1" applyFill="1" applyBorder="1"/>
    <xf numFmtId="0" fontId="2" fillId="11" borderId="16" xfId="4" applyFont="1" applyFill="1" applyBorder="1" applyAlignment="1">
      <alignment horizontal="center" vertical="center" wrapText="1"/>
    </xf>
    <xf numFmtId="0" fontId="33" fillId="11" borderId="76" xfId="3" applyFont="1" applyFill="1" applyBorder="1" applyAlignment="1">
      <alignment horizontal="center"/>
    </xf>
    <xf numFmtId="0" fontId="33" fillId="11" borderId="52" xfId="3" applyFont="1" applyFill="1" applyBorder="1"/>
    <xf numFmtId="0" fontId="2" fillId="11" borderId="78" xfId="4" applyFont="1" applyFill="1" applyBorder="1" applyAlignment="1">
      <alignment horizontal="center" vertical="center" wrapText="1"/>
    </xf>
    <xf numFmtId="0" fontId="28" fillId="11" borderId="79" xfId="3" applyFill="1" applyBorder="1"/>
    <xf numFmtId="0" fontId="28" fillId="11" borderId="0" xfId="3" applyFill="1" applyBorder="1"/>
    <xf numFmtId="0" fontId="28" fillId="11" borderId="58" xfId="3" applyFill="1" applyBorder="1"/>
    <xf numFmtId="0" fontId="28" fillId="11" borderId="0" xfId="3" applyFill="1"/>
    <xf numFmtId="0" fontId="28" fillId="11" borderId="82" xfId="3" applyFill="1" applyBorder="1"/>
    <xf numFmtId="3" fontId="35" fillId="11" borderId="42" xfId="3" applyNumberFormat="1" applyFont="1" applyFill="1" applyBorder="1"/>
    <xf numFmtId="3" fontId="35" fillId="11" borderId="0" xfId="3" applyNumberFormat="1" applyFont="1" applyFill="1" applyBorder="1"/>
    <xf numFmtId="0" fontId="28" fillId="11" borderId="109" xfId="3" applyFill="1" applyBorder="1"/>
    <xf numFmtId="0" fontId="28" fillId="11" borderId="85" xfId="3" applyFill="1" applyBorder="1"/>
    <xf numFmtId="0" fontId="63" fillId="11" borderId="82" xfId="3" applyFont="1" applyFill="1" applyBorder="1" applyAlignment="1">
      <alignment horizontal="right" vertical="center"/>
    </xf>
    <xf numFmtId="3" fontId="90" fillId="11" borderId="0" xfId="3" applyNumberFormat="1" applyFont="1" applyFill="1" applyBorder="1"/>
    <xf numFmtId="3" fontId="35" fillId="11" borderId="0" xfId="3" applyNumberFormat="1" applyFont="1" applyFill="1"/>
    <xf numFmtId="3" fontId="35" fillId="11" borderId="58" xfId="3" applyNumberFormat="1" applyFont="1" applyFill="1" applyBorder="1"/>
    <xf numFmtId="3" fontId="35" fillId="11" borderId="85" xfId="3" applyNumberFormat="1" applyFont="1" applyFill="1" applyBorder="1"/>
    <xf numFmtId="3" fontId="35" fillId="11" borderId="79" xfId="3" applyNumberFormat="1" applyFont="1" applyFill="1" applyBorder="1"/>
    <xf numFmtId="3" fontId="63" fillId="11" borderId="82" xfId="3" applyNumberFormat="1" applyFont="1" applyFill="1" applyBorder="1" applyAlignment="1">
      <alignment horizontal="right" vertical="center"/>
    </xf>
    <xf numFmtId="3" fontId="33" fillId="11" borderId="58" xfId="3" applyNumberFormat="1" applyFont="1" applyFill="1" applyBorder="1" applyAlignment="1">
      <alignment horizontal="right"/>
    </xf>
    <xf numFmtId="3" fontId="33" fillId="11" borderId="0" xfId="3" applyNumberFormat="1" applyFont="1" applyFill="1" applyBorder="1"/>
    <xf numFmtId="3" fontId="33" fillId="11" borderId="82" xfId="3" applyNumberFormat="1" applyFont="1" applyFill="1" applyBorder="1"/>
    <xf numFmtId="0" fontId="28" fillId="11" borderId="35" xfId="3" applyFill="1" applyBorder="1"/>
    <xf numFmtId="3" fontId="28" fillId="11" borderId="0" xfId="3" applyNumberFormat="1" applyFill="1" applyBorder="1"/>
    <xf numFmtId="3" fontId="63" fillId="11" borderId="0" xfId="3" applyNumberFormat="1" applyFont="1" applyFill="1" applyBorder="1"/>
    <xf numFmtId="3" fontId="63" fillId="11" borderId="58" xfId="3" applyNumberFormat="1" applyFont="1" applyFill="1" applyBorder="1"/>
    <xf numFmtId="3" fontId="63" fillId="11" borderId="85" xfId="3" applyNumberFormat="1" applyFont="1" applyFill="1" applyBorder="1"/>
    <xf numFmtId="3" fontId="63" fillId="11" borderId="95" xfId="3" applyNumberFormat="1" applyFont="1" applyFill="1" applyBorder="1"/>
    <xf numFmtId="3" fontId="63" fillId="11" borderId="82" xfId="3" applyNumberFormat="1" applyFont="1" applyFill="1" applyBorder="1"/>
    <xf numFmtId="0" fontId="64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0" xfId="0" applyFill="1" applyBorder="1" applyAlignment="1">
      <alignment horizontal="right"/>
    </xf>
    <xf numFmtId="3" fontId="28" fillId="11" borderId="42" xfId="3" applyNumberFormat="1" applyFill="1" applyBorder="1"/>
    <xf numFmtId="0" fontId="35" fillId="11" borderId="42" xfId="3" applyFont="1" applyFill="1" applyBorder="1"/>
    <xf numFmtId="3" fontId="63" fillId="11" borderId="0" xfId="3" applyNumberFormat="1" applyFont="1" applyFill="1" applyBorder="1" applyAlignment="1">
      <alignment horizontal="right" vertical="center"/>
    </xf>
    <xf numFmtId="3" fontId="63" fillId="11" borderId="58" xfId="3" applyNumberFormat="1" applyFont="1" applyFill="1" applyBorder="1" applyAlignment="1">
      <alignment horizontal="right" vertical="center"/>
    </xf>
    <xf numFmtId="3" fontId="63" fillId="11" borderId="79" xfId="3" applyNumberFormat="1" applyFont="1" applyFill="1" applyBorder="1"/>
    <xf numFmtId="0" fontId="35" fillId="11" borderId="0" xfId="3" applyFont="1" applyFill="1" applyBorder="1"/>
    <xf numFmtId="0" fontId="64" fillId="11" borderId="83" xfId="3" applyFont="1" applyFill="1" applyBorder="1" applyAlignment="1">
      <alignment horizontal="right"/>
    </xf>
    <xf numFmtId="0" fontId="0" fillId="11" borderId="31" xfId="0" applyFill="1" applyBorder="1" applyAlignment="1">
      <alignment horizontal="right"/>
    </xf>
    <xf numFmtId="3" fontId="33" fillId="11" borderId="104" xfId="3" applyNumberFormat="1" applyFont="1" applyFill="1" applyBorder="1" applyAlignment="1">
      <alignment horizontal="right"/>
    </xf>
    <xf numFmtId="3" fontId="33" fillId="11" borderId="31" xfId="3" applyNumberFormat="1" applyFont="1" applyFill="1" applyBorder="1"/>
    <xf numFmtId="3" fontId="33" fillId="11" borderId="84" xfId="3" applyNumberFormat="1" applyFont="1" applyFill="1" applyBorder="1"/>
    <xf numFmtId="0" fontId="90" fillId="11" borderId="83" xfId="3" applyFont="1" applyFill="1" applyBorder="1" applyAlignment="1">
      <alignment horizontal="left"/>
    </xf>
    <xf numFmtId="0" fontId="90" fillId="11" borderId="31" xfId="3" applyFont="1" applyFill="1" applyBorder="1" applyAlignment="1">
      <alignment horizontal="left"/>
    </xf>
    <xf numFmtId="3" fontId="90" fillId="11" borderId="86" xfId="3" applyNumberFormat="1" applyFont="1" applyFill="1" applyBorder="1" applyAlignment="1"/>
    <xf numFmtId="3" fontId="34" fillId="11" borderId="124" xfId="3" applyNumberFormat="1" applyFont="1" applyFill="1" applyBorder="1" applyAlignment="1">
      <alignment horizontal="right" vertical="center"/>
    </xf>
    <xf numFmtId="3" fontId="90" fillId="11" borderId="86" xfId="3" applyNumberFormat="1" applyFont="1" applyFill="1" applyBorder="1"/>
    <xf numFmtId="0" fontId="28" fillId="11" borderId="141" xfId="3" applyFill="1" applyBorder="1"/>
    <xf numFmtId="0" fontId="28" fillId="11" borderId="31" xfId="3" applyFill="1" applyBorder="1"/>
    <xf numFmtId="3" fontId="34" fillId="11" borderId="150" xfId="3" applyNumberFormat="1" applyFont="1" applyFill="1" applyBorder="1" applyAlignment="1">
      <alignment vertical="center"/>
    </xf>
    <xf numFmtId="3" fontId="63" fillId="11" borderId="83" xfId="3" applyNumberFormat="1" applyFont="1" applyFill="1" applyBorder="1" applyAlignment="1">
      <alignment horizontal="right" vertical="center"/>
    </xf>
    <xf numFmtId="3" fontId="63" fillId="11" borderId="104" xfId="3" applyNumberFormat="1" applyFont="1" applyFill="1" applyBorder="1" applyAlignment="1">
      <alignment horizontal="right" vertical="center"/>
    </xf>
    <xf numFmtId="3" fontId="63" fillId="11" borderId="126" xfId="3" applyNumberFormat="1" applyFont="1" applyFill="1" applyBorder="1"/>
    <xf numFmtId="3" fontId="63" fillId="11" borderId="83" xfId="3" applyNumberFormat="1" applyFont="1" applyFill="1" applyBorder="1"/>
    <xf numFmtId="3" fontId="63" fillId="11" borderId="104" xfId="3" applyNumberFormat="1" applyFont="1" applyFill="1" applyBorder="1"/>
    <xf numFmtId="3" fontId="63" fillId="11" borderId="84" xfId="3" applyNumberFormat="1" applyFont="1" applyFill="1" applyBorder="1" applyAlignment="1">
      <alignment horizontal="right" vertical="center"/>
    </xf>
    <xf numFmtId="0" fontId="90" fillId="11" borderId="79" xfId="3" applyFont="1" applyFill="1" applyBorder="1" applyAlignment="1">
      <alignment horizontal="left"/>
    </xf>
    <xf numFmtId="0" fontId="90" fillId="11" borderId="0" xfId="3" applyFont="1" applyFill="1" applyBorder="1" applyAlignment="1">
      <alignment horizontal="left"/>
    </xf>
    <xf numFmtId="3" fontId="90" fillId="11" borderId="0" xfId="3" applyNumberFormat="1" applyFont="1" applyFill="1" applyBorder="1" applyAlignment="1"/>
    <xf numFmtId="3" fontId="34" fillId="11" borderId="34" xfId="3" applyNumberFormat="1" applyFont="1" applyFill="1" applyBorder="1" applyAlignment="1">
      <alignment horizontal="right" vertical="center"/>
    </xf>
    <xf numFmtId="3" fontId="90" fillId="11" borderId="0" xfId="3" applyNumberFormat="1" applyFont="1" applyFill="1"/>
    <xf numFmtId="3" fontId="34" fillId="11" borderId="109" xfId="3" applyNumberFormat="1" applyFont="1" applyFill="1" applyBorder="1" applyAlignment="1">
      <alignment vertical="center"/>
    </xf>
    <xf numFmtId="3" fontId="33" fillId="7" borderId="131" xfId="0" applyNumberFormat="1" applyFont="1" applyFill="1" applyBorder="1"/>
    <xf numFmtId="3" fontId="0" fillId="0" borderId="70" xfId="0" applyNumberFormat="1" applyBorder="1"/>
    <xf numFmtId="3" fontId="0" fillId="0" borderId="160" xfId="0" applyNumberFormat="1" applyBorder="1"/>
    <xf numFmtId="3" fontId="0" fillId="0" borderId="103" xfId="0" applyNumberFormat="1" applyBorder="1"/>
    <xf numFmtId="0" fontId="33" fillId="0" borderId="12" xfId="0" applyFont="1" applyBorder="1"/>
    <xf numFmtId="0" fontId="28" fillId="0" borderId="12" xfId="0" applyFont="1" applyBorder="1"/>
    <xf numFmtId="0" fontId="28" fillId="0" borderId="23" xfId="0" applyFont="1" applyBorder="1"/>
    <xf numFmtId="0" fontId="33" fillId="0" borderId="151" xfId="0" applyFont="1" applyBorder="1"/>
    <xf numFmtId="0" fontId="25" fillId="0" borderId="43" xfId="0" applyFont="1" applyFill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18" fillId="0" borderId="17" xfId="0" applyFont="1" applyFill="1" applyBorder="1" applyAlignment="1">
      <alignment horizontal="center" vertical="center"/>
    </xf>
    <xf numFmtId="0" fontId="98" fillId="0" borderId="45" xfId="0" applyFont="1" applyBorder="1" applyAlignment="1">
      <alignment horizontal="center" vertical="center" wrapText="1"/>
    </xf>
    <xf numFmtId="0" fontId="98" fillId="0" borderId="47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98" fillId="0" borderId="28" xfId="0" applyNumberFormat="1" applyFont="1" applyBorder="1" applyAlignment="1">
      <alignment horizontal="center" vertical="center"/>
    </xf>
    <xf numFmtId="0" fontId="0" fillId="0" borderId="25" xfId="0" applyBorder="1"/>
    <xf numFmtId="0" fontId="99" fillId="0" borderId="0" xfId="0" applyFont="1" applyBorder="1"/>
    <xf numFmtId="0" fontId="99" fillId="0" borderId="0" xfId="0" applyFont="1"/>
    <xf numFmtId="0" fontId="101" fillId="0" borderId="0" xfId="0" applyFont="1" applyBorder="1"/>
    <xf numFmtId="0" fontId="101" fillId="0" borderId="0" xfId="0" applyFont="1"/>
    <xf numFmtId="0" fontId="19" fillId="0" borderId="17" xfId="0" applyFont="1" applyBorder="1" applyAlignment="1">
      <alignment horizontal="left"/>
    </xf>
    <xf numFmtId="0" fontId="87" fillId="0" borderId="17" xfId="0" applyFont="1" applyBorder="1" applyAlignment="1">
      <alignment horizontal="left"/>
    </xf>
    <xf numFmtId="0" fontId="50" fillId="0" borderId="17" xfId="0" applyFont="1" applyBorder="1" applyAlignment="1">
      <alignment horizontal="left" wrapText="1"/>
    </xf>
    <xf numFmtId="0" fontId="51" fillId="0" borderId="17" xfId="0" applyFont="1" applyBorder="1" applyAlignment="1">
      <alignment horizontal="left"/>
    </xf>
    <xf numFmtId="0" fontId="12" fillId="0" borderId="9" xfId="0" applyFont="1" applyFill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 wrapText="1"/>
    </xf>
    <xf numFmtId="0" fontId="92" fillId="0" borderId="12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0" fillId="0" borderId="9" xfId="0" applyFont="1" applyBorder="1" applyAlignment="1">
      <alignment horizontal="left"/>
    </xf>
    <xf numFmtId="0" fontId="50" fillId="0" borderId="12" xfId="0" applyFont="1" applyBorder="1" applyAlignment="1">
      <alignment horizontal="left"/>
    </xf>
    <xf numFmtId="0" fontId="50" fillId="0" borderId="9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0" fontId="85" fillId="0" borderId="17" xfId="0" applyFont="1" applyBorder="1" applyAlignment="1">
      <alignment horizontal="left"/>
    </xf>
    <xf numFmtId="0" fontId="50" fillId="0" borderId="9" xfId="0" applyFont="1" applyBorder="1" applyAlignment="1">
      <alignment horizontal="left" wrapText="1"/>
    </xf>
    <xf numFmtId="0" fontId="50" fillId="0" borderId="12" xfId="0" applyFont="1" applyBorder="1" applyAlignment="1">
      <alignment horizontal="left" wrapText="1"/>
    </xf>
    <xf numFmtId="0" fontId="19" fillId="0" borderId="9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1" xfId="0" applyFont="1" applyBorder="1" applyAlignment="1">
      <alignment horizontal="left"/>
    </xf>
    <xf numFmtId="0" fontId="51" fillId="0" borderId="12" xfId="0" applyFont="1" applyBorder="1" applyAlignment="1">
      <alignment horizontal="left"/>
    </xf>
    <xf numFmtId="0" fontId="85" fillId="0" borderId="9" xfId="0" applyFont="1" applyBorder="1" applyAlignment="1">
      <alignment horizontal="left"/>
    </xf>
    <xf numFmtId="0" fontId="85" fillId="0" borderId="11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27" fillId="0" borderId="9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2" fillId="0" borderId="0" xfId="0" applyFont="1" applyAlignment="1">
      <alignment horizontal="right"/>
    </xf>
    <xf numFmtId="0" fontId="22" fillId="11" borderId="0" xfId="2" applyFont="1" applyFill="1" applyAlignment="1">
      <alignment horizontal="center"/>
    </xf>
    <xf numFmtId="0" fontId="22" fillId="0" borderId="17" xfId="2" applyFont="1" applyBorder="1" applyAlignment="1">
      <alignment horizontal="center" vertical="center"/>
    </xf>
    <xf numFmtId="0" fontId="27" fillId="0" borderId="17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4" fillId="0" borderId="9" xfId="2" applyFont="1" applyBorder="1" applyAlignment="1">
      <alignment horizontal="right" vertical="center"/>
    </xf>
    <xf numFmtId="0" fontId="24" fillId="0" borderId="11" xfId="2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 textRotation="90"/>
    </xf>
    <xf numFmtId="49" fontId="4" fillId="0" borderId="21" xfId="0" applyNumberFormat="1" applyFont="1" applyFill="1" applyBorder="1" applyAlignment="1">
      <alignment horizontal="center" textRotation="90"/>
    </xf>
    <xf numFmtId="0" fontId="7" fillId="0" borderId="2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5" fillId="0" borderId="1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4" applyFont="1" applyFill="1" applyAlignment="1">
      <alignment horizontal="right" vertical="center"/>
    </xf>
    <xf numFmtId="0" fontId="1" fillId="0" borderId="0" xfId="4" applyAlignment="1">
      <alignment horizontal="right"/>
    </xf>
    <xf numFmtId="0" fontId="3" fillId="0" borderId="124" xfId="4" applyFont="1" applyFill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3" fillId="0" borderId="125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5" fillId="0" borderId="86" xfId="4" applyFont="1" applyFill="1" applyBorder="1" applyAlignment="1">
      <alignment horizontal="center" vertical="center" wrapText="1"/>
    </xf>
    <xf numFmtId="0" fontId="5" fillId="0" borderId="42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3" fontId="4" fillId="0" borderId="73" xfId="4" applyNumberFormat="1" applyFont="1" applyFill="1" applyBorder="1" applyAlignment="1">
      <alignment horizontal="center" vertical="center" wrapText="1"/>
    </xf>
    <xf numFmtId="3" fontId="4" fillId="0" borderId="128" xfId="4" applyNumberFormat="1" applyFont="1" applyFill="1" applyBorder="1" applyAlignment="1">
      <alignment horizontal="center" vertical="center" wrapText="1"/>
    </xf>
    <xf numFmtId="3" fontId="4" fillId="0" borderId="3" xfId="4" applyNumberFormat="1" applyFont="1" applyFill="1" applyBorder="1" applyAlignment="1">
      <alignment horizontal="center" vertical="center" wrapText="1"/>
    </xf>
    <xf numFmtId="0" fontId="59" fillId="0" borderId="123" xfId="4" applyFont="1" applyFill="1" applyBorder="1" applyAlignment="1">
      <alignment horizontal="left" vertical="center"/>
    </xf>
    <xf numFmtId="0" fontId="59" fillId="0" borderId="26" xfId="4" applyFont="1" applyFill="1" applyBorder="1" applyAlignment="1">
      <alignment horizontal="left" vertical="center"/>
    </xf>
    <xf numFmtId="0" fontId="59" fillId="0" borderId="8" xfId="4" applyFont="1" applyFill="1" applyBorder="1" applyAlignment="1">
      <alignment horizontal="left" vertical="center"/>
    </xf>
    <xf numFmtId="0" fontId="57" fillId="0" borderId="51" xfId="4" applyFont="1" applyFill="1" applyBorder="1" applyAlignment="1">
      <alignment horizontal="left" vertical="center"/>
    </xf>
    <xf numFmtId="0" fontId="57" fillId="0" borderId="106" xfId="4" applyFont="1" applyFill="1" applyBorder="1" applyAlignment="1">
      <alignment horizontal="left" vertical="center"/>
    </xf>
    <xf numFmtId="0" fontId="57" fillId="0" borderId="107" xfId="4" applyFont="1" applyFill="1" applyBorder="1" applyAlignment="1">
      <alignment horizontal="left" vertical="center"/>
    </xf>
    <xf numFmtId="0" fontId="5" fillId="0" borderId="104" xfId="4" applyFont="1" applyFill="1" applyBorder="1" applyAlignment="1">
      <alignment horizontal="center" vertical="center"/>
    </xf>
    <xf numFmtId="0" fontId="5" fillId="0" borderId="58" xfId="4" applyFont="1" applyFill="1" applyBorder="1" applyAlignment="1">
      <alignment horizontal="center" vertical="center"/>
    </xf>
    <xf numFmtId="0" fontId="5" fillId="0" borderId="74" xfId="4" applyFont="1" applyFill="1" applyBorder="1" applyAlignment="1">
      <alignment horizontal="center" vertical="center"/>
    </xf>
    <xf numFmtId="49" fontId="5" fillId="0" borderId="127" xfId="4" applyNumberFormat="1" applyFont="1" applyFill="1" applyBorder="1" applyAlignment="1">
      <alignment horizontal="center" vertical="center"/>
    </xf>
    <xf numFmtId="49" fontId="5" fillId="0" borderId="66" xfId="4" applyNumberFormat="1" applyFont="1" applyFill="1" applyBorder="1" applyAlignment="1">
      <alignment horizontal="center" vertical="center"/>
    </xf>
    <xf numFmtId="49" fontId="5" fillId="0" borderId="130" xfId="4" applyNumberFormat="1" applyFont="1" applyFill="1" applyBorder="1" applyAlignment="1">
      <alignment horizontal="center" vertical="center"/>
    </xf>
    <xf numFmtId="0" fontId="51" fillId="0" borderId="106" xfId="4" applyFont="1" applyFill="1" applyBorder="1" applyAlignment="1">
      <alignment horizontal="center" vertical="center"/>
    </xf>
    <xf numFmtId="0" fontId="51" fillId="0" borderId="107" xfId="4" applyFont="1" applyFill="1" applyBorder="1" applyAlignment="1">
      <alignment horizontal="center" vertical="center"/>
    </xf>
    <xf numFmtId="0" fontId="52" fillId="0" borderId="131" xfId="4" applyFont="1" applyFill="1" applyBorder="1" applyAlignment="1">
      <alignment horizontal="left" vertical="center"/>
    </xf>
    <xf numFmtId="0" fontId="52" fillId="0" borderId="106" xfId="4" applyFont="1" applyFill="1" applyBorder="1" applyAlignment="1">
      <alignment horizontal="left" vertical="center"/>
    </xf>
    <xf numFmtId="0" fontId="52" fillId="0" borderId="107" xfId="4" applyFont="1" applyFill="1" applyBorder="1" applyAlignment="1">
      <alignment horizontal="left" vertical="center"/>
    </xf>
    <xf numFmtId="0" fontId="33" fillId="0" borderId="0" xfId="3" applyFont="1" applyAlignment="1">
      <alignment horizontal="center"/>
    </xf>
    <xf numFmtId="0" fontId="0" fillId="0" borderId="0" xfId="0" applyAlignment="1"/>
    <xf numFmtId="0" fontId="28" fillId="0" borderId="0" xfId="3" applyAlignment="1">
      <alignment horizontal="center"/>
    </xf>
    <xf numFmtId="0" fontId="15" fillId="11" borderId="143" xfId="4" applyFont="1" applyFill="1" applyBorder="1" applyAlignment="1">
      <alignment horizontal="center" vertical="center" wrapText="1"/>
    </xf>
    <xf numFmtId="0" fontId="0" fillId="11" borderId="144" xfId="0" applyFill="1" applyBorder="1" applyAlignment="1">
      <alignment horizontal="center" vertical="center" wrapText="1"/>
    </xf>
    <xf numFmtId="0" fontId="0" fillId="11" borderId="145" xfId="0" applyFill="1" applyBorder="1" applyAlignment="1">
      <alignment horizontal="center" vertical="center" wrapText="1"/>
    </xf>
    <xf numFmtId="0" fontId="35" fillId="11" borderId="0" xfId="3" applyFont="1" applyFill="1" applyBorder="1" applyAlignment="1">
      <alignment horizontal="left" wrapText="1"/>
    </xf>
    <xf numFmtId="0" fontId="90" fillId="11" borderId="35" xfId="3" applyFont="1" applyFill="1" applyBorder="1" applyAlignment="1">
      <alignment horizontal="left" wrapText="1"/>
    </xf>
    <xf numFmtId="0" fontId="90" fillId="11" borderId="0" xfId="3" applyFont="1" applyFill="1" applyBorder="1" applyAlignment="1">
      <alignment horizontal="left" wrapText="1"/>
    </xf>
    <xf numFmtId="0" fontId="35" fillId="11" borderId="35" xfId="3" applyFont="1" applyFill="1" applyBorder="1" applyAlignment="1">
      <alignment horizontal="left" wrapText="1"/>
    </xf>
    <xf numFmtId="0" fontId="35" fillId="11" borderId="0" xfId="3" applyFont="1" applyFill="1" applyAlignment="1">
      <alignment horizontal="left" wrapText="1"/>
    </xf>
    <xf numFmtId="0" fontId="35" fillId="0" borderId="35" xfId="3" applyFont="1" applyBorder="1" applyAlignment="1">
      <alignment horizontal="left" wrapText="1"/>
    </xf>
    <xf numFmtId="0" fontId="35" fillId="0" borderId="0" xfId="3" applyFont="1" applyBorder="1" applyAlignment="1">
      <alignment horizontal="left" wrapText="1"/>
    </xf>
    <xf numFmtId="0" fontId="59" fillId="11" borderId="132" xfId="4" applyFont="1" applyFill="1" applyBorder="1" applyAlignment="1">
      <alignment horizontal="center" vertical="center" wrapText="1"/>
    </xf>
    <xf numFmtId="0" fontId="59" fillId="11" borderId="30" xfId="4" applyFont="1" applyFill="1" applyBorder="1" applyAlignment="1">
      <alignment horizontal="center" vertical="center" wrapText="1"/>
    </xf>
    <xf numFmtId="0" fontId="59" fillId="11" borderId="147" xfId="4" applyFont="1" applyFill="1" applyBorder="1" applyAlignment="1">
      <alignment horizontal="center" vertical="center" wrapText="1"/>
    </xf>
    <xf numFmtId="0" fontId="59" fillId="11" borderId="96" xfId="4" applyFont="1" applyFill="1" applyBorder="1" applyAlignment="1">
      <alignment horizontal="center" vertical="center" wrapText="1"/>
    </xf>
    <xf numFmtId="0" fontId="59" fillId="11" borderId="16" xfId="4" applyFont="1" applyFill="1" applyBorder="1" applyAlignment="1">
      <alignment horizontal="center" vertical="center" wrapText="1"/>
    </xf>
    <xf numFmtId="0" fontId="59" fillId="11" borderId="105" xfId="4" applyFont="1" applyFill="1" applyBorder="1" applyAlignment="1">
      <alignment horizontal="center" vertical="center" wrapText="1"/>
    </xf>
    <xf numFmtId="3" fontId="34" fillId="11" borderId="109" xfId="3" applyNumberFormat="1" applyFont="1" applyFill="1" applyBorder="1" applyAlignment="1">
      <alignment horizontal="right" vertical="center"/>
    </xf>
    <xf numFmtId="0" fontId="35" fillId="11" borderId="35" xfId="3" applyFont="1" applyFill="1" applyBorder="1" applyAlignment="1">
      <alignment horizontal="left"/>
    </xf>
    <xf numFmtId="0" fontId="35" fillId="11" borderId="0" xfId="3" applyFont="1" applyFill="1" applyBorder="1" applyAlignment="1">
      <alignment horizontal="left"/>
    </xf>
    <xf numFmtId="0" fontId="35" fillId="11" borderId="79" xfId="3" applyFont="1" applyFill="1" applyBorder="1" applyAlignment="1">
      <alignment horizontal="left" wrapText="1"/>
    </xf>
    <xf numFmtId="3" fontId="34" fillId="0" borderId="150" xfId="3" applyNumberFormat="1" applyFont="1" applyBorder="1" applyAlignment="1">
      <alignment horizontal="right" vertical="center"/>
    </xf>
    <xf numFmtId="3" fontId="34" fillId="0" borderId="109" xfId="3" applyNumberFormat="1" applyFont="1" applyBorder="1" applyAlignment="1">
      <alignment horizontal="right" vertical="center"/>
    </xf>
    <xf numFmtId="3" fontId="34" fillId="0" borderId="113" xfId="3" applyNumberFormat="1" applyFont="1" applyBorder="1" applyAlignment="1">
      <alignment horizontal="right" vertical="center"/>
    </xf>
    <xf numFmtId="0" fontId="35" fillId="0" borderId="35" xfId="3" applyFont="1" applyBorder="1" applyAlignment="1">
      <alignment horizontal="left"/>
    </xf>
    <xf numFmtId="0" fontId="35" fillId="0" borderId="0" xfId="3" applyFont="1" applyBorder="1" applyAlignment="1">
      <alignment horizontal="left"/>
    </xf>
    <xf numFmtId="3" fontId="35" fillId="0" borderId="42" xfId="3" applyNumberFormat="1" applyFont="1" applyBorder="1" applyAlignment="1">
      <alignment horizontal="right"/>
    </xf>
    <xf numFmtId="0" fontId="65" fillId="0" borderId="90" xfId="3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6" xfId="0" applyBorder="1" applyAlignment="1">
      <alignment horizontal="center"/>
    </xf>
    <xf numFmtId="0" fontId="34" fillId="0" borderId="32" xfId="3" applyFont="1" applyBorder="1" applyAlignment="1"/>
    <xf numFmtId="0" fontId="34" fillId="0" borderId="32" xfId="0" applyFont="1" applyBorder="1" applyAlignment="1"/>
    <xf numFmtId="0" fontId="34" fillId="0" borderId="140" xfId="0" applyFont="1" applyBorder="1" applyAlignment="1"/>
    <xf numFmtId="0" fontId="63" fillId="0" borderId="32" xfId="3" applyFont="1" applyBorder="1" applyAlignment="1"/>
    <xf numFmtId="0" fontId="63" fillId="0" borderId="140" xfId="3" applyFont="1" applyBorder="1" applyAlignment="1"/>
    <xf numFmtId="0" fontId="28" fillId="0" borderId="0" xfId="0" applyFont="1" applyAlignment="1"/>
    <xf numFmtId="0" fontId="35" fillId="0" borderId="79" xfId="3" applyFont="1" applyBorder="1" applyAlignment="1">
      <alignment horizontal="left" wrapText="1"/>
    </xf>
    <xf numFmtId="0" fontId="64" fillId="11" borderId="152" xfId="3" applyFont="1" applyFill="1" applyBorder="1" applyAlignment="1">
      <alignment horizontal="right"/>
    </xf>
    <xf numFmtId="0" fontId="64" fillId="11" borderId="0" xfId="3" applyFont="1" applyFill="1" applyBorder="1" applyAlignment="1">
      <alignment horizontal="right"/>
    </xf>
    <xf numFmtId="0" fontId="64" fillId="11" borderId="81" xfId="3" applyFont="1" applyFill="1" applyBorder="1" applyAlignment="1">
      <alignment horizontal="right"/>
    </xf>
    <xf numFmtId="0" fontId="63" fillId="8" borderId="90" xfId="3" applyFont="1" applyFill="1" applyBorder="1" applyAlignment="1">
      <alignment wrapText="1"/>
    </xf>
    <xf numFmtId="0" fontId="77" fillId="8" borderId="33" xfId="0" applyFont="1" applyFill="1" applyBorder="1" applyAlignment="1">
      <alignment wrapText="1"/>
    </xf>
    <xf numFmtId="0" fontId="77" fillId="8" borderId="116" xfId="0" applyFont="1" applyFill="1" applyBorder="1" applyAlignment="1">
      <alignment wrapText="1"/>
    </xf>
    <xf numFmtId="0" fontId="34" fillId="8" borderId="32" xfId="3" applyFont="1" applyFill="1" applyBorder="1" applyAlignment="1"/>
    <xf numFmtId="0" fontId="34" fillId="8" borderId="32" xfId="0" applyFont="1" applyFill="1" applyBorder="1" applyAlignment="1"/>
    <xf numFmtId="0" fontId="34" fillId="8" borderId="140" xfId="0" applyFont="1" applyFill="1" applyBorder="1" applyAlignment="1"/>
    <xf numFmtId="0" fontId="63" fillId="8" borderId="120" xfId="3" applyFont="1" applyFill="1" applyBorder="1" applyAlignment="1"/>
    <xf numFmtId="0" fontId="63" fillId="8" borderId="71" xfId="3" applyFont="1" applyFill="1" applyBorder="1" applyAlignment="1"/>
    <xf numFmtId="0" fontId="15" fillId="11" borderId="148" xfId="4" applyFont="1" applyFill="1" applyBorder="1" applyAlignment="1">
      <alignment horizontal="center" vertical="center" wrapText="1"/>
    </xf>
    <xf numFmtId="0" fontId="0" fillId="11" borderId="137" xfId="0" applyFill="1" applyBorder="1" applyAlignment="1">
      <alignment horizontal="center" vertical="center" wrapText="1"/>
    </xf>
    <xf numFmtId="0" fontId="90" fillId="11" borderId="141" xfId="3" applyFont="1" applyFill="1" applyBorder="1" applyAlignment="1">
      <alignment horizontal="left" wrapText="1"/>
    </xf>
    <xf numFmtId="0" fontId="90" fillId="11" borderId="31" xfId="3" applyFont="1" applyFill="1" applyBorder="1" applyAlignment="1">
      <alignment horizontal="left" wrapText="1"/>
    </xf>
    <xf numFmtId="0" fontId="35" fillId="11" borderId="79" xfId="3" applyFont="1" applyFill="1" applyBorder="1" applyAlignment="1">
      <alignment horizontal="left"/>
    </xf>
    <xf numFmtId="0" fontId="90" fillId="11" borderId="35" xfId="3" applyFont="1" applyFill="1" applyBorder="1" applyAlignment="1">
      <alignment horizontal="left"/>
    </xf>
    <xf numFmtId="0" fontId="90" fillId="11" borderId="0" xfId="3" applyFont="1" applyFill="1" applyBorder="1" applyAlignment="1">
      <alignment horizontal="left"/>
    </xf>
    <xf numFmtId="0" fontId="64" fillId="11" borderId="79" xfId="3" applyFont="1" applyFill="1" applyBorder="1" applyAlignment="1">
      <alignment horizontal="right"/>
    </xf>
    <xf numFmtId="0" fontId="0" fillId="11" borderId="0" xfId="0" applyFill="1" applyAlignment="1">
      <alignment horizontal="right"/>
    </xf>
    <xf numFmtId="0" fontId="0" fillId="11" borderId="81" xfId="0" applyFill="1" applyBorder="1" applyAlignment="1">
      <alignment horizontal="right"/>
    </xf>
    <xf numFmtId="3" fontId="35" fillId="0" borderId="86" xfId="3" applyNumberFormat="1" applyFont="1" applyBorder="1" applyAlignment="1">
      <alignment horizontal="right"/>
    </xf>
    <xf numFmtId="3" fontId="34" fillId="0" borderId="124" xfId="3" applyNumberFormat="1" applyFont="1" applyBorder="1" applyAlignment="1">
      <alignment horizontal="right" vertical="center"/>
    </xf>
    <xf numFmtId="3" fontId="34" fillId="0" borderId="34" xfId="3" applyNumberFormat="1" applyFont="1" applyBorder="1" applyAlignment="1">
      <alignment horizontal="right" vertical="center"/>
    </xf>
    <xf numFmtId="3" fontId="34" fillId="11" borderId="124" xfId="3" applyNumberFormat="1" applyFont="1" applyFill="1" applyBorder="1" applyAlignment="1">
      <alignment horizontal="right" vertical="center"/>
    </xf>
    <xf numFmtId="3" fontId="34" fillId="11" borderId="34" xfId="3" applyNumberFormat="1" applyFont="1" applyFill="1" applyBorder="1" applyAlignment="1">
      <alignment horizontal="right" vertical="center"/>
    </xf>
    <xf numFmtId="3" fontId="34" fillId="0" borderId="125" xfId="3" applyNumberFormat="1" applyFont="1" applyBorder="1" applyAlignment="1">
      <alignment horizontal="right" vertical="center"/>
    </xf>
    <xf numFmtId="0" fontId="63" fillId="11" borderId="134" xfId="3" applyFont="1" applyFill="1" applyBorder="1" applyAlignment="1">
      <alignment horizontal="center" wrapText="1"/>
    </xf>
    <xf numFmtId="0" fontId="63" fillId="11" borderId="30" xfId="3" applyFont="1" applyFill="1" applyBorder="1" applyAlignment="1">
      <alignment horizontal="center" wrapText="1"/>
    </xf>
    <xf numFmtId="0" fontId="63" fillId="11" borderId="76" xfId="3" applyFont="1" applyFill="1" applyBorder="1" applyAlignment="1">
      <alignment horizontal="center" wrapText="1"/>
    </xf>
    <xf numFmtId="0" fontId="63" fillId="11" borderId="16" xfId="3" applyFont="1" applyFill="1" applyBorder="1" applyAlignment="1">
      <alignment horizontal="center" wrapText="1"/>
    </xf>
    <xf numFmtId="0" fontId="15" fillId="11" borderId="136" xfId="4" applyFont="1" applyFill="1" applyBorder="1" applyAlignment="1">
      <alignment horizontal="center" vertical="center" wrapText="1"/>
    </xf>
    <xf numFmtId="0" fontId="0" fillId="11" borderId="137" xfId="0" applyFill="1" applyBorder="1" applyAlignment="1"/>
    <xf numFmtId="0" fontId="0" fillId="11" borderId="138" xfId="0" applyFill="1" applyBorder="1" applyAlignment="1"/>
    <xf numFmtId="0" fontId="63" fillId="11" borderId="134" xfId="3" applyFont="1" applyFill="1" applyBorder="1" applyAlignment="1">
      <alignment horizontal="center" vertical="center"/>
    </xf>
    <xf numFmtId="0" fontId="63" fillId="11" borderId="30" xfId="3" applyFont="1" applyFill="1" applyBorder="1" applyAlignment="1">
      <alignment horizontal="center" vertical="center"/>
    </xf>
    <xf numFmtId="0" fontId="63" fillId="11" borderId="64" xfId="3" applyFont="1" applyFill="1" applyBorder="1" applyAlignment="1">
      <alignment horizontal="center" vertical="center"/>
    </xf>
    <xf numFmtId="0" fontId="63" fillId="11" borderId="76" xfId="3" applyFont="1" applyFill="1" applyBorder="1" applyAlignment="1">
      <alignment horizontal="center" vertical="center"/>
    </xf>
    <xf numFmtId="0" fontId="63" fillId="11" borderId="16" xfId="3" applyFont="1" applyFill="1" applyBorder="1" applyAlignment="1">
      <alignment horizontal="center" vertical="center"/>
    </xf>
    <xf numFmtId="0" fontId="63" fillId="11" borderId="7" xfId="3" applyFont="1" applyFill="1" applyBorder="1" applyAlignment="1">
      <alignment horizontal="center" vertical="center"/>
    </xf>
    <xf numFmtId="0" fontId="59" fillId="11" borderId="64" xfId="4" applyFont="1" applyFill="1" applyBorder="1" applyAlignment="1">
      <alignment horizontal="center" vertical="center" wrapText="1"/>
    </xf>
    <xf numFmtId="0" fontId="59" fillId="11" borderId="7" xfId="4" applyFont="1" applyFill="1" applyBorder="1" applyAlignment="1">
      <alignment horizontal="center" vertical="center" wrapText="1"/>
    </xf>
    <xf numFmtId="0" fontId="34" fillId="8" borderId="110" xfId="3" applyFont="1" applyFill="1" applyBorder="1" applyAlignment="1">
      <alignment horizontal="right"/>
    </xf>
    <xf numFmtId="0" fontId="0" fillId="8" borderId="32" xfId="0" applyFill="1" applyBorder="1" applyAlignment="1">
      <alignment horizontal="right"/>
    </xf>
    <xf numFmtId="0" fontId="0" fillId="8" borderId="139" xfId="0" applyFill="1" applyBorder="1" applyAlignment="1">
      <alignment horizontal="right"/>
    </xf>
    <xf numFmtId="0" fontId="64" fillId="0" borderId="106" xfId="3" applyFont="1" applyBorder="1" applyAlignment="1">
      <alignment horizontal="right"/>
    </xf>
    <xf numFmtId="0" fontId="64" fillId="0" borderId="151" xfId="3" applyFont="1" applyBorder="1" applyAlignment="1">
      <alignment horizontal="right"/>
    </xf>
    <xf numFmtId="0" fontId="35" fillId="0" borderId="106" xfId="3" applyFont="1" applyBorder="1" applyAlignment="1">
      <alignment horizontal="left"/>
    </xf>
    <xf numFmtId="0" fontId="63" fillId="8" borderId="32" xfId="3" applyFont="1" applyFill="1" applyBorder="1" applyAlignment="1"/>
    <xf numFmtId="0" fontId="63" fillId="8" borderId="140" xfId="3" applyFont="1" applyFill="1" applyBorder="1" applyAlignment="1"/>
    <xf numFmtId="3" fontId="34" fillId="0" borderId="85" xfId="3" applyNumberFormat="1" applyFont="1" applyBorder="1" applyAlignment="1">
      <alignment horizontal="right" vertical="center"/>
    </xf>
    <xf numFmtId="0" fontId="35" fillId="0" borderId="141" xfId="3" applyFont="1" applyBorder="1" applyAlignment="1">
      <alignment horizontal="left"/>
    </xf>
    <xf numFmtId="0" fontId="35" fillId="0" borderId="31" xfId="3" applyFont="1" applyBorder="1" applyAlignment="1">
      <alignment horizontal="left"/>
    </xf>
    <xf numFmtId="0" fontId="90" fillId="0" borderId="35" xfId="3" applyFont="1" applyBorder="1" applyAlignment="1">
      <alignment horizontal="left"/>
    </xf>
    <xf numFmtId="0" fontId="90" fillId="0" borderId="0" xfId="3" applyFont="1" applyBorder="1" applyAlignment="1">
      <alignment horizontal="left"/>
    </xf>
    <xf numFmtId="0" fontId="35" fillId="0" borderId="87" xfId="3" applyFont="1" applyBorder="1" applyAlignment="1">
      <alignment horizontal="left"/>
    </xf>
    <xf numFmtId="0" fontId="35" fillId="0" borderId="33" xfId="3" applyFont="1" applyBorder="1" applyAlignment="1">
      <alignment horizontal="left"/>
    </xf>
    <xf numFmtId="3" fontId="34" fillId="0" borderId="132" xfId="3" applyNumberFormat="1" applyFont="1" applyBorder="1" applyAlignment="1">
      <alignment horizontal="right" vertical="center"/>
    </xf>
    <xf numFmtId="3" fontId="34" fillId="0" borderId="35" xfId="3" applyNumberFormat="1" applyFont="1" applyBorder="1" applyAlignment="1">
      <alignment horizontal="right" vertical="center"/>
    </xf>
    <xf numFmtId="3" fontId="34" fillId="0" borderId="96" xfId="3" applyNumberFormat="1" applyFont="1" applyBorder="1" applyAlignment="1">
      <alignment horizontal="right" vertical="center"/>
    </xf>
    <xf numFmtId="0" fontId="90" fillId="0" borderId="96" xfId="3" applyFont="1" applyBorder="1" applyAlignment="1">
      <alignment horizontal="left"/>
    </xf>
    <xf numFmtId="0" fontId="90" fillId="0" borderId="16" xfId="3" applyFont="1" applyBorder="1" applyAlignment="1">
      <alignment horizontal="left"/>
    </xf>
    <xf numFmtId="0" fontId="34" fillId="0" borderId="125" xfId="3" applyFont="1" applyBorder="1" applyAlignment="1">
      <alignment horizontal="right" vertical="center"/>
    </xf>
    <xf numFmtId="0" fontId="35" fillId="0" borderId="83" xfId="3" applyFont="1" applyBorder="1" applyAlignment="1">
      <alignment horizontal="left" wrapText="1"/>
    </xf>
    <xf numFmtId="0" fontId="35" fillId="0" borderId="31" xfId="3" applyFont="1" applyBorder="1" applyAlignment="1">
      <alignment horizontal="left" wrapText="1"/>
    </xf>
    <xf numFmtId="0" fontId="35" fillId="0" borderId="79" xfId="3" applyFont="1" applyBorder="1" applyAlignment="1">
      <alignment horizontal="left"/>
    </xf>
    <xf numFmtId="0" fontId="15" fillId="0" borderId="146" xfId="4" applyFont="1" applyFill="1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59" fillId="0" borderId="132" xfId="4" applyFont="1" applyFill="1" applyBorder="1" applyAlignment="1">
      <alignment horizontal="center" vertical="center" wrapText="1"/>
    </xf>
    <xf numFmtId="0" fontId="0" fillId="0" borderId="30" xfId="0" applyBorder="1" applyAlignment="1"/>
    <xf numFmtId="0" fontId="0" fillId="0" borderId="147" xfId="0" applyBorder="1" applyAlignment="1"/>
    <xf numFmtId="0" fontId="0" fillId="0" borderId="96" xfId="0" applyBorder="1" applyAlignment="1"/>
    <xf numFmtId="0" fontId="0" fillId="0" borderId="16" xfId="0" applyBorder="1" applyAlignment="1"/>
    <xf numFmtId="0" fontId="0" fillId="0" borderId="105" xfId="0" applyBorder="1" applyAlignment="1"/>
    <xf numFmtId="0" fontId="15" fillId="0" borderId="148" xfId="4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12" fillId="0" borderId="0" xfId="4" applyFont="1" applyFill="1" applyAlignment="1">
      <alignment horizontal="right" vertical="center"/>
    </xf>
    <xf numFmtId="0" fontId="92" fillId="0" borderId="0" xfId="4" applyFont="1" applyAlignment="1">
      <alignment horizontal="right"/>
    </xf>
    <xf numFmtId="0" fontId="92" fillId="0" borderId="0" xfId="0" applyFont="1" applyAlignment="1"/>
    <xf numFmtId="0" fontId="15" fillId="0" borderId="142" xfId="4" applyFont="1" applyFill="1" applyBorder="1" applyAlignment="1">
      <alignment horizontal="center" vertical="center" wrapText="1"/>
    </xf>
    <xf numFmtId="0" fontId="15" fillId="0" borderId="143" xfId="4" applyFont="1" applyFill="1" applyBorder="1" applyAlignment="1">
      <alignment horizontal="center" vertical="center" wrapText="1"/>
    </xf>
    <xf numFmtId="0" fontId="62" fillId="0" borderId="0" xfId="4" applyFont="1" applyFill="1" applyAlignment="1">
      <alignment horizontal="center" vertical="center" wrapText="1"/>
    </xf>
    <xf numFmtId="0" fontId="62" fillId="0" borderId="32" xfId="4" applyFont="1" applyFill="1" applyBorder="1" applyAlignment="1">
      <alignment horizontal="center" vertical="center" wrapText="1"/>
    </xf>
    <xf numFmtId="0" fontId="63" fillId="0" borderId="134" xfId="3" applyFont="1" applyBorder="1" applyAlignment="1">
      <alignment horizontal="center" wrapText="1"/>
    </xf>
    <xf numFmtId="0" fontId="63" fillId="0" borderId="30" xfId="3" applyFont="1" applyBorder="1" applyAlignment="1">
      <alignment horizontal="center" wrapText="1"/>
    </xf>
    <xf numFmtId="0" fontId="63" fillId="0" borderId="76" xfId="3" applyFont="1" applyBorder="1" applyAlignment="1">
      <alignment horizontal="center" wrapText="1"/>
    </xf>
    <xf numFmtId="0" fontId="63" fillId="0" borderId="16" xfId="3" applyFont="1" applyBorder="1" applyAlignment="1">
      <alignment horizontal="center" wrapText="1"/>
    </xf>
    <xf numFmtId="0" fontId="59" fillId="0" borderId="30" xfId="4" applyFont="1" applyFill="1" applyBorder="1" applyAlignment="1">
      <alignment horizontal="center" vertical="center" wrapText="1"/>
    </xf>
    <xf numFmtId="0" fontId="59" fillId="0" borderId="64" xfId="4" applyFont="1" applyFill="1" applyBorder="1" applyAlignment="1">
      <alignment horizontal="center" vertical="center" wrapText="1"/>
    </xf>
    <xf numFmtId="0" fontId="59" fillId="0" borderId="96" xfId="4" applyFont="1" applyFill="1" applyBorder="1" applyAlignment="1">
      <alignment horizontal="center" vertical="center" wrapText="1"/>
    </xf>
    <xf numFmtId="0" fontId="59" fillId="0" borderId="16" xfId="4" applyFont="1" applyFill="1" applyBorder="1" applyAlignment="1">
      <alignment horizontal="center" vertical="center" wrapText="1"/>
    </xf>
    <xf numFmtId="0" fontId="59" fillId="0" borderId="7" xfId="4" applyFont="1" applyFill="1" applyBorder="1" applyAlignment="1">
      <alignment horizontal="center" vertical="center" wrapText="1"/>
    </xf>
    <xf numFmtId="0" fontId="15" fillId="0" borderId="136" xfId="4" applyFont="1" applyFill="1" applyBorder="1" applyAlignment="1">
      <alignment horizontal="center" vertical="center" wrapText="1"/>
    </xf>
    <xf numFmtId="0" fontId="0" fillId="0" borderId="137" xfId="0" applyBorder="1" applyAlignment="1"/>
    <xf numFmtId="0" fontId="0" fillId="0" borderId="138" xfId="0" applyBorder="1" applyAlignment="1"/>
    <xf numFmtId="0" fontId="63" fillId="0" borderId="134" xfId="3" applyFont="1" applyBorder="1" applyAlignment="1">
      <alignment horizontal="center" vertical="center"/>
    </xf>
    <xf numFmtId="0" fontId="28" fillId="0" borderId="30" xfId="3" applyBorder="1" applyAlignment="1">
      <alignment horizontal="center" vertical="center"/>
    </xf>
    <xf numFmtId="0" fontId="28" fillId="0" borderId="64" xfId="3" applyBorder="1" applyAlignment="1">
      <alignment horizontal="center" vertical="center"/>
    </xf>
    <xf numFmtId="0" fontId="28" fillId="0" borderId="76" xfId="3" applyBorder="1" applyAlignment="1">
      <alignment horizontal="center" vertical="center"/>
    </xf>
    <xf numFmtId="0" fontId="28" fillId="0" borderId="16" xfId="3" applyBorder="1" applyAlignment="1">
      <alignment horizontal="center" vertical="center"/>
    </xf>
    <xf numFmtId="0" fontId="28" fillId="0" borderId="7" xfId="3" applyBorder="1" applyAlignment="1">
      <alignment horizontal="center" vertical="center"/>
    </xf>
    <xf numFmtId="0" fontId="35" fillId="0" borderId="79" xfId="3" applyFont="1" applyBorder="1" applyAlignment="1">
      <alignment horizontal="left" vertical="center" wrapText="1"/>
    </xf>
    <xf numFmtId="0" fontId="35" fillId="0" borderId="0" xfId="3" applyFont="1" applyBorder="1" applyAlignment="1">
      <alignment horizontal="left" vertical="center" wrapText="1"/>
    </xf>
    <xf numFmtId="0" fontId="35" fillId="0" borderId="96" xfId="3" applyFont="1" applyBorder="1" applyAlignment="1">
      <alignment horizontal="left"/>
    </xf>
    <xf numFmtId="0" fontId="35" fillId="0" borderId="16" xfId="3" applyFont="1" applyBorder="1" applyAlignment="1">
      <alignment horizontal="left"/>
    </xf>
    <xf numFmtId="0" fontId="64" fillId="0" borderId="35" xfId="3" applyFont="1" applyBorder="1" applyAlignment="1">
      <alignment horizontal="right"/>
    </xf>
    <xf numFmtId="0" fontId="64" fillId="0" borderId="0" xfId="3" applyFont="1" applyBorder="1" applyAlignment="1">
      <alignment horizontal="right"/>
    </xf>
    <xf numFmtId="0" fontId="64" fillId="0" borderId="81" xfId="3" applyFont="1" applyBorder="1" applyAlignment="1">
      <alignment horizontal="right"/>
    </xf>
    <xf numFmtId="0" fontId="35" fillId="0" borderId="83" xfId="3" applyFont="1" applyBorder="1" applyAlignment="1">
      <alignment horizontal="left"/>
    </xf>
    <xf numFmtId="0" fontId="64" fillId="0" borderId="33" xfId="3" applyFont="1" applyBorder="1" applyAlignment="1">
      <alignment horizontal="right"/>
    </xf>
    <xf numFmtId="0" fontId="64" fillId="0" borderId="116" xfId="3" applyFont="1" applyBorder="1" applyAlignment="1">
      <alignment horizontal="right"/>
    </xf>
    <xf numFmtId="0" fontId="90" fillId="0" borderId="90" xfId="3" applyFont="1" applyBorder="1" applyAlignment="1">
      <alignment horizontal="left"/>
    </xf>
    <xf numFmtId="0" fontId="90" fillId="0" borderId="33" xfId="3" applyFont="1" applyBorder="1" applyAlignment="1">
      <alignment horizontal="left"/>
    </xf>
    <xf numFmtId="3" fontId="34" fillId="0" borderId="133" xfId="3" applyNumberFormat="1" applyFont="1" applyBorder="1" applyAlignment="1">
      <alignment horizontal="right" vertical="center"/>
    </xf>
    <xf numFmtId="0" fontId="0" fillId="0" borderId="135" xfId="0" applyBorder="1" applyAlignment="1"/>
    <xf numFmtId="0" fontId="0" fillId="0" borderId="76" xfId="0" applyBorder="1" applyAlignment="1"/>
    <xf numFmtId="0" fontId="0" fillId="0" borderId="24" xfId="0" applyBorder="1" applyAlignment="1"/>
    <xf numFmtId="0" fontId="0" fillId="0" borderId="64" xfId="0" applyBorder="1" applyAlignment="1"/>
    <xf numFmtId="0" fontId="0" fillId="0" borderId="0" xfId="0" applyBorder="1" applyAlignment="1"/>
    <xf numFmtId="0" fontId="0" fillId="0" borderId="7" xfId="0" applyBorder="1" applyAlignment="1"/>
    <xf numFmtId="3" fontId="34" fillId="0" borderId="86" xfId="3" applyNumberFormat="1" applyFont="1" applyBorder="1" applyAlignment="1">
      <alignment horizontal="right" vertical="center"/>
    </xf>
    <xf numFmtId="0" fontId="35" fillId="0" borderId="141" xfId="3" applyFont="1" applyBorder="1" applyAlignment="1">
      <alignment horizontal="left" wrapText="1"/>
    </xf>
    <xf numFmtId="0" fontId="35" fillId="0" borderId="35" xfId="3" applyFont="1" applyBorder="1" applyAlignment="1">
      <alignment horizontal="center"/>
    </xf>
    <xf numFmtId="0" fontId="35" fillId="0" borderId="0" xfId="3" applyFont="1" applyBorder="1" applyAlignment="1">
      <alignment horizontal="center"/>
    </xf>
    <xf numFmtId="0" fontId="35" fillId="11" borderId="83" xfId="3" applyFont="1" applyFill="1" applyBorder="1" applyAlignment="1">
      <alignment horizontal="left" wrapText="1"/>
    </xf>
    <xf numFmtId="0" fontId="35" fillId="11" borderId="31" xfId="3" applyFont="1" applyFill="1" applyBorder="1" applyAlignment="1">
      <alignment horizontal="left" wrapText="1"/>
    </xf>
    <xf numFmtId="0" fontId="33" fillId="0" borderId="0" xfId="0" applyFont="1" applyAlignment="1">
      <alignment horizontal="center"/>
    </xf>
    <xf numFmtId="0" fontId="28" fillId="3" borderId="49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13" fillId="0" borderId="0" xfId="0" applyFont="1" applyFill="1" applyAlignment="1">
      <alignment horizontal="center" vertical="center"/>
    </xf>
    <xf numFmtId="0" fontId="13" fillId="0" borderId="25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6" applyFont="1" applyAlignment="1">
      <alignment horizontal="right" vertical="center"/>
    </xf>
    <xf numFmtId="0" fontId="22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45" xfId="6" applyFont="1" applyBorder="1" applyAlignment="1">
      <alignment horizontal="center" vertical="center"/>
    </xf>
    <xf numFmtId="0" fontId="27" fillId="0" borderId="21" xfId="6" applyFont="1" applyBorder="1" applyAlignment="1">
      <alignment horizontal="center" vertical="center"/>
    </xf>
    <xf numFmtId="0" fontId="22" fillId="0" borderId="47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22" fillId="0" borderId="1" xfId="6" applyFont="1" applyBorder="1" applyAlignment="1">
      <alignment horizontal="center" vertical="center" wrapText="1"/>
    </xf>
    <xf numFmtId="0" fontId="22" fillId="0" borderId="4" xfId="6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98" fillId="0" borderId="123" xfId="0" applyFont="1" applyBorder="1" applyAlignment="1">
      <alignment horizontal="left" vertical="center"/>
    </xf>
    <xf numFmtId="0" fontId="98" fillId="0" borderId="15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33" fillId="7" borderId="9" xfId="5" applyFont="1" applyFill="1" applyBorder="1" applyAlignment="1">
      <alignment horizontal="left"/>
    </xf>
    <xf numFmtId="0" fontId="33" fillId="7" borderId="12" xfId="5" applyFont="1" applyFill="1" applyBorder="1" applyAlignment="1">
      <alignment horizontal="left"/>
    </xf>
    <xf numFmtId="0" fontId="28" fillId="0" borderId="9" xfId="5" applyFont="1" applyBorder="1" applyAlignment="1">
      <alignment horizontal="left"/>
    </xf>
    <xf numFmtId="0" fontId="28" fillId="0" borderId="12" xfId="5" applyFont="1" applyBorder="1" applyAlignment="1">
      <alignment horizontal="left"/>
    </xf>
    <xf numFmtId="0" fontId="3" fillId="5" borderId="17" xfId="5" applyFont="1" applyFill="1" applyBorder="1" applyAlignment="1">
      <alignment horizontal="left"/>
    </xf>
    <xf numFmtId="0" fontId="3" fillId="5" borderId="9" xfId="5" applyFont="1" applyFill="1" applyBorder="1" applyAlignment="1">
      <alignment horizontal="left"/>
    </xf>
    <xf numFmtId="49" fontId="33" fillId="5" borderId="9" xfId="5" applyNumberFormat="1" applyFont="1" applyFill="1" applyBorder="1" applyAlignment="1">
      <alignment horizontal="left" vertical="center"/>
    </xf>
    <xf numFmtId="49" fontId="33" fillId="5" borderId="12" xfId="5" applyNumberFormat="1" applyFont="1" applyFill="1" applyBorder="1" applyAlignment="1">
      <alignment horizontal="left" vertical="center"/>
    </xf>
    <xf numFmtId="0" fontId="62" fillId="5" borderId="17" xfId="5" applyFont="1" applyFill="1" applyBorder="1" applyAlignment="1">
      <alignment horizontal="left"/>
    </xf>
    <xf numFmtId="0" fontId="62" fillId="5" borderId="9" xfId="5" applyFont="1" applyFill="1" applyBorder="1" applyAlignment="1">
      <alignment horizontal="left"/>
    </xf>
    <xf numFmtId="0" fontId="3" fillId="7" borderId="9" xfId="5" applyFont="1" applyFill="1" applyBorder="1" applyAlignment="1">
      <alignment horizontal="left"/>
    </xf>
    <xf numFmtId="0" fontId="3" fillId="7" borderId="12" xfId="5" applyFont="1" applyFill="1" applyBorder="1" applyAlignment="1">
      <alignment horizontal="left"/>
    </xf>
    <xf numFmtId="0" fontId="3" fillId="5" borderId="17" xfId="5" applyFont="1" applyFill="1" applyBorder="1" applyAlignment="1">
      <alignment horizontal="right"/>
    </xf>
    <xf numFmtId="0" fontId="3" fillId="5" borderId="9" xfId="5" applyFont="1" applyFill="1" applyBorder="1" applyAlignment="1">
      <alignment horizontal="right"/>
    </xf>
    <xf numFmtId="0" fontId="35" fillId="7" borderId="9" xfId="5" applyFont="1" applyFill="1" applyBorder="1" applyAlignment="1">
      <alignment horizontal="left"/>
    </xf>
    <xf numFmtId="0" fontId="35" fillId="7" borderId="12" xfId="5" applyFont="1" applyFill="1" applyBorder="1" applyAlignment="1">
      <alignment horizontal="left"/>
    </xf>
    <xf numFmtId="0" fontId="33" fillId="0" borderId="9" xfId="5" applyFont="1" applyBorder="1" applyAlignment="1">
      <alignment horizontal="left"/>
    </xf>
    <xf numFmtId="0" fontId="33" fillId="0" borderId="12" xfId="5" applyFont="1" applyBorder="1" applyAlignment="1">
      <alignment horizontal="left"/>
    </xf>
    <xf numFmtId="0" fontId="2" fillId="0" borderId="124" xfId="5" applyFont="1" applyBorder="1" applyAlignment="1">
      <alignment horizontal="center" vertical="center" wrapText="1"/>
    </xf>
    <xf numFmtId="0" fontId="21" fillId="0" borderId="41" xfId="5" applyBorder="1" applyAlignment="1">
      <alignment horizontal="center" vertical="center" wrapText="1"/>
    </xf>
    <xf numFmtId="0" fontId="2" fillId="0" borderId="10" xfId="5" applyFont="1" applyBorder="1" applyAlignment="1">
      <alignment horizontal="left" vertical="center"/>
    </xf>
    <xf numFmtId="0" fontId="2" fillId="0" borderId="23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49" fontId="21" fillId="0" borderId="9" xfId="5" applyNumberFormat="1" applyBorder="1" applyAlignment="1">
      <alignment horizontal="left" vertical="center"/>
    </xf>
    <xf numFmtId="49" fontId="21" fillId="0" borderId="12" xfId="5" applyNumberFormat="1" applyBorder="1" applyAlignment="1">
      <alignment horizontal="left" vertical="center"/>
    </xf>
    <xf numFmtId="0" fontId="21" fillId="0" borderId="9" xfId="5" applyFont="1" applyBorder="1" applyAlignment="1">
      <alignment horizontal="left"/>
    </xf>
    <xf numFmtId="0" fontId="21" fillId="0" borderId="12" xfId="5" applyFont="1" applyBorder="1" applyAlignment="1">
      <alignment horizontal="left"/>
    </xf>
    <xf numFmtId="0" fontId="2" fillId="0" borderId="0" xfId="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47" xfId="5" applyFont="1" applyBorder="1" applyAlignment="1">
      <alignment horizontal="center" vertical="center"/>
    </xf>
    <xf numFmtId="0" fontId="2" fillId="0" borderId="70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 wrapText="1"/>
    </xf>
    <xf numFmtId="0" fontId="2" fillId="0" borderId="46" xfId="5" applyFont="1" applyBorder="1" applyAlignment="1">
      <alignment horizontal="center" vertical="center" wrapText="1"/>
    </xf>
    <xf numFmtId="0" fontId="2" fillId="0" borderId="4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106" xfId="0" applyBorder="1" applyAlignment="1">
      <alignment horizontal="center"/>
    </xf>
    <xf numFmtId="0" fontId="63" fillId="0" borderId="154" xfId="0" applyFont="1" applyBorder="1" applyAlignment="1">
      <alignment horizontal="left"/>
    </xf>
    <xf numFmtId="0" fontId="63" fillId="0" borderId="155" xfId="0" applyFont="1" applyBorder="1" applyAlignment="1">
      <alignment horizontal="left"/>
    </xf>
    <xf numFmtId="0" fontId="63" fillId="0" borderId="156" xfId="0" applyFont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63" fillId="0" borderId="144" xfId="0" applyFont="1" applyBorder="1" applyAlignment="1">
      <alignment horizontal="left"/>
    </xf>
    <xf numFmtId="0" fontId="63" fillId="0" borderId="68" xfId="0" applyFont="1" applyBorder="1" applyAlignment="1">
      <alignment horizontal="left"/>
    </xf>
    <xf numFmtId="3" fontId="33" fillId="0" borderId="70" xfId="0" applyNumberFormat="1" applyFont="1" applyFill="1" applyBorder="1" applyAlignment="1">
      <alignment horizontal="center"/>
    </xf>
    <xf numFmtId="3" fontId="33" fillId="0" borderId="159" xfId="0" applyNumberFormat="1" applyFont="1" applyFill="1" applyBorder="1" applyAlignment="1">
      <alignment horizontal="center"/>
    </xf>
    <xf numFmtId="0" fontId="63" fillId="0" borderId="146" xfId="0" applyFont="1" applyBorder="1" applyAlignment="1">
      <alignment horizontal="left"/>
    </xf>
    <xf numFmtId="0" fontId="63" fillId="0" borderId="157" xfId="0" applyFont="1" applyBorder="1" applyAlignment="1">
      <alignment horizontal="left"/>
    </xf>
    <xf numFmtId="0" fontId="63" fillId="0" borderId="158" xfId="0" applyFont="1" applyBorder="1" applyAlignment="1">
      <alignment horizontal="left"/>
    </xf>
    <xf numFmtId="0" fontId="63" fillId="0" borderId="136" xfId="0" applyFont="1" applyBorder="1" applyAlignment="1">
      <alignment horizontal="left"/>
    </xf>
    <xf numFmtId="0" fontId="65" fillId="10" borderId="87" xfId="0" applyFont="1" applyFill="1" applyBorder="1" applyAlignment="1">
      <alignment horizontal="center" vertical="center"/>
    </xf>
    <xf numFmtId="0" fontId="65" fillId="10" borderId="33" xfId="0" applyFont="1" applyFill="1" applyBorder="1" applyAlignment="1">
      <alignment horizontal="center" vertical="center"/>
    </xf>
    <xf numFmtId="0" fontId="65" fillId="10" borderId="153" xfId="0" applyFont="1" applyFill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64" fillId="0" borderId="141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64" fillId="0" borderId="45" xfId="0" applyFont="1" applyBorder="1" applyAlignment="1">
      <alignment horizontal="center" vertical="center" wrapText="1"/>
    </xf>
    <xf numFmtId="0" fontId="64" fillId="0" borderId="47" xfId="0" applyFont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/>
    </xf>
    <xf numFmtId="0" fontId="64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6" xfId="0" applyBorder="1" applyAlignment="1">
      <alignment horizontal="center"/>
    </xf>
    <xf numFmtId="0" fontId="33" fillId="0" borderId="132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33" fillId="0" borderId="64" xfId="0" applyFont="1" applyBorder="1" applyAlignment="1">
      <alignment horizontal="center"/>
    </xf>
    <xf numFmtId="3" fontId="33" fillId="0" borderId="129" xfId="0" applyNumberFormat="1" applyFont="1" applyFill="1" applyBorder="1" applyAlignment="1">
      <alignment horizontal="center"/>
    </xf>
    <xf numFmtId="3" fontId="33" fillId="0" borderId="46" xfId="0" applyNumberFormat="1" applyFont="1" applyFill="1" applyBorder="1" applyAlignment="1">
      <alignment horizontal="center"/>
    </xf>
    <xf numFmtId="0" fontId="33" fillId="0" borderId="129" xfId="0" applyFont="1" applyFill="1" applyBorder="1" applyAlignment="1">
      <alignment horizontal="center"/>
    </xf>
    <xf numFmtId="0" fontId="33" fillId="0" borderId="159" xfId="0" applyFont="1" applyFill="1" applyBorder="1" applyAlignment="1">
      <alignment horizont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8" fillId="6" borderId="45" xfId="0" applyNumberFormat="1" applyFont="1" applyFill="1" applyBorder="1" applyAlignment="1">
      <alignment horizontal="right"/>
    </xf>
    <xf numFmtId="3" fontId="28" fillId="6" borderId="21" xfId="0" applyNumberFormat="1" applyFont="1" applyFill="1" applyBorder="1" applyAlignment="1">
      <alignment horizontal="right"/>
    </xf>
    <xf numFmtId="0" fontId="68" fillId="0" borderId="0" xfId="0" applyFont="1" applyAlignment="1">
      <alignment horizontal="center" wrapText="1"/>
    </xf>
    <xf numFmtId="0" fontId="69" fillId="0" borderId="124" xfId="0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/>
    </xf>
  </cellXfs>
  <cellStyles count="7">
    <cellStyle name="Ezres 2" xfId="1"/>
    <cellStyle name="Normál" xfId="0" builtinId="0"/>
    <cellStyle name="Normál 2" xfId="2"/>
    <cellStyle name="Normál_Kötelező, önként vállalt, állami feladatok szerinti bontás" xfId="3"/>
    <cellStyle name="Normál_Munka1" xfId="4"/>
    <cellStyle name="Normál_NORM09" xfId="5"/>
    <cellStyle name="Normál_TABLAK_táblák2012előter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3"/>
  <sheetViews>
    <sheetView tabSelected="1" zoomScaleNormal="100" workbookViewId="0">
      <selection activeCell="H6" sqref="H6"/>
    </sheetView>
  </sheetViews>
  <sheetFormatPr defaultRowHeight="12.75" x14ac:dyDescent="0.2"/>
  <cols>
    <col min="1" max="1" width="5.140625" customWidth="1"/>
    <col min="4" max="4" width="5.85546875" customWidth="1"/>
    <col min="5" max="5" width="47.140625" customWidth="1"/>
    <col min="6" max="6" width="14" customWidth="1"/>
    <col min="7" max="7" width="13.5703125" customWidth="1"/>
    <col min="8" max="8" width="15.140625" style="893" customWidth="1"/>
    <col min="9" max="9" width="14.5703125" customWidth="1"/>
  </cols>
  <sheetData>
    <row r="1" spans="1:9" ht="15.75" x14ac:dyDescent="0.2">
      <c r="A1" s="1022" t="s">
        <v>1149</v>
      </c>
      <c r="B1" s="1022"/>
      <c r="C1" s="1022"/>
      <c r="D1" s="1022"/>
      <c r="E1" s="1022"/>
      <c r="F1" s="1022"/>
      <c r="G1" s="1022"/>
      <c r="H1" s="1022"/>
      <c r="I1" s="1022"/>
    </row>
    <row r="2" spans="1:9" ht="15.75" x14ac:dyDescent="0.2">
      <c r="A2" s="1018" t="s">
        <v>872</v>
      </c>
      <c r="B2" s="1018"/>
      <c r="C2" s="1018"/>
      <c r="D2" s="1018"/>
      <c r="E2" s="1018"/>
      <c r="F2" s="1018"/>
      <c r="G2" s="1018"/>
      <c r="H2" s="1018"/>
      <c r="I2" s="1018"/>
    </row>
    <row r="3" spans="1:9" x14ac:dyDescent="0.2">
      <c r="A3" s="139"/>
      <c r="B3" s="3"/>
      <c r="C3" s="3"/>
      <c r="D3" s="3"/>
      <c r="E3" s="3"/>
      <c r="F3" s="1"/>
      <c r="G3" s="1"/>
      <c r="H3" s="882"/>
      <c r="I3" s="1"/>
    </row>
    <row r="4" spans="1:9" x14ac:dyDescent="0.2">
      <c r="A4" s="139"/>
      <c r="B4" s="1"/>
      <c r="C4" s="1"/>
      <c r="D4" s="1"/>
      <c r="E4" s="1"/>
      <c r="F4" s="1"/>
      <c r="G4" s="1"/>
      <c r="H4" s="882"/>
      <c r="I4" s="2" t="s">
        <v>614</v>
      </c>
    </row>
    <row r="5" spans="1:9" ht="36" x14ac:dyDescent="0.2">
      <c r="A5" s="1019" t="s">
        <v>996</v>
      </c>
      <c r="B5" s="1020"/>
      <c r="C5" s="1020"/>
      <c r="D5" s="1020"/>
      <c r="E5" s="1021"/>
      <c r="F5" s="126" t="s">
        <v>997</v>
      </c>
      <c r="G5" s="126" t="s">
        <v>998</v>
      </c>
      <c r="H5" s="883" t="s">
        <v>873</v>
      </c>
      <c r="I5" s="126" t="s">
        <v>606</v>
      </c>
    </row>
    <row r="6" spans="1:9" s="694" customFormat="1" ht="15" x14ac:dyDescent="0.2">
      <c r="A6" s="695" t="s">
        <v>687</v>
      </c>
      <c r="B6" s="1015" t="s">
        <v>688</v>
      </c>
      <c r="C6" s="1016"/>
      <c r="D6" s="1016"/>
      <c r="E6" s="1017"/>
      <c r="F6" s="696" t="s">
        <v>689</v>
      </c>
      <c r="G6" s="696" t="s">
        <v>690</v>
      </c>
      <c r="H6" s="884" t="s">
        <v>691</v>
      </c>
      <c r="I6" s="696" t="s">
        <v>692</v>
      </c>
    </row>
    <row r="7" spans="1:9" s="370" customFormat="1" x14ac:dyDescent="0.2">
      <c r="A7" s="368" t="s">
        <v>329</v>
      </c>
      <c r="B7" s="1012" t="s">
        <v>330</v>
      </c>
      <c r="C7" s="1012"/>
      <c r="D7" s="1012"/>
      <c r="E7" s="1012"/>
      <c r="F7" s="369">
        <f>SUM(F8+F15+F16+F17+F28+F29)</f>
        <v>1028302</v>
      </c>
      <c r="G7" s="369">
        <f>SUM(G8+G15+G16+G17+G28+G29)</f>
        <v>4062</v>
      </c>
      <c r="H7" s="885">
        <f>SUM(H8+H15+H16+H17+H28+H29)</f>
        <v>5679</v>
      </c>
      <c r="I7" s="369">
        <f>SUM(F7:H7)</f>
        <v>1038043</v>
      </c>
    </row>
    <row r="8" spans="1:9" x14ac:dyDescent="0.2">
      <c r="A8" s="337"/>
      <c r="B8" s="337" t="s">
        <v>331</v>
      </c>
      <c r="C8" s="1011" t="s">
        <v>332</v>
      </c>
      <c r="D8" s="1011"/>
      <c r="E8" s="1011"/>
      <c r="F8" s="338">
        <f>SUM(F9:F14)</f>
        <v>609286</v>
      </c>
      <c r="G8" s="338">
        <f>SUM(G9:G14)</f>
        <v>0</v>
      </c>
      <c r="H8" s="886">
        <f>SUM(H9:H14)</f>
        <v>0</v>
      </c>
      <c r="I8" s="367">
        <f t="shared" ref="I8:I71" si="0">SUM(F8:H8)</f>
        <v>609286</v>
      </c>
    </row>
    <row r="9" spans="1:9" x14ac:dyDescent="0.2">
      <c r="A9" s="346"/>
      <c r="B9" s="346"/>
      <c r="C9" s="346" t="s">
        <v>333</v>
      </c>
      <c r="D9" s="346"/>
      <c r="E9" s="346" t="s">
        <v>836</v>
      </c>
      <c r="F9" s="347">
        <f>208698+48355</f>
        <v>257053</v>
      </c>
      <c r="G9" s="347">
        <v>0</v>
      </c>
      <c r="H9" s="887">
        <v>0</v>
      </c>
      <c r="I9" s="365">
        <f t="shared" si="0"/>
        <v>257053</v>
      </c>
    </row>
    <row r="10" spans="1:9" x14ac:dyDescent="0.2">
      <c r="A10" s="346"/>
      <c r="B10" s="371"/>
      <c r="C10" s="346" t="s">
        <v>334</v>
      </c>
      <c r="D10" s="346"/>
      <c r="E10" s="346" t="s">
        <v>335</v>
      </c>
      <c r="F10" s="347">
        <v>128045</v>
      </c>
      <c r="G10" s="347">
        <v>0</v>
      </c>
      <c r="H10" s="887">
        <v>0</v>
      </c>
      <c r="I10" s="365">
        <f t="shared" si="0"/>
        <v>128045</v>
      </c>
    </row>
    <row r="11" spans="1:9" x14ac:dyDescent="0.2">
      <c r="A11" s="346"/>
      <c r="B11" s="346"/>
      <c r="C11" s="346" t="s">
        <v>336</v>
      </c>
      <c r="D11" s="346"/>
      <c r="E11" s="346" t="s">
        <v>337</v>
      </c>
      <c r="F11" s="347">
        <f>241547-6600-48355-1208+1992</f>
        <v>187376</v>
      </c>
      <c r="G11" s="347">
        <v>0</v>
      </c>
      <c r="H11" s="887">
        <v>0</v>
      </c>
      <c r="I11" s="365">
        <f t="shared" si="0"/>
        <v>187376</v>
      </c>
    </row>
    <row r="12" spans="1:9" x14ac:dyDescent="0.2">
      <c r="A12" s="346"/>
      <c r="B12" s="346"/>
      <c r="C12" s="346" t="s">
        <v>338</v>
      </c>
      <c r="D12" s="346"/>
      <c r="E12" s="346" t="s">
        <v>339</v>
      </c>
      <c r="F12" s="347">
        <v>10609</v>
      </c>
      <c r="G12" s="347">
        <v>0</v>
      </c>
      <c r="H12" s="887">
        <v>0</v>
      </c>
      <c r="I12" s="365">
        <f t="shared" si="0"/>
        <v>10609</v>
      </c>
    </row>
    <row r="13" spans="1:9" x14ac:dyDescent="0.2">
      <c r="A13" s="346"/>
      <c r="B13" s="346"/>
      <c r="C13" s="346" t="s">
        <v>340</v>
      </c>
      <c r="D13" s="346"/>
      <c r="E13" s="346" t="s">
        <v>341</v>
      </c>
      <c r="F13" s="347">
        <f>4660+527+126+1239+401</f>
        <v>6953</v>
      </c>
      <c r="G13" s="347">
        <v>0</v>
      </c>
      <c r="H13" s="887">
        <v>0</v>
      </c>
      <c r="I13" s="365">
        <f t="shared" si="0"/>
        <v>6953</v>
      </c>
    </row>
    <row r="14" spans="1:9" x14ac:dyDescent="0.2">
      <c r="A14" s="351"/>
      <c r="B14" s="351"/>
      <c r="C14" s="346" t="s">
        <v>342</v>
      </c>
      <c r="D14" s="351"/>
      <c r="E14" s="346" t="s">
        <v>343</v>
      </c>
      <c r="F14" s="347">
        <f>70736-897-750+6047+1010-57416+520</f>
        <v>19250</v>
      </c>
      <c r="G14" s="347">
        <v>0</v>
      </c>
      <c r="H14" s="887">
        <v>0</v>
      </c>
      <c r="I14" s="365">
        <f t="shared" si="0"/>
        <v>19250</v>
      </c>
    </row>
    <row r="15" spans="1:9" x14ac:dyDescent="0.2">
      <c r="A15" s="337"/>
      <c r="B15" s="337" t="s">
        <v>344</v>
      </c>
      <c r="C15" s="1011" t="s">
        <v>345</v>
      </c>
      <c r="D15" s="1011"/>
      <c r="E15" s="1011"/>
      <c r="F15" s="338">
        <f>9755+3610+120</f>
        <v>13485</v>
      </c>
      <c r="G15" s="338">
        <v>0</v>
      </c>
      <c r="H15" s="886">
        <v>0</v>
      </c>
      <c r="I15" s="367">
        <f t="shared" si="0"/>
        <v>13485</v>
      </c>
    </row>
    <row r="16" spans="1:9" x14ac:dyDescent="0.2">
      <c r="A16" s="337"/>
      <c r="B16" s="337" t="s">
        <v>346</v>
      </c>
      <c r="C16" s="1011" t="s">
        <v>347</v>
      </c>
      <c r="D16" s="1011"/>
      <c r="E16" s="1011"/>
      <c r="F16" s="338">
        <v>0</v>
      </c>
      <c r="G16" s="338">
        <v>0</v>
      </c>
      <c r="H16" s="886">
        <v>0</v>
      </c>
      <c r="I16" s="367">
        <f>SUM(F16:H16)</f>
        <v>0</v>
      </c>
    </row>
    <row r="17" spans="1:9" x14ac:dyDescent="0.2">
      <c r="A17" s="337"/>
      <c r="B17" s="337" t="s">
        <v>348</v>
      </c>
      <c r="C17" s="1011" t="s">
        <v>349</v>
      </c>
      <c r="D17" s="1011"/>
      <c r="E17" s="1011"/>
      <c r="F17" s="338">
        <f>SUM(F18:F27)</f>
        <v>3150</v>
      </c>
      <c r="G17" s="338">
        <f>SUM(G18:G27)</f>
        <v>0</v>
      </c>
      <c r="H17" s="886">
        <f>SUM(H18:H27)</f>
        <v>0</v>
      </c>
      <c r="I17" s="367">
        <f t="shared" si="0"/>
        <v>3150</v>
      </c>
    </row>
    <row r="18" spans="1:9" x14ac:dyDescent="0.2">
      <c r="A18" s="349"/>
      <c r="B18" s="349"/>
      <c r="C18" s="348" t="s">
        <v>1018</v>
      </c>
      <c r="D18" s="348" t="s">
        <v>235</v>
      </c>
      <c r="E18" s="348" t="s">
        <v>236</v>
      </c>
      <c r="F18" s="350">
        <v>0</v>
      </c>
      <c r="G18" s="350">
        <v>0</v>
      </c>
      <c r="H18" s="888">
        <v>0</v>
      </c>
      <c r="I18" s="352">
        <f t="shared" si="0"/>
        <v>0</v>
      </c>
    </row>
    <row r="19" spans="1:9" x14ac:dyDescent="0.2">
      <c r="A19" s="349"/>
      <c r="B19" s="349"/>
      <c r="C19" s="348"/>
      <c r="D19" s="348" t="s">
        <v>237</v>
      </c>
      <c r="E19" s="348" t="s">
        <v>238</v>
      </c>
      <c r="F19" s="350">
        <v>0</v>
      </c>
      <c r="G19" s="350">
        <v>0</v>
      </c>
      <c r="H19" s="888">
        <v>0</v>
      </c>
      <c r="I19" s="352">
        <f t="shared" si="0"/>
        <v>0</v>
      </c>
    </row>
    <row r="20" spans="1:9" x14ac:dyDescent="0.2">
      <c r="A20" s="349"/>
      <c r="B20" s="349"/>
      <c r="C20" s="348"/>
      <c r="D20" s="348" t="s">
        <v>239</v>
      </c>
      <c r="E20" s="348" t="s">
        <v>350</v>
      </c>
      <c r="F20" s="350">
        <v>0</v>
      </c>
      <c r="G20" s="350">
        <v>0</v>
      </c>
      <c r="H20" s="888">
        <v>0</v>
      </c>
      <c r="I20" s="352">
        <f t="shared" si="0"/>
        <v>0</v>
      </c>
    </row>
    <row r="21" spans="1:9" x14ac:dyDescent="0.2">
      <c r="A21" s="349"/>
      <c r="B21" s="349"/>
      <c r="C21" s="348"/>
      <c r="D21" s="348" t="s">
        <v>241</v>
      </c>
      <c r="E21" s="348" t="s">
        <v>242</v>
      </c>
      <c r="F21" s="350">
        <v>0</v>
      </c>
      <c r="G21" s="350">
        <v>0</v>
      </c>
      <c r="H21" s="888">
        <v>0</v>
      </c>
      <c r="I21" s="352">
        <f t="shared" si="0"/>
        <v>0</v>
      </c>
    </row>
    <row r="22" spans="1:9" x14ac:dyDescent="0.2">
      <c r="A22" s="349"/>
      <c r="B22" s="349"/>
      <c r="C22" s="348"/>
      <c r="D22" s="348" t="s">
        <v>243</v>
      </c>
      <c r="E22" s="348" t="s">
        <v>244</v>
      </c>
      <c r="F22" s="350">
        <v>0</v>
      </c>
      <c r="G22" s="350">
        <v>0</v>
      </c>
      <c r="H22" s="888">
        <v>0</v>
      </c>
      <c r="I22" s="352">
        <f t="shared" si="0"/>
        <v>0</v>
      </c>
    </row>
    <row r="23" spans="1:9" x14ac:dyDescent="0.2">
      <c r="A23" s="349"/>
      <c r="B23" s="349"/>
      <c r="C23" s="348"/>
      <c r="D23" s="348" t="s">
        <v>245</v>
      </c>
      <c r="E23" s="348" t="s">
        <v>246</v>
      </c>
      <c r="F23" s="350">
        <v>0</v>
      </c>
      <c r="G23" s="350">
        <v>0</v>
      </c>
      <c r="H23" s="888">
        <v>0</v>
      </c>
      <c r="I23" s="352">
        <f t="shared" si="0"/>
        <v>0</v>
      </c>
    </row>
    <row r="24" spans="1:9" x14ac:dyDescent="0.2">
      <c r="A24" s="349"/>
      <c r="B24" s="349"/>
      <c r="C24" s="348"/>
      <c r="D24" s="348" t="s">
        <v>247</v>
      </c>
      <c r="E24" s="348" t="s">
        <v>248</v>
      </c>
      <c r="F24" s="350">
        <v>0</v>
      </c>
      <c r="G24" s="350">
        <v>0</v>
      </c>
      <c r="H24" s="888">
        <v>0</v>
      </c>
      <c r="I24" s="352">
        <f t="shared" si="0"/>
        <v>0</v>
      </c>
    </row>
    <row r="25" spans="1:9" x14ac:dyDescent="0.2">
      <c r="A25" s="349"/>
      <c r="B25" s="349"/>
      <c r="C25" s="348"/>
      <c r="D25" s="348" t="s">
        <v>249</v>
      </c>
      <c r="E25" s="348" t="s">
        <v>250</v>
      </c>
      <c r="F25" s="350">
        <f>1677+1473</f>
        <v>3150</v>
      </c>
      <c r="G25" s="350">
        <v>0</v>
      </c>
      <c r="H25" s="888">
        <v>0</v>
      </c>
      <c r="I25" s="352">
        <f t="shared" si="0"/>
        <v>3150</v>
      </c>
    </row>
    <row r="26" spans="1:9" x14ac:dyDescent="0.2">
      <c r="A26" s="349"/>
      <c r="B26" s="349"/>
      <c r="C26" s="348"/>
      <c r="D26" s="348" t="s">
        <v>251</v>
      </c>
      <c r="E26" s="348" t="s">
        <v>252</v>
      </c>
      <c r="F26" s="350">
        <v>0</v>
      </c>
      <c r="G26" s="350">
        <v>0</v>
      </c>
      <c r="H26" s="888">
        <v>0</v>
      </c>
      <c r="I26" s="352">
        <f t="shared" si="0"/>
        <v>0</v>
      </c>
    </row>
    <row r="27" spans="1:9" x14ac:dyDescent="0.2">
      <c r="A27" s="349"/>
      <c r="B27" s="349"/>
      <c r="C27" s="348"/>
      <c r="D27" s="348" t="s">
        <v>253</v>
      </c>
      <c r="E27" s="348" t="s">
        <v>254</v>
      </c>
      <c r="F27" s="350">
        <v>0</v>
      </c>
      <c r="G27" s="350">
        <v>0</v>
      </c>
      <c r="H27" s="888">
        <v>0</v>
      </c>
      <c r="I27" s="352">
        <f t="shared" si="0"/>
        <v>0</v>
      </c>
    </row>
    <row r="28" spans="1:9" x14ac:dyDescent="0.2">
      <c r="A28" s="337"/>
      <c r="B28" s="337" t="s">
        <v>351</v>
      </c>
      <c r="C28" s="1011" t="s">
        <v>352</v>
      </c>
      <c r="D28" s="1011"/>
      <c r="E28" s="1011"/>
      <c r="F28" s="338">
        <v>0</v>
      </c>
      <c r="G28" s="338">
        <v>0</v>
      </c>
      <c r="H28" s="886">
        <v>0</v>
      </c>
      <c r="I28" s="367">
        <f t="shared" si="0"/>
        <v>0</v>
      </c>
    </row>
    <row r="29" spans="1:9" x14ac:dyDescent="0.2">
      <c r="A29" s="337"/>
      <c r="B29" s="337" t="s">
        <v>353</v>
      </c>
      <c r="C29" s="1011" t="s">
        <v>354</v>
      </c>
      <c r="D29" s="1011"/>
      <c r="E29" s="1011"/>
      <c r="F29" s="338">
        <f>SUM(F30:F39)</f>
        <v>402381</v>
      </c>
      <c r="G29" s="338">
        <f>SUM(G30:G39)</f>
        <v>4062</v>
      </c>
      <c r="H29" s="886">
        <f>SUM(H30:H39)</f>
        <v>5679</v>
      </c>
      <c r="I29" s="367">
        <f t="shared" si="0"/>
        <v>412122</v>
      </c>
    </row>
    <row r="30" spans="1:9" x14ac:dyDescent="0.2">
      <c r="A30" s="349"/>
      <c r="B30" s="349"/>
      <c r="C30" s="348" t="s">
        <v>1018</v>
      </c>
      <c r="D30" s="348" t="s">
        <v>235</v>
      </c>
      <c r="E30" s="348" t="s">
        <v>236</v>
      </c>
      <c r="F30" s="350">
        <v>0</v>
      </c>
      <c r="G30" s="350">
        <v>0</v>
      </c>
      <c r="H30" s="888">
        <v>0</v>
      </c>
      <c r="I30" s="352">
        <f t="shared" si="0"/>
        <v>0</v>
      </c>
    </row>
    <row r="31" spans="1:9" x14ac:dyDescent="0.2">
      <c r="A31" s="349"/>
      <c r="B31" s="349"/>
      <c r="C31" s="348"/>
      <c r="D31" s="348" t="s">
        <v>237</v>
      </c>
      <c r="E31" s="348" t="s">
        <v>238</v>
      </c>
      <c r="F31" s="350">
        <v>0</v>
      </c>
      <c r="G31" s="350">
        <v>0</v>
      </c>
      <c r="H31" s="888">
        <v>0</v>
      </c>
      <c r="I31" s="352">
        <f t="shared" si="0"/>
        <v>0</v>
      </c>
    </row>
    <row r="32" spans="1:9" x14ac:dyDescent="0.2">
      <c r="A32" s="356"/>
      <c r="B32" s="356"/>
      <c r="C32" s="357"/>
      <c r="D32" s="357" t="s">
        <v>239</v>
      </c>
      <c r="E32" s="357" t="s">
        <v>350</v>
      </c>
      <c r="F32" s="350">
        <f>19900+8363+3092</f>
        <v>31355</v>
      </c>
      <c r="G32" s="350">
        <v>0</v>
      </c>
      <c r="H32" s="888">
        <f>5066+1970-1357</f>
        <v>5679</v>
      </c>
      <c r="I32" s="352">
        <f t="shared" si="0"/>
        <v>37034</v>
      </c>
    </row>
    <row r="33" spans="1:9" x14ac:dyDescent="0.2">
      <c r="A33" s="349"/>
      <c r="B33" s="349"/>
      <c r="C33" s="348"/>
      <c r="D33" s="348" t="s">
        <v>241</v>
      </c>
      <c r="E33" s="348" t="s">
        <v>242</v>
      </c>
      <c r="F33" s="350">
        <f>42300+140+6245+70</f>
        <v>48755</v>
      </c>
      <c r="G33" s="350">
        <f>1241+1241+1+1398+181</f>
        <v>4062</v>
      </c>
      <c r="H33" s="888">
        <v>0</v>
      </c>
      <c r="I33" s="352">
        <f t="shared" si="0"/>
        <v>52817</v>
      </c>
    </row>
    <row r="34" spans="1:9" x14ac:dyDescent="0.2">
      <c r="A34" s="349"/>
      <c r="B34" s="349"/>
      <c r="C34" s="348"/>
      <c r="D34" s="348" t="s">
        <v>243</v>
      </c>
      <c r="E34" s="348" t="s">
        <v>244</v>
      </c>
      <c r="F34" s="350">
        <f>29220+373+2633</f>
        <v>32226</v>
      </c>
      <c r="G34" s="350">
        <v>0</v>
      </c>
      <c r="H34" s="888">
        <v>0</v>
      </c>
      <c r="I34" s="352">
        <f t="shared" si="0"/>
        <v>32226</v>
      </c>
    </row>
    <row r="35" spans="1:9" x14ac:dyDescent="0.2">
      <c r="A35" s="349"/>
      <c r="B35" s="349"/>
      <c r="C35" s="348"/>
      <c r="D35" s="348" t="s">
        <v>245</v>
      </c>
      <c r="E35" s="348" t="s">
        <v>246</v>
      </c>
      <c r="F35" s="350">
        <f>116612+16108-14359-2680+58669+14510+45860+17987+21747+12663+177</f>
        <v>287294</v>
      </c>
      <c r="G35" s="350">
        <v>0</v>
      </c>
      <c r="H35" s="888">
        <v>0</v>
      </c>
      <c r="I35" s="352">
        <f t="shared" si="0"/>
        <v>287294</v>
      </c>
    </row>
    <row r="36" spans="1:9" x14ac:dyDescent="0.2">
      <c r="A36" s="349"/>
      <c r="B36" s="349"/>
      <c r="C36" s="348"/>
      <c r="D36" s="348" t="s">
        <v>247</v>
      </c>
      <c r="E36" s="348" t="s">
        <v>248</v>
      </c>
      <c r="F36" s="350">
        <f>2543+208</f>
        <v>2751</v>
      </c>
      <c r="G36" s="350">
        <v>0</v>
      </c>
      <c r="H36" s="888">
        <v>0</v>
      </c>
      <c r="I36" s="352">
        <f t="shared" si="0"/>
        <v>2751</v>
      </c>
    </row>
    <row r="37" spans="1:9" x14ac:dyDescent="0.2">
      <c r="A37" s="349"/>
      <c r="B37" s="349"/>
      <c r="C37" s="348"/>
      <c r="D37" s="348" t="s">
        <v>249</v>
      </c>
      <c r="E37" s="348" t="s">
        <v>250</v>
      </c>
      <c r="F37" s="350">
        <v>0</v>
      </c>
      <c r="G37" s="350">
        <v>0</v>
      </c>
      <c r="H37" s="888">
        <v>0</v>
      </c>
      <c r="I37" s="352">
        <f t="shared" si="0"/>
        <v>0</v>
      </c>
    </row>
    <row r="38" spans="1:9" x14ac:dyDescent="0.2">
      <c r="A38" s="349"/>
      <c r="B38" s="349"/>
      <c r="C38" s="348"/>
      <c r="D38" s="348" t="s">
        <v>251</v>
      </c>
      <c r="E38" s="348" t="s">
        <v>252</v>
      </c>
      <c r="F38" s="350">
        <v>0</v>
      </c>
      <c r="G38" s="350">
        <v>0</v>
      </c>
      <c r="H38" s="888">
        <v>0</v>
      </c>
      <c r="I38" s="352">
        <f t="shared" si="0"/>
        <v>0</v>
      </c>
    </row>
    <row r="39" spans="1:9" x14ac:dyDescent="0.2">
      <c r="A39" s="349"/>
      <c r="B39" s="349"/>
      <c r="C39" s="348"/>
      <c r="D39" s="348" t="s">
        <v>253</v>
      </c>
      <c r="E39" s="348" t="s">
        <v>254</v>
      </c>
      <c r="F39" s="350">
        <v>0</v>
      </c>
      <c r="G39" s="350">
        <v>0</v>
      </c>
      <c r="H39" s="888">
        <v>0</v>
      </c>
      <c r="I39" s="352">
        <f t="shared" si="0"/>
        <v>0</v>
      </c>
    </row>
    <row r="40" spans="1:9" s="370" customFormat="1" x14ac:dyDescent="0.2">
      <c r="A40" s="368" t="s">
        <v>355</v>
      </c>
      <c r="B40" s="1012" t="s">
        <v>356</v>
      </c>
      <c r="C40" s="1012"/>
      <c r="D40" s="1012"/>
      <c r="E40" s="1012"/>
      <c r="F40" s="369">
        <f>SUM(F41:F45)</f>
        <v>2993821</v>
      </c>
      <c r="G40" s="369">
        <f>SUM(G41:G45)</f>
        <v>0</v>
      </c>
      <c r="H40" s="885">
        <f>SUM(H41:H45)</f>
        <v>0</v>
      </c>
      <c r="I40" s="369">
        <f t="shared" si="0"/>
        <v>2993821</v>
      </c>
    </row>
    <row r="41" spans="1:9" x14ac:dyDescent="0.2">
      <c r="A41" s="337"/>
      <c r="B41" s="337" t="s">
        <v>357</v>
      </c>
      <c r="C41" s="1011" t="s">
        <v>358</v>
      </c>
      <c r="D41" s="1011"/>
      <c r="E41" s="1011"/>
      <c r="F41" s="338">
        <f>188589+156+45</f>
        <v>188790</v>
      </c>
      <c r="G41" s="338">
        <v>0</v>
      </c>
      <c r="H41" s="886">
        <v>0</v>
      </c>
      <c r="I41" s="367">
        <f t="shared" si="0"/>
        <v>188790</v>
      </c>
    </row>
    <row r="42" spans="1:9" x14ac:dyDescent="0.2">
      <c r="A42" s="337"/>
      <c r="B42" s="337" t="s">
        <v>359</v>
      </c>
      <c r="C42" s="1011" t="s">
        <v>360</v>
      </c>
      <c r="D42" s="1011"/>
      <c r="E42" s="1011"/>
      <c r="F42" s="338">
        <v>0</v>
      </c>
      <c r="G42" s="338">
        <v>0</v>
      </c>
      <c r="H42" s="886">
        <v>0</v>
      </c>
      <c r="I42" s="367">
        <f t="shared" si="0"/>
        <v>0</v>
      </c>
    </row>
    <row r="43" spans="1:9" x14ac:dyDescent="0.2">
      <c r="A43" s="337"/>
      <c r="B43" s="337" t="s">
        <v>361</v>
      </c>
      <c r="C43" s="1011" t="s">
        <v>362</v>
      </c>
      <c r="D43" s="1011"/>
      <c r="E43" s="1011"/>
      <c r="F43" s="338">
        <v>0</v>
      </c>
      <c r="G43" s="338">
        <v>0</v>
      </c>
      <c r="H43" s="886">
        <v>0</v>
      </c>
      <c r="I43" s="367">
        <f t="shared" si="0"/>
        <v>0</v>
      </c>
    </row>
    <row r="44" spans="1:9" x14ac:dyDescent="0.2">
      <c r="A44" s="337"/>
      <c r="B44" s="337" t="s">
        <v>363</v>
      </c>
      <c r="C44" s="1011" t="s">
        <v>364</v>
      </c>
      <c r="D44" s="1011"/>
      <c r="E44" s="1011"/>
      <c r="F44" s="338">
        <v>0</v>
      </c>
      <c r="G44" s="338">
        <v>0</v>
      </c>
      <c r="H44" s="886">
        <v>0</v>
      </c>
      <c r="I44" s="367">
        <f t="shared" si="0"/>
        <v>0</v>
      </c>
    </row>
    <row r="45" spans="1:9" x14ac:dyDescent="0.2">
      <c r="A45" s="337"/>
      <c r="B45" s="337" t="s">
        <v>365</v>
      </c>
      <c r="C45" s="1011" t="s">
        <v>366</v>
      </c>
      <c r="D45" s="1011"/>
      <c r="E45" s="1011"/>
      <c r="F45" s="338">
        <f>SUM(F46:F55)</f>
        <v>2805031</v>
      </c>
      <c r="G45" s="338">
        <f>SUM(G46:G55)</f>
        <v>0</v>
      </c>
      <c r="H45" s="886">
        <f>SUM(H46:H55)</f>
        <v>0</v>
      </c>
      <c r="I45" s="367">
        <f t="shared" si="0"/>
        <v>2805031</v>
      </c>
    </row>
    <row r="46" spans="1:9" x14ac:dyDescent="0.2">
      <c r="A46" s="349"/>
      <c r="B46" s="349"/>
      <c r="C46" s="348" t="s">
        <v>1018</v>
      </c>
      <c r="D46" s="348" t="s">
        <v>235</v>
      </c>
      <c r="E46" s="348" t="s">
        <v>236</v>
      </c>
      <c r="F46" s="350">
        <v>0</v>
      </c>
      <c r="G46" s="350">
        <v>0</v>
      </c>
      <c r="H46" s="888">
        <v>0</v>
      </c>
      <c r="I46" s="352">
        <f t="shared" si="0"/>
        <v>0</v>
      </c>
    </row>
    <row r="47" spans="1:9" x14ac:dyDescent="0.2">
      <c r="A47" s="349"/>
      <c r="B47" s="349"/>
      <c r="C47" s="348"/>
      <c r="D47" s="348" t="s">
        <v>237</v>
      </c>
      <c r="E47" s="348" t="s">
        <v>238</v>
      </c>
      <c r="F47" s="350">
        <v>65000</v>
      </c>
      <c r="G47" s="350">
        <v>0</v>
      </c>
      <c r="H47" s="888">
        <v>0</v>
      </c>
      <c r="I47" s="352">
        <f t="shared" si="0"/>
        <v>65000</v>
      </c>
    </row>
    <row r="48" spans="1:9" x14ac:dyDescent="0.2">
      <c r="A48" s="356"/>
      <c r="B48" s="356"/>
      <c r="C48" s="357"/>
      <c r="D48" s="357" t="s">
        <v>239</v>
      </c>
      <c r="E48" s="357" t="s">
        <v>350</v>
      </c>
      <c r="F48" s="350">
        <f>394473+2301200+17299+20019-2608</f>
        <v>2730383</v>
      </c>
      <c r="G48" s="350">
        <v>0</v>
      </c>
      <c r="H48" s="888">
        <f>719-719</f>
        <v>0</v>
      </c>
      <c r="I48" s="352">
        <f t="shared" si="0"/>
        <v>2730383</v>
      </c>
    </row>
    <row r="49" spans="1:9" x14ac:dyDescent="0.2">
      <c r="A49" s="349"/>
      <c r="B49" s="349"/>
      <c r="C49" s="348"/>
      <c r="D49" s="348" t="s">
        <v>241</v>
      </c>
      <c r="E49" s="348" t="s">
        <v>242</v>
      </c>
      <c r="F49" s="350">
        <v>0</v>
      </c>
      <c r="G49" s="350">
        <v>0</v>
      </c>
      <c r="H49" s="888">
        <v>0</v>
      </c>
      <c r="I49" s="352">
        <f t="shared" si="0"/>
        <v>0</v>
      </c>
    </row>
    <row r="50" spans="1:9" x14ac:dyDescent="0.2">
      <c r="A50" s="349"/>
      <c r="B50" s="349"/>
      <c r="C50" s="348"/>
      <c r="D50" s="348" t="s">
        <v>243</v>
      </c>
      <c r="E50" s="348" t="s">
        <v>244</v>
      </c>
      <c r="F50" s="350">
        <v>0</v>
      </c>
      <c r="G50" s="350">
        <v>0</v>
      </c>
      <c r="H50" s="888">
        <v>0</v>
      </c>
      <c r="I50" s="352">
        <f t="shared" si="0"/>
        <v>0</v>
      </c>
    </row>
    <row r="51" spans="1:9" x14ac:dyDescent="0.2">
      <c r="A51" s="349"/>
      <c r="B51" s="349"/>
      <c r="C51" s="348"/>
      <c r="D51" s="348" t="s">
        <v>245</v>
      </c>
      <c r="E51" s="348" t="s">
        <v>246</v>
      </c>
      <c r="F51" s="350">
        <f>2680+2695+2507+1766</f>
        <v>9648</v>
      </c>
      <c r="G51" s="350">
        <v>0</v>
      </c>
      <c r="H51" s="888">
        <v>0</v>
      </c>
      <c r="I51" s="352">
        <f t="shared" si="0"/>
        <v>9648</v>
      </c>
    </row>
    <row r="52" spans="1:9" x14ac:dyDescent="0.2">
      <c r="A52" s="349"/>
      <c r="B52" s="349"/>
      <c r="C52" s="348"/>
      <c r="D52" s="348" t="s">
        <v>247</v>
      </c>
      <c r="E52" s="348" t="s">
        <v>248</v>
      </c>
      <c r="F52" s="350">
        <v>0</v>
      </c>
      <c r="G52" s="350">
        <v>0</v>
      </c>
      <c r="H52" s="888">
        <v>0</v>
      </c>
      <c r="I52" s="352">
        <f t="shared" si="0"/>
        <v>0</v>
      </c>
    </row>
    <row r="53" spans="1:9" x14ac:dyDescent="0.2">
      <c r="A53" s="349"/>
      <c r="B53" s="349"/>
      <c r="C53" s="348"/>
      <c r="D53" s="348" t="s">
        <v>249</v>
      </c>
      <c r="E53" s="348" t="s">
        <v>250</v>
      </c>
      <c r="F53" s="350">
        <v>0</v>
      </c>
      <c r="G53" s="350">
        <v>0</v>
      </c>
      <c r="H53" s="888">
        <v>0</v>
      </c>
      <c r="I53" s="352">
        <f t="shared" si="0"/>
        <v>0</v>
      </c>
    </row>
    <row r="54" spans="1:9" x14ac:dyDescent="0.2">
      <c r="A54" s="349"/>
      <c r="B54" s="349"/>
      <c r="C54" s="348"/>
      <c r="D54" s="348" t="s">
        <v>251</v>
      </c>
      <c r="E54" s="348" t="s">
        <v>252</v>
      </c>
      <c r="F54" s="350">
        <v>0</v>
      </c>
      <c r="G54" s="350">
        <v>0</v>
      </c>
      <c r="H54" s="888">
        <v>0</v>
      </c>
      <c r="I54" s="352">
        <f t="shared" si="0"/>
        <v>0</v>
      </c>
    </row>
    <row r="55" spans="1:9" x14ac:dyDescent="0.2">
      <c r="A55" s="349"/>
      <c r="B55" s="349"/>
      <c r="C55" s="348"/>
      <c r="D55" s="348" t="s">
        <v>253</v>
      </c>
      <c r="E55" s="348" t="s">
        <v>254</v>
      </c>
      <c r="F55" s="350">
        <v>0</v>
      </c>
      <c r="G55" s="350">
        <v>0</v>
      </c>
      <c r="H55" s="888">
        <v>0</v>
      </c>
      <c r="I55" s="352">
        <f t="shared" si="0"/>
        <v>0</v>
      </c>
    </row>
    <row r="56" spans="1:9" s="370" customFormat="1" x14ac:dyDescent="0.2">
      <c r="A56" s="368" t="s">
        <v>367</v>
      </c>
      <c r="B56" s="1012" t="s">
        <v>368</v>
      </c>
      <c r="C56" s="1012"/>
      <c r="D56" s="1012"/>
      <c r="E56" s="1012"/>
      <c r="F56" s="369">
        <f>SUM(F57+F58+F59+F60+F63+F75)</f>
        <v>144195</v>
      </c>
      <c r="G56" s="369">
        <f>SUM(G57+G58+G59+G60+G63+G75)</f>
        <v>375</v>
      </c>
      <c r="H56" s="885">
        <f>SUM(H57+H58+H59+H60+H63+H75)</f>
        <v>0</v>
      </c>
      <c r="I56" s="369">
        <f t="shared" si="0"/>
        <v>144570</v>
      </c>
    </row>
    <row r="57" spans="1:9" x14ac:dyDescent="0.2">
      <c r="A57" s="337"/>
      <c r="B57" s="337" t="s">
        <v>369</v>
      </c>
      <c r="C57" s="1011" t="s">
        <v>370</v>
      </c>
      <c r="D57" s="1011"/>
      <c r="E57" s="1011"/>
      <c r="F57" s="338">
        <v>0</v>
      </c>
      <c r="G57" s="338">
        <v>0</v>
      </c>
      <c r="H57" s="886">
        <v>0</v>
      </c>
      <c r="I57" s="367">
        <f t="shared" si="0"/>
        <v>0</v>
      </c>
    </row>
    <row r="58" spans="1:9" x14ac:dyDescent="0.2">
      <c r="A58" s="337"/>
      <c r="B58" s="337" t="s">
        <v>371</v>
      </c>
      <c r="C58" s="1011" t="s">
        <v>372</v>
      </c>
      <c r="D58" s="1011"/>
      <c r="E58" s="1011"/>
      <c r="F58" s="338">
        <v>0</v>
      </c>
      <c r="G58" s="338">
        <v>0</v>
      </c>
      <c r="H58" s="886">
        <v>0</v>
      </c>
      <c r="I58" s="367">
        <f t="shared" si="0"/>
        <v>0</v>
      </c>
    </row>
    <row r="59" spans="1:9" x14ac:dyDescent="0.2">
      <c r="A59" s="337"/>
      <c r="B59" s="337" t="s">
        <v>373</v>
      </c>
      <c r="C59" s="1011" t="s">
        <v>374</v>
      </c>
      <c r="D59" s="1011"/>
      <c r="E59" s="1011"/>
      <c r="F59" s="338">
        <v>0</v>
      </c>
      <c r="G59" s="338">
        <v>0</v>
      </c>
      <c r="H59" s="886">
        <v>0</v>
      </c>
      <c r="I59" s="367">
        <f t="shared" si="0"/>
        <v>0</v>
      </c>
    </row>
    <row r="60" spans="1:9" x14ac:dyDescent="0.2">
      <c r="A60" s="337"/>
      <c r="B60" s="337" t="s">
        <v>375</v>
      </c>
      <c r="C60" s="1011" t="s">
        <v>376</v>
      </c>
      <c r="D60" s="1011"/>
      <c r="E60" s="1011"/>
      <c r="F60" s="338">
        <f>SUM(F61:F62)</f>
        <v>27500</v>
      </c>
      <c r="G60" s="338">
        <f>SUM(G61:G62)</f>
        <v>0</v>
      </c>
      <c r="H60" s="886">
        <v>0</v>
      </c>
      <c r="I60" s="367">
        <f t="shared" si="0"/>
        <v>27500</v>
      </c>
    </row>
    <row r="61" spans="1:9" x14ac:dyDescent="0.2">
      <c r="A61" s="349"/>
      <c r="B61" s="349"/>
      <c r="C61" s="348"/>
      <c r="D61" s="348"/>
      <c r="E61" s="348" t="s">
        <v>377</v>
      </c>
      <c r="F61" s="350">
        <v>26500</v>
      </c>
      <c r="G61" s="350">
        <v>0</v>
      </c>
      <c r="H61" s="888">
        <v>0</v>
      </c>
      <c r="I61" s="352">
        <f t="shared" si="0"/>
        <v>26500</v>
      </c>
    </row>
    <row r="62" spans="1:9" x14ac:dyDescent="0.2">
      <c r="A62" s="349"/>
      <c r="B62" s="349"/>
      <c r="C62" s="348"/>
      <c r="D62" s="348"/>
      <c r="E62" s="348" t="s">
        <v>378</v>
      </c>
      <c r="F62" s="350">
        <v>1000</v>
      </c>
      <c r="G62" s="350">
        <v>0</v>
      </c>
      <c r="H62" s="888">
        <v>0</v>
      </c>
      <c r="I62" s="352">
        <f t="shared" si="0"/>
        <v>1000</v>
      </c>
    </row>
    <row r="63" spans="1:9" x14ac:dyDescent="0.2">
      <c r="A63" s="337"/>
      <c r="B63" s="337" t="s">
        <v>379</v>
      </c>
      <c r="C63" s="1011" t="s">
        <v>380</v>
      </c>
      <c r="D63" s="1011"/>
      <c r="E63" s="1011"/>
      <c r="F63" s="338">
        <f>SUM(F64+F67+F68+F69+F71)</f>
        <v>115095</v>
      </c>
      <c r="G63" s="338">
        <f>SUM(G64+G67+G68+G69+G71)</f>
        <v>0</v>
      </c>
      <c r="H63" s="886">
        <v>0</v>
      </c>
      <c r="I63" s="367">
        <f t="shared" si="0"/>
        <v>115095</v>
      </c>
    </row>
    <row r="64" spans="1:9" x14ac:dyDescent="0.2">
      <c r="A64" s="346"/>
      <c r="B64" s="346"/>
      <c r="C64" s="346" t="s">
        <v>381</v>
      </c>
      <c r="D64" s="346" t="s">
        <v>382</v>
      </c>
      <c r="E64" s="346"/>
      <c r="F64" s="347">
        <f>SUM(F65:F66)</f>
        <v>94728</v>
      </c>
      <c r="G64" s="347">
        <f>SUM(G65:G66)</f>
        <v>0</v>
      </c>
      <c r="H64" s="887">
        <v>0</v>
      </c>
      <c r="I64" s="365">
        <f t="shared" si="0"/>
        <v>94728</v>
      </c>
    </row>
    <row r="65" spans="1:9" x14ac:dyDescent="0.2">
      <c r="A65" s="349"/>
      <c r="B65" s="349"/>
      <c r="C65" s="348"/>
      <c r="D65" s="348"/>
      <c r="E65" s="348" t="s">
        <v>383</v>
      </c>
      <c r="F65" s="350">
        <f>90000+622-394+4000</f>
        <v>94228</v>
      </c>
      <c r="G65" s="350">
        <v>0</v>
      </c>
      <c r="H65" s="888">
        <v>0</v>
      </c>
      <c r="I65" s="352">
        <f t="shared" si="0"/>
        <v>94228</v>
      </c>
    </row>
    <row r="66" spans="1:9" x14ac:dyDescent="0.2">
      <c r="A66" s="349"/>
      <c r="B66" s="349"/>
      <c r="C66" s="348"/>
      <c r="D66" s="348"/>
      <c r="E66" s="348" t="s">
        <v>384</v>
      </c>
      <c r="F66" s="350">
        <v>500</v>
      </c>
      <c r="G66" s="350">
        <v>0</v>
      </c>
      <c r="H66" s="888">
        <v>0</v>
      </c>
      <c r="I66" s="352">
        <f t="shared" si="0"/>
        <v>500</v>
      </c>
    </row>
    <row r="67" spans="1:9" x14ac:dyDescent="0.2">
      <c r="A67" s="346"/>
      <c r="B67" s="346"/>
      <c r="C67" s="346" t="s">
        <v>385</v>
      </c>
      <c r="D67" s="346" t="s">
        <v>386</v>
      </c>
      <c r="E67" s="346"/>
      <c r="F67" s="347">
        <v>0</v>
      </c>
      <c r="G67" s="347">
        <v>0</v>
      </c>
      <c r="H67" s="887">
        <v>0</v>
      </c>
      <c r="I67" s="365">
        <f t="shared" si="0"/>
        <v>0</v>
      </c>
    </row>
    <row r="68" spans="1:9" x14ac:dyDescent="0.2">
      <c r="A68" s="346"/>
      <c r="B68" s="346"/>
      <c r="C68" s="346" t="s">
        <v>387</v>
      </c>
      <c r="D68" s="346" t="s">
        <v>388</v>
      </c>
      <c r="E68" s="346"/>
      <c r="F68" s="347">
        <v>0</v>
      </c>
      <c r="G68" s="347">
        <v>0</v>
      </c>
      <c r="H68" s="887">
        <v>0</v>
      </c>
      <c r="I68" s="365">
        <f t="shared" si="0"/>
        <v>0</v>
      </c>
    </row>
    <row r="69" spans="1:9" x14ac:dyDescent="0.2">
      <c r="A69" s="346"/>
      <c r="B69" s="346"/>
      <c r="C69" s="346" t="s">
        <v>389</v>
      </c>
      <c r="D69" s="346" t="s">
        <v>390</v>
      </c>
      <c r="E69" s="346"/>
      <c r="F69" s="347">
        <f>SUM(F70)</f>
        <v>19867</v>
      </c>
      <c r="G69" s="347">
        <f>SUM(G70:G70)</f>
        <v>0</v>
      </c>
      <c r="H69" s="887">
        <v>0</v>
      </c>
      <c r="I69" s="365">
        <f t="shared" si="0"/>
        <v>19867</v>
      </c>
    </row>
    <row r="70" spans="1:9" x14ac:dyDescent="0.2">
      <c r="A70" s="349"/>
      <c r="B70" s="349"/>
      <c r="C70" s="349"/>
      <c r="D70" s="348"/>
      <c r="E70" s="348" t="s">
        <v>391</v>
      </c>
      <c r="F70" s="350">
        <f>20000-126-7</f>
        <v>19867</v>
      </c>
      <c r="G70" s="350">
        <v>0</v>
      </c>
      <c r="H70" s="888">
        <v>0</v>
      </c>
      <c r="I70" s="352">
        <f t="shared" si="0"/>
        <v>19867</v>
      </c>
    </row>
    <row r="71" spans="1:9" x14ac:dyDescent="0.2">
      <c r="A71" s="346"/>
      <c r="B71" s="346"/>
      <c r="C71" s="346" t="s">
        <v>392</v>
      </c>
      <c r="D71" s="346" t="s">
        <v>393</v>
      </c>
      <c r="E71" s="346"/>
      <c r="F71" s="347">
        <f>SUM(F72:F74)</f>
        <v>500</v>
      </c>
      <c r="G71" s="347">
        <v>0</v>
      </c>
      <c r="H71" s="887">
        <v>0</v>
      </c>
      <c r="I71" s="365">
        <f t="shared" si="0"/>
        <v>500</v>
      </c>
    </row>
    <row r="72" spans="1:9" x14ac:dyDescent="0.2">
      <c r="A72" s="349"/>
      <c r="B72" s="349"/>
      <c r="C72" s="349"/>
      <c r="D72" s="348"/>
      <c r="E72" s="348" t="s">
        <v>394</v>
      </c>
      <c r="F72" s="350">
        <v>0</v>
      </c>
      <c r="G72" s="350">
        <v>0</v>
      </c>
      <c r="H72" s="888">
        <v>0</v>
      </c>
      <c r="I72" s="352">
        <f t="shared" ref="I72:I135" si="1">SUM(F72:H72)</f>
        <v>0</v>
      </c>
    </row>
    <row r="73" spans="1:9" x14ac:dyDescent="0.2">
      <c r="A73" s="349"/>
      <c r="B73" s="349"/>
      <c r="C73" s="349"/>
      <c r="D73" s="348"/>
      <c r="E73" s="348" t="s">
        <v>395</v>
      </c>
      <c r="F73" s="350">
        <v>500</v>
      </c>
      <c r="G73" s="350">
        <v>0</v>
      </c>
      <c r="H73" s="888">
        <v>0</v>
      </c>
      <c r="I73" s="352">
        <f t="shared" si="1"/>
        <v>500</v>
      </c>
    </row>
    <row r="74" spans="1:9" x14ac:dyDescent="0.2">
      <c r="A74" s="349"/>
      <c r="B74" s="349"/>
      <c r="C74" s="349"/>
      <c r="D74" s="348"/>
      <c r="E74" s="348" t="s">
        <v>396</v>
      </c>
      <c r="F74" s="350">
        <v>0</v>
      </c>
      <c r="G74" s="350">
        <v>0</v>
      </c>
      <c r="H74" s="888">
        <v>0</v>
      </c>
      <c r="I74" s="352">
        <f t="shared" si="1"/>
        <v>0</v>
      </c>
    </row>
    <row r="75" spans="1:9" x14ac:dyDescent="0.2">
      <c r="A75" s="337"/>
      <c r="B75" s="337" t="s">
        <v>397</v>
      </c>
      <c r="C75" s="1011" t="s">
        <v>398</v>
      </c>
      <c r="D75" s="1011"/>
      <c r="E75" s="1011"/>
      <c r="F75" s="338">
        <f>SUM(F76:F84)</f>
        <v>1600</v>
      </c>
      <c r="G75" s="338">
        <f>SUM(G76:G84)</f>
        <v>375</v>
      </c>
      <c r="H75" s="886">
        <f>SUM(H76:H84)</f>
        <v>0</v>
      </c>
      <c r="I75" s="367">
        <f t="shared" si="1"/>
        <v>1975</v>
      </c>
    </row>
    <row r="76" spans="1:9" x14ac:dyDescent="0.2">
      <c r="A76" s="358"/>
      <c r="B76" s="358"/>
      <c r="C76" s="358"/>
      <c r="D76" s="348"/>
      <c r="E76" s="348" t="s">
        <v>399</v>
      </c>
      <c r="F76" s="350">
        <v>0</v>
      </c>
      <c r="G76" s="350">
        <v>0</v>
      </c>
      <c r="H76" s="888">
        <v>0</v>
      </c>
      <c r="I76" s="352">
        <f t="shared" si="1"/>
        <v>0</v>
      </c>
    </row>
    <row r="77" spans="1:9" x14ac:dyDescent="0.2">
      <c r="A77" s="349"/>
      <c r="B77" s="349"/>
      <c r="C77" s="349"/>
      <c r="D77" s="348"/>
      <c r="E77" s="348" t="s">
        <v>400</v>
      </c>
      <c r="F77" s="350">
        <v>0</v>
      </c>
      <c r="G77" s="350">
        <v>375</v>
      </c>
      <c r="H77" s="888">
        <v>0</v>
      </c>
      <c r="I77" s="352">
        <f t="shared" si="1"/>
        <v>375</v>
      </c>
    </row>
    <row r="78" spans="1:9" x14ac:dyDescent="0.2">
      <c r="A78" s="358"/>
      <c r="B78" s="358"/>
      <c r="C78" s="358"/>
      <c r="D78" s="348"/>
      <c r="E78" s="348" t="s">
        <v>401</v>
      </c>
      <c r="F78" s="350">
        <v>0</v>
      </c>
      <c r="G78" s="350">
        <v>0</v>
      </c>
      <c r="H78" s="888">
        <v>0</v>
      </c>
      <c r="I78" s="352">
        <f t="shared" si="1"/>
        <v>0</v>
      </c>
    </row>
    <row r="79" spans="1:9" x14ac:dyDescent="0.2">
      <c r="A79" s="358"/>
      <c r="B79" s="358"/>
      <c r="C79" s="358"/>
      <c r="D79" s="348"/>
      <c r="E79" s="348" t="s">
        <v>402</v>
      </c>
      <c r="F79" s="350">
        <v>0</v>
      </c>
      <c r="G79" s="350">
        <v>0</v>
      </c>
      <c r="H79" s="888">
        <v>0</v>
      </c>
      <c r="I79" s="352">
        <f t="shared" si="1"/>
        <v>0</v>
      </c>
    </row>
    <row r="80" spans="1:9" x14ac:dyDescent="0.2">
      <c r="A80" s="358"/>
      <c r="B80" s="358"/>
      <c r="C80" s="358"/>
      <c r="D80" s="348"/>
      <c r="E80" s="348" t="s">
        <v>403</v>
      </c>
      <c r="F80" s="350">
        <v>0</v>
      </c>
      <c r="G80" s="350">
        <v>0</v>
      </c>
      <c r="H80" s="888">
        <v>0</v>
      </c>
      <c r="I80" s="352">
        <f t="shared" si="1"/>
        <v>0</v>
      </c>
    </row>
    <row r="81" spans="1:9" x14ac:dyDescent="0.2">
      <c r="A81" s="358"/>
      <c r="B81" s="358"/>
      <c r="C81" s="358"/>
      <c r="D81" s="348"/>
      <c r="E81" s="348" t="s">
        <v>404</v>
      </c>
      <c r="F81" s="350">
        <v>0</v>
      </c>
      <c r="G81" s="350">
        <v>0</v>
      </c>
      <c r="H81" s="888">
        <v>0</v>
      </c>
      <c r="I81" s="352">
        <f t="shared" si="1"/>
        <v>0</v>
      </c>
    </row>
    <row r="82" spans="1:9" ht="40.5" customHeight="1" x14ac:dyDescent="0.2">
      <c r="A82" s="349"/>
      <c r="B82" s="349"/>
      <c r="C82" s="349"/>
      <c r="D82" s="349"/>
      <c r="E82" s="692" t="s">
        <v>405</v>
      </c>
      <c r="F82" s="350">
        <v>100</v>
      </c>
      <c r="G82" s="350">
        <v>0</v>
      </c>
      <c r="H82" s="888">
        <v>0</v>
      </c>
      <c r="I82" s="352">
        <f t="shared" si="1"/>
        <v>100</v>
      </c>
    </row>
    <row r="83" spans="1:9" x14ac:dyDescent="0.2">
      <c r="A83" s="358"/>
      <c r="B83" s="358"/>
      <c r="C83" s="358"/>
      <c r="D83" s="358"/>
      <c r="E83" s="348" t="s">
        <v>406</v>
      </c>
      <c r="F83" s="350">
        <v>0</v>
      </c>
      <c r="G83" s="350">
        <v>0</v>
      </c>
      <c r="H83" s="888">
        <v>0</v>
      </c>
      <c r="I83" s="352">
        <f t="shared" si="1"/>
        <v>0</v>
      </c>
    </row>
    <row r="84" spans="1:9" x14ac:dyDescent="0.2">
      <c r="A84" s="349"/>
      <c r="B84" s="349"/>
      <c r="C84" s="349"/>
      <c r="D84" s="349"/>
      <c r="E84" s="357" t="s">
        <v>407</v>
      </c>
      <c r="F84" s="350">
        <v>1500</v>
      </c>
      <c r="G84" s="350">
        <v>0</v>
      </c>
      <c r="H84" s="888">
        <v>0</v>
      </c>
      <c r="I84" s="352">
        <f t="shared" si="1"/>
        <v>1500</v>
      </c>
    </row>
    <row r="85" spans="1:9" s="370" customFormat="1" x14ac:dyDescent="0.2">
      <c r="A85" s="368" t="s">
        <v>408</v>
      </c>
      <c r="B85" s="1012" t="s">
        <v>409</v>
      </c>
      <c r="C85" s="1012"/>
      <c r="D85" s="1012"/>
      <c r="E85" s="1012"/>
      <c r="F85" s="369">
        <f>SUM(F86+F87+F89+F91+F94+F95+F96+F97+F98+F99)</f>
        <v>910360</v>
      </c>
      <c r="G85" s="369">
        <f>SUM(G86+G87+G89+G91+G94+G95+G96+G97+G98+G99)</f>
        <v>10192</v>
      </c>
      <c r="H85" s="885">
        <f>SUM(H86+H87+H89+H91+H94+H95+H96+H97+H98+H99)</f>
        <v>6760</v>
      </c>
      <c r="I85" s="369">
        <f t="shared" si="1"/>
        <v>927312</v>
      </c>
    </row>
    <row r="86" spans="1:9" x14ac:dyDescent="0.2">
      <c r="A86" s="346"/>
      <c r="B86" s="346"/>
      <c r="C86" s="346" t="s">
        <v>410</v>
      </c>
      <c r="D86" s="346" t="s">
        <v>555</v>
      </c>
      <c r="E86" s="346"/>
      <c r="F86" s="347">
        <f>100+52</f>
        <v>152</v>
      </c>
      <c r="G86" s="347">
        <v>0</v>
      </c>
      <c r="H86" s="887">
        <v>0</v>
      </c>
      <c r="I86" s="365">
        <f t="shared" si="1"/>
        <v>152</v>
      </c>
    </row>
    <row r="87" spans="1:9" x14ac:dyDescent="0.2">
      <c r="A87" s="346"/>
      <c r="B87" s="346"/>
      <c r="C87" s="346" t="s">
        <v>411</v>
      </c>
      <c r="D87" s="346" t="s">
        <v>556</v>
      </c>
      <c r="E87" s="346"/>
      <c r="F87" s="347">
        <f>89421+960</f>
        <v>90381</v>
      </c>
      <c r="G87" s="347">
        <v>1792</v>
      </c>
      <c r="H87" s="887">
        <v>217</v>
      </c>
      <c r="I87" s="365">
        <f t="shared" si="1"/>
        <v>92390</v>
      </c>
    </row>
    <row r="88" spans="1:9" x14ac:dyDescent="0.2">
      <c r="A88" s="349"/>
      <c r="B88" s="349"/>
      <c r="C88" s="348" t="s">
        <v>1018</v>
      </c>
      <c r="D88" s="348"/>
      <c r="E88" s="348" t="s">
        <v>412</v>
      </c>
      <c r="F88" s="350">
        <v>12151</v>
      </c>
      <c r="G88" s="350">
        <v>0</v>
      </c>
      <c r="H88" s="888">
        <v>217</v>
      </c>
      <c r="I88" s="352">
        <f t="shared" si="1"/>
        <v>12368</v>
      </c>
    </row>
    <row r="89" spans="1:9" x14ac:dyDescent="0.2">
      <c r="A89" s="346"/>
      <c r="B89" s="346"/>
      <c r="C89" s="346" t="s">
        <v>413</v>
      </c>
      <c r="D89" s="346" t="s">
        <v>414</v>
      </c>
      <c r="E89" s="346"/>
      <c r="F89" s="347">
        <f>2033+3175+24+787</f>
        <v>6019</v>
      </c>
      <c r="G89" s="347">
        <f>5505+2126</f>
        <v>7631</v>
      </c>
      <c r="H89" s="887">
        <v>0</v>
      </c>
      <c r="I89" s="365">
        <f t="shared" si="1"/>
        <v>13650</v>
      </c>
    </row>
    <row r="90" spans="1:9" x14ac:dyDescent="0.2">
      <c r="A90" s="349"/>
      <c r="B90" s="349"/>
      <c r="C90" s="348" t="s">
        <v>1018</v>
      </c>
      <c r="D90" s="348"/>
      <c r="E90" s="348" t="s">
        <v>1065</v>
      </c>
      <c r="F90" s="350">
        <f>444+3175+157</f>
        <v>3776</v>
      </c>
      <c r="G90" s="350">
        <f>5417</f>
        <v>5417</v>
      </c>
      <c r="H90" s="888">
        <v>0</v>
      </c>
      <c r="I90" s="352">
        <f t="shared" si="1"/>
        <v>9193</v>
      </c>
    </row>
    <row r="91" spans="1:9" x14ac:dyDescent="0.2">
      <c r="A91" s="346"/>
      <c r="B91" s="346"/>
      <c r="C91" s="346" t="s">
        <v>415</v>
      </c>
      <c r="D91" s="346" t="s">
        <v>416</v>
      </c>
      <c r="E91" s="346"/>
      <c r="F91" s="347">
        <f>SUM(F92:F93)</f>
        <v>3000</v>
      </c>
      <c r="G91" s="347">
        <v>0</v>
      </c>
      <c r="H91" s="887">
        <v>0</v>
      </c>
      <c r="I91" s="365">
        <f t="shared" si="1"/>
        <v>3000</v>
      </c>
    </row>
    <row r="92" spans="1:9" x14ac:dyDescent="0.2">
      <c r="A92" s="349"/>
      <c r="B92" s="349"/>
      <c r="C92" s="348" t="s">
        <v>1018</v>
      </c>
      <c r="D92" s="348"/>
      <c r="E92" s="348" t="s">
        <v>417</v>
      </c>
      <c r="F92" s="350">
        <v>0</v>
      </c>
      <c r="G92" s="350">
        <v>0</v>
      </c>
      <c r="H92" s="888">
        <v>0</v>
      </c>
      <c r="I92" s="352">
        <f t="shared" si="1"/>
        <v>0</v>
      </c>
    </row>
    <row r="93" spans="1:9" x14ac:dyDescent="0.2">
      <c r="A93" s="349"/>
      <c r="B93" s="349"/>
      <c r="C93" s="348"/>
      <c r="D93" s="348"/>
      <c r="E93" s="348" t="s">
        <v>418</v>
      </c>
      <c r="F93" s="350">
        <f>7500-4500</f>
        <v>3000</v>
      </c>
      <c r="G93" s="350">
        <v>0</v>
      </c>
      <c r="H93" s="888">
        <v>0</v>
      </c>
      <c r="I93" s="352">
        <f t="shared" si="1"/>
        <v>3000</v>
      </c>
    </row>
    <row r="94" spans="1:9" x14ac:dyDescent="0.2">
      <c r="A94" s="346"/>
      <c r="B94" s="346"/>
      <c r="C94" s="346" t="s">
        <v>419</v>
      </c>
      <c r="D94" s="346" t="s">
        <v>420</v>
      </c>
      <c r="E94" s="346"/>
      <c r="F94" s="347">
        <v>3868</v>
      </c>
      <c r="G94" s="347">
        <v>0</v>
      </c>
      <c r="H94" s="887">
        <v>5034</v>
      </c>
      <c r="I94" s="365">
        <f t="shared" si="1"/>
        <v>8902</v>
      </c>
    </row>
    <row r="95" spans="1:9" x14ac:dyDescent="0.2">
      <c r="A95" s="346"/>
      <c r="B95" s="346"/>
      <c r="C95" s="346" t="s">
        <v>421</v>
      </c>
      <c r="D95" s="346" t="s">
        <v>422</v>
      </c>
      <c r="E95" s="346"/>
      <c r="F95" s="347">
        <f>23662-1215+7+213</f>
        <v>22667</v>
      </c>
      <c r="G95" s="347">
        <f>45+574</f>
        <v>619</v>
      </c>
      <c r="H95" s="887">
        <v>1359</v>
      </c>
      <c r="I95" s="365">
        <f t="shared" si="1"/>
        <v>24645</v>
      </c>
    </row>
    <row r="96" spans="1:9" x14ac:dyDescent="0.2">
      <c r="A96" s="346"/>
      <c r="B96" s="346"/>
      <c r="C96" s="346" t="s">
        <v>423</v>
      </c>
      <c r="D96" s="346" t="s">
        <v>424</v>
      </c>
      <c r="E96" s="346"/>
      <c r="F96" s="347">
        <f>769434+7774</f>
        <v>777208</v>
      </c>
      <c r="G96" s="347">
        <v>0</v>
      </c>
      <c r="H96" s="887">
        <v>0</v>
      </c>
      <c r="I96" s="365">
        <f t="shared" si="1"/>
        <v>777208</v>
      </c>
    </row>
    <row r="97" spans="1:9" x14ac:dyDescent="0.2">
      <c r="A97" s="346"/>
      <c r="B97" s="346"/>
      <c r="C97" s="346" t="s">
        <v>425</v>
      </c>
      <c r="D97" s="346" t="s">
        <v>426</v>
      </c>
      <c r="E97" s="346"/>
      <c r="F97" s="347">
        <v>2920</v>
      </c>
      <c r="G97" s="347">
        <v>150</v>
      </c>
      <c r="H97" s="887">
        <v>150</v>
      </c>
      <c r="I97" s="365">
        <f t="shared" si="1"/>
        <v>3220</v>
      </c>
    </row>
    <row r="98" spans="1:9" x14ac:dyDescent="0.2">
      <c r="A98" s="346"/>
      <c r="B98" s="346"/>
      <c r="C98" s="346" t="s">
        <v>427</v>
      </c>
      <c r="D98" s="346" t="s">
        <v>428</v>
      </c>
      <c r="E98" s="346"/>
      <c r="F98" s="347">
        <v>0</v>
      </c>
      <c r="G98" s="347">
        <v>0</v>
      </c>
      <c r="H98" s="887">
        <v>0</v>
      </c>
      <c r="I98" s="365">
        <f t="shared" si="1"/>
        <v>0</v>
      </c>
    </row>
    <row r="99" spans="1:9" ht="22.5" customHeight="1" x14ac:dyDescent="0.2">
      <c r="A99" s="346"/>
      <c r="B99" s="346"/>
      <c r="C99" s="346" t="s">
        <v>429</v>
      </c>
      <c r="D99" s="1013" t="s">
        <v>430</v>
      </c>
      <c r="E99" s="1013"/>
      <c r="F99" s="347">
        <f>SUM(F100:F102)</f>
        <v>4145</v>
      </c>
      <c r="G99" s="347">
        <v>0</v>
      </c>
      <c r="H99" s="887">
        <v>0</v>
      </c>
      <c r="I99" s="365">
        <f t="shared" si="1"/>
        <v>4145</v>
      </c>
    </row>
    <row r="100" spans="1:9" x14ac:dyDescent="0.2">
      <c r="A100" s="351"/>
      <c r="B100" s="351"/>
      <c r="C100" s="348" t="s">
        <v>1018</v>
      </c>
      <c r="D100" s="348" t="s">
        <v>704</v>
      </c>
      <c r="E100" s="348" t="s">
        <v>431</v>
      </c>
      <c r="F100" s="350">
        <v>0</v>
      </c>
      <c r="G100" s="350">
        <v>0</v>
      </c>
      <c r="H100" s="888">
        <v>0</v>
      </c>
      <c r="I100" s="352">
        <f t="shared" si="1"/>
        <v>0</v>
      </c>
    </row>
    <row r="101" spans="1:9" ht="40.5" customHeight="1" x14ac:dyDescent="0.2">
      <c r="A101" s="351"/>
      <c r="B101" s="351"/>
      <c r="C101" s="351"/>
      <c r="D101" s="692" t="s">
        <v>704</v>
      </c>
      <c r="E101" s="692" t="s">
        <v>432</v>
      </c>
      <c r="F101" s="350">
        <v>0</v>
      </c>
      <c r="G101" s="350">
        <v>0</v>
      </c>
      <c r="H101" s="888">
        <v>0</v>
      </c>
      <c r="I101" s="352">
        <f t="shared" si="1"/>
        <v>0</v>
      </c>
    </row>
    <row r="102" spans="1:9" ht="13.5" customHeight="1" x14ac:dyDescent="0.2">
      <c r="A102" s="349"/>
      <c r="B102" s="349"/>
      <c r="C102" s="349"/>
      <c r="D102" s="348" t="s">
        <v>704</v>
      </c>
      <c r="E102" s="359" t="s">
        <v>433</v>
      </c>
      <c r="F102" s="350">
        <f>360+3650+60+75</f>
        <v>4145</v>
      </c>
      <c r="G102" s="350">
        <v>0</v>
      </c>
      <c r="H102" s="888">
        <v>0</v>
      </c>
      <c r="I102" s="352">
        <f t="shared" si="1"/>
        <v>4145</v>
      </c>
    </row>
    <row r="103" spans="1:9" s="370" customFormat="1" x14ac:dyDescent="0.2">
      <c r="A103" s="368" t="s">
        <v>434</v>
      </c>
      <c r="B103" s="1012" t="s">
        <v>435</v>
      </c>
      <c r="C103" s="1012"/>
      <c r="D103" s="1012"/>
      <c r="E103" s="1012"/>
      <c r="F103" s="369">
        <f>SUM(F104+F105+F107+F108+F109)</f>
        <v>25297</v>
      </c>
      <c r="G103" s="369">
        <f>SUM(G104+G105+G107+G108+G109)</f>
        <v>0</v>
      </c>
      <c r="H103" s="885">
        <f>SUM(H104+H105+H107+H108+H109)</f>
        <v>0</v>
      </c>
      <c r="I103" s="369">
        <f t="shared" si="1"/>
        <v>25297</v>
      </c>
    </row>
    <row r="104" spans="1:9" x14ac:dyDescent="0.2">
      <c r="A104" s="337"/>
      <c r="B104" s="337" t="s">
        <v>436</v>
      </c>
      <c r="C104" s="1011" t="s">
        <v>557</v>
      </c>
      <c r="D104" s="1011"/>
      <c r="E104" s="1011"/>
      <c r="F104" s="338">
        <v>0</v>
      </c>
      <c r="G104" s="338">
        <v>0</v>
      </c>
      <c r="H104" s="886">
        <v>0</v>
      </c>
      <c r="I104" s="367">
        <f t="shared" si="1"/>
        <v>0</v>
      </c>
    </row>
    <row r="105" spans="1:9" x14ac:dyDescent="0.2">
      <c r="A105" s="337"/>
      <c r="B105" s="337" t="s">
        <v>437</v>
      </c>
      <c r="C105" s="1011" t="s">
        <v>438</v>
      </c>
      <c r="D105" s="1011"/>
      <c r="E105" s="1011"/>
      <c r="F105" s="338">
        <v>25297</v>
      </c>
      <c r="G105" s="338">
        <v>0</v>
      </c>
      <c r="H105" s="886">
        <v>0</v>
      </c>
      <c r="I105" s="367">
        <f t="shared" si="1"/>
        <v>25297</v>
      </c>
    </row>
    <row r="106" spans="1:9" x14ac:dyDescent="0.2">
      <c r="A106" s="349"/>
      <c r="B106" s="349"/>
      <c r="C106" s="348" t="s">
        <v>1018</v>
      </c>
      <c r="D106" s="348" t="s">
        <v>704</v>
      </c>
      <c r="E106" s="348" t="s">
        <v>439</v>
      </c>
      <c r="F106" s="350">
        <v>15</v>
      </c>
      <c r="G106" s="350">
        <v>0</v>
      </c>
      <c r="H106" s="888">
        <v>0</v>
      </c>
      <c r="I106" s="352">
        <f t="shared" si="1"/>
        <v>15</v>
      </c>
    </row>
    <row r="107" spans="1:9" x14ac:dyDescent="0.2">
      <c r="A107" s="337"/>
      <c r="B107" s="337" t="s">
        <v>440</v>
      </c>
      <c r="C107" s="1011" t="s">
        <v>441</v>
      </c>
      <c r="D107" s="1011"/>
      <c r="E107" s="1011"/>
      <c r="F107" s="338">
        <v>0</v>
      </c>
      <c r="G107" s="338">
        <v>0</v>
      </c>
      <c r="H107" s="886">
        <v>0</v>
      </c>
      <c r="I107" s="367">
        <f t="shared" si="1"/>
        <v>0</v>
      </c>
    </row>
    <row r="108" spans="1:9" x14ac:dyDescent="0.2">
      <c r="A108" s="337"/>
      <c r="B108" s="337" t="s">
        <v>442</v>
      </c>
      <c r="C108" s="1011" t="s">
        <v>443</v>
      </c>
      <c r="D108" s="1011"/>
      <c r="E108" s="1011"/>
      <c r="F108" s="338">
        <v>0</v>
      </c>
      <c r="G108" s="338">
        <v>0</v>
      </c>
      <c r="H108" s="886">
        <v>0</v>
      </c>
      <c r="I108" s="367">
        <f t="shared" si="1"/>
        <v>0</v>
      </c>
    </row>
    <row r="109" spans="1:9" x14ac:dyDescent="0.2">
      <c r="A109" s="337"/>
      <c r="B109" s="337" t="s">
        <v>444</v>
      </c>
      <c r="C109" s="1011" t="s">
        <v>445</v>
      </c>
      <c r="D109" s="1011"/>
      <c r="E109" s="1011"/>
      <c r="F109" s="338">
        <v>0</v>
      </c>
      <c r="G109" s="338">
        <v>0</v>
      </c>
      <c r="H109" s="886">
        <v>0</v>
      </c>
      <c r="I109" s="367">
        <f t="shared" si="1"/>
        <v>0</v>
      </c>
    </row>
    <row r="110" spans="1:9" s="370" customFormat="1" x14ac:dyDescent="0.2">
      <c r="A110" s="368" t="s">
        <v>446</v>
      </c>
      <c r="B110" s="1012" t="s">
        <v>447</v>
      </c>
      <c r="C110" s="1012"/>
      <c r="D110" s="1012"/>
      <c r="E110" s="1012"/>
      <c r="F110" s="369">
        <f>SUM(F111+F112+F123)</f>
        <v>15945</v>
      </c>
      <c r="G110" s="369">
        <f>SUM(G111+G112+G123)</f>
        <v>0</v>
      </c>
      <c r="H110" s="885">
        <f>SUM(H111+H112+H123)</f>
        <v>0</v>
      </c>
      <c r="I110" s="369">
        <f t="shared" si="1"/>
        <v>15945</v>
      </c>
    </row>
    <row r="111" spans="1:9" x14ac:dyDescent="0.2">
      <c r="A111" s="337"/>
      <c r="B111" s="337" t="s">
        <v>448</v>
      </c>
      <c r="C111" s="1011" t="s">
        <v>449</v>
      </c>
      <c r="D111" s="1011"/>
      <c r="E111" s="1011"/>
      <c r="F111" s="338">
        <v>0</v>
      </c>
      <c r="G111" s="338">
        <v>0</v>
      </c>
      <c r="H111" s="886">
        <v>0</v>
      </c>
      <c r="I111" s="367">
        <f t="shared" si="1"/>
        <v>0</v>
      </c>
    </row>
    <row r="112" spans="1:9" x14ac:dyDescent="0.2">
      <c r="A112" s="337"/>
      <c r="B112" s="337" t="s">
        <v>450</v>
      </c>
      <c r="C112" s="1011" t="s">
        <v>483</v>
      </c>
      <c r="D112" s="1011"/>
      <c r="E112" s="1011"/>
      <c r="F112" s="338">
        <f>SUM(F113:F122)</f>
        <v>15945</v>
      </c>
      <c r="G112" s="338">
        <v>0</v>
      </c>
      <c r="H112" s="886">
        <v>0</v>
      </c>
      <c r="I112" s="367">
        <f t="shared" si="1"/>
        <v>15945</v>
      </c>
    </row>
    <row r="113" spans="1:9" x14ac:dyDescent="0.2">
      <c r="A113" s="351"/>
      <c r="B113" s="351"/>
      <c r="C113" s="348" t="s">
        <v>1018</v>
      </c>
      <c r="D113" s="348" t="s">
        <v>235</v>
      </c>
      <c r="E113" s="348" t="s">
        <v>263</v>
      </c>
      <c r="F113" s="350">
        <v>0</v>
      </c>
      <c r="G113" s="350">
        <v>0</v>
      </c>
      <c r="H113" s="888">
        <v>0</v>
      </c>
      <c r="I113" s="352">
        <f t="shared" si="1"/>
        <v>0</v>
      </c>
    </row>
    <row r="114" spans="1:9" x14ac:dyDescent="0.2">
      <c r="A114" s="351"/>
      <c r="B114" s="351"/>
      <c r="C114" s="348"/>
      <c r="D114" s="348" t="s">
        <v>237</v>
      </c>
      <c r="E114" s="348" t="s">
        <v>264</v>
      </c>
      <c r="F114" s="350">
        <f>1945+10000</f>
        <v>11945</v>
      </c>
      <c r="G114" s="350">
        <v>0</v>
      </c>
      <c r="H114" s="888">
        <v>0</v>
      </c>
      <c r="I114" s="352">
        <f t="shared" si="1"/>
        <v>11945</v>
      </c>
    </row>
    <row r="115" spans="1:9" x14ac:dyDescent="0.2">
      <c r="A115" s="351"/>
      <c r="B115" s="351"/>
      <c r="C115" s="348"/>
      <c r="D115" s="348" t="s">
        <v>239</v>
      </c>
      <c r="E115" s="348" t="s">
        <v>265</v>
      </c>
      <c r="F115" s="350">
        <v>0</v>
      </c>
      <c r="G115" s="350">
        <v>0</v>
      </c>
      <c r="H115" s="888">
        <v>0</v>
      </c>
      <c r="I115" s="352">
        <f t="shared" si="1"/>
        <v>0</v>
      </c>
    </row>
    <row r="116" spans="1:9" x14ac:dyDescent="0.2">
      <c r="A116" s="351"/>
      <c r="B116" s="351"/>
      <c r="C116" s="348"/>
      <c r="D116" s="348" t="s">
        <v>241</v>
      </c>
      <c r="E116" s="348" t="s">
        <v>266</v>
      </c>
      <c r="F116" s="350">
        <v>0</v>
      </c>
      <c r="G116" s="350">
        <v>0</v>
      </c>
      <c r="H116" s="888">
        <v>0</v>
      </c>
      <c r="I116" s="352">
        <f t="shared" si="1"/>
        <v>0</v>
      </c>
    </row>
    <row r="117" spans="1:9" x14ac:dyDescent="0.2">
      <c r="A117" s="351"/>
      <c r="B117" s="351"/>
      <c r="C117" s="348"/>
      <c r="D117" s="348" t="s">
        <v>243</v>
      </c>
      <c r="E117" s="348" t="s">
        <v>267</v>
      </c>
      <c r="F117" s="350">
        <v>0</v>
      </c>
      <c r="G117" s="350">
        <v>0</v>
      </c>
      <c r="H117" s="888">
        <v>0</v>
      </c>
      <c r="I117" s="352">
        <f t="shared" si="1"/>
        <v>0</v>
      </c>
    </row>
    <row r="118" spans="1:9" x14ac:dyDescent="0.2">
      <c r="A118" s="351"/>
      <c r="B118" s="351"/>
      <c r="C118" s="348"/>
      <c r="D118" s="348" t="s">
        <v>245</v>
      </c>
      <c r="E118" s="348" t="s">
        <v>268</v>
      </c>
      <c r="F118" s="350">
        <v>4000</v>
      </c>
      <c r="G118" s="350">
        <v>0</v>
      </c>
      <c r="H118" s="888">
        <v>0</v>
      </c>
      <c r="I118" s="352">
        <f t="shared" si="1"/>
        <v>4000</v>
      </c>
    </row>
    <row r="119" spans="1:9" x14ac:dyDescent="0.2">
      <c r="A119" s="351"/>
      <c r="B119" s="351"/>
      <c r="C119" s="348"/>
      <c r="D119" s="348" t="s">
        <v>247</v>
      </c>
      <c r="E119" s="348" t="s">
        <v>269</v>
      </c>
      <c r="F119" s="350">
        <v>0</v>
      </c>
      <c r="G119" s="350">
        <v>0</v>
      </c>
      <c r="H119" s="888">
        <v>0</v>
      </c>
      <c r="I119" s="352">
        <f t="shared" si="1"/>
        <v>0</v>
      </c>
    </row>
    <row r="120" spans="1:9" x14ac:dyDescent="0.2">
      <c r="A120" s="351"/>
      <c r="B120" s="351"/>
      <c r="C120" s="348"/>
      <c r="D120" s="348" t="s">
        <v>249</v>
      </c>
      <c r="E120" s="348" t="s">
        <v>270</v>
      </c>
      <c r="F120" s="350">
        <v>0</v>
      </c>
      <c r="G120" s="350">
        <v>0</v>
      </c>
      <c r="H120" s="888">
        <v>0</v>
      </c>
      <c r="I120" s="352">
        <f t="shared" si="1"/>
        <v>0</v>
      </c>
    </row>
    <row r="121" spans="1:9" x14ac:dyDescent="0.2">
      <c r="A121" s="351"/>
      <c r="B121" s="351"/>
      <c r="C121" s="348"/>
      <c r="D121" s="348" t="s">
        <v>251</v>
      </c>
      <c r="E121" s="348" t="s">
        <v>271</v>
      </c>
      <c r="F121" s="350">
        <v>0</v>
      </c>
      <c r="G121" s="350">
        <v>0</v>
      </c>
      <c r="H121" s="888">
        <v>0</v>
      </c>
      <c r="I121" s="352">
        <f t="shared" si="1"/>
        <v>0</v>
      </c>
    </row>
    <row r="122" spans="1:9" x14ac:dyDescent="0.2">
      <c r="A122" s="351"/>
      <c r="B122" s="351"/>
      <c r="C122" s="348"/>
      <c r="D122" s="348" t="s">
        <v>253</v>
      </c>
      <c r="E122" s="348" t="s">
        <v>272</v>
      </c>
      <c r="F122" s="350">
        <v>0</v>
      </c>
      <c r="G122" s="350">
        <v>0</v>
      </c>
      <c r="H122" s="888">
        <v>0</v>
      </c>
      <c r="I122" s="352">
        <f t="shared" si="1"/>
        <v>0</v>
      </c>
    </row>
    <row r="123" spans="1:9" x14ac:dyDescent="0.2">
      <c r="A123" s="337"/>
      <c r="B123" s="337" t="s">
        <v>484</v>
      </c>
      <c r="C123" s="1011" t="s">
        <v>485</v>
      </c>
      <c r="D123" s="1011"/>
      <c r="E123" s="1011"/>
      <c r="F123" s="338">
        <v>0</v>
      </c>
      <c r="G123" s="338">
        <v>0</v>
      </c>
      <c r="H123" s="886">
        <v>0</v>
      </c>
      <c r="I123" s="367">
        <f t="shared" si="1"/>
        <v>0</v>
      </c>
    </row>
    <row r="124" spans="1:9" s="370" customFormat="1" x14ac:dyDescent="0.2">
      <c r="A124" s="368" t="s">
        <v>486</v>
      </c>
      <c r="B124" s="1012" t="s">
        <v>487</v>
      </c>
      <c r="C124" s="1012"/>
      <c r="D124" s="1012"/>
      <c r="E124" s="1012"/>
      <c r="F124" s="369">
        <f>SUM(F125:F127)</f>
        <v>548556</v>
      </c>
      <c r="G124" s="369">
        <f>SUM(G125:G127)</f>
        <v>0</v>
      </c>
      <c r="H124" s="885">
        <f>SUM(H125:H127)</f>
        <v>0</v>
      </c>
      <c r="I124" s="369">
        <f t="shared" si="1"/>
        <v>548556</v>
      </c>
    </row>
    <row r="125" spans="1:9" x14ac:dyDescent="0.2">
      <c r="A125" s="337"/>
      <c r="B125" s="337" t="s">
        <v>488</v>
      </c>
      <c r="C125" s="1011" t="s">
        <v>489</v>
      </c>
      <c r="D125" s="1011"/>
      <c r="E125" s="1011"/>
      <c r="F125" s="338">
        <v>0</v>
      </c>
      <c r="G125" s="338">
        <v>0</v>
      </c>
      <c r="H125" s="886">
        <v>0</v>
      </c>
      <c r="I125" s="367">
        <f t="shared" si="1"/>
        <v>0</v>
      </c>
    </row>
    <row r="126" spans="1:9" x14ac:dyDescent="0.2">
      <c r="A126" s="351"/>
      <c r="B126" s="337" t="s">
        <v>490</v>
      </c>
      <c r="C126" s="1011" t="s">
        <v>491</v>
      </c>
      <c r="D126" s="1011"/>
      <c r="E126" s="1011"/>
      <c r="F126" s="338">
        <v>0</v>
      </c>
      <c r="G126" s="338">
        <v>0</v>
      </c>
      <c r="H126" s="886">
        <v>0</v>
      </c>
      <c r="I126" s="367">
        <f t="shared" si="1"/>
        <v>0</v>
      </c>
    </row>
    <row r="127" spans="1:9" x14ac:dyDescent="0.2">
      <c r="A127" s="351"/>
      <c r="B127" s="337" t="s">
        <v>492</v>
      </c>
      <c r="C127" s="1011" t="s">
        <v>493</v>
      </c>
      <c r="D127" s="1011"/>
      <c r="E127" s="1011"/>
      <c r="F127" s="338">
        <v>548556</v>
      </c>
      <c r="G127" s="338">
        <v>0</v>
      </c>
      <c r="H127" s="886">
        <v>0</v>
      </c>
      <c r="I127" s="367">
        <f t="shared" si="1"/>
        <v>548556</v>
      </c>
    </row>
    <row r="128" spans="1:9" s="370" customFormat="1" x14ac:dyDescent="0.2">
      <c r="A128" s="368" t="s">
        <v>494</v>
      </c>
      <c r="B128" s="1012" t="s">
        <v>495</v>
      </c>
      <c r="C128" s="1012"/>
      <c r="D128" s="1012"/>
      <c r="E128" s="1012"/>
      <c r="F128" s="369">
        <f>SUM(F129+F145+F146)</f>
        <v>117966</v>
      </c>
      <c r="G128" s="369">
        <f>SUM(G129+G145+G146)</f>
        <v>3984</v>
      </c>
      <c r="H128" s="885">
        <f>SUM(H129+H145+H146)</f>
        <v>10018</v>
      </c>
      <c r="I128" s="369">
        <f t="shared" si="1"/>
        <v>131968</v>
      </c>
    </row>
    <row r="129" spans="1:9" x14ac:dyDescent="0.2">
      <c r="A129" s="351"/>
      <c r="B129" s="337" t="s">
        <v>496</v>
      </c>
      <c r="C129" s="1011" t="s">
        <v>497</v>
      </c>
      <c r="D129" s="1011"/>
      <c r="E129" s="1011"/>
      <c r="F129" s="338">
        <f>SUM(F130+F134+F135+F140+F141+F142+F143+F144)</f>
        <v>117966</v>
      </c>
      <c r="G129" s="338">
        <f>SUM(G130+G134+G135+G140+G141+G142+G143+G144)</f>
        <v>3984</v>
      </c>
      <c r="H129" s="886">
        <f>SUM(H130+H134+H135+H140+H141+H142+H143+H144)</f>
        <v>10018</v>
      </c>
      <c r="I129" s="367">
        <f t="shared" si="1"/>
        <v>131968</v>
      </c>
    </row>
    <row r="130" spans="1:9" x14ac:dyDescent="0.2">
      <c r="A130" s="346"/>
      <c r="B130" s="346"/>
      <c r="C130" s="346" t="s">
        <v>498</v>
      </c>
      <c r="D130" s="346" t="s">
        <v>499</v>
      </c>
      <c r="E130" s="346"/>
      <c r="F130" s="347">
        <f>SUM(F131:F133)</f>
        <v>0</v>
      </c>
      <c r="G130" s="347">
        <f>SUM(G131:G133)</f>
        <v>0</v>
      </c>
      <c r="H130" s="887">
        <f>SUM(H131:H133)</f>
        <v>0</v>
      </c>
      <c r="I130" s="365">
        <f t="shared" si="1"/>
        <v>0</v>
      </c>
    </row>
    <row r="131" spans="1:9" x14ac:dyDescent="0.2">
      <c r="A131" s="339"/>
      <c r="B131" s="339"/>
      <c r="C131" s="339"/>
      <c r="D131" s="339" t="s">
        <v>500</v>
      </c>
      <c r="E131" s="339" t="s">
        <v>501</v>
      </c>
      <c r="F131" s="340">
        <f>65000-65000</f>
        <v>0</v>
      </c>
      <c r="G131" s="340">
        <v>0</v>
      </c>
      <c r="H131" s="889">
        <v>0</v>
      </c>
      <c r="I131" s="366">
        <f t="shared" si="1"/>
        <v>0</v>
      </c>
    </row>
    <row r="132" spans="1:9" x14ac:dyDescent="0.2">
      <c r="A132" s="339"/>
      <c r="B132" s="339"/>
      <c r="C132" s="339"/>
      <c r="D132" s="339" t="s">
        <v>502</v>
      </c>
      <c r="E132" s="339" t="s">
        <v>503</v>
      </c>
      <c r="F132" s="340">
        <v>0</v>
      </c>
      <c r="G132" s="340">
        <v>0</v>
      </c>
      <c r="H132" s="889">
        <v>0</v>
      </c>
      <c r="I132" s="366">
        <f t="shared" si="1"/>
        <v>0</v>
      </c>
    </row>
    <row r="133" spans="1:9" x14ac:dyDescent="0.2">
      <c r="A133" s="339"/>
      <c r="B133" s="339"/>
      <c r="C133" s="339"/>
      <c r="D133" s="339" t="s">
        <v>504</v>
      </c>
      <c r="E133" s="339" t="s">
        <v>505</v>
      </c>
      <c r="F133" s="340">
        <v>0</v>
      </c>
      <c r="G133" s="340">
        <v>0</v>
      </c>
      <c r="H133" s="889">
        <v>0</v>
      </c>
      <c r="I133" s="366">
        <f t="shared" si="1"/>
        <v>0</v>
      </c>
    </row>
    <row r="134" spans="1:9" x14ac:dyDescent="0.2">
      <c r="A134" s="346"/>
      <c r="B134" s="346"/>
      <c r="C134" s="346" t="s">
        <v>506</v>
      </c>
      <c r="D134" s="346" t="s">
        <v>507</v>
      </c>
      <c r="E134" s="346"/>
      <c r="F134" s="347">
        <v>0</v>
      </c>
      <c r="G134" s="347">
        <v>0</v>
      </c>
      <c r="H134" s="887">
        <v>0</v>
      </c>
      <c r="I134" s="365">
        <f t="shared" si="1"/>
        <v>0</v>
      </c>
    </row>
    <row r="135" spans="1:9" x14ac:dyDescent="0.2">
      <c r="A135" s="346"/>
      <c r="B135" s="346"/>
      <c r="C135" s="346" t="s">
        <v>508</v>
      </c>
      <c r="D135" s="346" t="s">
        <v>509</v>
      </c>
      <c r="E135" s="346"/>
      <c r="F135" s="347">
        <f>SUM(F136,F139)</f>
        <v>117966</v>
      </c>
      <c r="G135" s="347">
        <f>SUM(G136,G139)</f>
        <v>3984</v>
      </c>
      <c r="H135" s="887">
        <f>SUM(H136,H139)</f>
        <v>10018</v>
      </c>
      <c r="I135" s="365">
        <f t="shared" si="1"/>
        <v>131968</v>
      </c>
    </row>
    <row r="136" spans="1:9" x14ac:dyDescent="0.2">
      <c r="A136" s="339"/>
      <c r="B136" s="339"/>
      <c r="C136" s="339"/>
      <c r="D136" s="339" t="s">
        <v>510</v>
      </c>
      <c r="E136" s="339" t="s">
        <v>511</v>
      </c>
      <c r="F136" s="340">
        <f>SUM(F137:F138)</f>
        <v>117966</v>
      </c>
      <c r="G136" s="340">
        <f>SUM(G137:G138)</f>
        <v>3984</v>
      </c>
      <c r="H136" s="889">
        <f>SUM(H137:H138)</f>
        <v>10018</v>
      </c>
      <c r="I136" s="366">
        <f t="shared" ref="I136:I146" si="2">SUM(F136:H136)</f>
        <v>131968</v>
      </c>
    </row>
    <row r="137" spans="1:9" s="737" customFormat="1" x14ac:dyDescent="0.2">
      <c r="A137" s="341"/>
      <c r="B137" s="341"/>
      <c r="C137" s="341"/>
      <c r="D137" s="341"/>
      <c r="E137" s="736" t="s">
        <v>34</v>
      </c>
      <c r="F137" s="344">
        <f>6721+897+226+750+105238</f>
        <v>113832</v>
      </c>
      <c r="G137" s="344">
        <v>3984</v>
      </c>
      <c r="H137" s="890">
        <v>10018</v>
      </c>
      <c r="I137" s="345">
        <f t="shared" si="2"/>
        <v>127834</v>
      </c>
    </row>
    <row r="138" spans="1:9" s="737" customFormat="1" x14ac:dyDescent="0.2">
      <c r="A138" s="341"/>
      <c r="B138" s="341"/>
      <c r="C138" s="341"/>
      <c r="D138" s="341"/>
      <c r="E138" s="736" t="s">
        <v>35</v>
      </c>
      <c r="F138" s="344">
        <v>4134</v>
      </c>
      <c r="G138" s="344">
        <v>0</v>
      </c>
      <c r="H138" s="890">
        <v>0</v>
      </c>
      <c r="I138" s="345">
        <f t="shared" si="2"/>
        <v>4134</v>
      </c>
    </row>
    <row r="139" spans="1:9" x14ac:dyDescent="0.2">
      <c r="A139" s="339"/>
      <c r="B139" s="339"/>
      <c r="C139" s="339"/>
      <c r="D139" s="339" t="s">
        <v>512</v>
      </c>
      <c r="E139" s="339" t="s">
        <v>513</v>
      </c>
      <c r="F139" s="340">
        <v>0</v>
      </c>
      <c r="G139" s="340">
        <v>0</v>
      </c>
      <c r="H139" s="889">
        <v>0</v>
      </c>
      <c r="I139" s="366">
        <f t="shared" si="2"/>
        <v>0</v>
      </c>
    </row>
    <row r="140" spans="1:9" x14ac:dyDescent="0.2">
      <c r="A140" s="346"/>
      <c r="B140" s="346"/>
      <c r="C140" s="346" t="s">
        <v>514</v>
      </c>
      <c r="D140" s="346" t="s">
        <v>515</v>
      </c>
      <c r="E140" s="346"/>
      <c r="F140" s="347">
        <v>0</v>
      </c>
      <c r="G140" s="347">
        <v>0</v>
      </c>
      <c r="H140" s="887">
        <v>0</v>
      </c>
      <c r="I140" s="365">
        <f t="shared" si="2"/>
        <v>0</v>
      </c>
    </row>
    <row r="141" spans="1:9" x14ac:dyDescent="0.2">
      <c r="A141" s="346"/>
      <c r="B141" s="346"/>
      <c r="C141" s="346" t="s">
        <v>516</v>
      </c>
      <c r="D141" s="346" t="s">
        <v>517</v>
      </c>
      <c r="E141" s="346"/>
      <c r="F141" s="347">
        <v>0</v>
      </c>
      <c r="G141" s="347">
        <v>0</v>
      </c>
      <c r="H141" s="887">
        <v>0</v>
      </c>
      <c r="I141" s="365">
        <f t="shared" si="2"/>
        <v>0</v>
      </c>
    </row>
    <row r="142" spans="1:9" x14ac:dyDescent="0.2">
      <c r="A142" s="346"/>
      <c r="B142" s="346"/>
      <c r="C142" s="346" t="s">
        <v>518</v>
      </c>
      <c r="D142" s="346" t="s">
        <v>519</v>
      </c>
      <c r="E142" s="346"/>
      <c r="F142" s="347">
        <v>0</v>
      </c>
      <c r="G142" s="347">
        <v>0</v>
      </c>
      <c r="H142" s="887">
        <v>0</v>
      </c>
      <c r="I142" s="365">
        <f t="shared" si="2"/>
        <v>0</v>
      </c>
    </row>
    <row r="143" spans="1:9" x14ac:dyDescent="0.2">
      <c r="A143" s="346"/>
      <c r="B143" s="346"/>
      <c r="C143" s="346" t="s">
        <v>520</v>
      </c>
      <c r="D143" s="346" t="s">
        <v>521</v>
      </c>
      <c r="E143" s="346"/>
      <c r="F143" s="347">
        <v>0</v>
      </c>
      <c r="G143" s="347">
        <v>0</v>
      </c>
      <c r="H143" s="887">
        <v>0</v>
      </c>
      <c r="I143" s="365">
        <f t="shared" si="2"/>
        <v>0</v>
      </c>
    </row>
    <row r="144" spans="1:9" x14ac:dyDescent="0.2">
      <c r="A144" s="346"/>
      <c r="B144" s="346"/>
      <c r="C144" s="346" t="s">
        <v>522</v>
      </c>
      <c r="D144" s="346" t="s">
        <v>523</v>
      </c>
      <c r="E144" s="346"/>
      <c r="F144" s="347">
        <v>0</v>
      </c>
      <c r="G144" s="347">
        <v>0</v>
      </c>
      <c r="H144" s="887">
        <v>0</v>
      </c>
      <c r="I144" s="365">
        <f t="shared" si="2"/>
        <v>0</v>
      </c>
    </row>
    <row r="145" spans="1:9" x14ac:dyDescent="0.2">
      <c r="A145" s="351"/>
      <c r="B145" s="337" t="s">
        <v>524</v>
      </c>
      <c r="C145" s="1011" t="s">
        <v>525</v>
      </c>
      <c r="D145" s="1011"/>
      <c r="E145" s="1011"/>
      <c r="F145" s="338">
        <v>0</v>
      </c>
      <c r="G145" s="338">
        <v>0</v>
      </c>
      <c r="H145" s="886">
        <v>0</v>
      </c>
      <c r="I145" s="367">
        <f t="shared" si="2"/>
        <v>0</v>
      </c>
    </row>
    <row r="146" spans="1:9" x14ac:dyDescent="0.2">
      <c r="A146" s="351"/>
      <c r="B146" s="337" t="s">
        <v>526</v>
      </c>
      <c r="C146" s="1011" t="s">
        <v>527</v>
      </c>
      <c r="D146" s="1011"/>
      <c r="E146" s="1011"/>
      <c r="F146" s="338">
        <v>0</v>
      </c>
      <c r="G146" s="338">
        <v>0</v>
      </c>
      <c r="H146" s="886">
        <v>0</v>
      </c>
      <c r="I146" s="367">
        <f t="shared" si="2"/>
        <v>0</v>
      </c>
    </row>
    <row r="147" spans="1:9" x14ac:dyDescent="0.2">
      <c r="A147" s="351"/>
      <c r="B147" s="351"/>
      <c r="C147" s="351"/>
      <c r="D147" s="351"/>
      <c r="E147" s="351"/>
      <c r="F147" s="336"/>
      <c r="G147" s="274"/>
      <c r="H147" s="891"/>
      <c r="I147" s="336"/>
    </row>
    <row r="148" spans="1:9" s="364" customFormat="1" ht="15.75" x14ac:dyDescent="0.25">
      <c r="A148" s="1014" t="s">
        <v>703</v>
      </c>
      <c r="B148" s="1014"/>
      <c r="C148" s="1014"/>
      <c r="D148" s="1014"/>
      <c r="E148" s="1014"/>
      <c r="F148" s="363">
        <f>SUM(F128+F124+F110+F103+F85+F56+F40+F7)</f>
        <v>5784442</v>
      </c>
      <c r="G148" s="363">
        <f>SUM(G128+G124+G110+G103+G85+G56+G40+G7)</f>
        <v>18613</v>
      </c>
      <c r="H148" s="892">
        <f>SUM(H128+H124+H110+H103+H85+H56+H40+H7)</f>
        <v>22457</v>
      </c>
      <c r="I148" s="363">
        <f>SUM(F148:H148)</f>
        <v>5825512</v>
      </c>
    </row>
    <row r="150" spans="1:9" x14ac:dyDescent="0.2">
      <c r="A150" s="1006"/>
      <c r="B150" s="1006"/>
      <c r="C150" s="1006"/>
      <c r="D150" s="1006"/>
    </row>
    <row r="151" spans="1:9" x14ac:dyDescent="0.2">
      <c r="A151" s="1009">
        <v>1</v>
      </c>
      <c r="B151" s="1007" t="s">
        <v>1148</v>
      </c>
      <c r="C151" s="1007"/>
      <c r="D151" s="1008"/>
      <c r="E151" s="1008"/>
    </row>
    <row r="152" spans="1:9" x14ac:dyDescent="0.2">
      <c r="A152" s="1009">
        <v>2</v>
      </c>
      <c r="B152" s="1007" t="s">
        <v>1146</v>
      </c>
      <c r="C152" s="1007"/>
      <c r="D152" s="1008"/>
      <c r="E152" s="1008"/>
    </row>
    <row r="153" spans="1:9" x14ac:dyDescent="0.2">
      <c r="A153" s="1010">
        <v>3</v>
      </c>
      <c r="B153" s="1007" t="s">
        <v>1147</v>
      </c>
      <c r="C153" s="1007"/>
      <c r="D153" s="1008"/>
      <c r="E153" s="1008"/>
    </row>
  </sheetData>
  <mergeCells count="45">
    <mergeCell ref="B56:E56"/>
    <mergeCell ref="C57:E57"/>
    <mergeCell ref="C44:E44"/>
    <mergeCell ref="C45:E45"/>
    <mergeCell ref="C16:E16"/>
    <mergeCell ref="C17:E17"/>
    <mergeCell ref="C28:E28"/>
    <mergeCell ref="C42:E42"/>
    <mergeCell ref="C29:E29"/>
    <mergeCell ref="B6:E6"/>
    <mergeCell ref="A2:I2"/>
    <mergeCell ref="A5:E5"/>
    <mergeCell ref="B7:E7"/>
    <mergeCell ref="A1:I1"/>
    <mergeCell ref="C75:E75"/>
    <mergeCell ref="C104:E104"/>
    <mergeCell ref="C109:E109"/>
    <mergeCell ref="B85:E85"/>
    <mergeCell ref="C105:E105"/>
    <mergeCell ref="A148:E148"/>
    <mergeCell ref="C111:E111"/>
    <mergeCell ref="C112:E112"/>
    <mergeCell ref="C123:E123"/>
    <mergeCell ref="B124:E124"/>
    <mergeCell ref="C125:E125"/>
    <mergeCell ref="C126:E126"/>
    <mergeCell ref="C145:E145"/>
    <mergeCell ref="C146:E146"/>
    <mergeCell ref="B128:E128"/>
    <mergeCell ref="C8:E8"/>
    <mergeCell ref="C15:E15"/>
    <mergeCell ref="C129:E129"/>
    <mergeCell ref="B40:E40"/>
    <mergeCell ref="C41:E41"/>
    <mergeCell ref="D99:E99"/>
    <mergeCell ref="B103:E103"/>
    <mergeCell ref="C127:E127"/>
    <mergeCell ref="C107:E107"/>
    <mergeCell ref="B110:E110"/>
    <mergeCell ref="C108:E108"/>
    <mergeCell ref="C43:E43"/>
    <mergeCell ref="C58:E58"/>
    <mergeCell ref="C59:E59"/>
    <mergeCell ref="C60:E60"/>
    <mergeCell ref="C63:E63"/>
  </mergeCells>
  <phoneticPr fontId="50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70" orientation="portrait" r:id="rId1"/>
  <rowBreaks count="1" manualBreakCount="1"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2"/>
  <sheetViews>
    <sheetView zoomScaleNormal="100" workbookViewId="0">
      <selection activeCell="N14" sqref="N14"/>
    </sheetView>
  </sheetViews>
  <sheetFormatPr defaultRowHeight="12.75" x14ac:dyDescent="0.2"/>
  <cols>
    <col min="1" max="1" width="5.7109375" customWidth="1"/>
    <col min="3" max="3" width="12.28515625" customWidth="1"/>
    <col min="4" max="4" width="18.5703125" customWidth="1"/>
    <col min="5" max="5" width="13.7109375" customWidth="1"/>
    <col min="6" max="6" width="20.7109375" customWidth="1"/>
    <col min="7" max="7" width="13.7109375" customWidth="1"/>
    <col min="8" max="9" width="13.28515625" customWidth="1"/>
  </cols>
  <sheetData>
    <row r="1" spans="1:9" ht="15.75" customHeight="1" x14ac:dyDescent="0.2">
      <c r="A1" s="1296" t="s">
        <v>1158</v>
      </c>
      <c r="B1" s="1296"/>
      <c r="C1" s="1296"/>
      <c r="D1" s="1296"/>
      <c r="E1" s="1296"/>
      <c r="F1" s="1296"/>
      <c r="G1" s="1296"/>
      <c r="H1" s="1296"/>
      <c r="I1" s="1296"/>
    </row>
    <row r="2" spans="1:9" ht="15.75" x14ac:dyDescent="0.2">
      <c r="A2" s="847"/>
      <c r="B2" s="848"/>
      <c r="C2" s="848"/>
      <c r="D2" s="848"/>
      <c r="E2" s="848"/>
      <c r="F2" s="848"/>
      <c r="G2" s="848"/>
      <c r="H2" s="848"/>
      <c r="I2" s="848"/>
    </row>
    <row r="3" spans="1:9" ht="42" customHeight="1" x14ac:dyDescent="0.2">
      <c r="A3" s="1297" t="s">
        <v>971</v>
      </c>
      <c r="B3" s="1298"/>
      <c r="C3" s="1298"/>
      <c r="D3" s="1298"/>
      <c r="E3" s="1298"/>
      <c r="F3" s="1298"/>
      <c r="G3" s="1298"/>
      <c r="H3" s="1298"/>
      <c r="I3" s="1298"/>
    </row>
    <row r="4" spans="1:9" ht="16.5" thickBot="1" x14ac:dyDescent="0.25">
      <c r="A4" s="847"/>
      <c r="B4" s="849"/>
      <c r="C4" s="849"/>
      <c r="D4" s="849"/>
      <c r="E4" s="849"/>
      <c r="F4" s="849"/>
      <c r="G4" s="849"/>
      <c r="H4" s="849"/>
      <c r="I4" s="849"/>
    </row>
    <row r="5" spans="1:9" ht="15.75" x14ac:dyDescent="0.2">
      <c r="A5" s="1299" t="s">
        <v>693</v>
      </c>
      <c r="B5" s="1301" t="s">
        <v>972</v>
      </c>
      <c r="C5" s="1301" t="s">
        <v>973</v>
      </c>
      <c r="D5" s="1301"/>
      <c r="E5" s="1301"/>
      <c r="F5" s="1301"/>
      <c r="G5" s="1301"/>
      <c r="H5" s="1301"/>
      <c r="I5" s="1303" t="s">
        <v>682</v>
      </c>
    </row>
    <row r="6" spans="1:9" ht="102" x14ac:dyDescent="0.2">
      <c r="A6" s="1300"/>
      <c r="B6" s="1302"/>
      <c r="C6" s="850" t="s">
        <v>974</v>
      </c>
      <c r="D6" s="850" t="s">
        <v>975</v>
      </c>
      <c r="E6" s="850" t="s">
        <v>976</v>
      </c>
      <c r="F6" s="850" t="s">
        <v>977</v>
      </c>
      <c r="G6" s="850" t="s">
        <v>978</v>
      </c>
      <c r="H6" s="850" t="s">
        <v>979</v>
      </c>
      <c r="I6" s="1304"/>
    </row>
    <row r="7" spans="1:9" x14ac:dyDescent="0.2">
      <c r="A7" s="1300"/>
      <c r="B7" s="851" t="s">
        <v>687</v>
      </c>
      <c r="C7" s="852" t="s">
        <v>688</v>
      </c>
      <c r="D7" s="852" t="s">
        <v>689</v>
      </c>
      <c r="E7" s="852" t="s">
        <v>690</v>
      </c>
      <c r="F7" s="852" t="s">
        <v>691</v>
      </c>
      <c r="G7" s="852" t="s">
        <v>692</v>
      </c>
      <c r="H7" s="852" t="s">
        <v>695</v>
      </c>
      <c r="I7" s="853" t="s">
        <v>696</v>
      </c>
    </row>
    <row r="8" spans="1:9" ht="15.75" x14ac:dyDescent="0.2">
      <c r="A8" s="854">
        <v>1</v>
      </c>
      <c r="B8" s="855" t="s">
        <v>708</v>
      </c>
      <c r="C8" s="856">
        <v>122228</v>
      </c>
      <c r="D8" s="856">
        <f>25297+7500-4500</f>
        <v>28297</v>
      </c>
      <c r="E8" s="857">
        <v>2920</v>
      </c>
      <c r="F8" s="857">
        <v>0</v>
      </c>
      <c r="G8" s="856">
        <v>1600</v>
      </c>
      <c r="H8" s="857">
        <v>0</v>
      </c>
      <c r="I8" s="858">
        <f t="shared" ref="I8:I16" si="0">SUM(C8:H8)</f>
        <v>155045</v>
      </c>
    </row>
    <row r="9" spans="1:9" ht="15.75" x14ac:dyDescent="0.2">
      <c r="A9" s="854">
        <v>2</v>
      </c>
      <c r="B9" s="855" t="s">
        <v>980</v>
      </c>
      <c r="C9" s="859">
        <v>117550</v>
      </c>
      <c r="D9" s="857">
        <f>10000+6000</f>
        <v>16000</v>
      </c>
      <c r="E9" s="857">
        <v>2440</v>
      </c>
      <c r="F9" s="857">
        <v>0</v>
      </c>
      <c r="G9" s="859">
        <v>1335</v>
      </c>
      <c r="H9" s="857">
        <v>0</v>
      </c>
      <c r="I9" s="858">
        <f t="shared" si="0"/>
        <v>137325</v>
      </c>
    </row>
    <row r="10" spans="1:9" ht="15.75" x14ac:dyDescent="0.2">
      <c r="A10" s="854">
        <v>3</v>
      </c>
      <c r="B10" s="855" t="s">
        <v>981</v>
      </c>
      <c r="C10" s="859">
        <v>119680</v>
      </c>
      <c r="D10" s="857">
        <f>6000+6000</f>
        <v>12000</v>
      </c>
      <c r="E10" s="857">
        <v>2480</v>
      </c>
      <c r="F10" s="857">
        <v>0</v>
      </c>
      <c r="G10" s="859">
        <v>1360</v>
      </c>
      <c r="H10" s="857">
        <v>0</v>
      </c>
      <c r="I10" s="858">
        <f t="shared" si="0"/>
        <v>135520</v>
      </c>
    </row>
    <row r="11" spans="1:9" ht="15.75" x14ac:dyDescent="0.2">
      <c r="A11" s="854">
        <v>4</v>
      </c>
      <c r="B11" s="855" t="s">
        <v>982</v>
      </c>
      <c r="C11" s="859">
        <v>120165</v>
      </c>
      <c r="D11" s="857">
        <f>6000+6000</f>
        <v>12000</v>
      </c>
      <c r="E11" s="857">
        <v>2490</v>
      </c>
      <c r="F11" s="857">
        <v>0</v>
      </c>
      <c r="G11" s="859">
        <v>1365</v>
      </c>
      <c r="H11" s="857">
        <v>0</v>
      </c>
      <c r="I11" s="858">
        <f t="shared" si="0"/>
        <v>136020</v>
      </c>
    </row>
    <row r="12" spans="1:9" ht="15.75" x14ac:dyDescent="0.2">
      <c r="A12" s="854">
        <v>5</v>
      </c>
      <c r="B12" s="855" t="s">
        <v>983</v>
      </c>
      <c r="C12" s="859">
        <v>123275</v>
      </c>
      <c r="D12" s="860">
        <v>6000</v>
      </c>
      <c r="E12" s="857">
        <v>2550</v>
      </c>
      <c r="F12" s="857">
        <v>0</v>
      </c>
      <c r="G12" s="859">
        <v>1400</v>
      </c>
      <c r="H12" s="857">
        <v>0</v>
      </c>
      <c r="I12" s="858">
        <f t="shared" si="0"/>
        <v>133225</v>
      </c>
    </row>
    <row r="13" spans="1:9" ht="15.75" x14ac:dyDescent="0.2">
      <c r="A13" s="854">
        <v>6</v>
      </c>
      <c r="B13" s="855" t="s">
        <v>984</v>
      </c>
      <c r="C13" s="859">
        <v>125940</v>
      </c>
      <c r="D13" s="860">
        <v>6000</v>
      </c>
      <c r="E13" s="857">
        <v>2610</v>
      </c>
      <c r="F13" s="857">
        <v>0</v>
      </c>
      <c r="G13" s="859">
        <v>1430</v>
      </c>
      <c r="H13" s="857">
        <v>0</v>
      </c>
      <c r="I13" s="858">
        <f t="shared" si="0"/>
        <v>135980</v>
      </c>
    </row>
    <row r="14" spans="1:9" ht="15.75" x14ac:dyDescent="0.2">
      <c r="A14" s="854">
        <v>7</v>
      </c>
      <c r="B14" s="855" t="s">
        <v>985</v>
      </c>
      <c r="C14" s="859">
        <v>127035</v>
      </c>
      <c r="D14" s="860">
        <v>6000</v>
      </c>
      <c r="E14" s="857">
        <v>2640</v>
      </c>
      <c r="F14" s="857">
        <v>0</v>
      </c>
      <c r="G14" s="859">
        <v>1445</v>
      </c>
      <c r="H14" s="857">
        <v>0</v>
      </c>
      <c r="I14" s="858">
        <f t="shared" si="0"/>
        <v>137120</v>
      </c>
    </row>
    <row r="15" spans="1:9" ht="15.75" x14ac:dyDescent="0.2">
      <c r="A15" s="854">
        <v>8</v>
      </c>
      <c r="B15" s="855" t="s">
        <v>986</v>
      </c>
      <c r="C15" s="859">
        <v>128585</v>
      </c>
      <c r="D15" s="860">
        <v>6000</v>
      </c>
      <c r="E15" s="857">
        <v>2660</v>
      </c>
      <c r="F15" s="857">
        <v>0</v>
      </c>
      <c r="G15" s="859">
        <v>1460</v>
      </c>
      <c r="H15" s="857">
        <v>0</v>
      </c>
      <c r="I15" s="858">
        <f t="shared" si="0"/>
        <v>138705</v>
      </c>
    </row>
    <row r="16" spans="1:9" ht="15.75" x14ac:dyDescent="0.2">
      <c r="A16" s="854">
        <v>9</v>
      </c>
      <c r="B16" s="855" t="s">
        <v>987</v>
      </c>
      <c r="C16" s="859">
        <v>130615</v>
      </c>
      <c r="D16" s="860">
        <v>6000</v>
      </c>
      <c r="E16" s="857">
        <v>2710</v>
      </c>
      <c r="F16" s="857">
        <v>0</v>
      </c>
      <c r="G16" s="859">
        <v>1485</v>
      </c>
      <c r="H16" s="857">
        <v>0</v>
      </c>
      <c r="I16" s="858">
        <f t="shared" si="0"/>
        <v>140810</v>
      </c>
    </row>
    <row r="19" spans="1:3" x14ac:dyDescent="0.2">
      <c r="A19" s="621"/>
      <c r="B19" s="621"/>
      <c r="C19" s="621"/>
    </row>
    <row r="20" spans="1:3" x14ac:dyDescent="0.2">
      <c r="A20" s="1009">
        <v>28</v>
      </c>
      <c r="B20" s="1007" t="s">
        <v>1148</v>
      </c>
      <c r="C20" s="1007"/>
    </row>
    <row r="21" spans="1:3" x14ac:dyDescent="0.2">
      <c r="A21" s="1009">
        <v>29</v>
      </c>
      <c r="B21" s="1007" t="s">
        <v>1146</v>
      </c>
      <c r="C21" s="1007"/>
    </row>
    <row r="22" spans="1:3" x14ac:dyDescent="0.2">
      <c r="A22" s="1010">
        <v>30</v>
      </c>
      <c r="B22" s="1007" t="s">
        <v>1147</v>
      </c>
      <c r="C22" s="1007"/>
    </row>
  </sheetData>
  <mergeCells count="6">
    <mergeCell ref="A1:I1"/>
    <mergeCell ref="A3:I3"/>
    <mergeCell ref="A5:A7"/>
    <mergeCell ref="B5:B6"/>
    <mergeCell ref="C5:H5"/>
    <mergeCell ref="I5:I6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sqref="A1:C1"/>
    </sheetView>
  </sheetViews>
  <sheetFormatPr defaultRowHeight="12.75" x14ac:dyDescent="0.2"/>
  <cols>
    <col min="1" max="1" width="70.42578125" customWidth="1"/>
    <col min="2" max="2" width="33" customWidth="1"/>
    <col min="3" max="3" width="27.7109375" customWidth="1"/>
  </cols>
  <sheetData>
    <row r="1" spans="1:3" ht="12.75" customHeight="1" x14ac:dyDescent="0.2">
      <c r="A1" s="1310" t="s">
        <v>1159</v>
      </c>
      <c r="B1" s="1310"/>
      <c r="C1" s="1310"/>
    </row>
    <row r="2" spans="1:3" ht="15" x14ac:dyDescent="0.2">
      <c r="A2" s="1305"/>
      <c r="B2" s="1305"/>
      <c r="C2" s="1305"/>
    </row>
    <row r="3" spans="1:3" ht="14.25" x14ac:dyDescent="0.2">
      <c r="A3" s="1306" t="s">
        <v>1142</v>
      </c>
      <c r="B3" s="1306"/>
      <c r="C3" s="1306"/>
    </row>
    <row r="4" spans="1:3" ht="15.75" thickBot="1" x14ac:dyDescent="0.25">
      <c r="A4" s="1307"/>
      <c r="B4" s="1307"/>
      <c r="C4" s="1307"/>
    </row>
    <row r="5" spans="1:3" ht="28.5" x14ac:dyDescent="0.2">
      <c r="A5" s="997" t="s">
        <v>1143</v>
      </c>
      <c r="B5" s="998" t="s">
        <v>1144</v>
      </c>
      <c r="C5" s="999" t="s">
        <v>1145</v>
      </c>
    </row>
    <row r="6" spans="1:3" ht="15" x14ac:dyDescent="0.2">
      <c r="A6" s="1000"/>
      <c r="B6" s="1001"/>
      <c r="C6" s="1002"/>
    </row>
    <row r="7" spans="1:3" ht="15" x14ac:dyDescent="0.2">
      <c r="A7" s="1003" t="s">
        <v>704</v>
      </c>
      <c r="B7" s="1001" t="s">
        <v>704</v>
      </c>
      <c r="C7" s="1004" t="s">
        <v>704</v>
      </c>
    </row>
    <row r="8" spans="1:3" ht="15" thickBot="1" x14ac:dyDescent="0.25">
      <c r="A8" s="1308" t="s">
        <v>605</v>
      </c>
      <c r="B8" s="1309"/>
      <c r="C8" s="1005">
        <f>SUM(C6:C7)</f>
        <v>0</v>
      </c>
    </row>
    <row r="11" spans="1:3" x14ac:dyDescent="0.2">
      <c r="A11" s="621"/>
      <c r="B11" s="621"/>
      <c r="C11" s="621"/>
    </row>
    <row r="12" spans="1:3" x14ac:dyDescent="0.2">
      <c r="A12" s="1009">
        <v>31</v>
      </c>
      <c r="B12" s="1007" t="s">
        <v>1146</v>
      </c>
      <c r="C12" s="1007"/>
    </row>
  </sheetData>
  <mergeCells count="5">
    <mergeCell ref="A2:C2"/>
    <mergeCell ref="A3:C3"/>
    <mergeCell ref="A4:C4"/>
    <mergeCell ref="A8:B8"/>
    <mergeCell ref="A1:C1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4"/>
  <sheetViews>
    <sheetView zoomScaleNormal="100" workbookViewId="0">
      <selection activeCell="G10" sqref="G10"/>
    </sheetView>
  </sheetViews>
  <sheetFormatPr defaultRowHeight="12.75" x14ac:dyDescent="0.2"/>
  <cols>
    <col min="1" max="1" width="1.42578125" style="832" customWidth="1"/>
    <col min="2" max="2" width="7.28515625" style="833" customWidth="1"/>
    <col min="3" max="3" width="68.7109375" style="62" customWidth="1"/>
    <col min="4" max="4" width="9.7109375" style="62" bestFit="1" customWidth="1"/>
    <col min="5" max="5" width="10.42578125" style="62" bestFit="1" customWidth="1"/>
    <col min="6" max="6" width="16.140625" style="62" bestFit="1" customWidth="1"/>
    <col min="7" max="7" width="9.7109375" style="62" bestFit="1" customWidth="1"/>
    <col min="8" max="8" width="11.28515625" style="62" customWidth="1"/>
    <col min="9" max="9" width="9.5703125" style="62" customWidth="1"/>
    <col min="10" max="10" width="11.28515625" style="62" customWidth="1"/>
    <col min="11" max="11" width="16.140625" style="62" bestFit="1" customWidth="1"/>
    <col min="12" max="12" width="19.140625" style="62" customWidth="1"/>
    <col min="13" max="16384" width="9.140625" style="62"/>
  </cols>
  <sheetData>
    <row r="1" spans="1:13" ht="14.25" customHeight="1" x14ac:dyDescent="0.2">
      <c r="D1" s="1310" t="s">
        <v>1160</v>
      </c>
      <c r="E1" s="1310"/>
      <c r="F1" s="1310"/>
      <c r="G1" s="1310"/>
      <c r="H1" s="1310"/>
      <c r="I1" s="1310"/>
      <c r="J1" s="1310"/>
      <c r="K1" s="1310"/>
      <c r="L1" s="1310"/>
    </row>
    <row r="2" spans="1:13" s="49" customFormat="1" ht="15.75" x14ac:dyDescent="0.25">
      <c r="A2" s="1339" t="s">
        <v>205</v>
      </c>
      <c r="B2" s="1339"/>
      <c r="C2" s="1339"/>
      <c r="D2" s="1339"/>
      <c r="E2" s="1339"/>
      <c r="F2" s="1339"/>
      <c r="G2" s="1339"/>
      <c r="H2" s="1339"/>
      <c r="I2" s="1339"/>
      <c r="J2" s="1339"/>
      <c r="K2" s="1339"/>
      <c r="L2" s="48"/>
    </row>
    <row r="3" spans="1:13" s="49" customFormat="1" ht="15.75" x14ac:dyDescent="0.25">
      <c r="A3" s="1340" t="s">
        <v>970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50"/>
    </row>
    <row r="4" spans="1:13" ht="13.5" thickBot="1" x14ac:dyDescent="0.25"/>
    <row r="5" spans="1:13" s="56" customFormat="1" ht="40.5" customHeight="1" x14ac:dyDescent="0.2">
      <c r="A5" s="1341" t="s">
        <v>709</v>
      </c>
      <c r="B5" s="1341"/>
      <c r="C5" s="1342"/>
      <c r="D5" s="1343" t="s">
        <v>707</v>
      </c>
      <c r="E5" s="1341"/>
      <c r="F5" s="1344"/>
      <c r="G5" s="1345" t="s">
        <v>873</v>
      </c>
      <c r="H5" s="1346"/>
      <c r="I5" s="1346"/>
      <c r="J5" s="1347"/>
      <c r="K5" s="1348"/>
      <c r="L5" s="1329" t="s">
        <v>607</v>
      </c>
    </row>
    <row r="6" spans="1:13" s="56" customFormat="1" ht="25.5" x14ac:dyDescent="0.2">
      <c r="A6" s="1331" t="s">
        <v>710</v>
      </c>
      <c r="B6" s="1332"/>
      <c r="C6" s="51" t="s">
        <v>711</v>
      </c>
      <c r="D6" s="52" t="s">
        <v>712</v>
      </c>
      <c r="E6" s="54" t="s">
        <v>713</v>
      </c>
      <c r="F6" s="55" t="s">
        <v>761</v>
      </c>
      <c r="G6" s="52" t="s">
        <v>715</v>
      </c>
      <c r="H6" s="53" t="s">
        <v>732</v>
      </c>
      <c r="I6" s="53" t="s">
        <v>716</v>
      </c>
      <c r="J6" s="53" t="s">
        <v>732</v>
      </c>
      <c r="K6" s="55" t="s">
        <v>714</v>
      </c>
      <c r="L6" s="1330"/>
    </row>
    <row r="7" spans="1:13" s="162" customFormat="1" ht="12" x14ac:dyDescent="0.2">
      <c r="A7" s="1333"/>
      <c r="B7" s="1334"/>
      <c r="C7" s="157" t="s">
        <v>687</v>
      </c>
      <c r="D7" s="158" t="s">
        <v>688</v>
      </c>
      <c r="E7" s="159" t="s">
        <v>689</v>
      </c>
      <c r="F7" s="160" t="s">
        <v>690</v>
      </c>
      <c r="G7" s="158" t="s">
        <v>691</v>
      </c>
      <c r="H7" s="161" t="s">
        <v>733</v>
      </c>
      <c r="I7" s="161" t="s">
        <v>695</v>
      </c>
      <c r="J7" s="161" t="s">
        <v>696</v>
      </c>
      <c r="K7" s="160" t="s">
        <v>636</v>
      </c>
      <c r="L7" s="731" t="s">
        <v>637</v>
      </c>
    </row>
    <row r="8" spans="1:13" s="70" customFormat="1" ht="15" x14ac:dyDescent="0.25">
      <c r="A8" s="1315" t="s">
        <v>150</v>
      </c>
      <c r="B8" s="1315"/>
      <c r="C8" s="1316"/>
      <c r="D8" s="217"/>
      <c r="E8" s="218"/>
      <c r="F8" s="219"/>
      <c r="G8" s="217"/>
      <c r="H8" s="220"/>
      <c r="I8" s="220"/>
      <c r="J8" s="218"/>
      <c r="K8" s="219"/>
      <c r="L8" s="730"/>
      <c r="M8" s="69"/>
    </row>
    <row r="9" spans="1:13" s="198" customFormat="1" ht="28.5" customHeight="1" x14ac:dyDescent="0.2">
      <c r="A9" s="1317"/>
      <c r="B9" s="1318"/>
      <c r="C9" s="201" t="s">
        <v>960</v>
      </c>
      <c r="D9" s="202"/>
      <c r="E9" s="203"/>
      <c r="F9" s="204">
        <f>SUM(F17+F16+F11+F10)</f>
        <v>257053224</v>
      </c>
      <c r="G9" s="202"/>
      <c r="H9" s="205"/>
      <c r="I9" s="205"/>
      <c r="J9" s="203"/>
      <c r="K9" s="204"/>
      <c r="L9" s="732">
        <f t="shared" ref="L9:L15" si="0">F9+K9</f>
        <v>257053224</v>
      </c>
      <c r="M9" s="197"/>
    </row>
    <row r="10" spans="1:13" s="194" customFormat="1" ht="16.5" customHeight="1" x14ac:dyDescent="0.2">
      <c r="A10" s="1327" t="s">
        <v>734</v>
      </c>
      <c r="B10" s="1328"/>
      <c r="C10" s="188" t="s">
        <v>735</v>
      </c>
      <c r="D10" s="656">
        <v>27.03</v>
      </c>
      <c r="E10" s="190">
        <v>4580000</v>
      </c>
      <c r="F10" s="191">
        <f>D10*E10</f>
        <v>123797400</v>
      </c>
      <c r="G10" s="189"/>
      <c r="H10" s="192"/>
      <c r="I10" s="192"/>
      <c r="J10" s="190"/>
      <c r="K10" s="191"/>
      <c r="L10" s="733">
        <f t="shared" si="0"/>
        <v>123797400</v>
      </c>
      <c r="M10" s="193"/>
    </row>
    <row r="11" spans="1:13" s="194" customFormat="1" ht="19.5" customHeight="1" x14ac:dyDescent="0.2">
      <c r="A11" s="1327" t="s">
        <v>736</v>
      </c>
      <c r="B11" s="1328"/>
      <c r="C11" s="188" t="s">
        <v>151</v>
      </c>
      <c r="D11" s="189"/>
      <c r="E11" s="190"/>
      <c r="F11" s="191">
        <f>SUM(F12:F15)</f>
        <v>59774739</v>
      </c>
      <c r="G11" s="189"/>
      <c r="H11" s="192"/>
      <c r="I11" s="192"/>
      <c r="J11" s="190"/>
      <c r="K11" s="191"/>
      <c r="L11" s="733">
        <f t="shared" si="0"/>
        <v>59774739</v>
      </c>
      <c r="M11" s="193"/>
    </row>
    <row r="12" spans="1:13" ht="19.5" customHeight="1" x14ac:dyDescent="0.2">
      <c r="A12" s="1337" t="s">
        <v>737</v>
      </c>
      <c r="B12" s="1338"/>
      <c r="C12" s="186" t="s">
        <v>738</v>
      </c>
      <c r="D12" s="57"/>
      <c r="E12" s="58"/>
      <c r="F12" s="59">
        <v>18158890</v>
      </c>
      <c r="G12" s="57"/>
      <c r="H12" s="60"/>
      <c r="I12" s="60"/>
      <c r="J12" s="58"/>
      <c r="K12" s="59"/>
      <c r="L12" s="734">
        <f t="shared" si="0"/>
        <v>18158890</v>
      </c>
      <c r="M12" s="61"/>
    </row>
    <row r="13" spans="1:13" x14ac:dyDescent="0.2">
      <c r="A13" s="1337" t="s">
        <v>739</v>
      </c>
      <c r="B13" s="1338"/>
      <c r="C13" s="187" t="s">
        <v>740</v>
      </c>
      <c r="D13" s="57"/>
      <c r="E13" s="58"/>
      <c r="F13" s="59">
        <v>26564160</v>
      </c>
      <c r="G13" s="57"/>
      <c r="H13" s="60"/>
      <c r="I13" s="60"/>
      <c r="J13" s="58"/>
      <c r="K13" s="59"/>
      <c r="L13" s="734">
        <f t="shared" si="0"/>
        <v>26564160</v>
      </c>
      <c r="M13" s="61"/>
    </row>
    <row r="14" spans="1:13" x14ac:dyDescent="0.2">
      <c r="A14" s="1337" t="s">
        <v>741</v>
      </c>
      <c r="B14" s="1338"/>
      <c r="C14" s="187" t="s">
        <v>742</v>
      </c>
      <c r="D14" s="57"/>
      <c r="E14" s="58"/>
      <c r="F14" s="59">
        <v>0</v>
      </c>
      <c r="G14" s="57"/>
      <c r="H14" s="60"/>
      <c r="I14" s="60"/>
      <c r="J14" s="58"/>
      <c r="K14" s="59"/>
      <c r="L14" s="734">
        <f t="shared" si="0"/>
        <v>0</v>
      </c>
      <c r="M14" s="61"/>
    </row>
    <row r="15" spans="1:13" x14ac:dyDescent="0.2">
      <c r="A15" s="1337" t="s">
        <v>743</v>
      </c>
      <c r="B15" s="1338"/>
      <c r="C15" s="187" t="s">
        <v>744</v>
      </c>
      <c r="D15" s="57"/>
      <c r="E15" s="58"/>
      <c r="F15" s="59">
        <v>15051689</v>
      </c>
      <c r="G15" s="57"/>
      <c r="H15" s="60"/>
      <c r="I15" s="60"/>
      <c r="J15" s="58"/>
      <c r="K15" s="59"/>
      <c r="L15" s="734">
        <f t="shared" si="0"/>
        <v>15051689</v>
      </c>
      <c r="M15" s="61"/>
    </row>
    <row r="16" spans="1:13" s="194" customFormat="1" x14ac:dyDescent="0.2">
      <c r="A16" s="1327" t="s">
        <v>745</v>
      </c>
      <c r="B16" s="1328"/>
      <c r="C16" s="195" t="s">
        <v>152</v>
      </c>
      <c r="D16" s="189"/>
      <c r="E16" s="190"/>
      <c r="F16" s="191">
        <v>25126200</v>
      </c>
      <c r="G16" s="189"/>
      <c r="H16" s="192"/>
      <c r="I16" s="192"/>
      <c r="J16" s="190"/>
      <c r="K16" s="191"/>
      <c r="L16" s="733">
        <f>F16+K16</f>
        <v>25126200</v>
      </c>
      <c r="M16" s="193"/>
    </row>
    <row r="17" spans="1:13" x14ac:dyDescent="0.2">
      <c r="A17" s="1327" t="s">
        <v>755</v>
      </c>
      <c r="B17" s="1328"/>
      <c r="C17" s="195" t="s">
        <v>756</v>
      </c>
      <c r="D17" s="189"/>
      <c r="E17" s="190"/>
      <c r="F17" s="191">
        <v>48354885</v>
      </c>
      <c r="G17" s="57"/>
      <c r="H17" s="60"/>
      <c r="I17" s="60"/>
      <c r="J17" s="58"/>
      <c r="K17" s="59"/>
      <c r="L17" s="733">
        <f>F17+K17</f>
        <v>48354885</v>
      </c>
      <c r="M17" s="61"/>
    </row>
    <row r="18" spans="1:13" ht="25.5" x14ac:dyDescent="0.2">
      <c r="A18" s="1317"/>
      <c r="B18" s="1318"/>
      <c r="C18" s="201" t="s">
        <v>153</v>
      </c>
      <c r="D18" s="206"/>
      <c r="E18" s="207"/>
      <c r="F18" s="208"/>
      <c r="G18" s="206"/>
      <c r="H18" s="209"/>
      <c r="I18" s="209"/>
      <c r="J18" s="207"/>
      <c r="K18" s="208">
        <f>SUM(K19+K23)-1</f>
        <v>128044905.66666667</v>
      </c>
      <c r="L18" s="729">
        <f>F18+K18</f>
        <v>128044905.66666667</v>
      </c>
      <c r="M18" s="61"/>
    </row>
    <row r="19" spans="1:13" s="194" customFormat="1" ht="25.5" x14ac:dyDescent="0.2">
      <c r="A19" s="1327" t="s">
        <v>747</v>
      </c>
      <c r="B19" s="1328"/>
      <c r="C19" s="188" t="s">
        <v>154</v>
      </c>
      <c r="D19" s="189"/>
      <c r="E19" s="190"/>
      <c r="F19" s="191"/>
      <c r="G19" s="189"/>
      <c r="H19" s="192"/>
      <c r="I19" s="192"/>
      <c r="J19" s="190"/>
      <c r="K19" s="191">
        <f>SUM(K20:K22)</f>
        <v>114679573.33333334</v>
      </c>
      <c r="L19" s="733">
        <f>SUM(K19,F19)</f>
        <v>114679573.33333334</v>
      </c>
      <c r="M19" s="193"/>
    </row>
    <row r="20" spans="1:13" ht="16.5" customHeight="1" x14ac:dyDescent="0.2">
      <c r="A20" s="1337" t="s">
        <v>750</v>
      </c>
      <c r="B20" s="1338"/>
      <c r="C20" s="186" t="s">
        <v>749</v>
      </c>
      <c r="D20" s="57"/>
      <c r="E20" s="64"/>
      <c r="F20" s="59"/>
      <c r="G20" s="657">
        <v>21.8</v>
      </c>
      <c r="H20" s="60">
        <v>4012000</v>
      </c>
      <c r="I20" s="659">
        <v>20.100000000000001</v>
      </c>
      <c r="J20" s="58">
        <v>4012000</v>
      </c>
      <c r="K20" s="59">
        <f>(G20/12*8*H20)+(I20/12*4*J20)</f>
        <v>85188133.333333343</v>
      </c>
      <c r="L20" s="734">
        <f t="shared" ref="L20:L27" si="1">F20+K20</f>
        <v>85188133.333333343</v>
      </c>
      <c r="M20" s="61"/>
    </row>
    <row r="21" spans="1:13" ht="18.75" customHeight="1" x14ac:dyDescent="0.2">
      <c r="A21" s="1337" t="s">
        <v>751</v>
      </c>
      <c r="B21" s="1338"/>
      <c r="C21" s="661" t="s">
        <v>155</v>
      </c>
      <c r="D21" s="57"/>
      <c r="E21" s="64"/>
      <c r="F21" s="59"/>
      <c r="G21" s="657">
        <v>16</v>
      </c>
      <c r="H21" s="60">
        <v>1800000</v>
      </c>
      <c r="I21" s="659">
        <v>16</v>
      </c>
      <c r="J21" s="58">
        <v>1800000</v>
      </c>
      <c r="K21" s="59">
        <f>(G21/12*8*H21)+(I21/12*4*J21)</f>
        <v>28800000</v>
      </c>
      <c r="L21" s="734">
        <f t="shared" si="1"/>
        <v>28800000</v>
      </c>
      <c r="M21" s="61"/>
    </row>
    <row r="22" spans="1:13" ht="16.5" customHeight="1" x14ac:dyDescent="0.2">
      <c r="A22" s="1313" t="s">
        <v>156</v>
      </c>
      <c r="B22" s="1314"/>
      <c r="C22" s="661" t="s">
        <v>206</v>
      </c>
      <c r="D22" s="57"/>
      <c r="E22" s="64"/>
      <c r="F22" s="59"/>
      <c r="G22" s="657"/>
      <c r="H22" s="60"/>
      <c r="I22" s="659">
        <v>20.100000000000001</v>
      </c>
      <c r="J22" s="58">
        <f>34400*3</f>
        <v>103200</v>
      </c>
      <c r="K22" s="59">
        <f>(G22/12*8*H22)+(I22/12*4*J22)</f>
        <v>691440</v>
      </c>
      <c r="L22" s="734">
        <f t="shared" si="1"/>
        <v>691440</v>
      </c>
      <c r="M22" s="61"/>
    </row>
    <row r="23" spans="1:13" s="194" customFormat="1" ht="18" customHeight="1" x14ac:dyDescent="0.2">
      <c r="A23" s="1327" t="s">
        <v>752</v>
      </c>
      <c r="B23" s="1328"/>
      <c r="C23" s="195" t="s">
        <v>753</v>
      </c>
      <c r="D23" s="200"/>
      <c r="E23" s="196"/>
      <c r="F23" s="191"/>
      <c r="G23" s="658">
        <v>246</v>
      </c>
      <c r="H23" s="192">
        <v>56000</v>
      </c>
      <c r="I23" s="660">
        <v>224</v>
      </c>
      <c r="J23" s="190">
        <v>56000</v>
      </c>
      <c r="K23" s="191">
        <f>(G23/12*8*H23)+(I23/12*4*J23)</f>
        <v>13365333.333333334</v>
      </c>
      <c r="L23" s="733">
        <f t="shared" si="1"/>
        <v>13365333.333333334</v>
      </c>
      <c r="M23" s="193"/>
    </row>
    <row r="24" spans="1:13" x14ac:dyDescent="0.2">
      <c r="A24" s="1335"/>
      <c r="B24" s="1336"/>
      <c r="C24" s="63"/>
      <c r="D24" s="57"/>
      <c r="E24" s="58"/>
      <c r="F24" s="59"/>
      <c r="G24" s="57"/>
      <c r="H24" s="60"/>
      <c r="I24" s="60"/>
      <c r="J24" s="58"/>
      <c r="K24" s="199"/>
      <c r="L24" s="734"/>
      <c r="M24" s="61"/>
    </row>
    <row r="25" spans="1:13" s="194" customFormat="1" ht="25.5" x14ac:dyDescent="0.2">
      <c r="A25" s="1317"/>
      <c r="B25" s="1318"/>
      <c r="C25" s="201" t="s">
        <v>157</v>
      </c>
      <c r="D25" s="211"/>
      <c r="E25" s="212"/>
      <c r="F25" s="208">
        <f>SUM(F26:F27,F30)</f>
        <v>187376118</v>
      </c>
      <c r="G25" s="213"/>
      <c r="H25" s="210"/>
      <c r="I25" s="214"/>
      <c r="J25" s="212"/>
      <c r="K25" s="208">
        <f>SUM(K26:K27,K30)</f>
        <v>0</v>
      </c>
      <c r="L25" s="729">
        <f t="shared" si="1"/>
        <v>187376118</v>
      </c>
      <c r="M25" s="193"/>
    </row>
    <row r="26" spans="1:13" s="194" customFormat="1" x14ac:dyDescent="0.2">
      <c r="A26" s="1327" t="s">
        <v>754</v>
      </c>
      <c r="B26" s="1328"/>
      <c r="C26" s="195" t="s">
        <v>762</v>
      </c>
      <c r="D26" s="189"/>
      <c r="E26" s="190"/>
      <c r="F26" s="807">
        <f>120950000-6600000</f>
        <v>114350000</v>
      </c>
      <c r="G26" s="189"/>
      <c r="H26" s="192"/>
      <c r="I26" s="192"/>
      <c r="J26" s="190"/>
      <c r="K26" s="191"/>
      <c r="L26" s="733">
        <f t="shared" si="1"/>
        <v>114350000</v>
      </c>
      <c r="M26" s="193"/>
    </row>
    <row r="27" spans="1:13" s="194" customFormat="1" x14ac:dyDescent="0.2">
      <c r="A27" s="1327" t="s">
        <v>757</v>
      </c>
      <c r="B27" s="1328"/>
      <c r="C27" s="195" t="s">
        <v>758</v>
      </c>
      <c r="D27" s="189"/>
      <c r="E27" s="190"/>
      <c r="F27" s="191">
        <f>SUM(F28:F29)</f>
        <v>7351740</v>
      </c>
      <c r="G27" s="216"/>
      <c r="H27" s="192"/>
      <c r="I27" s="215"/>
      <c r="J27" s="190"/>
      <c r="K27" s="191"/>
      <c r="L27" s="733">
        <f t="shared" si="1"/>
        <v>7351740</v>
      </c>
      <c r="M27" s="193"/>
    </row>
    <row r="28" spans="1:13" x14ac:dyDescent="0.2">
      <c r="A28" s="1313" t="s">
        <v>158</v>
      </c>
      <c r="B28" s="1314"/>
      <c r="C28" s="187" t="s">
        <v>721</v>
      </c>
      <c r="D28" s="57"/>
      <c r="E28" s="58"/>
      <c r="F28" s="59">
        <v>3675870</v>
      </c>
      <c r="G28" s="66"/>
      <c r="H28" s="60"/>
      <c r="I28" s="65"/>
      <c r="J28" s="58"/>
      <c r="K28" s="59"/>
      <c r="L28" s="734">
        <f t="shared" ref="L28:L36" si="2">F28+K28</f>
        <v>3675870</v>
      </c>
      <c r="M28" s="61"/>
    </row>
    <row r="29" spans="1:13" x14ac:dyDescent="0.2">
      <c r="A29" s="1313" t="s">
        <v>159</v>
      </c>
      <c r="B29" s="1314"/>
      <c r="C29" s="187" t="s">
        <v>759</v>
      </c>
      <c r="D29" s="57"/>
      <c r="E29" s="58"/>
      <c r="F29" s="59">
        <v>3675870</v>
      </c>
      <c r="G29" s="66"/>
      <c r="H29" s="60"/>
      <c r="I29" s="65"/>
      <c r="J29" s="58"/>
      <c r="K29" s="59"/>
      <c r="L29" s="734">
        <f t="shared" si="2"/>
        <v>3675870</v>
      </c>
      <c r="M29" s="61"/>
    </row>
    <row r="30" spans="1:13" x14ac:dyDescent="0.2">
      <c r="A30" s="1327" t="s">
        <v>160</v>
      </c>
      <c r="B30" s="1328"/>
      <c r="C30" s="195" t="s">
        <v>161</v>
      </c>
      <c r="D30" s="57"/>
      <c r="E30" s="58"/>
      <c r="F30" s="191">
        <f>SUM(F31:F34)</f>
        <v>65674378</v>
      </c>
      <c r="G30" s="57"/>
      <c r="H30" s="60"/>
      <c r="I30" s="60"/>
      <c r="J30" s="58"/>
      <c r="K30" s="191">
        <f>SUM(K33:K34)</f>
        <v>0</v>
      </c>
      <c r="L30" s="733">
        <f t="shared" si="2"/>
        <v>65674378</v>
      </c>
      <c r="M30" s="61"/>
    </row>
    <row r="31" spans="1:13" ht="25.5" x14ac:dyDescent="0.2">
      <c r="A31" s="1313" t="s">
        <v>1130</v>
      </c>
      <c r="B31" s="1314"/>
      <c r="C31" s="881" t="s">
        <v>1131</v>
      </c>
      <c r="D31" s="880">
        <v>4</v>
      </c>
      <c r="E31" s="58">
        <v>1632000</v>
      </c>
      <c r="F31" s="59">
        <f>E31*D31</f>
        <v>6528000</v>
      </c>
      <c r="G31" s="57"/>
      <c r="H31" s="879"/>
      <c r="I31" s="60"/>
      <c r="J31" s="58"/>
      <c r="K31" s="191"/>
      <c r="L31" s="733">
        <v>6528000</v>
      </c>
      <c r="M31" s="61"/>
    </row>
    <row r="32" spans="1:13" ht="25.5" x14ac:dyDescent="0.2">
      <c r="A32" s="1313" t="s">
        <v>1132</v>
      </c>
      <c r="B32" s="1314"/>
      <c r="C32" s="881" t="s">
        <v>1134</v>
      </c>
      <c r="D32" s="880">
        <v>8</v>
      </c>
      <c r="E32" s="58">
        <v>1632000</v>
      </c>
      <c r="F32" s="59">
        <f t="shared" ref="F32:F33" si="3">E32*D32</f>
        <v>13056000</v>
      </c>
      <c r="G32" s="57"/>
      <c r="H32" s="879"/>
      <c r="I32" s="60"/>
      <c r="J32" s="58"/>
      <c r="K32" s="191"/>
      <c r="L32" s="733">
        <v>13056000</v>
      </c>
      <c r="M32" s="61"/>
    </row>
    <row r="33" spans="1:13" ht="27.75" customHeight="1" x14ac:dyDescent="0.2">
      <c r="A33" s="1313" t="s">
        <v>1133</v>
      </c>
      <c r="B33" s="1314"/>
      <c r="C33" s="881" t="s">
        <v>1135</v>
      </c>
      <c r="D33" s="740">
        <v>0.02</v>
      </c>
      <c r="E33" s="58">
        <v>1632000</v>
      </c>
      <c r="F33" s="59">
        <f t="shared" si="3"/>
        <v>32640</v>
      </c>
      <c r="G33" s="662"/>
      <c r="H33" s="741"/>
      <c r="I33" s="742"/>
      <c r="J33" s="58"/>
      <c r="K33" s="59"/>
      <c r="L33" s="734">
        <f t="shared" si="2"/>
        <v>32640</v>
      </c>
      <c r="M33" s="61"/>
    </row>
    <row r="34" spans="1:13" x14ac:dyDescent="0.2">
      <c r="A34" s="1313" t="s">
        <v>162</v>
      </c>
      <c r="B34" s="1314"/>
      <c r="C34" s="881" t="s">
        <v>163</v>
      </c>
      <c r="D34" s="662"/>
      <c r="E34" s="58"/>
      <c r="F34" s="59">
        <f>44065680+1992058</f>
        <v>46057738</v>
      </c>
      <c r="G34" s="57"/>
      <c r="H34" s="60"/>
      <c r="I34" s="60"/>
      <c r="J34" s="58"/>
      <c r="K34" s="59"/>
      <c r="L34" s="734">
        <f t="shared" si="2"/>
        <v>46057738</v>
      </c>
      <c r="M34" s="61"/>
    </row>
    <row r="35" spans="1:13" s="194" customFormat="1" x14ac:dyDescent="0.2">
      <c r="A35" s="834" t="s">
        <v>760</v>
      </c>
      <c r="B35" s="835"/>
      <c r="C35" s="201" t="s">
        <v>730</v>
      </c>
      <c r="D35" s="211"/>
      <c r="E35" s="212"/>
      <c r="F35" s="208">
        <f>SUM(F36)</f>
        <v>10608840</v>
      </c>
      <c r="G35" s="213"/>
      <c r="H35" s="210"/>
      <c r="I35" s="214"/>
      <c r="J35" s="212"/>
      <c r="K35" s="208"/>
      <c r="L35" s="729">
        <f t="shared" si="2"/>
        <v>10608840</v>
      </c>
      <c r="M35" s="193"/>
    </row>
    <row r="36" spans="1:13" ht="25.5" x14ac:dyDescent="0.2">
      <c r="A36" s="1313" t="s">
        <v>746</v>
      </c>
      <c r="B36" s="1314"/>
      <c r="C36" s="661" t="s">
        <v>164</v>
      </c>
      <c r="D36" s="57">
        <v>9306</v>
      </c>
      <c r="E36" s="58">
        <v>1140</v>
      </c>
      <c r="F36" s="59">
        <f>D36*E36</f>
        <v>10608840</v>
      </c>
      <c r="G36" s="68"/>
      <c r="H36" s="67"/>
      <c r="I36" s="65"/>
      <c r="J36" s="64"/>
      <c r="K36" s="59"/>
      <c r="L36" s="734">
        <f t="shared" si="2"/>
        <v>10608840</v>
      </c>
      <c r="M36" s="61"/>
    </row>
    <row r="37" spans="1:13" s="70" customFormat="1" ht="15" x14ac:dyDescent="0.25">
      <c r="A37" s="1323" t="s">
        <v>763</v>
      </c>
      <c r="B37" s="1323"/>
      <c r="C37" s="1324"/>
      <c r="D37" s="217" t="s">
        <v>717</v>
      </c>
      <c r="E37" s="218" t="s">
        <v>717</v>
      </c>
      <c r="F37" s="219">
        <f>SUM(F35,F25,F18,F9)</f>
        <v>455038182</v>
      </c>
      <c r="G37" s="217" t="s">
        <v>717</v>
      </c>
      <c r="H37" s="220" t="s">
        <v>717</v>
      </c>
      <c r="I37" s="220" t="s">
        <v>717</v>
      </c>
      <c r="J37" s="218" t="s">
        <v>717</v>
      </c>
      <c r="K37" s="219">
        <f>SUM(K35,K25,K18,K9)</f>
        <v>128044905.66666667</v>
      </c>
      <c r="L37" s="730">
        <f>SUM(L35,L25,L18,L9)</f>
        <v>583083087.66666675</v>
      </c>
      <c r="M37" s="69"/>
    </row>
    <row r="38" spans="1:13" ht="10.5" customHeight="1" x14ac:dyDescent="0.2"/>
    <row r="39" spans="1:13" s="70" customFormat="1" ht="15" x14ac:dyDescent="0.25">
      <c r="A39" s="1315" t="s">
        <v>145</v>
      </c>
      <c r="B39" s="1315"/>
      <c r="C39" s="1316"/>
      <c r="D39" s="217"/>
      <c r="E39" s="218"/>
      <c r="F39" s="219"/>
      <c r="G39" s="217"/>
      <c r="H39" s="220"/>
      <c r="I39" s="220"/>
      <c r="J39" s="218"/>
      <c r="K39" s="219"/>
      <c r="L39" s="730"/>
      <c r="M39" s="69"/>
    </row>
    <row r="40" spans="1:13" s="806" customFormat="1" ht="19.5" customHeight="1" x14ac:dyDescent="0.25">
      <c r="A40" s="1311" t="s">
        <v>961</v>
      </c>
      <c r="B40" s="1312"/>
      <c r="C40" s="808" t="s">
        <v>922</v>
      </c>
      <c r="D40" s="809"/>
      <c r="E40" s="810"/>
      <c r="F40" s="811">
        <f>126000+401000</f>
        <v>527000</v>
      </c>
      <c r="G40" s="809"/>
      <c r="H40" s="812"/>
      <c r="I40" s="812"/>
      <c r="J40" s="810"/>
      <c r="K40" s="811"/>
      <c r="L40" s="813">
        <f>F40+K40</f>
        <v>527000</v>
      </c>
      <c r="M40" s="805"/>
    </row>
    <row r="41" spans="1:13" s="806" customFormat="1" ht="19.5" customHeight="1" x14ac:dyDescent="0.25">
      <c r="A41" s="1311" t="s">
        <v>1103</v>
      </c>
      <c r="B41" s="1312"/>
      <c r="C41" s="808" t="s">
        <v>1104</v>
      </c>
      <c r="D41" s="809"/>
      <c r="E41" s="810"/>
      <c r="F41" s="811">
        <v>1239040</v>
      </c>
      <c r="G41" s="809"/>
      <c r="H41" s="812"/>
      <c r="I41" s="812"/>
      <c r="J41" s="810"/>
      <c r="K41" s="811"/>
      <c r="L41" s="813">
        <f>F41+K41</f>
        <v>1239040</v>
      </c>
      <c r="M41" s="805"/>
    </row>
    <row r="42" spans="1:13" s="806" customFormat="1" ht="15" x14ac:dyDescent="0.25">
      <c r="A42" s="1311" t="s">
        <v>962</v>
      </c>
      <c r="B42" s="1312"/>
      <c r="C42" s="808" t="s">
        <v>963</v>
      </c>
      <c r="D42" s="809"/>
      <c r="E42" s="810"/>
      <c r="F42" s="811">
        <f>156000+45000</f>
        <v>201000</v>
      </c>
      <c r="G42" s="809"/>
      <c r="H42" s="812"/>
      <c r="I42" s="812"/>
      <c r="J42" s="810"/>
      <c r="K42" s="811"/>
      <c r="L42" s="813">
        <f>F42+K42</f>
        <v>201000</v>
      </c>
      <c r="M42" s="805"/>
    </row>
    <row r="43" spans="1:13" s="806" customFormat="1" ht="15" x14ac:dyDescent="0.25">
      <c r="A43" s="1311" t="s">
        <v>964</v>
      </c>
      <c r="B43" s="1312"/>
      <c r="C43" s="808" t="s">
        <v>965</v>
      </c>
      <c r="D43" s="809"/>
      <c r="E43" s="810"/>
      <c r="F43" s="811">
        <v>526542</v>
      </c>
      <c r="G43" s="809"/>
      <c r="H43" s="812"/>
      <c r="I43" s="812"/>
      <c r="J43" s="810"/>
      <c r="K43" s="811"/>
      <c r="L43" s="813">
        <f>F43+K43</f>
        <v>526542</v>
      </c>
      <c r="M43" s="805"/>
    </row>
    <row r="44" spans="1:13" s="821" customFormat="1" ht="17.25" customHeight="1" x14ac:dyDescent="0.2">
      <c r="A44" s="1311" t="s">
        <v>165</v>
      </c>
      <c r="B44" s="1312"/>
      <c r="C44" s="808" t="s">
        <v>141</v>
      </c>
      <c r="D44" s="815"/>
      <c r="E44" s="816"/>
      <c r="F44" s="817">
        <f>SUM(F45)</f>
        <v>3840000</v>
      </c>
      <c r="G44" s="818"/>
      <c r="H44" s="819"/>
      <c r="I44" s="820"/>
      <c r="J44" s="816"/>
      <c r="K44" s="817"/>
      <c r="L44" s="813">
        <f>F44+K44</f>
        <v>3840000</v>
      </c>
      <c r="M44" s="814"/>
    </row>
    <row r="45" spans="1:13" s="830" customFormat="1" x14ac:dyDescent="0.2">
      <c r="A45" s="1325" t="s">
        <v>166</v>
      </c>
      <c r="B45" s="1326"/>
      <c r="C45" s="822" t="s">
        <v>167</v>
      </c>
      <c r="D45" s="823"/>
      <c r="E45" s="824"/>
      <c r="F45" s="825">
        <v>3840000</v>
      </c>
      <c r="G45" s="826"/>
      <c r="H45" s="827"/>
      <c r="I45" s="828"/>
      <c r="J45" s="824"/>
      <c r="K45" s="825"/>
      <c r="L45" s="825">
        <v>3840000</v>
      </c>
      <c r="M45" s="829"/>
    </row>
    <row r="46" spans="1:13" s="821" customFormat="1" x14ac:dyDescent="0.2">
      <c r="A46" s="1311" t="s">
        <v>168</v>
      </c>
      <c r="B46" s="1312"/>
      <c r="C46" s="808" t="s">
        <v>105</v>
      </c>
      <c r="D46" s="815"/>
      <c r="E46" s="816"/>
      <c r="F46" s="817">
        <v>820009</v>
      </c>
      <c r="G46" s="818"/>
      <c r="H46" s="819"/>
      <c r="I46" s="820"/>
      <c r="J46" s="816"/>
      <c r="K46" s="817"/>
      <c r="L46" s="813">
        <f>F46+K46</f>
        <v>820009</v>
      </c>
      <c r="M46" s="814"/>
    </row>
    <row r="47" spans="1:13" s="70" customFormat="1" ht="15" x14ac:dyDescent="0.25">
      <c r="A47" s="1323" t="s">
        <v>169</v>
      </c>
      <c r="B47" s="1323"/>
      <c r="C47" s="1324"/>
      <c r="D47" s="217" t="s">
        <v>717</v>
      </c>
      <c r="E47" s="218" t="s">
        <v>717</v>
      </c>
      <c r="F47" s="219">
        <f>SUM(F40:F44,F46)</f>
        <v>7153591</v>
      </c>
      <c r="G47" s="217" t="s">
        <v>717</v>
      </c>
      <c r="H47" s="220" t="s">
        <v>717</v>
      </c>
      <c r="I47" s="220" t="s">
        <v>717</v>
      </c>
      <c r="J47" s="218" t="s">
        <v>717</v>
      </c>
      <c r="K47" s="219">
        <f>SUM(K44+K46)</f>
        <v>0</v>
      </c>
      <c r="L47" s="729">
        <f>SUM(L40:L44,L46)</f>
        <v>7153591</v>
      </c>
      <c r="M47" s="69"/>
    </row>
    <row r="48" spans="1:13" s="806" customFormat="1" ht="10.5" customHeight="1" x14ac:dyDescent="0.25">
      <c r="A48" s="836"/>
      <c r="B48" s="836"/>
      <c r="C48" s="801"/>
      <c r="D48" s="802"/>
      <c r="E48" s="802"/>
      <c r="F48" s="803"/>
      <c r="G48" s="802"/>
      <c r="H48" s="802"/>
      <c r="I48" s="802"/>
      <c r="J48" s="802"/>
      <c r="K48" s="803"/>
      <c r="L48" s="804"/>
      <c r="M48" s="805"/>
    </row>
    <row r="49" spans="1:13" s="70" customFormat="1" ht="14.25" customHeight="1" x14ac:dyDescent="0.25">
      <c r="A49" s="1315" t="s">
        <v>966</v>
      </c>
      <c r="B49" s="1315"/>
      <c r="C49" s="1316"/>
      <c r="D49" s="217"/>
      <c r="E49" s="218"/>
      <c r="F49" s="219"/>
      <c r="G49" s="217"/>
      <c r="H49" s="220"/>
      <c r="I49" s="220"/>
      <c r="J49" s="218"/>
      <c r="K49" s="219"/>
      <c r="L49" s="730"/>
      <c r="M49" s="69"/>
    </row>
    <row r="50" spans="1:13" s="806" customFormat="1" ht="15" x14ac:dyDescent="0.25">
      <c r="A50" s="1321"/>
      <c r="B50" s="1322"/>
      <c r="C50" s="808" t="s">
        <v>1105</v>
      </c>
      <c r="D50" s="809"/>
      <c r="E50" s="810"/>
      <c r="F50" s="831">
        <f>69089000-57416000</f>
        <v>11673000</v>
      </c>
      <c r="G50" s="809"/>
      <c r="H50" s="812"/>
      <c r="I50" s="812"/>
      <c r="J50" s="810"/>
      <c r="K50" s="811"/>
      <c r="L50" s="813">
        <f>F50+K50</f>
        <v>11673000</v>
      </c>
      <c r="M50" s="805"/>
    </row>
    <row r="51" spans="1:13" s="806" customFormat="1" ht="15" x14ac:dyDescent="0.25">
      <c r="A51" s="1321"/>
      <c r="B51" s="1322"/>
      <c r="C51" s="808" t="s">
        <v>920</v>
      </c>
      <c r="D51" s="809"/>
      <c r="E51" s="810"/>
      <c r="F51" s="831">
        <v>6047000</v>
      </c>
      <c r="G51" s="809"/>
      <c r="H51" s="812"/>
      <c r="I51" s="812"/>
      <c r="J51" s="810"/>
      <c r="K51" s="811"/>
      <c r="L51" s="813">
        <f>F51+K51</f>
        <v>6047000</v>
      </c>
      <c r="M51" s="805"/>
    </row>
    <row r="52" spans="1:13" s="806" customFormat="1" ht="25.5" x14ac:dyDescent="0.25">
      <c r="A52" s="865"/>
      <c r="B52" s="866"/>
      <c r="C52" s="808" t="s">
        <v>967</v>
      </c>
      <c r="D52" s="809"/>
      <c r="E52" s="810"/>
      <c r="F52" s="811">
        <v>1010000</v>
      </c>
      <c r="G52" s="809"/>
      <c r="H52" s="812"/>
      <c r="I52" s="812"/>
      <c r="J52" s="810"/>
      <c r="K52" s="811"/>
      <c r="L52" s="813">
        <f>F52+K52</f>
        <v>1010000</v>
      </c>
      <c r="M52" s="805"/>
    </row>
    <row r="53" spans="1:13" s="806" customFormat="1" ht="15" x14ac:dyDescent="0.25">
      <c r="A53" s="1321"/>
      <c r="B53" s="1322"/>
      <c r="C53" s="808" t="s">
        <v>1136</v>
      </c>
      <c r="D53" s="809"/>
      <c r="E53" s="810"/>
      <c r="F53" s="811">
        <v>520000</v>
      </c>
      <c r="G53" s="809"/>
      <c r="H53" s="812"/>
      <c r="I53" s="812"/>
      <c r="J53" s="810"/>
      <c r="K53" s="811"/>
      <c r="L53" s="813">
        <f>F53+K53</f>
        <v>520000</v>
      </c>
      <c r="M53" s="805"/>
    </row>
    <row r="54" spans="1:13" s="70" customFormat="1" ht="15" x14ac:dyDescent="0.25">
      <c r="A54" s="1323" t="s">
        <v>969</v>
      </c>
      <c r="B54" s="1323"/>
      <c r="C54" s="1324"/>
      <c r="D54" s="217" t="s">
        <v>717</v>
      </c>
      <c r="E54" s="218" t="s">
        <v>717</v>
      </c>
      <c r="F54" s="219">
        <f>SUM(F50:F53)</f>
        <v>19250000</v>
      </c>
      <c r="G54" s="217" t="s">
        <v>717</v>
      </c>
      <c r="H54" s="220" t="s">
        <v>717</v>
      </c>
      <c r="I54" s="220" t="s">
        <v>717</v>
      </c>
      <c r="J54" s="218" t="s">
        <v>717</v>
      </c>
      <c r="K54" s="219">
        <v>0</v>
      </c>
      <c r="L54" s="729">
        <f>SUM(L50:L53)</f>
        <v>19250000</v>
      </c>
      <c r="M54" s="69"/>
    </row>
    <row r="55" spans="1:13" ht="10.5" customHeight="1" x14ac:dyDescent="0.2"/>
    <row r="56" spans="1:13" s="70" customFormat="1" ht="16.5" x14ac:dyDescent="0.25">
      <c r="A56" s="1319" t="s">
        <v>170</v>
      </c>
      <c r="B56" s="1319"/>
      <c r="C56" s="1320"/>
      <c r="D56" s="663" t="s">
        <v>717</v>
      </c>
      <c r="E56" s="664" t="s">
        <v>717</v>
      </c>
      <c r="F56" s="665">
        <f>SUM(F37+F47+F54)</f>
        <v>481441773</v>
      </c>
      <c r="G56" s="663" t="s">
        <v>717</v>
      </c>
      <c r="H56" s="666" t="s">
        <v>717</v>
      </c>
      <c r="I56" s="666" t="s">
        <v>717</v>
      </c>
      <c r="J56" s="664" t="s">
        <v>717</v>
      </c>
      <c r="K56" s="665">
        <f>SUM(K37+K47)</f>
        <v>128044905.66666667</v>
      </c>
      <c r="L56" s="728">
        <f>SUM(K56+F56)</f>
        <v>609486678.66666663</v>
      </c>
      <c r="M56" s="69"/>
    </row>
    <row r="58" spans="1:13" s="70" customFormat="1" ht="16.5" x14ac:dyDescent="0.25">
      <c r="A58" s="1319" t="s">
        <v>968</v>
      </c>
      <c r="B58" s="1319"/>
      <c r="C58" s="1320"/>
      <c r="D58" s="663"/>
      <c r="E58" s="664"/>
      <c r="F58" s="665">
        <v>188588762</v>
      </c>
      <c r="G58" s="663"/>
      <c r="H58" s="666"/>
      <c r="I58" s="666"/>
      <c r="J58" s="664"/>
      <c r="K58" s="665"/>
      <c r="L58" s="665">
        <f>F58+K58</f>
        <v>188588762</v>
      </c>
      <c r="M58" s="69"/>
    </row>
    <row r="61" spans="1:13" x14ac:dyDescent="0.2">
      <c r="B61" s="621"/>
      <c r="C61" s="621"/>
      <c r="D61" s="621"/>
      <c r="E61"/>
      <c r="F61"/>
    </row>
    <row r="62" spans="1:13" x14ac:dyDescent="0.2">
      <c r="B62" s="1009">
        <v>32</v>
      </c>
      <c r="C62" s="1007" t="s">
        <v>1148</v>
      </c>
      <c r="D62" s="1007"/>
      <c r="E62"/>
      <c r="F62"/>
    </row>
    <row r="63" spans="1:13" x14ac:dyDescent="0.2">
      <c r="B63" s="1009">
        <v>33</v>
      </c>
      <c r="C63" s="1007" t="s">
        <v>1146</v>
      </c>
      <c r="D63" s="1007"/>
      <c r="E63"/>
      <c r="F63"/>
    </row>
    <row r="64" spans="1:13" x14ac:dyDescent="0.2">
      <c r="B64" s="1010">
        <v>34</v>
      </c>
      <c r="C64" s="1007" t="s">
        <v>1147</v>
      </c>
      <c r="D64" s="1007"/>
      <c r="E64"/>
      <c r="F64"/>
    </row>
  </sheetData>
  <mergeCells count="53">
    <mergeCell ref="D1:L1"/>
    <mergeCell ref="A19:B19"/>
    <mergeCell ref="A30:B30"/>
    <mergeCell ref="A33:B33"/>
    <mergeCell ref="A2:K2"/>
    <mergeCell ref="A3:K3"/>
    <mergeCell ref="A5:C5"/>
    <mergeCell ref="D5:F5"/>
    <mergeCell ref="G5:K5"/>
    <mergeCell ref="A13:B13"/>
    <mergeCell ref="A14:B14"/>
    <mergeCell ref="A15:B15"/>
    <mergeCell ref="A20:B20"/>
    <mergeCell ref="A21:B21"/>
    <mergeCell ref="A22:B22"/>
    <mergeCell ref="A16:B16"/>
    <mergeCell ref="A17:B17"/>
    <mergeCell ref="L5:L6"/>
    <mergeCell ref="A37:C37"/>
    <mergeCell ref="A6:B7"/>
    <mergeCell ref="A8:C8"/>
    <mergeCell ref="A24:B24"/>
    <mergeCell ref="A25:B25"/>
    <mergeCell ref="A26:B26"/>
    <mergeCell ref="A27:B27"/>
    <mergeCell ref="A28:B28"/>
    <mergeCell ref="A29:B29"/>
    <mergeCell ref="A23:B23"/>
    <mergeCell ref="A9:B9"/>
    <mergeCell ref="A10:B10"/>
    <mergeCell ref="A11:B11"/>
    <mergeCell ref="A12:B12"/>
    <mergeCell ref="A18:B18"/>
    <mergeCell ref="A44:B44"/>
    <mergeCell ref="A58:C58"/>
    <mergeCell ref="A56:C56"/>
    <mergeCell ref="A51:B51"/>
    <mergeCell ref="A53:B53"/>
    <mergeCell ref="A54:C54"/>
    <mergeCell ref="A46:B46"/>
    <mergeCell ref="A50:B50"/>
    <mergeCell ref="A49:C49"/>
    <mergeCell ref="A47:C47"/>
    <mergeCell ref="A45:B45"/>
    <mergeCell ref="A43:B43"/>
    <mergeCell ref="A40:B40"/>
    <mergeCell ref="A31:B31"/>
    <mergeCell ref="A32:B32"/>
    <mergeCell ref="A42:B42"/>
    <mergeCell ref="A34:B34"/>
    <mergeCell ref="A36:B36"/>
    <mergeCell ref="A39:C39"/>
    <mergeCell ref="A41:B41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0"/>
  <sheetViews>
    <sheetView zoomScaleNormal="100" workbookViewId="0">
      <selection activeCell="C3" sqref="C3"/>
    </sheetView>
  </sheetViews>
  <sheetFormatPr defaultColWidth="13.28515625" defaultRowHeight="12.75" x14ac:dyDescent="0.2"/>
  <cols>
    <col min="1" max="1" width="4.5703125" style="255" customWidth="1"/>
    <col min="2" max="2" width="36.140625" style="163" customWidth="1"/>
    <col min="3" max="3" width="15" style="163" customWidth="1"/>
    <col min="4" max="4" width="11.85546875" style="163" customWidth="1"/>
    <col min="5" max="5" width="11.7109375" style="163" customWidth="1"/>
    <col min="6" max="7" width="11.28515625" style="163" customWidth="1"/>
    <col min="8" max="8" width="11.7109375" style="163" customWidth="1"/>
    <col min="9" max="9" width="15.42578125" style="163" customWidth="1"/>
    <col min="10" max="10" width="16.5703125" style="163" customWidth="1"/>
    <col min="11" max="11" width="9.28515625" style="163" customWidth="1"/>
    <col min="12" max="12" width="9.7109375" style="163" customWidth="1"/>
    <col min="13" max="13" width="7.85546875" style="163" customWidth="1"/>
    <col min="14" max="14" width="9.5703125" style="163" customWidth="1"/>
    <col min="15" max="15" width="15.85546875" style="163" customWidth="1"/>
    <col min="16" max="16" width="17.28515625" style="163" customWidth="1"/>
    <col min="17" max="16384" width="13.28515625" style="163"/>
  </cols>
  <sheetData>
    <row r="1" spans="1:16" ht="18" x14ac:dyDescent="0.2">
      <c r="B1" s="1310" t="s">
        <v>1161</v>
      </c>
      <c r="C1" s="1310"/>
      <c r="D1" s="1310"/>
      <c r="E1" s="1310"/>
      <c r="F1" s="1310"/>
      <c r="G1" s="1310"/>
      <c r="H1" s="1310"/>
      <c r="I1" s="1310"/>
      <c r="J1" s="1310"/>
    </row>
    <row r="3" spans="1:16" ht="16.5" customHeight="1" x14ac:dyDescent="0.2"/>
    <row r="4" spans="1:16" ht="34.5" customHeight="1" x14ac:dyDescent="0.3">
      <c r="B4" s="1393" t="s">
        <v>544</v>
      </c>
      <c r="C4" s="1393"/>
      <c r="D4" s="1393"/>
      <c r="E4" s="1393"/>
      <c r="F4" s="1393"/>
      <c r="G4" s="1393"/>
      <c r="H4" s="1393"/>
      <c r="I4" s="1393"/>
      <c r="J4" s="1393"/>
    </row>
    <row r="5" spans="1:16" ht="6.75" hidden="1" customHeight="1" x14ac:dyDescent="0.2"/>
    <row r="6" spans="1:16" ht="12.75" customHeight="1" x14ac:dyDescent="0.2"/>
    <row r="7" spans="1:16" ht="12.75" customHeight="1" thickBot="1" x14ac:dyDescent="0.25"/>
    <row r="8" spans="1:16" ht="12.75" customHeight="1" x14ac:dyDescent="0.2">
      <c r="A8" s="1368" t="s">
        <v>693</v>
      </c>
      <c r="B8" s="1371" t="s">
        <v>602</v>
      </c>
      <c r="C8" s="1374" t="s">
        <v>530</v>
      </c>
      <c r="D8" s="1375"/>
      <c r="E8" s="1375"/>
      <c r="F8" s="1375"/>
      <c r="G8" s="1376"/>
      <c r="H8" s="1376"/>
      <c r="I8" s="1394" t="s">
        <v>545</v>
      </c>
      <c r="J8" s="1394" t="s">
        <v>546</v>
      </c>
    </row>
    <row r="9" spans="1:16" s="164" customFormat="1" ht="12.75" customHeight="1" x14ac:dyDescent="0.2">
      <c r="A9" s="1369"/>
      <c r="B9" s="1372"/>
      <c r="C9" s="1377" t="s">
        <v>682</v>
      </c>
      <c r="D9" s="1378"/>
      <c r="E9" s="1378"/>
      <c r="F9" s="1378"/>
      <c r="G9" s="1379"/>
      <c r="H9" s="1379"/>
      <c r="I9" s="1395"/>
      <c r="J9" s="1395"/>
      <c r="K9" s="163"/>
      <c r="L9" s="163"/>
      <c r="M9" s="163"/>
      <c r="N9" s="163"/>
      <c r="O9" s="163"/>
      <c r="P9" s="163"/>
    </row>
    <row r="10" spans="1:16" ht="44.25" customHeight="1" x14ac:dyDescent="0.2">
      <c r="A10" s="1370"/>
      <c r="B10" s="1373"/>
      <c r="C10" s="1377"/>
      <c r="D10" s="257" t="s">
        <v>701</v>
      </c>
      <c r="E10" s="257" t="s">
        <v>705</v>
      </c>
      <c r="F10" s="257" t="s">
        <v>706</v>
      </c>
      <c r="G10" s="258" t="s">
        <v>708</v>
      </c>
      <c r="H10" s="258" t="s">
        <v>980</v>
      </c>
      <c r="I10" s="1396"/>
      <c r="J10" s="1396"/>
    </row>
    <row r="11" spans="1:16" ht="19.5" customHeight="1" thickBot="1" x14ac:dyDescent="0.25">
      <c r="A11" s="256" t="s">
        <v>687</v>
      </c>
      <c r="B11" s="259" t="s">
        <v>688</v>
      </c>
      <c r="C11" s="260" t="s">
        <v>689</v>
      </c>
      <c r="D11" s="261" t="s">
        <v>690</v>
      </c>
      <c r="E11" s="261" t="s">
        <v>691</v>
      </c>
      <c r="F11" s="261" t="s">
        <v>692</v>
      </c>
      <c r="G11" s="261" t="s">
        <v>695</v>
      </c>
      <c r="H11" s="261" t="s">
        <v>696</v>
      </c>
      <c r="I11" s="262" t="s">
        <v>636</v>
      </c>
      <c r="J11" s="263" t="s">
        <v>637</v>
      </c>
    </row>
    <row r="12" spans="1:16" ht="29.25" customHeight="1" thickTop="1" thickBot="1" x14ac:dyDescent="0.25">
      <c r="A12" s="264">
        <v>1</v>
      </c>
      <c r="B12" s="1365" t="s">
        <v>101</v>
      </c>
      <c r="C12" s="1366"/>
      <c r="D12" s="1366"/>
      <c r="E12" s="1366"/>
      <c r="F12" s="1366"/>
      <c r="G12" s="1366"/>
      <c r="H12" s="1366"/>
      <c r="I12" s="1366"/>
      <c r="J12" s="1367"/>
    </row>
    <row r="13" spans="1:16" ht="16.5" thickTop="1" thickBot="1" x14ac:dyDescent="0.25">
      <c r="A13" s="265">
        <v>2</v>
      </c>
      <c r="B13" s="1351" t="s">
        <v>171</v>
      </c>
      <c r="C13" s="1352"/>
      <c r="D13" s="1352"/>
      <c r="E13" s="1352"/>
      <c r="F13" s="1352"/>
      <c r="G13" s="1352"/>
      <c r="H13" s="1352"/>
      <c r="I13" s="1353"/>
      <c r="J13" s="266"/>
    </row>
    <row r="14" spans="1:16" ht="14.25" customHeight="1" thickBot="1" x14ac:dyDescent="0.25">
      <c r="A14" s="267">
        <v>3</v>
      </c>
      <c r="B14" s="268" t="s">
        <v>531</v>
      </c>
      <c r="C14" s="667">
        <f>SUM(D14:H14)</f>
        <v>0</v>
      </c>
      <c r="D14" s="270"/>
      <c r="E14" s="270"/>
      <c r="F14" s="270"/>
      <c r="G14" s="270"/>
      <c r="H14" s="270"/>
      <c r="I14" s="271"/>
      <c r="J14" s="271">
        <v>0</v>
      </c>
    </row>
    <row r="15" spans="1:16" ht="14.25" customHeight="1" thickBot="1" x14ac:dyDescent="0.25">
      <c r="A15" s="267">
        <v>4</v>
      </c>
      <c r="B15" s="272" t="s">
        <v>532</v>
      </c>
      <c r="C15" s="667">
        <f>SUM(D15:H15)</f>
        <v>21900</v>
      </c>
      <c r="D15" s="274"/>
      <c r="E15" s="274"/>
      <c r="F15" s="274">
        <v>2670</v>
      </c>
      <c r="G15" s="274">
        <v>19230</v>
      </c>
      <c r="H15" s="274"/>
      <c r="I15" s="275">
        <v>21900</v>
      </c>
      <c r="J15" s="275"/>
    </row>
    <row r="16" spans="1:16" ht="14.25" customHeight="1" thickBot="1" x14ac:dyDescent="0.25">
      <c r="A16" s="267">
        <v>5</v>
      </c>
      <c r="B16" s="276" t="s">
        <v>533</v>
      </c>
      <c r="C16" s="277">
        <f>SUM(D16:H16)</f>
        <v>21900</v>
      </c>
      <c r="D16" s="278">
        <f t="shared" ref="D16:J16" si="0">SUM(D14+D15)</f>
        <v>0</v>
      </c>
      <c r="E16" s="278">
        <f t="shared" si="0"/>
        <v>0</v>
      </c>
      <c r="F16" s="278">
        <f t="shared" si="0"/>
        <v>2670</v>
      </c>
      <c r="G16" s="279">
        <f t="shared" ref="G16" si="1">SUM(G14+G15)</f>
        <v>19230</v>
      </c>
      <c r="H16" s="279">
        <f t="shared" si="0"/>
        <v>0</v>
      </c>
      <c r="I16" s="280">
        <f t="shared" si="0"/>
        <v>21900</v>
      </c>
      <c r="J16" s="281">
        <f t="shared" si="0"/>
        <v>0</v>
      </c>
    </row>
    <row r="17" spans="1:16" ht="6" customHeight="1" thickBot="1" x14ac:dyDescent="0.25">
      <c r="A17" s="267"/>
      <c r="B17" s="1349"/>
      <c r="C17" s="1380"/>
      <c r="D17" s="1350"/>
      <c r="E17" s="1350"/>
      <c r="F17" s="1350"/>
      <c r="G17" s="1350"/>
      <c r="H17" s="1350"/>
      <c r="I17" s="1381"/>
      <c r="J17" s="266"/>
    </row>
    <row r="18" spans="1:16" ht="14.25" customHeight="1" x14ac:dyDescent="0.2">
      <c r="A18" s="282">
        <v>6</v>
      </c>
      <c r="B18" s="283" t="s">
        <v>534</v>
      </c>
      <c r="C18" s="269">
        <f>SUM(D18:H18)</f>
        <v>2000</v>
      </c>
      <c r="D18" s="274"/>
      <c r="E18" s="274"/>
      <c r="F18" s="284"/>
      <c r="G18" s="274">
        <v>2000</v>
      </c>
      <c r="H18" s="274"/>
      <c r="I18" s="271"/>
      <c r="J18" s="271">
        <v>2000</v>
      </c>
    </row>
    <row r="19" spans="1:16" ht="14.25" customHeight="1" x14ac:dyDescent="0.2">
      <c r="A19" s="282">
        <v>7</v>
      </c>
      <c r="B19" s="283" t="s">
        <v>535</v>
      </c>
      <c r="C19" s="273">
        <f>SUM(D19:H19)</f>
        <v>0</v>
      </c>
      <c r="D19" s="284"/>
      <c r="E19" s="284"/>
      <c r="F19" s="284"/>
      <c r="G19" s="284"/>
      <c r="H19" s="284"/>
      <c r="I19" s="285"/>
      <c r="J19" s="285"/>
    </row>
    <row r="20" spans="1:16" ht="14.25" customHeight="1" x14ac:dyDescent="0.2">
      <c r="A20" s="282">
        <v>8</v>
      </c>
      <c r="B20" s="286" t="s">
        <v>536</v>
      </c>
      <c r="C20" s="273">
        <f>SUM(D20:H20)</f>
        <v>19900</v>
      </c>
      <c r="D20" s="287"/>
      <c r="E20" s="274"/>
      <c r="F20" s="274">
        <v>2670</v>
      </c>
      <c r="G20" s="274">
        <v>17230</v>
      </c>
      <c r="H20" s="274"/>
      <c r="I20" s="288"/>
      <c r="J20" s="288">
        <v>19900</v>
      </c>
    </row>
    <row r="21" spans="1:16" ht="14.25" customHeight="1" thickBot="1" x14ac:dyDescent="0.25">
      <c r="A21" s="282">
        <v>9</v>
      </c>
      <c r="B21" s="286" t="s">
        <v>537</v>
      </c>
      <c r="C21" s="289">
        <f>SUM(D21:H21)</f>
        <v>0</v>
      </c>
      <c r="D21" s="290"/>
      <c r="E21" s="290"/>
      <c r="F21" s="290"/>
      <c r="G21" s="290"/>
      <c r="H21" s="290"/>
      <c r="I21" s="291"/>
      <c r="J21" s="291"/>
    </row>
    <row r="22" spans="1:16" s="165" customFormat="1" ht="14.25" customHeight="1" thickBot="1" x14ac:dyDescent="0.25">
      <c r="A22" s="292">
        <v>10</v>
      </c>
      <c r="B22" s="293" t="s">
        <v>611</v>
      </c>
      <c r="C22" s="294">
        <f t="shared" ref="C22:J22" si="2">SUM(C18:C21)</f>
        <v>21900</v>
      </c>
      <c r="D22" s="295">
        <f t="shared" si="2"/>
        <v>0</v>
      </c>
      <c r="E22" s="295">
        <f t="shared" si="2"/>
        <v>0</v>
      </c>
      <c r="F22" s="295">
        <f t="shared" si="2"/>
        <v>2670</v>
      </c>
      <c r="G22" s="295">
        <f t="shared" si="2"/>
        <v>19230</v>
      </c>
      <c r="H22" s="295">
        <f t="shared" si="2"/>
        <v>0</v>
      </c>
      <c r="I22" s="296">
        <f t="shared" si="2"/>
        <v>0</v>
      </c>
      <c r="J22" s="297">
        <f t="shared" si="2"/>
        <v>21900</v>
      </c>
      <c r="K22" s="163"/>
      <c r="L22" s="163"/>
      <c r="M22" s="163"/>
      <c r="N22" s="163"/>
      <c r="O22" s="163"/>
      <c r="P22" s="163"/>
    </row>
    <row r="23" spans="1:16" s="165" customFormat="1" ht="14.25" thickTop="1" thickBot="1" x14ac:dyDescent="0.25">
      <c r="A23" s="298"/>
      <c r="B23" s="1382"/>
      <c r="C23" s="1383"/>
      <c r="D23" s="1383"/>
      <c r="E23" s="1383"/>
      <c r="F23" s="1383"/>
      <c r="G23" s="1383"/>
      <c r="H23" s="1383"/>
      <c r="I23" s="1383"/>
      <c r="J23" s="1384"/>
      <c r="K23" s="163"/>
      <c r="L23" s="163"/>
      <c r="M23" s="163"/>
      <c r="N23" s="163"/>
      <c r="O23" s="163"/>
      <c r="P23" s="163"/>
    </row>
    <row r="24" spans="1:16" ht="16.5" thickTop="1" thickBot="1" x14ac:dyDescent="0.25">
      <c r="A24" s="299">
        <v>11</v>
      </c>
      <c r="B24" s="1351" t="s">
        <v>538</v>
      </c>
      <c r="C24" s="1352"/>
      <c r="D24" s="1352"/>
      <c r="E24" s="1352"/>
      <c r="F24" s="1352"/>
      <c r="G24" s="1352"/>
      <c r="H24" s="1352"/>
      <c r="I24" s="1353"/>
      <c r="J24" s="300"/>
    </row>
    <row r="25" spans="1:16" ht="14.25" customHeight="1" x14ac:dyDescent="0.2">
      <c r="A25" s="267">
        <v>12</v>
      </c>
      <c r="B25" s="268" t="s">
        <v>469</v>
      </c>
      <c r="C25" s="1391">
        <f>SUM(D25:F26)</f>
        <v>556341</v>
      </c>
      <c r="D25" s="1389">
        <v>139387</v>
      </c>
      <c r="E25" s="1389">
        <v>272571</v>
      </c>
      <c r="F25" s="1389">
        <v>144383</v>
      </c>
      <c r="G25" s="877"/>
      <c r="H25" s="270"/>
      <c r="I25" s="271">
        <f>531818+532</f>
        <v>532350</v>
      </c>
      <c r="J25" s="271"/>
    </row>
    <row r="26" spans="1:16" ht="14.25" customHeight="1" x14ac:dyDescent="0.2">
      <c r="A26" s="267">
        <v>13</v>
      </c>
      <c r="B26" s="272" t="s">
        <v>470</v>
      </c>
      <c r="C26" s="1392"/>
      <c r="D26" s="1390"/>
      <c r="E26" s="1390"/>
      <c r="F26" s="1390"/>
      <c r="G26" s="878"/>
      <c r="H26" s="274"/>
      <c r="I26" s="275">
        <f>16738+25</f>
        <v>16763</v>
      </c>
      <c r="J26" s="275"/>
    </row>
    <row r="27" spans="1:16" s="165" customFormat="1" ht="14.25" customHeight="1" x14ac:dyDescent="0.2">
      <c r="A27" s="301">
        <v>14</v>
      </c>
      <c r="B27" s="272" t="s">
        <v>539</v>
      </c>
      <c r="C27" s="302">
        <f>SUM(D27:F27)</f>
        <v>2481729</v>
      </c>
      <c r="D27" s="274">
        <v>621776</v>
      </c>
      <c r="E27" s="274">
        <v>1215886</v>
      </c>
      <c r="F27" s="274">
        <v>644067</v>
      </c>
      <c r="G27" s="274"/>
      <c r="H27" s="274"/>
      <c r="I27" s="275">
        <v>2301200</v>
      </c>
      <c r="J27" s="275"/>
      <c r="K27" s="163"/>
      <c r="L27" s="163"/>
      <c r="M27" s="163"/>
      <c r="N27" s="163"/>
      <c r="O27" s="163"/>
      <c r="P27" s="163"/>
    </row>
    <row r="28" spans="1:16" s="165" customFormat="1" ht="14.25" customHeight="1" thickBot="1" x14ac:dyDescent="0.25">
      <c r="A28" s="301">
        <v>15</v>
      </c>
      <c r="B28" s="272" t="s">
        <v>540</v>
      </c>
      <c r="C28" s="303"/>
      <c r="D28" s="304"/>
      <c r="E28" s="304"/>
      <c r="F28" s="304"/>
      <c r="G28" s="304"/>
      <c r="H28" s="304"/>
      <c r="I28" s="305">
        <v>769434</v>
      </c>
      <c r="J28" s="291"/>
      <c r="K28" s="163"/>
      <c r="L28" s="163"/>
      <c r="M28" s="163"/>
      <c r="N28" s="163"/>
      <c r="O28" s="163"/>
      <c r="P28" s="163"/>
    </row>
    <row r="29" spans="1:16" ht="14.25" customHeight="1" thickBot="1" x14ac:dyDescent="0.25">
      <c r="A29" s="267">
        <v>16</v>
      </c>
      <c r="B29" s="276" t="s">
        <v>533</v>
      </c>
      <c r="C29" s="277">
        <f>SUM(C25:C28)</f>
        <v>3038070</v>
      </c>
      <c r="D29" s="278">
        <f>SUM(D25:D27)</f>
        <v>761163</v>
      </c>
      <c r="E29" s="278">
        <f>SUM(E25:E27)</f>
        <v>1488457</v>
      </c>
      <c r="F29" s="278">
        <f>SUM(F25:F27)</f>
        <v>788450</v>
      </c>
      <c r="G29" s="986"/>
      <c r="H29" s="279">
        <f>SUM(H26:H27)</f>
        <v>0</v>
      </c>
      <c r="I29" s="280">
        <f>SUM(I25:I28)</f>
        <v>3619747</v>
      </c>
      <c r="J29" s="281">
        <f>SUM(J26:J28)</f>
        <v>0</v>
      </c>
    </row>
    <row r="30" spans="1:16" s="164" customFormat="1" ht="6" customHeight="1" thickBot="1" x14ac:dyDescent="0.25">
      <c r="A30" s="267"/>
      <c r="B30" s="1354"/>
      <c r="C30" s="1355"/>
      <c r="D30" s="1355"/>
      <c r="E30" s="1355"/>
      <c r="F30" s="1355"/>
      <c r="G30" s="1355"/>
      <c r="H30" s="1355"/>
      <c r="I30" s="1356"/>
      <c r="J30" s="266"/>
      <c r="K30" s="163"/>
      <c r="L30" s="163"/>
      <c r="M30" s="163"/>
      <c r="N30" s="163"/>
      <c r="O30" s="163"/>
      <c r="P30" s="163"/>
    </row>
    <row r="31" spans="1:16" s="164" customFormat="1" ht="15" customHeight="1" x14ac:dyDescent="0.2">
      <c r="A31" s="282">
        <v>17</v>
      </c>
      <c r="B31" s="306" t="s">
        <v>534</v>
      </c>
      <c r="C31" s="269">
        <f>SUM(D31:H31)</f>
        <v>3038070</v>
      </c>
      <c r="D31" s="270">
        <v>761163</v>
      </c>
      <c r="E31" s="270">
        <v>1488457</v>
      </c>
      <c r="F31" s="270">
        <v>788450</v>
      </c>
      <c r="G31" s="987"/>
      <c r="H31" s="308"/>
      <c r="I31" s="271"/>
      <c r="J31" s="271">
        <f>3597933+532</f>
        <v>3598465</v>
      </c>
      <c r="K31" s="163"/>
      <c r="L31" s="163"/>
      <c r="M31" s="163"/>
      <c r="N31" s="163"/>
      <c r="O31" s="163"/>
      <c r="P31" s="163"/>
    </row>
    <row r="32" spans="1:16" s="164" customFormat="1" ht="15" customHeight="1" x14ac:dyDescent="0.2">
      <c r="A32" s="282">
        <v>18</v>
      </c>
      <c r="B32" s="309" t="s">
        <v>535</v>
      </c>
      <c r="C32" s="273"/>
      <c r="D32" s="310"/>
      <c r="E32" s="310"/>
      <c r="F32" s="310"/>
      <c r="G32" s="331"/>
      <c r="H32" s="311"/>
      <c r="I32" s="275"/>
      <c r="J32" s="275">
        <v>21257</v>
      </c>
      <c r="K32" s="163"/>
      <c r="L32" s="163"/>
      <c r="M32" s="163"/>
      <c r="N32" s="163"/>
      <c r="O32" s="163"/>
      <c r="P32" s="163"/>
    </row>
    <row r="33" spans="1:16" s="164" customFormat="1" ht="15" customHeight="1" x14ac:dyDescent="0.2">
      <c r="A33" s="282">
        <v>19</v>
      </c>
      <c r="B33" s="286" t="s">
        <v>536</v>
      </c>
      <c r="C33" s="273"/>
      <c r="D33" s="310"/>
      <c r="E33" s="310"/>
      <c r="F33" s="310"/>
      <c r="G33" s="331"/>
      <c r="H33" s="311"/>
      <c r="I33" s="275"/>
      <c r="J33" s="275"/>
      <c r="K33" s="163"/>
      <c r="L33" s="163"/>
      <c r="M33" s="163"/>
      <c r="N33" s="163"/>
      <c r="O33" s="163"/>
      <c r="P33" s="163"/>
    </row>
    <row r="34" spans="1:16" ht="14.25" customHeight="1" thickBot="1" x14ac:dyDescent="0.25">
      <c r="A34" s="282">
        <v>20</v>
      </c>
      <c r="B34" s="286" t="s">
        <v>537</v>
      </c>
      <c r="C34" s="289"/>
      <c r="D34" s="312"/>
      <c r="E34" s="312"/>
      <c r="F34" s="312"/>
      <c r="G34" s="844"/>
      <c r="H34" s="313"/>
      <c r="I34" s="314"/>
      <c r="J34" s="275">
        <v>25</v>
      </c>
    </row>
    <row r="35" spans="1:16" ht="14.25" customHeight="1" thickBot="1" x14ac:dyDescent="0.25">
      <c r="A35" s="315">
        <v>21</v>
      </c>
      <c r="B35" s="316" t="s">
        <v>611</v>
      </c>
      <c r="C35" s="294">
        <f>SUM(D35:H35)</f>
        <v>3038070</v>
      </c>
      <c r="D35" s="295">
        <f>SUM(D31:D34)</f>
        <v>761163</v>
      </c>
      <c r="E35" s="295">
        <f t="shared" ref="E35:H35" si="3">SUM(E31:E34)</f>
        <v>1488457</v>
      </c>
      <c r="F35" s="295">
        <f t="shared" si="3"/>
        <v>788450</v>
      </c>
      <c r="G35" s="295">
        <f t="shared" si="3"/>
        <v>0</v>
      </c>
      <c r="H35" s="295">
        <f t="shared" si="3"/>
        <v>0</v>
      </c>
      <c r="I35" s="294">
        <f>SUM(I34)</f>
        <v>0</v>
      </c>
      <c r="J35" s="297">
        <f>SUM(J31:J34)</f>
        <v>3619747</v>
      </c>
    </row>
    <row r="36" spans="1:16" ht="14.25" thickTop="1" thickBot="1" x14ac:dyDescent="0.25">
      <c r="A36" s="317"/>
      <c r="B36" s="1382"/>
      <c r="C36" s="1383"/>
      <c r="D36" s="1383"/>
      <c r="E36" s="1383"/>
      <c r="F36" s="1383"/>
      <c r="G36" s="1383"/>
      <c r="H36" s="1383"/>
      <c r="I36" s="1383"/>
      <c r="J36" s="1384"/>
    </row>
    <row r="37" spans="1:16" ht="16.5" thickTop="1" thickBot="1" x14ac:dyDescent="0.25">
      <c r="A37" s="299">
        <v>22</v>
      </c>
      <c r="B37" s="1362" t="s">
        <v>1108</v>
      </c>
      <c r="C37" s="1363"/>
      <c r="D37" s="1363"/>
      <c r="E37" s="1363"/>
      <c r="F37" s="1363"/>
      <c r="G37" s="1363"/>
      <c r="H37" s="1363"/>
      <c r="I37" s="1364"/>
      <c r="J37" s="300"/>
    </row>
    <row r="38" spans="1:16" ht="14.25" customHeight="1" x14ac:dyDescent="0.2">
      <c r="A38" s="267">
        <v>23</v>
      </c>
      <c r="B38" s="272" t="s">
        <v>531</v>
      </c>
      <c r="C38" s="269">
        <f>66350-500</f>
        <v>65850</v>
      </c>
      <c r="D38" s="270"/>
      <c r="E38" s="270"/>
      <c r="F38" s="270"/>
      <c r="G38" s="270"/>
      <c r="H38" s="270"/>
      <c r="I38" s="271">
        <f>66350-500</f>
        <v>65850</v>
      </c>
      <c r="J38" s="271"/>
    </row>
    <row r="39" spans="1:16" s="164" customFormat="1" ht="14.25" customHeight="1" thickBot="1" x14ac:dyDescent="0.25">
      <c r="A39" s="267">
        <v>24</v>
      </c>
      <c r="B39" s="272" t="s">
        <v>532</v>
      </c>
      <c r="C39" s="273">
        <v>373150</v>
      </c>
      <c r="D39" s="274"/>
      <c r="E39" s="274"/>
      <c r="F39" s="274"/>
      <c r="G39" s="274"/>
      <c r="H39" s="274"/>
      <c r="I39" s="275">
        <v>373150</v>
      </c>
      <c r="J39" s="275"/>
      <c r="K39" s="163"/>
      <c r="L39" s="163"/>
      <c r="M39" s="163"/>
      <c r="N39" s="163"/>
      <c r="O39" s="163"/>
      <c r="P39" s="163"/>
    </row>
    <row r="40" spans="1:16" ht="13.5" thickBot="1" x14ac:dyDescent="0.25">
      <c r="A40" s="267">
        <v>25</v>
      </c>
      <c r="B40" s="276" t="s">
        <v>533</v>
      </c>
      <c r="C40" s="277">
        <f t="shared" ref="C40:I40" si="4">SUM(C38:C39)</f>
        <v>439000</v>
      </c>
      <c r="D40" s="278">
        <f t="shared" si="4"/>
        <v>0</v>
      </c>
      <c r="E40" s="278">
        <f t="shared" si="4"/>
        <v>0</v>
      </c>
      <c r="F40" s="278">
        <f t="shared" si="4"/>
        <v>0</v>
      </c>
      <c r="G40" s="278">
        <f t="shared" si="4"/>
        <v>0</v>
      </c>
      <c r="H40" s="279">
        <f t="shared" si="4"/>
        <v>0</v>
      </c>
      <c r="I40" s="280">
        <f t="shared" si="4"/>
        <v>439000</v>
      </c>
      <c r="J40" s="281">
        <v>0</v>
      </c>
    </row>
    <row r="41" spans="1:16" ht="5.25" customHeight="1" thickBot="1" x14ac:dyDescent="0.25">
      <c r="A41" s="267"/>
      <c r="B41" s="1354"/>
      <c r="C41" s="1355"/>
      <c r="D41" s="1355"/>
      <c r="E41" s="1355"/>
      <c r="F41" s="1355"/>
      <c r="G41" s="1355"/>
      <c r="H41" s="1355"/>
      <c r="I41" s="1356"/>
      <c r="J41" s="266"/>
    </row>
    <row r="42" spans="1:16" s="164" customFormat="1" ht="15" customHeight="1" x14ac:dyDescent="0.2">
      <c r="A42" s="282">
        <v>26</v>
      </c>
      <c r="B42" s="306" t="s">
        <v>534</v>
      </c>
      <c r="C42" s="269">
        <v>439000</v>
      </c>
      <c r="D42" s="270"/>
      <c r="E42" s="270"/>
      <c r="F42" s="270"/>
      <c r="G42" s="987"/>
      <c r="H42" s="308"/>
      <c r="I42" s="271"/>
      <c r="J42" s="271">
        <v>439000</v>
      </c>
      <c r="K42" s="163"/>
      <c r="L42" s="163"/>
      <c r="M42" s="163"/>
      <c r="N42" s="163"/>
      <c r="O42" s="163"/>
      <c r="P42" s="163"/>
    </row>
    <row r="43" spans="1:16" s="164" customFormat="1" ht="15" customHeight="1" thickBot="1" x14ac:dyDescent="0.25">
      <c r="A43" s="282">
        <v>27</v>
      </c>
      <c r="B43" s="309" t="s">
        <v>535</v>
      </c>
      <c r="C43" s="273">
        <v>0</v>
      </c>
      <c r="D43" s="310"/>
      <c r="E43" s="310"/>
      <c r="F43" s="310"/>
      <c r="G43" s="331"/>
      <c r="H43" s="311"/>
      <c r="I43" s="275"/>
      <c r="J43" s="275">
        <v>0</v>
      </c>
      <c r="K43" s="163"/>
      <c r="L43" s="163"/>
      <c r="M43" s="163"/>
      <c r="N43" s="163"/>
      <c r="O43" s="163"/>
      <c r="P43" s="163"/>
    </row>
    <row r="44" spans="1:16" ht="13.5" thickBot="1" x14ac:dyDescent="0.25">
      <c r="A44" s="315">
        <v>28</v>
      </c>
      <c r="B44" s="316" t="s">
        <v>611</v>
      </c>
      <c r="C44" s="294">
        <f>SUM(C42:C43)</f>
        <v>439000</v>
      </c>
      <c r="D44" s="295">
        <f>SUM(D42:D43)</f>
        <v>0</v>
      </c>
      <c r="E44" s="295">
        <f>SUM(E42:E43)</f>
        <v>0</v>
      </c>
      <c r="F44" s="295">
        <v>0</v>
      </c>
      <c r="G44" s="295">
        <v>0</v>
      </c>
      <c r="H44" s="295">
        <v>0</v>
      </c>
      <c r="I44" s="294">
        <f>SUM(I42:I43)</f>
        <v>0</v>
      </c>
      <c r="J44" s="297">
        <f>SUM(J42:J43)</f>
        <v>439000</v>
      </c>
    </row>
    <row r="45" spans="1:16" ht="14.25" thickTop="1" thickBot="1" x14ac:dyDescent="0.25">
      <c r="A45" s="317"/>
      <c r="B45" s="1382"/>
      <c r="C45" s="1383"/>
      <c r="D45" s="1383"/>
      <c r="E45" s="1383"/>
      <c r="F45" s="1383"/>
      <c r="G45" s="1383"/>
      <c r="H45" s="1383"/>
      <c r="I45" s="1383"/>
      <c r="J45" s="1384"/>
    </row>
    <row r="46" spans="1:16" ht="16.5" thickTop="1" thickBot="1" x14ac:dyDescent="0.25">
      <c r="A46" s="299">
        <v>29</v>
      </c>
      <c r="B46" s="1351" t="s">
        <v>172</v>
      </c>
      <c r="C46" s="1352"/>
      <c r="D46" s="1352"/>
      <c r="E46" s="1352"/>
      <c r="F46" s="1352"/>
      <c r="G46" s="1352"/>
      <c r="H46" s="1352"/>
      <c r="I46" s="1353"/>
      <c r="J46" s="318"/>
    </row>
    <row r="47" spans="1:16" ht="14.25" customHeight="1" x14ac:dyDescent="0.2">
      <c r="A47" s="267">
        <v>30</v>
      </c>
      <c r="B47" s="268" t="s">
        <v>531</v>
      </c>
      <c r="C47" s="269">
        <f>2195+307</f>
        <v>2502</v>
      </c>
      <c r="D47" s="270"/>
      <c r="E47" s="270"/>
      <c r="F47" s="270"/>
      <c r="G47" s="270"/>
      <c r="H47" s="270"/>
      <c r="I47" s="271">
        <f>2195+307+2608</f>
        <v>5110</v>
      </c>
      <c r="J47" s="271"/>
    </row>
    <row r="48" spans="1:16" s="165" customFormat="1" ht="14.25" customHeight="1" thickBot="1" x14ac:dyDescent="0.25">
      <c r="A48" s="301">
        <v>31</v>
      </c>
      <c r="B48" s="272" t="s">
        <v>532</v>
      </c>
      <c r="C48" s="273">
        <v>8128</v>
      </c>
      <c r="D48" s="274"/>
      <c r="E48" s="274"/>
      <c r="F48" s="274"/>
      <c r="G48" s="274"/>
      <c r="H48" s="274"/>
      <c r="I48" s="275">
        <f>8128-2608</f>
        <v>5520</v>
      </c>
      <c r="J48" s="275"/>
      <c r="K48" s="163"/>
      <c r="L48" s="163"/>
      <c r="M48" s="163"/>
      <c r="N48" s="163"/>
      <c r="O48" s="163"/>
      <c r="P48" s="163"/>
    </row>
    <row r="49" spans="1:16" ht="13.5" thickBot="1" x14ac:dyDescent="0.25">
      <c r="A49" s="267">
        <v>32</v>
      </c>
      <c r="B49" s="276" t="s">
        <v>533</v>
      </c>
      <c r="C49" s="277">
        <f>SUM(C47:C48)</f>
        <v>10630</v>
      </c>
      <c r="D49" s="278">
        <f t="shared" ref="D49:J49" si="5">SUM(D47:D48)</f>
        <v>0</v>
      </c>
      <c r="E49" s="278">
        <f t="shared" si="5"/>
        <v>0</v>
      </c>
      <c r="F49" s="278">
        <f t="shared" si="5"/>
        <v>0</v>
      </c>
      <c r="G49" s="278">
        <f t="shared" si="5"/>
        <v>0</v>
      </c>
      <c r="H49" s="279">
        <f t="shared" si="5"/>
        <v>0</v>
      </c>
      <c r="I49" s="280">
        <f t="shared" si="5"/>
        <v>10630</v>
      </c>
      <c r="J49" s="281">
        <f t="shared" si="5"/>
        <v>0</v>
      </c>
    </row>
    <row r="50" spans="1:16" ht="6" customHeight="1" thickBot="1" x14ac:dyDescent="0.25">
      <c r="A50" s="267"/>
      <c r="B50" s="1349"/>
      <c r="C50" s="1350"/>
      <c r="D50" s="1350"/>
      <c r="E50" s="1350"/>
      <c r="F50" s="1350"/>
      <c r="G50" s="1350"/>
      <c r="H50" s="1350"/>
      <c r="I50" s="1350"/>
      <c r="J50" s="266"/>
    </row>
    <row r="51" spans="1:16" s="164" customFormat="1" ht="15" customHeight="1" x14ac:dyDescent="0.2">
      <c r="A51" s="282">
        <v>33</v>
      </c>
      <c r="B51" s="839" t="s">
        <v>534</v>
      </c>
      <c r="C51" s="840">
        <f>10323-317</f>
        <v>10006</v>
      </c>
      <c r="D51" s="837"/>
      <c r="E51" s="837"/>
      <c r="F51" s="837"/>
      <c r="G51" s="988"/>
      <c r="H51" s="841"/>
      <c r="I51" s="838"/>
      <c r="J51" s="838">
        <f>10323-317</f>
        <v>10006</v>
      </c>
      <c r="K51" s="163"/>
      <c r="L51" s="163"/>
      <c r="M51" s="163"/>
      <c r="N51" s="163"/>
      <c r="O51" s="163"/>
      <c r="P51" s="163"/>
    </row>
    <row r="52" spans="1:16" s="164" customFormat="1" ht="15" customHeight="1" thickBot="1" x14ac:dyDescent="0.25">
      <c r="A52" s="282">
        <v>34</v>
      </c>
      <c r="B52" s="842" t="s">
        <v>536</v>
      </c>
      <c r="C52" s="843">
        <v>624</v>
      </c>
      <c r="D52" s="735"/>
      <c r="E52" s="735"/>
      <c r="F52" s="735"/>
      <c r="G52" s="989"/>
      <c r="H52" s="844"/>
      <c r="I52" s="314"/>
      <c r="J52" s="314">
        <v>624</v>
      </c>
      <c r="K52" s="163"/>
      <c r="L52" s="163"/>
      <c r="M52" s="163"/>
      <c r="N52" s="163"/>
      <c r="O52" s="163"/>
      <c r="P52" s="163"/>
    </row>
    <row r="53" spans="1:16" ht="13.5" thickBot="1" x14ac:dyDescent="0.25">
      <c r="A53" s="315">
        <v>35</v>
      </c>
      <c r="B53" s="293" t="s">
        <v>611</v>
      </c>
      <c r="C53" s="294">
        <f>SUM(C51:C52)</f>
        <v>10630</v>
      </c>
      <c r="D53" s="295"/>
      <c r="E53" s="295">
        <v>0</v>
      </c>
      <c r="F53" s="295">
        <v>0</v>
      </c>
      <c r="G53" s="295">
        <v>0</v>
      </c>
      <c r="H53" s="295">
        <v>0</v>
      </c>
      <c r="I53" s="297">
        <v>0</v>
      </c>
      <c r="J53" s="297">
        <f>SUM(J51:J52)</f>
        <v>10630</v>
      </c>
    </row>
    <row r="54" spans="1:16" ht="14.25" thickTop="1" thickBot="1" x14ac:dyDescent="0.25">
      <c r="A54" s="317"/>
      <c r="B54" s="319"/>
      <c r="C54" s="668"/>
      <c r="D54" s="320"/>
      <c r="E54" s="320"/>
      <c r="F54" s="320"/>
      <c r="G54" s="320"/>
      <c r="H54" s="320"/>
      <c r="I54" s="668"/>
      <c r="J54" s="669"/>
    </row>
    <row r="55" spans="1:16" ht="16.5" thickTop="1" thickBot="1" x14ac:dyDescent="0.25">
      <c r="A55" s="299">
        <v>36</v>
      </c>
      <c r="B55" s="1361" t="s">
        <v>173</v>
      </c>
      <c r="C55" s="1357"/>
      <c r="D55" s="1357"/>
      <c r="E55" s="1357"/>
      <c r="F55" s="1357"/>
      <c r="G55" s="1357"/>
      <c r="H55" s="1357"/>
      <c r="I55" s="1357"/>
      <c r="J55" s="1358"/>
    </row>
    <row r="56" spans="1:16" ht="14.25" customHeight="1" x14ac:dyDescent="0.2">
      <c r="A56" s="267">
        <v>37</v>
      </c>
      <c r="B56" s="321" t="s">
        <v>531</v>
      </c>
      <c r="C56" s="269">
        <v>2276</v>
      </c>
      <c r="D56" s="270"/>
      <c r="E56" s="270"/>
      <c r="F56" s="270"/>
      <c r="G56" s="270"/>
      <c r="H56" s="270"/>
      <c r="I56" s="271">
        <v>2276</v>
      </c>
      <c r="J56" s="271"/>
    </row>
    <row r="57" spans="1:16" s="164" customFormat="1" ht="14.25" customHeight="1" thickBot="1" x14ac:dyDescent="0.25">
      <c r="A57" s="267">
        <v>38</v>
      </c>
      <c r="B57" s="272" t="s">
        <v>532</v>
      </c>
      <c r="C57" s="289">
        <v>11195</v>
      </c>
      <c r="D57" s="274"/>
      <c r="E57" s="274"/>
      <c r="F57" s="274"/>
      <c r="G57" s="274"/>
      <c r="H57" s="274"/>
      <c r="I57" s="275">
        <v>11195</v>
      </c>
      <c r="J57" s="275"/>
      <c r="K57" s="163"/>
      <c r="L57" s="163"/>
      <c r="M57" s="163"/>
      <c r="N57" s="163"/>
      <c r="O57" s="163"/>
      <c r="P57" s="163"/>
    </row>
    <row r="58" spans="1:16" ht="13.5" thickBot="1" x14ac:dyDescent="0.25">
      <c r="A58" s="267">
        <v>39</v>
      </c>
      <c r="B58" s="276" t="s">
        <v>533</v>
      </c>
      <c r="C58" s="277">
        <f t="shared" ref="C58:H58" si="6">SUM(C56:C57)</f>
        <v>13471</v>
      </c>
      <c r="D58" s="278">
        <f t="shared" si="6"/>
        <v>0</v>
      </c>
      <c r="E58" s="278">
        <f t="shared" si="6"/>
        <v>0</v>
      </c>
      <c r="F58" s="278">
        <f t="shared" si="6"/>
        <v>0</v>
      </c>
      <c r="G58" s="278">
        <f t="shared" si="6"/>
        <v>0</v>
      </c>
      <c r="H58" s="279">
        <f t="shared" si="6"/>
        <v>0</v>
      </c>
      <c r="I58" s="280">
        <f>SUM(I56+I57)</f>
        <v>13471</v>
      </c>
      <c r="J58" s="281">
        <f>SUM(J56+J57)</f>
        <v>0</v>
      </c>
    </row>
    <row r="59" spans="1:16" ht="5.25" customHeight="1" thickBot="1" x14ac:dyDescent="0.25">
      <c r="A59" s="267"/>
      <c r="B59" s="1354"/>
      <c r="C59" s="1355"/>
      <c r="D59" s="1355"/>
      <c r="E59" s="1355"/>
      <c r="F59" s="1355"/>
      <c r="G59" s="1355"/>
      <c r="H59" s="1355"/>
      <c r="I59" s="1356"/>
      <c r="J59" s="266">
        <v>0</v>
      </c>
    </row>
    <row r="60" spans="1:16" s="164" customFormat="1" ht="15" customHeight="1" x14ac:dyDescent="0.2">
      <c r="A60" s="282">
        <v>40</v>
      </c>
      <c r="B60" s="306" t="s">
        <v>534</v>
      </c>
      <c r="C60" s="269">
        <v>13171</v>
      </c>
      <c r="D60" s="270"/>
      <c r="E60" s="270"/>
      <c r="F60" s="270"/>
      <c r="G60" s="987"/>
      <c r="H60" s="308"/>
      <c r="I60" s="271"/>
      <c r="J60" s="271">
        <v>13171</v>
      </c>
      <c r="K60" s="163"/>
      <c r="L60" s="163"/>
      <c r="M60" s="163"/>
      <c r="N60" s="163"/>
      <c r="O60" s="163"/>
      <c r="P60" s="163"/>
    </row>
    <row r="61" spans="1:16" s="164" customFormat="1" ht="15" customHeight="1" thickBot="1" x14ac:dyDescent="0.25">
      <c r="A61" s="282">
        <v>41</v>
      </c>
      <c r="B61" s="309" t="s">
        <v>535</v>
      </c>
      <c r="C61" s="273">
        <v>300</v>
      </c>
      <c r="D61" s="310"/>
      <c r="E61" s="310"/>
      <c r="F61" s="310"/>
      <c r="G61" s="331"/>
      <c r="H61" s="311"/>
      <c r="I61" s="275"/>
      <c r="J61" s="275">
        <v>300</v>
      </c>
      <c r="K61" s="163"/>
      <c r="L61" s="163"/>
      <c r="M61" s="163"/>
      <c r="N61" s="163"/>
      <c r="O61" s="163"/>
      <c r="P61" s="163"/>
    </row>
    <row r="62" spans="1:16" ht="14.25" customHeight="1" thickBot="1" x14ac:dyDescent="0.25">
      <c r="A62" s="315">
        <v>42</v>
      </c>
      <c r="B62" s="316" t="s">
        <v>611</v>
      </c>
      <c r="C62" s="294">
        <f>SUM(C60:C61)</f>
        <v>13471</v>
      </c>
      <c r="D62" s="295">
        <v>0</v>
      </c>
      <c r="E62" s="295">
        <v>0</v>
      </c>
      <c r="F62" s="295">
        <v>0</v>
      </c>
      <c r="G62" s="295">
        <v>0</v>
      </c>
      <c r="H62" s="295">
        <v>0</v>
      </c>
      <c r="I62" s="294">
        <v>0</v>
      </c>
      <c r="J62" s="297">
        <f>SUM(J59:J61)</f>
        <v>13471</v>
      </c>
    </row>
    <row r="63" spans="1:16" s="758" customFormat="1" ht="14.25" customHeight="1" thickTop="1" thickBot="1" x14ac:dyDescent="0.25">
      <c r="A63" s="845"/>
      <c r="B63" s="846"/>
      <c r="C63" s="668"/>
      <c r="D63" s="668"/>
      <c r="E63" s="668"/>
      <c r="F63" s="668"/>
      <c r="G63" s="668"/>
      <c r="H63" s="668"/>
      <c r="I63" s="668"/>
      <c r="J63" s="669"/>
    </row>
    <row r="64" spans="1:16" ht="16.5" thickTop="1" thickBot="1" x14ac:dyDescent="0.25">
      <c r="A64" s="299">
        <v>43</v>
      </c>
      <c r="B64" s="1357" t="s">
        <v>459</v>
      </c>
      <c r="C64" s="1357"/>
      <c r="D64" s="1357"/>
      <c r="E64" s="1357"/>
      <c r="F64" s="1357"/>
      <c r="G64" s="1357"/>
      <c r="H64" s="1357"/>
      <c r="I64" s="1357"/>
      <c r="J64" s="1358"/>
    </row>
    <row r="65" spans="1:16" ht="14.25" customHeight="1" x14ac:dyDescent="0.2">
      <c r="A65" s="267">
        <v>44</v>
      </c>
      <c r="B65" s="990"/>
      <c r="C65" s="1359" t="s">
        <v>460</v>
      </c>
      <c r="D65" s="1385"/>
      <c r="E65" s="1385"/>
      <c r="F65" s="1385"/>
      <c r="G65" s="1385"/>
      <c r="H65" s="1386"/>
      <c r="I65" s="1359" t="s">
        <v>461</v>
      </c>
      <c r="J65" s="1360"/>
    </row>
    <row r="66" spans="1:16" ht="14.25" customHeight="1" x14ac:dyDescent="0.2">
      <c r="A66" s="267">
        <v>45</v>
      </c>
      <c r="B66" s="991" t="s">
        <v>531</v>
      </c>
      <c r="C66" s="752">
        <v>5822.7</v>
      </c>
      <c r="D66" s="759"/>
      <c r="E66" s="759"/>
      <c r="F66" s="762">
        <v>5409.84</v>
      </c>
      <c r="G66" s="762">
        <v>412.86</v>
      </c>
      <c r="H66" s="762"/>
      <c r="I66" s="765">
        <f>126+100+300</f>
        <v>526</v>
      </c>
      <c r="J66" s="751"/>
    </row>
    <row r="67" spans="1:16" ht="14.25" customHeight="1" x14ac:dyDescent="0.2">
      <c r="A67" s="267">
        <v>46</v>
      </c>
      <c r="B67" s="991" t="s">
        <v>462</v>
      </c>
      <c r="C67" s="752">
        <v>11645.4</v>
      </c>
      <c r="D67" s="759"/>
      <c r="E67" s="759"/>
      <c r="F67" s="762">
        <v>11645.4</v>
      </c>
      <c r="G67" s="762">
        <v>0</v>
      </c>
      <c r="H67" s="762"/>
      <c r="I67" s="765">
        <v>7487</v>
      </c>
      <c r="J67" s="751"/>
    </row>
    <row r="68" spans="1:16" ht="14.25" customHeight="1" thickBot="1" x14ac:dyDescent="0.25">
      <c r="A68" s="267">
        <v>47</v>
      </c>
      <c r="B68" s="992" t="s">
        <v>463</v>
      </c>
      <c r="C68" s="753">
        <v>98985.9</v>
      </c>
      <c r="D68" s="760"/>
      <c r="E68" s="760"/>
      <c r="F68" s="763">
        <v>14847.89</v>
      </c>
      <c r="G68" s="763">
        <v>84138.01</v>
      </c>
      <c r="H68" s="763"/>
      <c r="I68" s="764">
        <f>25662</f>
        <v>25662</v>
      </c>
      <c r="J68" s="754"/>
    </row>
    <row r="69" spans="1:16" ht="14.25" customHeight="1" thickBot="1" x14ac:dyDescent="0.25">
      <c r="A69" s="267">
        <v>48</v>
      </c>
      <c r="B69" s="993" t="s">
        <v>533</v>
      </c>
      <c r="C69" s="755">
        <v>116454</v>
      </c>
      <c r="D69" s="761">
        <v>0</v>
      </c>
      <c r="E69" s="761">
        <v>0</v>
      </c>
      <c r="F69" s="761">
        <f>SUM(F66:F68)</f>
        <v>31903.129999999997</v>
      </c>
      <c r="G69" s="761">
        <f>SUM(G66:G68)</f>
        <v>84550.87</v>
      </c>
      <c r="H69" s="761">
        <f>SUM(H66:H68)</f>
        <v>0</v>
      </c>
      <c r="I69" s="756">
        <f>SUM(I66:I68)</f>
        <v>33675</v>
      </c>
      <c r="J69" s="757">
        <v>0</v>
      </c>
      <c r="L69" s="163" t="s">
        <v>468</v>
      </c>
    </row>
    <row r="70" spans="1:16" s="758" customFormat="1" ht="7.5" customHeight="1" x14ac:dyDescent="0.2">
      <c r="A70" s="994"/>
      <c r="B70" s="1387"/>
      <c r="C70" s="1387"/>
      <c r="D70" s="1387"/>
      <c r="E70" s="1387"/>
      <c r="F70" s="1387"/>
      <c r="G70" s="1387"/>
      <c r="H70" s="1387"/>
      <c r="I70" s="1387"/>
      <c r="J70" s="1388"/>
    </row>
    <row r="71" spans="1:16" ht="14.25" customHeight="1" x14ac:dyDescent="0.2">
      <c r="A71" s="267">
        <v>49</v>
      </c>
      <c r="B71" s="991" t="s">
        <v>464</v>
      </c>
      <c r="C71" s="752">
        <v>82240</v>
      </c>
      <c r="D71" s="759"/>
      <c r="E71" s="759"/>
      <c r="F71" s="763">
        <v>30663.79</v>
      </c>
      <c r="G71" s="762">
        <v>51576.21</v>
      </c>
      <c r="H71" s="762"/>
      <c r="I71" s="750"/>
      <c r="J71" s="766">
        <f>15731+7487</f>
        <v>23218</v>
      </c>
    </row>
    <row r="72" spans="1:16" ht="14.25" customHeight="1" x14ac:dyDescent="0.2">
      <c r="A72" s="267">
        <v>50</v>
      </c>
      <c r="B72" s="991" t="s">
        <v>465</v>
      </c>
      <c r="C72" s="752">
        <v>0</v>
      </c>
      <c r="D72" s="759"/>
      <c r="E72" s="759"/>
      <c r="F72" s="759"/>
      <c r="G72" s="762"/>
      <c r="H72" s="762"/>
      <c r="I72" s="750"/>
      <c r="J72" s="766"/>
    </row>
    <row r="73" spans="1:16" ht="14.25" customHeight="1" x14ac:dyDescent="0.2">
      <c r="A73" s="267">
        <v>51</v>
      </c>
      <c r="B73" s="991" t="s">
        <v>466</v>
      </c>
      <c r="C73" s="752">
        <v>5140</v>
      </c>
      <c r="D73" s="759"/>
      <c r="E73" s="759"/>
      <c r="F73" s="759"/>
      <c r="G73" s="762">
        <v>5140</v>
      </c>
      <c r="H73" s="762"/>
      <c r="I73" s="750"/>
      <c r="J73" s="766">
        <v>1568</v>
      </c>
    </row>
    <row r="74" spans="1:16" ht="14.25" customHeight="1" x14ac:dyDescent="0.2">
      <c r="A74" s="267">
        <v>52</v>
      </c>
      <c r="B74" s="991" t="s">
        <v>467</v>
      </c>
      <c r="C74" s="752">
        <v>9480</v>
      </c>
      <c r="D74" s="759"/>
      <c r="E74" s="759"/>
      <c r="F74" s="759"/>
      <c r="G74" s="762">
        <v>9480</v>
      </c>
      <c r="H74" s="762"/>
      <c r="I74" s="750"/>
      <c r="J74" s="766">
        <v>2891</v>
      </c>
    </row>
    <row r="75" spans="1:16" ht="14.25" customHeight="1" x14ac:dyDescent="0.2">
      <c r="A75" s="267">
        <v>53</v>
      </c>
      <c r="B75" s="991" t="s">
        <v>536</v>
      </c>
      <c r="C75" s="752">
        <v>19594</v>
      </c>
      <c r="D75" s="759"/>
      <c r="E75" s="759"/>
      <c r="F75" s="762">
        <v>1239.3399999999999</v>
      </c>
      <c r="G75" s="762">
        <v>18354.66</v>
      </c>
      <c r="H75" s="762"/>
      <c r="I75" s="750"/>
      <c r="J75" s="766">
        <v>5598</v>
      </c>
    </row>
    <row r="76" spans="1:16" ht="14.25" customHeight="1" thickBot="1" x14ac:dyDescent="0.25">
      <c r="A76" s="267">
        <v>54</v>
      </c>
      <c r="B76" s="991" t="s">
        <v>537</v>
      </c>
      <c r="C76" s="750">
        <v>0</v>
      </c>
      <c r="D76" s="759"/>
      <c r="E76" s="759"/>
      <c r="F76" s="759"/>
      <c r="G76" s="762"/>
      <c r="H76" s="762"/>
      <c r="I76" s="750"/>
      <c r="J76" s="766">
        <f>100+300</f>
        <v>400</v>
      </c>
    </row>
    <row r="77" spans="1:16" ht="14.25" customHeight="1" thickBot="1" x14ac:dyDescent="0.25">
      <c r="A77" s="995">
        <v>55</v>
      </c>
      <c r="B77" s="993" t="s">
        <v>611</v>
      </c>
      <c r="C77" s="755">
        <v>116454</v>
      </c>
      <c r="D77" s="761">
        <v>0</v>
      </c>
      <c r="E77" s="761">
        <v>0</v>
      </c>
      <c r="F77" s="761">
        <f>SUM(F71:F76)</f>
        <v>31903.13</v>
      </c>
      <c r="G77" s="761">
        <f>SUM(G71:G76)</f>
        <v>84550.87</v>
      </c>
      <c r="H77" s="761">
        <f>SUM(H71:H76)</f>
        <v>0</v>
      </c>
      <c r="I77" s="756">
        <v>0</v>
      </c>
      <c r="J77" s="757">
        <f>SUM(J71:J76)</f>
        <v>33675</v>
      </c>
    </row>
    <row r="78" spans="1:16" ht="8.25" customHeight="1" thickBot="1" x14ac:dyDescent="0.25">
      <c r="A78" s="322"/>
      <c r="B78" s="747"/>
      <c r="C78" s="748"/>
      <c r="D78" s="748"/>
      <c r="E78" s="748"/>
      <c r="F78" s="748"/>
      <c r="G78" s="748"/>
      <c r="H78" s="748"/>
      <c r="I78" s="748"/>
      <c r="J78" s="749"/>
    </row>
    <row r="79" spans="1:16" ht="32.25" customHeight="1" thickTop="1" thickBot="1" x14ac:dyDescent="0.25">
      <c r="A79" s="317">
        <v>56</v>
      </c>
      <c r="B79" s="1365" t="s">
        <v>873</v>
      </c>
      <c r="C79" s="1366"/>
      <c r="D79" s="1366"/>
      <c r="E79" s="1366"/>
      <c r="F79" s="1366"/>
      <c r="G79" s="1366"/>
      <c r="H79" s="1366"/>
      <c r="I79" s="1366"/>
      <c r="J79" s="1367"/>
    </row>
    <row r="80" spans="1:16" s="164" customFormat="1" ht="16.5" thickTop="1" thickBot="1" x14ac:dyDescent="0.25">
      <c r="A80" s="299">
        <v>57</v>
      </c>
      <c r="B80" s="1362" t="s">
        <v>541</v>
      </c>
      <c r="C80" s="1363"/>
      <c r="D80" s="1363"/>
      <c r="E80" s="1363"/>
      <c r="F80" s="1363"/>
      <c r="G80" s="1363"/>
      <c r="H80" s="1363"/>
      <c r="I80" s="1364"/>
      <c r="J80" s="266"/>
      <c r="K80" s="163"/>
      <c r="L80" s="163"/>
      <c r="M80" s="163"/>
      <c r="N80" s="163"/>
      <c r="O80" s="163"/>
      <c r="P80" s="163"/>
    </row>
    <row r="81" spans="1:16" ht="14.25" customHeight="1" x14ac:dyDescent="0.2">
      <c r="A81" s="265">
        <v>58</v>
      </c>
      <c r="B81" s="272" t="s">
        <v>531</v>
      </c>
      <c r="C81" s="269"/>
      <c r="D81" s="270"/>
      <c r="E81" s="270"/>
      <c r="F81" s="270"/>
      <c r="G81" s="270"/>
      <c r="H81" s="270"/>
      <c r="I81" s="271">
        <v>137</v>
      </c>
      <c r="J81" s="271"/>
    </row>
    <row r="82" spans="1:16" ht="14.25" customHeight="1" thickBot="1" x14ac:dyDescent="0.25">
      <c r="A82" s="267">
        <v>59</v>
      </c>
      <c r="B82" s="323" t="s">
        <v>532</v>
      </c>
      <c r="C82" s="324">
        <v>16837</v>
      </c>
      <c r="D82" s="325"/>
      <c r="E82" s="325"/>
      <c r="F82" s="325">
        <v>11771</v>
      </c>
      <c r="G82" s="325">
        <v>5066</v>
      </c>
      <c r="H82" s="325"/>
      <c r="I82" s="291">
        <f>5066+1970+719-1357-719</f>
        <v>5679</v>
      </c>
      <c r="J82" s="291"/>
    </row>
    <row r="83" spans="1:16" ht="13.5" thickBot="1" x14ac:dyDescent="0.25">
      <c r="A83" s="267">
        <v>60</v>
      </c>
      <c r="B83" s="276" t="s">
        <v>533</v>
      </c>
      <c r="C83" s="277">
        <f>SUM(D83:H83)</f>
        <v>16837</v>
      </c>
      <c r="D83" s="278">
        <f>SUM(D81+D82)</f>
        <v>0</v>
      </c>
      <c r="E83" s="278">
        <f t="shared" ref="E83:H83" si="7">SUM(E81+E82)</f>
        <v>0</v>
      </c>
      <c r="F83" s="278">
        <f t="shared" si="7"/>
        <v>11771</v>
      </c>
      <c r="G83" s="278">
        <f t="shared" si="7"/>
        <v>5066</v>
      </c>
      <c r="H83" s="278">
        <f t="shared" si="7"/>
        <v>0</v>
      </c>
      <c r="I83" s="280">
        <f>SUM(I81:I82)</f>
        <v>5816</v>
      </c>
      <c r="J83" s="281">
        <f>SUM(J81:J82)</f>
        <v>0</v>
      </c>
    </row>
    <row r="84" spans="1:16" s="165" customFormat="1" ht="6.75" customHeight="1" thickBot="1" x14ac:dyDescent="0.25">
      <c r="A84" s="267"/>
      <c r="B84" s="1349"/>
      <c r="C84" s="1350"/>
      <c r="D84" s="1350"/>
      <c r="E84" s="1350"/>
      <c r="F84" s="1350"/>
      <c r="G84" s="1350"/>
      <c r="H84" s="1350"/>
      <c r="I84" s="1350"/>
      <c r="J84" s="266"/>
      <c r="K84" s="163"/>
      <c r="L84" s="163"/>
      <c r="M84" s="163"/>
      <c r="N84" s="163"/>
      <c r="O84" s="163"/>
      <c r="P84" s="163"/>
    </row>
    <row r="85" spans="1:16" ht="14.25" customHeight="1" x14ac:dyDescent="0.2">
      <c r="A85" s="301">
        <v>61</v>
      </c>
      <c r="B85" s="306" t="s">
        <v>534</v>
      </c>
      <c r="C85" s="269">
        <f>SUM(D85:H85)</f>
        <v>1072</v>
      </c>
      <c r="D85" s="307"/>
      <c r="E85" s="326"/>
      <c r="F85" s="327">
        <v>1072</v>
      </c>
      <c r="G85" s="327"/>
      <c r="H85" s="327"/>
      <c r="I85" s="271"/>
      <c r="J85" s="271">
        <f>719-719</f>
        <v>0</v>
      </c>
    </row>
    <row r="86" spans="1:16" ht="14.25" customHeight="1" x14ac:dyDescent="0.2">
      <c r="A86" s="282">
        <v>62</v>
      </c>
      <c r="B86" s="286" t="s">
        <v>542</v>
      </c>
      <c r="C86" s="273">
        <f>SUM(D86:H86)</f>
        <v>9014</v>
      </c>
      <c r="D86" s="290"/>
      <c r="E86" s="328"/>
      <c r="F86" s="329">
        <v>5805</v>
      </c>
      <c r="G86" s="329">
        <f>817+2392</f>
        <v>3209</v>
      </c>
      <c r="H86" s="329"/>
      <c r="I86" s="291"/>
      <c r="J86" s="291">
        <f>817+619+2392-940</f>
        <v>2888</v>
      </c>
    </row>
    <row r="87" spans="1:16" ht="15" customHeight="1" x14ac:dyDescent="0.2">
      <c r="A87" s="282">
        <v>63</v>
      </c>
      <c r="B87" s="330" t="s">
        <v>543</v>
      </c>
      <c r="C87" s="273">
        <f>SUM(D87:H87)</f>
        <v>2232</v>
      </c>
      <c r="D87" s="310"/>
      <c r="E87" s="331"/>
      <c r="F87" s="332">
        <v>1567</v>
      </c>
      <c r="G87" s="332">
        <f>221+444</f>
        <v>665</v>
      </c>
      <c r="H87" s="332"/>
      <c r="I87" s="275"/>
      <c r="J87" s="275">
        <f>221+300+444-269-148</f>
        <v>548</v>
      </c>
    </row>
    <row r="88" spans="1:16" s="165" customFormat="1" ht="15" customHeight="1" thickBot="1" x14ac:dyDescent="0.25">
      <c r="A88" s="282">
        <v>64</v>
      </c>
      <c r="B88" s="286" t="s">
        <v>536</v>
      </c>
      <c r="C88" s="289">
        <f>SUM(D88:H88)</f>
        <v>4519</v>
      </c>
      <c r="D88" s="290"/>
      <c r="E88" s="328"/>
      <c r="F88" s="334">
        <v>3327</v>
      </c>
      <c r="G88" s="334">
        <f>4028-2836</f>
        <v>1192</v>
      </c>
      <c r="H88" s="334"/>
      <c r="I88" s="291"/>
      <c r="J88" s="291">
        <f>4028+1051+137-2836</f>
        <v>2380</v>
      </c>
      <c r="K88" s="163"/>
      <c r="L88" s="163"/>
      <c r="M88" s="163"/>
      <c r="N88" s="163"/>
      <c r="O88" s="163"/>
      <c r="P88" s="163"/>
    </row>
    <row r="89" spans="1:16" ht="14.25" customHeight="1" thickBot="1" x14ac:dyDescent="0.25">
      <c r="A89" s="333">
        <v>65</v>
      </c>
      <c r="B89" s="316" t="s">
        <v>611</v>
      </c>
      <c r="C89" s="294">
        <f>SUM(D89:H89)</f>
        <v>16837</v>
      </c>
      <c r="D89" s="295">
        <f>SUM(D85:D88)</f>
        <v>0</v>
      </c>
      <c r="E89" s="295">
        <f t="shared" ref="E89:H89" si="8">SUM(E85:E88)</f>
        <v>0</v>
      </c>
      <c r="F89" s="295">
        <f t="shared" si="8"/>
        <v>11771</v>
      </c>
      <c r="G89" s="295">
        <f t="shared" si="8"/>
        <v>5066</v>
      </c>
      <c r="H89" s="295">
        <f t="shared" si="8"/>
        <v>0</v>
      </c>
      <c r="I89" s="297">
        <f>SUM(I85:I88)</f>
        <v>0</v>
      </c>
      <c r="J89" s="335">
        <f>SUM(J85:J88)</f>
        <v>5816</v>
      </c>
    </row>
    <row r="90" spans="1:16" ht="13.5" thickTop="1" x14ac:dyDescent="0.2">
      <c r="A90" s="767"/>
    </row>
  </sheetData>
  <mergeCells count="34">
    <mergeCell ref="B1:J1"/>
    <mergeCell ref="B4:J4"/>
    <mergeCell ref="B12:J12"/>
    <mergeCell ref="B13:I13"/>
    <mergeCell ref="I8:I10"/>
    <mergeCell ref="J8:J10"/>
    <mergeCell ref="B17:I17"/>
    <mergeCell ref="B23:J23"/>
    <mergeCell ref="B24:I24"/>
    <mergeCell ref="C65:H65"/>
    <mergeCell ref="B70:J70"/>
    <mergeCell ref="B37:I37"/>
    <mergeCell ref="B45:J45"/>
    <mergeCell ref="B36:J36"/>
    <mergeCell ref="E25:E26"/>
    <mergeCell ref="F25:F26"/>
    <mergeCell ref="C25:C26"/>
    <mergeCell ref="D25:D26"/>
    <mergeCell ref="B41:I41"/>
    <mergeCell ref="B30:I30"/>
    <mergeCell ref="A8:A10"/>
    <mergeCell ref="B8:B10"/>
    <mergeCell ref="C8:H8"/>
    <mergeCell ref="C9:C10"/>
    <mergeCell ref="D9:H9"/>
    <mergeCell ref="B84:I84"/>
    <mergeCell ref="B46:I46"/>
    <mergeCell ref="B50:I50"/>
    <mergeCell ref="B59:I59"/>
    <mergeCell ref="B64:J64"/>
    <mergeCell ref="I65:J65"/>
    <mergeCell ref="B55:J55"/>
    <mergeCell ref="B80:I80"/>
    <mergeCell ref="B79:J7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3" orientation="portrait" r:id="rId1"/>
  <headerFooter alignWithMargins="0"/>
  <rowBreaks count="1" manualBreakCount="1"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6"/>
  <sheetViews>
    <sheetView zoomScaleNormal="100" workbookViewId="0">
      <selection sqref="A1:I1"/>
    </sheetView>
  </sheetViews>
  <sheetFormatPr defaultRowHeight="12.75" x14ac:dyDescent="0.2"/>
  <cols>
    <col min="1" max="1" width="6" customWidth="1"/>
    <col min="3" max="3" width="6.85546875" customWidth="1"/>
    <col min="4" max="4" width="7.7109375" customWidth="1"/>
    <col min="5" max="5" width="38" customWidth="1"/>
    <col min="6" max="6" width="12.85546875" customWidth="1"/>
    <col min="7" max="7" width="12.42578125" customWidth="1"/>
    <col min="8" max="8" width="15" style="893" customWidth="1"/>
    <col min="9" max="9" width="17.5703125" customWidth="1"/>
  </cols>
  <sheetData>
    <row r="1" spans="1:9" s="4" customFormat="1" ht="14.25" x14ac:dyDescent="0.2">
      <c r="A1" s="1040" t="s">
        <v>1150</v>
      </c>
      <c r="B1" s="1040"/>
      <c r="C1" s="1040"/>
      <c r="D1" s="1040"/>
      <c r="E1" s="1040"/>
      <c r="F1" s="1040"/>
      <c r="G1" s="1040"/>
      <c r="H1" s="1040"/>
      <c r="I1" s="1040"/>
    </row>
    <row r="2" spans="1:9" s="4" customFormat="1" ht="9.75" customHeight="1" x14ac:dyDescent="0.2">
      <c r="A2" s="127"/>
      <c r="H2" s="894"/>
    </row>
    <row r="3" spans="1:9" s="4" customFormat="1" ht="16.5" x14ac:dyDescent="0.2">
      <c r="A3" s="1039" t="s">
        <v>874</v>
      </c>
      <c r="B3" s="1039"/>
      <c r="C3" s="1039"/>
      <c r="D3" s="1039"/>
      <c r="E3" s="1039"/>
      <c r="F3" s="1039"/>
      <c r="G3" s="1039"/>
      <c r="H3" s="1039"/>
      <c r="I3" s="1039"/>
    </row>
    <row r="4" spans="1:9" s="4" customFormat="1" x14ac:dyDescent="0.2">
      <c r="A4" s="127"/>
      <c r="H4" s="894"/>
    </row>
    <row r="5" spans="1:9" ht="36" x14ac:dyDescent="0.2">
      <c r="A5" s="1019" t="s">
        <v>996</v>
      </c>
      <c r="B5" s="1020"/>
      <c r="C5" s="1020"/>
      <c r="D5" s="1020"/>
      <c r="E5" s="1021"/>
      <c r="F5" s="126" t="s">
        <v>997</v>
      </c>
      <c r="G5" s="126" t="s">
        <v>998</v>
      </c>
      <c r="H5" s="883" t="s">
        <v>873</v>
      </c>
      <c r="I5" s="126" t="s">
        <v>606</v>
      </c>
    </row>
    <row r="6" spans="1:9" s="694" customFormat="1" ht="15" x14ac:dyDescent="0.2">
      <c r="A6" s="695" t="s">
        <v>687</v>
      </c>
      <c r="B6" s="1015" t="s">
        <v>688</v>
      </c>
      <c r="C6" s="1016"/>
      <c r="D6" s="1016"/>
      <c r="E6" s="1017"/>
      <c r="F6" s="696" t="s">
        <v>689</v>
      </c>
      <c r="G6" s="696" t="s">
        <v>690</v>
      </c>
      <c r="H6" s="884" t="s">
        <v>691</v>
      </c>
      <c r="I6" s="696" t="s">
        <v>692</v>
      </c>
    </row>
    <row r="7" spans="1:9" s="362" customFormat="1" ht="11.25" customHeight="1" x14ac:dyDescent="0.2">
      <c r="A7" s="360" t="s">
        <v>999</v>
      </c>
      <c r="B7" s="1027" t="s">
        <v>563</v>
      </c>
      <c r="C7" s="1027"/>
      <c r="D7" s="1027"/>
      <c r="E7" s="1027"/>
      <c r="F7" s="361">
        <f>SUM(F8+F18)+354+15769+39+34+51+26+2+521+595+630+226+10-2-790+45924+12384-756+34802+15848+177+102+19384+11157+360</f>
        <v>342585</v>
      </c>
      <c r="G7" s="361">
        <f>SUM(G8+G18)+805+808+543+104+28+13+1210+316+65+921+126</f>
        <v>101635</v>
      </c>
      <c r="H7" s="895">
        <f>SUM(H8+H18)+118+1198+4260+183+619+2392-940</f>
        <v>113908</v>
      </c>
      <c r="I7" s="361">
        <f>SUM(F7:H7)</f>
        <v>558128</v>
      </c>
    </row>
    <row r="8" spans="1:9" hidden="1" x14ac:dyDescent="0.2">
      <c r="A8" s="337"/>
      <c r="B8" s="337" t="s">
        <v>1000</v>
      </c>
      <c r="C8" s="1011" t="s">
        <v>1001</v>
      </c>
      <c r="D8" s="1011"/>
      <c r="E8" s="1011"/>
      <c r="F8" s="338">
        <f>SUM(F9:F16)</f>
        <v>180616</v>
      </c>
      <c r="G8" s="338">
        <f>SUM(G9:G16)</f>
        <v>73987</v>
      </c>
      <c r="H8" s="886">
        <f>SUM(H9:H16)</f>
        <v>104591</v>
      </c>
      <c r="I8" s="336">
        <f t="shared" ref="I8:I59" si="0">SUM(F8:H8)</f>
        <v>359194</v>
      </c>
    </row>
    <row r="9" spans="1:9" hidden="1" x14ac:dyDescent="0.2">
      <c r="A9" s="339"/>
      <c r="B9" s="339"/>
      <c r="C9" s="339"/>
      <c r="D9" s="339" t="s">
        <v>1002</v>
      </c>
      <c r="E9" s="339" t="s">
        <v>1003</v>
      </c>
      <c r="F9" s="340">
        <v>167109</v>
      </c>
      <c r="G9" s="340">
        <v>64670</v>
      </c>
      <c r="H9" s="889">
        <f>93646+7542</f>
        <v>101188</v>
      </c>
      <c r="I9" s="365">
        <f t="shared" si="0"/>
        <v>332967</v>
      </c>
    </row>
    <row r="10" spans="1:9" hidden="1" x14ac:dyDescent="0.2">
      <c r="A10" s="339"/>
      <c r="B10" s="339"/>
      <c r="C10" s="339"/>
      <c r="D10" s="339" t="s">
        <v>1004</v>
      </c>
      <c r="E10" s="339" t="s">
        <v>1005</v>
      </c>
      <c r="F10" s="340">
        <v>0</v>
      </c>
      <c r="G10" s="340">
        <v>464</v>
      </c>
      <c r="H10" s="889">
        <v>0</v>
      </c>
      <c r="I10" s="365">
        <f t="shared" si="0"/>
        <v>464</v>
      </c>
    </row>
    <row r="11" spans="1:9" hidden="1" x14ac:dyDescent="0.2">
      <c r="A11" s="339"/>
      <c r="B11" s="339"/>
      <c r="C11" s="339"/>
      <c r="D11" s="339" t="s">
        <v>1006</v>
      </c>
      <c r="E11" s="339" t="s">
        <v>1007</v>
      </c>
      <c r="F11" s="340">
        <v>9654</v>
      </c>
      <c r="G11" s="340">
        <v>0</v>
      </c>
      <c r="H11" s="889">
        <v>0</v>
      </c>
      <c r="I11" s="365">
        <f t="shared" si="0"/>
        <v>9654</v>
      </c>
    </row>
    <row r="12" spans="1:9" hidden="1" x14ac:dyDescent="0.2">
      <c r="A12" s="339"/>
      <c r="B12" s="339"/>
      <c r="C12" s="339"/>
      <c r="D12" s="339" t="s">
        <v>1008</v>
      </c>
      <c r="E12" s="339" t="s">
        <v>1009</v>
      </c>
      <c r="F12" s="340">
        <v>673</v>
      </c>
      <c r="G12" s="340">
        <v>2245</v>
      </c>
      <c r="H12" s="889">
        <v>1025</v>
      </c>
      <c r="I12" s="365">
        <f t="shared" si="0"/>
        <v>3943</v>
      </c>
    </row>
    <row r="13" spans="1:9" hidden="1" x14ac:dyDescent="0.2">
      <c r="A13" s="339"/>
      <c r="B13" s="339"/>
      <c r="C13" s="339"/>
      <c r="D13" s="339" t="s">
        <v>1010</v>
      </c>
      <c r="E13" s="339" t="s">
        <v>1011</v>
      </c>
      <c r="F13" s="340">
        <v>0</v>
      </c>
      <c r="G13" s="340">
        <v>5117</v>
      </c>
      <c r="H13" s="889">
        <v>200</v>
      </c>
      <c r="I13" s="365">
        <f t="shared" si="0"/>
        <v>5317</v>
      </c>
    </row>
    <row r="14" spans="1:9" hidden="1" x14ac:dyDescent="0.2">
      <c r="A14" s="339"/>
      <c r="B14" s="339"/>
      <c r="C14" s="339"/>
      <c r="D14" s="339" t="s">
        <v>1012</v>
      </c>
      <c r="E14" s="339" t="s">
        <v>1013</v>
      </c>
      <c r="F14" s="340">
        <v>48</v>
      </c>
      <c r="G14" s="340">
        <v>100</v>
      </c>
      <c r="H14" s="889">
        <f>40+148</f>
        <v>188</v>
      </c>
      <c r="I14" s="365">
        <f t="shared" si="0"/>
        <v>336</v>
      </c>
    </row>
    <row r="15" spans="1:9" hidden="1" x14ac:dyDescent="0.2">
      <c r="A15" s="339"/>
      <c r="B15" s="339"/>
      <c r="C15" s="339"/>
      <c r="D15" s="339" t="s">
        <v>1014</v>
      </c>
      <c r="E15" s="339" t="s">
        <v>1015</v>
      </c>
      <c r="F15" s="340">
        <v>751</v>
      </c>
      <c r="G15" s="340">
        <v>622</v>
      </c>
      <c r="H15" s="889">
        <v>90</v>
      </c>
      <c r="I15" s="365">
        <f t="shared" si="0"/>
        <v>1463</v>
      </c>
    </row>
    <row r="16" spans="1:9" hidden="1" x14ac:dyDescent="0.2">
      <c r="A16" s="339"/>
      <c r="B16" s="339"/>
      <c r="C16" s="339"/>
      <c r="D16" s="339" t="s">
        <v>1016</v>
      </c>
      <c r="E16" s="339" t="s">
        <v>1017</v>
      </c>
      <c r="F16" s="340">
        <f>105+2276</f>
        <v>2381</v>
      </c>
      <c r="G16" s="340">
        <f>100+669</f>
        <v>769</v>
      </c>
      <c r="H16" s="889">
        <v>1900</v>
      </c>
      <c r="I16" s="365">
        <f t="shared" si="0"/>
        <v>5050</v>
      </c>
    </row>
    <row r="17" spans="1:9" hidden="1" x14ac:dyDescent="0.2">
      <c r="A17" s="341"/>
      <c r="B17" s="341"/>
      <c r="C17" s="342"/>
      <c r="D17" s="343" t="s">
        <v>1018</v>
      </c>
      <c r="E17" s="343" t="s">
        <v>1019</v>
      </c>
      <c r="F17" s="344">
        <v>105</v>
      </c>
      <c r="G17" s="344">
        <v>0</v>
      </c>
      <c r="H17" s="890">
        <v>0</v>
      </c>
      <c r="I17" s="365">
        <f t="shared" si="0"/>
        <v>105</v>
      </c>
    </row>
    <row r="18" spans="1:9" hidden="1" x14ac:dyDescent="0.2">
      <c r="A18" s="337"/>
      <c r="B18" s="337" t="s">
        <v>1020</v>
      </c>
      <c r="C18" s="1011" t="s">
        <v>1021</v>
      </c>
      <c r="D18" s="1011"/>
      <c r="E18" s="1011"/>
      <c r="F18" s="338">
        <f>SUM(F19:F21)</f>
        <v>5122</v>
      </c>
      <c r="G18" s="338">
        <f>SUM(G19:G21)</f>
        <v>22709</v>
      </c>
      <c r="H18" s="886">
        <f>SUM(H19:H21)</f>
        <v>1487</v>
      </c>
      <c r="I18" s="336">
        <f t="shared" si="0"/>
        <v>29318</v>
      </c>
    </row>
    <row r="19" spans="1:9" hidden="1" x14ac:dyDescent="0.2">
      <c r="A19" s="346"/>
      <c r="B19" s="346"/>
      <c r="C19" s="346" t="s">
        <v>1022</v>
      </c>
      <c r="D19" s="346" t="s">
        <v>1023</v>
      </c>
      <c r="E19" s="346"/>
      <c r="F19" s="347">
        <v>0</v>
      </c>
      <c r="G19" s="347">
        <v>22582</v>
      </c>
      <c r="H19" s="887">
        <v>0</v>
      </c>
      <c r="I19" s="365">
        <f t="shared" si="0"/>
        <v>22582</v>
      </c>
    </row>
    <row r="20" spans="1:9" hidden="1" x14ac:dyDescent="0.2">
      <c r="A20" s="346"/>
      <c r="B20" s="346"/>
      <c r="C20" s="346" t="s">
        <v>1024</v>
      </c>
      <c r="D20" s="1025" t="s">
        <v>1025</v>
      </c>
      <c r="E20" s="1026"/>
      <c r="F20" s="347">
        <v>4995</v>
      </c>
      <c r="G20" s="347">
        <v>0</v>
      </c>
      <c r="H20" s="887">
        <f>670+817</f>
        <v>1487</v>
      </c>
      <c r="I20" s="365">
        <f t="shared" si="0"/>
        <v>6482</v>
      </c>
    </row>
    <row r="21" spans="1:9" ht="0.75" hidden="1" customHeight="1" x14ac:dyDescent="0.2">
      <c r="A21" s="346"/>
      <c r="B21" s="346"/>
      <c r="C21" s="346" t="s">
        <v>1026</v>
      </c>
      <c r="D21" s="1028" t="s">
        <v>1027</v>
      </c>
      <c r="E21" s="1029"/>
      <c r="F21" s="347">
        <v>127</v>
      </c>
      <c r="G21" s="347">
        <v>127</v>
      </c>
      <c r="H21" s="887"/>
      <c r="I21" s="365">
        <f t="shared" si="0"/>
        <v>254</v>
      </c>
    </row>
    <row r="22" spans="1:9" s="362" customFormat="1" x14ac:dyDescent="0.2">
      <c r="A22" s="360" t="s">
        <v>1028</v>
      </c>
      <c r="B22" s="1027" t="s">
        <v>1029</v>
      </c>
      <c r="C22" s="1027"/>
      <c r="D22" s="1027"/>
      <c r="E22" s="1027"/>
      <c r="F22" s="361">
        <f>SUM(F23:F27)+96+2129+11+9+14+7+141+160+170+61+5+2-107+6200+1672-102+4698+2139+52+2617+1506+90</f>
        <v>61839</v>
      </c>
      <c r="G22" s="361">
        <f>SUM(G23:G27)+228+223+119+28+8+3+327+85+18+256+35</f>
        <v>27443</v>
      </c>
      <c r="H22" s="895">
        <f>SUM(H23:H27)+32+324+1150+50+300+444-269</f>
        <v>32648</v>
      </c>
      <c r="I22" s="361">
        <f t="shared" si="0"/>
        <v>121930</v>
      </c>
    </row>
    <row r="23" spans="1:9" ht="0.75" hidden="1" customHeight="1" x14ac:dyDescent="0.2">
      <c r="A23" s="339"/>
      <c r="B23" s="339"/>
      <c r="C23" s="339"/>
      <c r="D23" s="348" t="s">
        <v>1018</v>
      </c>
      <c r="E23" s="348" t="s">
        <v>1030</v>
      </c>
      <c r="F23" s="340">
        <f>36278+615</f>
        <v>36893</v>
      </c>
      <c r="G23" s="340">
        <f>24571-600-90</f>
        <v>23881</v>
      </c>
      <c r="H23" s="889">
        <f>26255+2036+221</f>
        <v>28512</v>
      </c>
      <c r="I23" s="365">
        <f t="shared" si="0"/>
        <v>89286</v>
      </c>
    </row>
    <row r="24" spans="1:9" hidden="1" x14ac:dyDescent="0.2">
      <c r="A24" s="339"/>
      <c r="B24" s="339"/>
      <c r="C24" s="339"/>
      <c r="D24" s="348"/>
      <c r="E24" s="348" t="s">
        <v>1031</v>
      </c>
      <c r="F24" s="340">
        <v>2411</v>
      </c>
      <c r="G24" s="340">
        <v>1423</v>
      </c>
      <c r="H24" s="889">
        <v>2030</v>
      </c>
      <c r="I24" s="365">
        <f t="shared" si="0"/>
        <v>5864</v>
      </c>
    </row>
    <row r="25" spans="1:9" hidden="1" x14ac:dyDescent="0.2">
      <c r="A25" s="339"/>
      <c r="B25" s="339"/>
      <c r="C25" s="339"/>
      <c r="D25" s="348"/>
      <c r="E25" s="348" t="s">
        <v>1032</v>
      </c>
      <c r="F25" s="340">
        <v>823</v>
      </c>
      <c r="G25" s="340">
        <v>600</v>
      </c>
      <c r="H25" s="889">
        <v>0</v>
      </c>
      <c r="I25" s="365">
        <f t="shared" si="0"/>
        <v>1423</v>
      </c>
    </row>
    <row r="26" spans="1:9" hidden="1" x14ac:dyDescent="0.2">
      <c r="A26" s="339"/>
      <c r="B26" s="339"/>
      <c r="C26" s="339"/>
      <c r="D26" s="348"/>
      <c r="E26" s="348" t="s">
        <v>1033</v>
      </c>
      <c r="F26" s="340">
        <v>87</v>
      </c>
      <c r="G26" s="340">
        <v>131</v>
      </c>
      <c r="H26" s="889">
        <v>28</v>
      </c>
      <c r="I26" s="365">
        <f t="shared" si="0"/>
        <v>246</v>
      </c>
    </row>
    <row r="27" spans="1:9" hidden="1" x14ac:dyDescent="0.2">
      <c r="A27" s="339"/>
      <c r="B27" s="339"/>
      <c r="C27" s="339"/>
      <c r="D27" s="348"/>
      <c r="E27" s="348" t="s">
        <v>1034</v>
      </c>
      <c r="F27" s="340">
        <v>55</v>
      </c>
      <c r="G27" s="340">
        <v>78</v>
      </c>
      <c r="H27" s="889">
        <v>47</v>
      </c>
      <c r="I27" s="365">
        <f t="shared" si="0"/>
        <v>180</v>
      </c>
    </row>
    <row r="28" spans="1:9" s="362" customFormat="1" ht="11.25" customHeight="1" x14ac:dyDescent="0.2">
      <c r="A28" s="360" t="s">
        <v>1035</v>
      </c>
      <c r="B28" s="1027" t="s">
        <v>1036</v>
      </c>
      <c r="C28" s="1027"/>
      <c r="D28" s="1027"/>
      <c r="E28" s="1027"/>
      <c r="F28" s="361">
        <f>SUM(F29+F32+F35+F49+F52)+114+302+4271+2077+25+3018+12+21+94+10+5219+466+1460+214+27+1010+379+3175-400-5872-1640-6890-15+624-9718+6545+454+1261-80+1239-942-3625-1208-1215+6360+295-295+4797+100-1509-400-220-395+3500-3500+75-1800+191-191+1992+27+391-254+31-450+300-300+5-2608-259+6900+1529+4000+4500+1000</f>
        <v>303674</v>
      </c>
      <c r="G28" s="361">
        <f>SUM(G29+G32+G35+G49+G52)+208+7-7+210+2700+451+254+1+221+20-1000</f>
        <v>32437</v>
      </c>
      <c r="H28" s="895">
        <f>SUM(H29+H32+H35+H49+H52)+835+30+897+1051+137-137-2836-148-450</f>
        <v>50947</v>
      </c>
      <c r="I28" s="361">
        <f t="shared" si="0"/>
        <v>387058</v>
      </c>
    </row>
    <row r="29" spans="1:9" hidden="1" x14ac:dyDescent="0.2">
      <c r="A29" s="337"/>
      <c r="B29" s="337" t="s">
        <v>1037</v>
      </c>
      <c r="C29" s="1011" t="s">
        <v>1038</v>
      </c>
      <c r="D29" s="1011"/>
      <c r="E29" s="1011"/>
      <c r="F29" s="338">
        <f>SUM(F30:F31)</f>
        <v>83629</v>
      </c>
      <c r="G29" s="338">
        <f>SUM(G30:G31)</f>
        <v>2711</v>
      </c>
      <c r="H29" s="886">
        <f>SUM(H30:H31)</f>
        <v>2594</v>
      </c>
      <c r="I29" s="336">
        <f t="shared" si="0"/>
        <v>88934</v>
      </c>
    </row>
    <row r="30" spans="1:9" hidden="1" x14ac:dyDescent="0.2">
      <c r="A30" s="346"/>
      <c r="B30" s="346"/>
      <c r="C30" s="346" t="s">
        <v>1039</v>
      </c>
      <c r="D30" s="346" t="s">
        <v>1040</v>
      </c>
      <c r="E30" s="346"/>
      <c r="F30" s="347">
        <v>1386</v>
      </c>
      <c r="G30" s="347">
        <v>250</v>
      </c>
      <c r="H30" s="887">
        <f>20+50+70+40+500+10+10+50</f>
        <v>750</v>
      </c>
      <c r="I30" s="365">
        <f t="shared" si="0"/>
        <v>2386</v>
      </c>
    </row>
    <row r="31" spans="1:9" hidden="1" x14ac:dyDescent="0.2">
      <c r="A31" s="346"/>
      <c r="B31" s="346"/>
      <c r="C31" s="346" t="s">
        <v>1041</v>
      </c>
      <c r="D31" s="346" t="s">
        <v>1042</v>
      </c>
      <c r="E31" s="346"/>
      <c r="F31" s="347">
        <v>82243</v>
      </c>
      <c r="G31" s="347">
        <f>1000+420+160+881</f>
        <v>2461</v>
      </c>
      <c r="H31" s="887">
        <f>160+60+60+200+400+500+100+100+40+20+30+50+4+120</f>
        <v>1844</v>
      </c>
      <c r="I31" s="365">
        <f t="shared" si="0"/>
        <v>86548</v>
      </c>
    </row>
    <row r="32" spans="1:9" hidden="1" x14ac:dyDescent="0.2">
      <c r="A32" s="337"/>
      <c r="B32" s="337" t="s">
        <v>1043</v>
      </c>
      <c r="C32" s="1011" t="s">
        <v>1044</v>
      </c>
      <c r="D32" s="1011"/>
      <c r="E32" s="1011"/>
      <c r="F32" s="338">
        <f>SUM(F33:F34)</f>
        <v>2169</v>
      </c>
      <c r="G32" s="338">
        <f>SUM(G33:G34)</f>
        <v>3659</v>
      </c>
      <c r="H32" s="886">
        <f>SUM(H33:H34)</f>
        <v>436</v>
      </c>
      <c r="I32" s="336">
        <f t="shared" si="0"/>
        <v>6264</v>
      </c>
    </row>
    <row r="33" spans="1:9" hidden="1" x14ac:dyDescent="0.2">
      <c r="A33" s="346"/>
      <c r="B33" s="346"/>
      <c r="C33" s="346" t="s">
        <v>1045</v>
      </c>
      <c r="D33" s="346" t="s">
        <v>1046</v>
      </c>
      <c r="E33" s="346"/>
      <c r="F33" s="347">
        <v>1096</v>
      </c>
      <c r="G33" s="347">
        <f>120+1055+1380</f>
        <v>2555</v>
      </c>
      <c r="H33" s="887">
        <v>100</v>
      </c>
      <c r="I33" s="365">
        <f t="shared" si="0"/>
        <v>3751</v>
      </c>
    </row>
    <row r="34" spans="1:9" hidden="1" x14ac:dyDescent="0.2">
      <c r="A34" s="346"/>
      <c r="B34" s="346"/>
      <c r="C34" s="346" t="s">
        <v>1047</v>
      </c>
      <c r="D34" s="346" t="s">
        <v>1048</v>
      </c>
      <c r="E34" s="346"/>
      <c r="F34" s="347">
        <v>1073</v>
      </c>
      <c r="G34" s="347">
        <v>1104</v>
      </c>
      <c r="H34" s="887">
        <f>324+12</f>
        <v>336</v>
      </c>
      <c r="I34" s="365">
        <f t="shared" si="0"/>
        <v>2513</v>
      </c>
    </row>
    <row r="35" spans="1:9" hidden="1" x14ac:dyDescent="0.2">
      <c r="A35" s="337"/>
      <c r="B35" s="337" t="s">
        <v>1049</v>
      </c>
      <c r="C35" s="1011" t="s">
        <v>1050</v>
      </c>
      <c r="D35" s="1011"/>
      <c r="E35" s="1011"/>
      <c r="F35" s="338">
        <f>SUM(F36+F41+F42+F43+F44+F46+F47)</f>
        <v>139047</v>
      </c>
      <c r="G35" s="338">
        <f>SUM(G36+G41+G42+G43+G44+G46+G47)</f>
        <v>17308</v>
      </c>
      <c r="H35" s="886">
        <f>SUM(H36+H41+H42+H43+H44+H46+H47)</f>
        <v>37560</v>
      </c>
      <c r="I35" s="336">
        <f t="shared" si="0"/>
        <v>193915</v>
      </c>
    </row>
    <row r="36" spans="1:9" hidden="1" x14ac:dyDescent="0.2">
      <c r="A36" s="346"/>
      <c r="B36" s="346"/>
      <c r="C36" s="346" t="s">
        <v>1051</v>
      </c>
      <c r="D36" s="346" t="s">
        <v>1052</v>
      </c>
      <c r="E36" s="346"/>
      <c r="F36" s="347">
        <f>SUM(F37:F40)</f>
        <v>40501</v>
      </c>
      <c r="G36" s="347">
        <f>SUM(G37:G40)</f>
        <v>3650</v>
      </c>
      <c r="H36" s="887">
        <f>SUM(H37:H40)</f>
        <v>7300</v>
      </c>
      <c r="I36" s="365">
        <f t="shared" si="0"/>
        <v>51451</v>
      </c>
    </row>
    <row r="37" spans="1:9" hidden="1" x14ac:dyDescent="0.2">
      <c r="A37" s="339"/>
      <c r="B37" s="339"/>
      <c r="C37" s="339"/>
      <c r="D37" s="348" t="s">
        <v>1018</v>
      </c>
      <c r="E37" s="348" t="s">
        <v>1053</v>
      </c>
      <c r="F37" s="340">
        <v>22329</v>
      </c>
      <c r="G37" s="340">
        <v>1800</v>
      </c>
      <c r="H37" s="889">
        <v>1500</v>
      </c>
      <c r="I37" s="366">
        <f t="shared" si="0"/>
        <v>25629</v>
      </c>
    </row>
    <row r="38" spans="1:9" hidden="1" x14ac:dyDescent="0.2">
      <c r="A38" s="339"/>
      <c r="B38" s="339"/>
      <c r="C38" s="339"/>
      <c r="D38" s="348"/>
      <c r="E38" s="348" t="s">
        <v>1054</v>
      </c>
      <c r="F38" s="340">
        <v>15351</v>
      </c>
      <c r="G38" s="340">
        <v>1700</v>
      </c>
      <c r="H38" s="889">
        <v>5200</v>
      </c>
      <c r="I38" s="366">
        <f t="shared" si="0"/>
        <v>22251</v>
      </c>
    </row>
    <row r="39" spans="1:9" hidden="1" x14ac:dyDescent="0.2">
      <c r="A39" s="339"/>
      <c r="B39" s="339"/>
      <c r="C39" s="339"/>
      <c r="D39" s="348"/>
      <c r="E39" s="348" t="s">
        <v>1055</v>
      </c>
      <c r="F39" s="340">
        <v>150</v>
      </c>
      <c r="G39" s="340">
        <v>0</v>
      </c>
      <c r="H39" s="889">
        <v>0</v>
      </c>
      <c r="I39" s="366">
        <f t="shared" si="0"/>
        <v>150</v>
      </c>
    </row>
    <row r="40" spans="1:9" hidden="1" x14ac:dyDescent="0.2">
      <c r="A40" s="339"/>
      <c r="B40" s="339"/>
      <c r="C40" s="339"/>
      <c r="D40" s="348"/>
      <c r="E40" s="348" t="s">
        <v>1056</v>
      </c>
      <c r="F40" s="340">
        <v>2671</v>
      </c>
      <c r="G40" s="340">
        <v>150</v>
      </c>
      <c r="H40" s="889">
        <v>600</v>
      </c>
      <c r="I40" s="366">
        <f t="shared" si="0"/>
        <v>3421</v>
      </c>
    </row>
    <row r="41" spans="1:9" hidden="1" x14ac:dyDescent="0.2">
      <c r="A41" s="346"/>
      <c r="B41" s="346"/>
      <c r="C41" s="346" t="s">
        <v>1057</v>
      </c>
      <c r="D41" s="346" t="s">
        <v>1058</v>
      </c>
      <c r="E41" s="346"/>
      <c r="F41" s="347">
        <v>40</v>
      </c>
      <c r="G41" s="347">
        <v>0</v>
      </c>
      <c r="H41" s="887">
        <v>25077</v>
      </c>
      <c r="I41" s="365">
        <f t="shared" si="0"/>
        <v>25117</v>
      </c>
    </row>
    <row r="42" spans="1:9" hidden="1" x14ac:dyDescent="0.2">
      <c r="A42" s="346"/>
      <c r="B42" s="346"/>
      <c r="C42" s="346" t="s">
        <v>1059</v>
      </c>
      <c r="D42" s="346" t="s">
        <v>1060</v>
      </c>
      <c r="E42" s="346"/>
      <c r="F42" s="347">
        <v>917</v>
      </c>
      <c r="G42" s="347">
        <v>1499</v>
      </c>
      <c r="H42" s="887">
        <v>0</v>
      </c>
      <c r="I42" s="365">
        <f t="shared" si="0"/>
        <v>2416</v>
      </c>
    </row>
    <row r="43" spans="1:9" hidden="1" x14ac:dyDescent="0.2">
      <c r="A43" s="346"/>
      <c r="B43" s="346"/>
      <c r="C43" s="346" t="s">
        <v>1061</v>
      </c>
      <c r="D43" s="346" t="s">
        <v>1062</v>
      </c>
      <c r="E43" s="346"/>
      <c r="F43" s="347">
        <v>4365</v>
      </c>
      <c r="G43" s="347">
        <v>635</v>
      </c>
      <c r="H43" s="887">
        <v>894</v>
      </c>
      <c r="I43" s="365">
        <f t="shared" si="0"/>
        <v>5894</v>
      </c>
    </row>
    <row r="44" spans="1:9" hidden="1" x14ac:dyDescent="0.2">
      <c r="A44" s="346"/>
      <c r="B44" s="346"/>
      <c r="C44" s="346" t="s">
        <v>1063</v>
      </c>
      <c r="D44" s="346" t="s">
        <v>1064</v>
      </c>
      <c r="E44" s="346"/>
      <c r="F44" s="347">
        <v>1693</v>
      </c>
      <c r="G44" s="347">
        <f>4239+88</f>
        <v>4327</v>
      </c>
      <c r="H44" s="887">
        <v>0</v>
      </c>
      <c r="I44" s="365">
        <f t="shared" si="0"/>
        <v>6020</v>
      </c>
    </row>
    <row r="45" spans="1:9" hidden="1" x14ac:dyDescent="0.2">
      <c r="A45" s="339"/>
      <c r="B45" s="339"/>
      <c r="C45" s="339"/>
      <c r="D45" s="348" t="s">
        <v>1018</v>
      </c>
      <c r="E45" s="348" t="s">
        <v>1065</v>
      </c>
      <c r="F45" s="344">
        <v>390</v>
      </c>
      <c r="G45" s="344">
        <v>4239</v>
      </c>
      <c r="H45" s="889">
        <v>0</v>
      </c>
      <c r="I45" s="345">
        <f t="shared" si="0"/>
        <v>4629</v>
      </c>
    </row>
    <row r="46" spans="1:9" hidden="1" x14ac:dyDescent="0.2">
      <c r="A46" s="346"/>
      <c r="B46" s="346"/>
      <c r="C46" s="346" t="s">
        <v>1066</v>
      </c>
      <c r="D46" s="346" t="s">
        <v>1067</v>
      </c>
      <c r="E46" s="346"/>
      <c r="F46" s="347">
        <f>65293+5353</f>
        <v>70646</v>
      </c>
      <c r="G46" s="347">
        <f>173+492</f>
        <v>665</v>
      </c>
      <c r="H46" s="887">
        <f>258+9+3172</f>
        <v>3439</v>
      </c>
      <c r="I46" s="365">
        <f t="shared" si="0"/>
        <v>74750</v>
      </c>
    </row>
    <row r="47" spans="1:9" hidden="1" x14ac:dyDescent="0.2">
      <c r="A47" s="346"/>
      <c r="B47" s="346"/>
      <c r="C47" s="346" t="s">
        <v>1068</v>
      </c>
      <c r="D47" s="346" t="s">
        <v>1069</v>
      </c>
      <c r="E47" s="346"/>
      <c r="F47" s="347">
        <f>20540+245+100</f>
        <v>20885</v>
      </c>
      <c r="G47" s="347">
        <f>5631+800+80+21</f>
        <v>6532</v>
      </c>
      <c r="H47" s="887">
        <f>750+50+50</f>
        <v>850</v>
      </c>
      <c r="I47" s="365">
        <f t="shared" si="0"/>
        <v>28267</v>
      </c>
    </row>
    <row r="48" spans="1:9" hidden="1" x14ac:dyDescent="0.2">
      <c r="A48" s="339"/>
      <c r="B48" s="339"/>
      <c r="C48" s="339"/>
      <c r="D48" s="348" t="s">
        <v>1018</v>
      </c>
      <c r="E48" s="348" t="s">
        <v>1019</v>
      </c>
      <c r="F48" s="344">
        <v>2752</v>
      </c>
      <c r="G48" s="344">
        <v>0</v>
      </c>
      <c r="H48" s="889">
        <v>0</v>
      </c>
      <c r="I48" s="345">
        <f t="shared" si="0"/>
        <v>2752</v>
      </c>
    </row>
    <row r="49" spans="1:9" hidden="1" x14ac:dyDescent="0.2">
      <c r="A49" s="337"/>
      <c r="B49" s="337" t="s">
        <v>1070</v>
      </c>
      <c r="C49" s="1011" t="s">
        <v>1071</v>
      </c>
      <c r="D49" s="1011"/>
      <c r="E49" s="1011"/>
      <c r="F49" s="338">
        <f>SUM(F50:F51)</f>
        <v>674</v>
      </c>
      <c r="G49" s="338">
        <f>SUM(G50:G51)</f>
        <v>480</v>
      </c>
      <c r="H49" s="886">
        <f>SUM(H50:H51)</f>
        <v>100</v>
      </c>
      <c r="I49" s="336">
        <f t="shared" si="0"/>
        <v>1254</v>
      </c>
    </row>
    <row r="50" spans="1:9" hidden="1" x14ac:dyDescent="0.2">
      <c r="A50" s="346"/>
      <c r="B50" s="346"/>
      <c r="C50" s="346" t="s">
        <v>1072</v>
      </c>
      <c r="D50" s="346" t="s">
        <v>1073</v>
      </c>
      <c r="E50" s="346"/>
      <c r="F50" s="347">
        <v>280</v>
      </c>
      <c r="G50" s="347">
        <v>480</v>
      </c>
      <c r="H50" s="887">
        <v>100</v>
      </c>
      <c r="I50" s="365">
        <f t="shared" si="0"/>
        <v>860</v>
      </c>
    </row>
    <row r="51" spans="1:9" hidden="1" x14ac:dyDescent="0.2">
      <c r="A51" s="346"/>
      <c r="B51" s="346"/>
      <c r="C51" s="346" t="s">
        <v>1074</v>
      </c>
      <c r="D51" s="346" t="s">
        <v>1075</v>
      </c>
      <c r="E51" s="346"/>
      <c r="F51" s="347">
        <v>394</v>
      </c>
      <c r="G51" s="347">
        <v>0</v>
      </c>
      <c r="H51" s="887">
        <v>0</v>
      </c>
      <c r="I51" s="365">
        <f t="shared" si="0"/>
        <v>394</v>
      </c>
    </row>
    <row r="52" spans="1:9" hidden="1" x14ac:dyDescent="0.2">
      <c r="A52" s="337"/>
      <c r="B52" s="337" t="s">
        <v>1076</v>
      </c>
      <c r="C52" s="1011" t="s">
        <v>1077</v>
      </c>
      <c r="D52" s="1011"/>
      <c r="E52" s="1011"/>
      <c r="F52" s="338">
        <f>SUM(F53:F55)</f>
        <v>53931</v>
      </c>
      <c r="G52" s="338">
        <f>SUM(G53:G55)</f>
        <v>5214</v>
      </c>
      <c r="H52" s="886">
        <f>SUM(H53:H55)</f>
        <v>10878</v>
      </c>
      <c r="I52" s="336">
        <f t="shared" si="0"/>
        <v>70023</v>
      </c>
    </row>
    <row r="53" spans="1:9" hidden="1" x14ac:dyDescent="0.2">
      <c r="A53" s="346"/>
      <c r="B53" s="346"/>
      <c r="C53" s="346" t="s">
        <v>1078</v>
      </c>
      <c r="D53" s="346" t="s">
        <v>1079</v>
      </c>
      <c r="E53" s="346"/>
      <c r="F53" s="347">
        <v>49961</v>
      </c>
      <c r="G53" s="347">
        <f>4755-54-27</f>
        <v>4674</v>
      </c>
      <c r="H53" s="887">
        <f>9937+856</f>
        <v>10793</v>
      </c>
      <c r="I53" s="365">
        <f t="shared" si="0"/>
        <v>65428</v>
      </c>
    </row>
    <row r="54" spans="1:9" hidden="1" x14ac:dyDescent="0.2">
      <c r="A54" s="346"/>
      <c r="B54" s="346"/>
      <c r="C54" s="346" t="s">
        <v>1080</v>
      </c>
      <c r="D54" s="346" t="s">
        <v>1081</v>
      </c>
      <c r="E54" s="346"/>
      <c r="F54" s="347">
        <v>1679</v>
      </c>
      <c r="G54" s="347">
        <v>0</v>
      </c>
      <c r="H54" s="887">
        <v>0</v>
      </c>
      <c r="I54" s="365">
        <f t="shared" si="0"/>
        <v>1679</v>
      </c>
    </row>
    <row r="55" spans="1:9" hidden="1" x14ac:dyDescent="0.2">
      <c r="A55" s="346"/>
      <c r="B55" s="346"/>
      <c r="C55" s="346" t="s">
        <v>1082</v>
      </c>
      <c r="D55" s="346" t="s">
        <v>1083</v>
      </c>
      <c r="E55" s="346"/>
      <c r="F55" s="347">
        <v>2291</v>
      </c>
      <c r="G55" s="347">
        <v>540</v>
      </c>
      <c r="H55" s="887">
        <v>85</v>
      </c>
      <c r="I55" s="365">
        <f t="shared" si="0"/>
        <v>2916</v>
      </c>
    </row>
    <row r="56" spans="1:9" s="362" customFormat="1" ht="11.25" customHeight="1" x14ac:dyDescent="0.2">
      <c r="A56" s="360" t="s">
        <v>1084</v>
      </c>
      <c r="B56" s="1027" t="s">
        <v>0</v>
      </c>
      <c r="C56" s="1027"/>
      <c r="D56" s="1027"/>
      <c r="E56" s="1027"/>
      <c r="F56" s="361">
        <f>SUM(F57+F58+F62+F63+F66+F70+F68+F71)-15+400</f>
        <v>3185</v>
      </c>
      <c r="G56" s="361">
        <f>SUM(G57+G58+G62+G63+G66+G70+G68+G71)-8250</f>
        <v>148825</v>
      </c>
      <c r="H56" s="895">
        <f>SUM(H57+H58+H62+H63+H66+H70+H68+H71)</f>
        <v>0</v>
      </c>
      <c r="I56" s="361">
        <f t="shared" si="0"/>
        <v>152010</v>
      </c>
    </row>
    <row r="57" spans="1:9" hidden="1" x14ac:dyDescent="0.2">
      <c r="A57" s="337"/>
      <c r="B57" s="337" t="s">
        <v>1</v>
      </c>
      <c r="C57" s="1011" t="s">
        <v>2</v>
      </c>
      <c r="D57" s="1011"/>
      <c r="E57" s="1011"/>
      <c r="F57" s="338">
        <v>0</v>
      </c>
      <c r="G57" s="338">
        <v>0</v>
      </c>
      <c r="H57" s="886">
        <v>0</v>
      </c>
      <c r="I57" s="336">
        <f t="shared" si="0"/>
        <v>0</v>
      </c>
    </row>
    <row r="58" spans="1:9" hidden="1" x14ac:dyDescent="0.2">
      <c r="A58" s="337"/>
      <c r="B58" s="337" t="s">
        <v>3</v>
      </c>
      <c r="C58" s="1011" t="s">
        <v>4</v>
      </c>
      <c r="D58" s="1011"/>
      <c r="E58" s="1011"/>
      <c r="F58" s="338">
        <f>SUM(F59:F61)</f>
        <v>0</v>
      </c>
      <c r="G58" s="338">
        <f>SUM(G59:G61)</f>
        <v>13750</v>
      </c>
      <c r="H58" s="886">
        <f>SUM(H59:H61)</f>
        <v>0</v>
      </c>
      <c r="I58" s="336">
        <f t="shared" si="0"/>
        <v>13750</v>
      </c>
    </row>
    <row r="59" spans="1:9" hidden="1" x14ac:dyDescent="0.2">
      <c r="A59" s="346"/>
      <c r="B59" s="346"/>
      <c r="C59" s="346"/>
      <c r="D59" s="1023" t="s">
        <v>5</v>
      </c>
      <c r="E59" s="1024"/>
      <c r="F59" s="347">
        <v>0</v>
      </c>
      <c r="G59" s="347">
        <v>11455</v>
      </c>
      <c r="H59" s="887">
        <v>0</v>
      </c>
      <c r="I59" s="365">
        <f t="shared" si="0"/>
        <v>11455</v>
      </c>
    </row>
    <row r="60" spans="1:9" ht="17.25" hidden="1" customHeight="1" x14ac:dyDescent="0.2">
      <c r="A60" s="346"/>
      <c r="B60" s="346"/>
      <c r="C60" s="346"/>
      <c r="D60" s="1025" t="s">
        <v>6</v>
      </c>
      <c r="E60" s="1026"/>
      <c r="F60" s="347">
        <v>0</v>
      </c>
      <c r="G60" s="347">
        <f>245+50</f>
        <v>295</v>
      </c>
      <c r="H60" s="887">
        <v>0</v>
      </c>
      <c r="I60" s="365">
        <f t="shared" ref="I60:I93" si="1">SUM(F60:H60)</f>
        <v>295</v>
      </c>
    </row>
    <row r="61" spans="1:9" hidden="1" x14ac:dyDescent="0.2">
      <c r="A61" s="346"/>
      <c r="B61" s="346"/>
      <c r="C61" s="346"/>
      <c r="D61" s="1023" t="s">
        <v>809</v>
      </c>
      <c r="E61" s="1024"/>
      <c r="F61" s="347">
        <v>0</v>
      </c>
      <c r="G61" s="347">
        <v>2000</v>
      </c>
      <c r="H61" s="887">
        <v>0</v>
      </c>
      <c r="I61" s="365">
        <f t="shared" si="1"/>
        <v>2000</v>
      </c>
    </row>
    <row r="62" spans="1:9" hidden="1" x14ac:dyDescent="0.2">
      <c r="A62" s="337"/>
      <c r="B62" s="337" t="s">
        <v>207</v>
      </c>
      <c r="C62" s="1011" t="s">
        <v>208</v>
      </c>
      <c r="D62" s="1011"/>
      <c r="E62" s="1011"/>
      <c r="F62" s="338">
        <v>0</v>
      </c>
      <c r="G62" s="338">
        <v>15</v>
      </c>
      <c r="H62" s="886">
        <v>0</v>
      </c>
      <c r="I62" s="336">
        <f t="shared" si="1"/>
        <v>15</v>
      </c>
    </row>
    <row r="63" spans="1:9" hidden="1" x14ac:dyDescent="0.2">
      <c r="A63" s="337"/>
      <c r="B63" s="337" t="s">
        <v>209</v>
      </c>
      <c r="C63" s="1030" t="s">
        <v>210</v>
      </c>
      <c r="D63" s="1031"/>
      <c r="E63" s="1032"/>
      <c r="F63" s="338">
        <f>SUM(F64:F65)</f>
        <v>0</v>
      </c>
      <c r="G63" s="338">
        <f>SUM(G64:G65)</f>
        <v>6394</v>
      </c>
      <c r="H63" s="886">
        <f>SUM(H64:H65)</f>
        <v>0</v>
      </c>
      <c r="I63" s="336">
        <f t="shared" si="1"/>
        <v>6394</v>
      </c>
    </row>
    <row r="64" spans="1:9" ht="18.75" hidden="1" customHeight="1" x14ac:dyDescent="0.2">
      <c r="A64" s="346"/>
      <c r="B64" s="346"/>
      <c r="C64" s="346"/>
      <c r="D64" s="1025" t="s">
        <v>211</v>
      </c>
      <c r="E64" s="1026"/>
      <c r="F64" s="347">
        <v>0</v>
      </c>
      <c r="G64" s="347">
        <v>5874</v>
      </c>
      <c r="H64" s="887">
        <v>0</v>
      </c>
      <c r="I64" s="365">
        <f t="shared" si="1"/>
        <v>5874</v>
      </c>
    </row>
    <row r="65" spans="1:9" hidden="1" x14ac:dyDescent="0.2">
      <c r="A65" s="346"/>
      <c r="B65" s="346"/>
      <c r="C65" s="346"/>
      <c r="D65" s="1023" t="s">
        <v>212</v>
      </c>
      <c r="E65" s="1024"/>
      <c r="F65" s="347">
        <v>0</v>
      </c>
      <c r="G65" s="347">
        <v>520</v>
      </c>
      <c r="H65" s="887">
        <v>0</v>
      </c>
      <c r="I65" s="365">
        <f t="shared" si="1"/>
        <v>520</v>
      </c>
    </row>
    <row r="66" spans="1:9" hidden="1" x14ac:dyDescent="0.2">
      <c r="A66" s="337"/>
      <c r="B66" s="337" t="s">
        <v>213</v>
      </c>
      <c r="C66" s="1030" t="s">
        <v>214</v>
      </c>
      <c r="D66" s="1031"/>
      <c r="E66" s="1032"/>
      <c r="F66" s="338">
        <f>SUM(F67)</f>
        <v>0</v>
      </c>
      <c r="G66" s="338">
        <f>SUM(G67)</f>
        <v>95760</v>
      </c>
      <c r="H66" s="886">
        <f>SUM(H67)</f>
        <v>0</v>
      </c>
      <c r="I66" s="336">
        <f t="shared" si="1"/>
        <v>95760</v>
      </c>
    </row>
    <row r="67" spans="1:9" hidden="1" x14ac:dyDescent="0.2">
      <c r="A67" s="346"/>
      <c r="B67" s="346"/>
      <c r="C67" s="346"/>
      <c r="D67" s="1023" t="s">
        <v>215</v>
      </c>
      <c r="E67" s="1024"/>
      <c r="F67" s="347">
        <v>0</v>
      </c>
      <c r="G67" s="347">
        <v>95760</v>
      </c>
      <c r="H67" s="887">
        <v>0</v>
      </c>
      <c r="I67" s="365">
        <f t="shared" si="1"/>
        <v>95760</v>
      </c>
    </row>
    <row r="68" spans="1:9" hidden="1" x14ac:dyDescent="0.2">
      <c r="A68" s="337"/>
      <c r="B68" s="337" t="s">
        <v>216</v>
      </c>
      <c r="C68" s="1030" t="s">
        <v>217</v>
      </c>
      <c r="D68" s="1031"/>
      <c r="E68" s="1032"/>
      <c r="F68" s="338">
        <f>SUM(F69:F69)</f>
        <v>0</v>
      </c>
      <c r="G68" s="338">
        <f>SUM(G69:G69)</f>
        <v>31950</v>
      </c>
      <c r="H68" s="886">
        <f>SUM(H69:H69)</f>
        <v>0</v>
      </c>
      <c r="I68" s="336">
        <f t="shared" si="1"/>
        <v>31950</v>
      </c>
    </row>
    <row r="69" spans="1:9" hidden="1" x14ac:dyDescent="0.2">
      <c r="A69" s="346"/>
      <c r="B69" s="346"/>
      <c r="C69" s="346"/>
      <c r="D69" s="1023" t="s">
        <v>218</v>
      </c>
      <c r="E69" s="1024"/>
      <c r="F69" s="347">
        <v>0</v>
      </c>
      <c r="G69" s="347">
        <v>31950</v>
      </c>
      <c r="H69" s="887">
        <v>0</v>
      </c>
      <c r="I69" s="365">
        <f t="shared" si="1"/>
        <v>31950</v>
      </c>
    </row>
    <row r="70" spans="1:9" hidden="1" x14ac:dyDescent="0.2">
      <c r="A70" s="337"/>
      <c r="B70" s="337" t="s">
        <v>219</v>
      </c>
      <c r="C70" s="1011" t="s">
        <v>7</v>
      </c>
      <c r="D70" s="1011"/>
      <c r="E70" s="1011"/>
      <c r="F70" s="338">
        <v>0</v>
      </c>
      <c r="G70" s="338">
        <v>0</v>
      </c>
      <c r="H70" s="886">
        <v>0</v>
      </c>
      <c r="I70" s="336">
        <f t="shared" si="1"/>
        <v>0</v>
      </c>
    </row>
    <row r="71" spans="1:9" hidden="1" x14ac:dyDescent="0.2">
      <c r="A71" s="337"/>
      <c r="B71" s="337" t="s">
        <v>220</v>
      </c>
      <c r="C71" s="1030" t="s">
        <v>221</v>
      </c>
      <c r="D71" s="1031"/>
      <c r="E71" s="1032"/>
      <c r="F71" s="338">
        <f>SUM(F72:F74)</f>
        <v>2800</v>
      </c>
      <c r="G71" s="338">
        <f>SUM(G72:G74)</f>
        <v>9206</v>
      </c>
      <c r="H71" s="886">
        <f>SUM(H72:H74)</f>
        <v>0</v>
      </c>
      <c r="I71" s="336">
        <f t="shared" si="1"/>
        <v>12006</v>
      </c>
    </row>
    <row r="72" spans="1:9" hidden="1" x14ac:dyDescent="0.2">
      <c r="A72" s="346"/>
      <c r="B72" s="346"/>
      <c r="C72" s="346"/>
      <c r="D72" s="1023" t="s">
        <v>222</v>
      </c>
      <c r="E72" s="1024"/>
      <c r="F72" s="347">
        <v>0</v>
      </c>
      <c r="G72" s="347">
        <v>9206</v>
      </c>
      <c r="H72" s="887">
        <v>0</v>
      </c>
      <c r="I72" s="365">
        <f t="shared" si="1"/>
        <v>9206</v>
      </c>
    </row>
    <row r="73" spans="1:9" hidden="1" x14ac:dyDescent="0.2">
      <c r="A73" s="346"/>
      <c r="B73" s="346"/>
      <c r="C73" s="346"/>
      <c r="D73" s="1023" t="s">
        <v>223</v>
      </c>
      <c r="E73" s="1024"/>
      <c r="F73" s="347">
        <v>1500</v>
      </c>
      <c r="G73" s="347">
        <v>0</v>
      </c>
      <c r="H73" s="887">
        <v>0</v>
      </c>
      <c r="I73" s="365">
        <f t="shared" si="1"/>
        <v>1500</v>
      </c>
    </row>
    <row r="74" spans="1:9" hidden="1" x14ac:dyDescent="0.2">
      <c r="A74" s="346"/>
      <c r="B74" s="346"/>
      <c r="C74" s="346"/>
      <c r="D74" s="1023" t="s">
        <v>224</v>
      </c>
      <c r="E74" s="1024"/>
      <c r="F74" s="347">
        <v>1300</v>
      </c>
      <c r="G74" s="347">
        <v>0</v>
      </c>
      <c r="H74" s="887">
        <v>0</v>
      </c>
      <c r="I74" s="365">
        <f t="shared" si="1"/>
        <v>1300</v>
      </c>
    </row>
    <row r="75" spans="1:9" s="362" customFormat="1" x14ac:dyDescent="0.2">
      <c r="A75" s="360" t="s">
        <v>225</v>
      </c>
      <c r="B75" s="1036" t="s">
        <v>226</v>
      </c>
      <c r="C75" s="1037"/>
      <c r="D75" s="1037"/>
      <c r="E75" s="1038"/>
      <c r="F75" s="361">
        <f>SUM(F76+F77+F78+F79+F80+F81+F92+F93+F94+F96+F107)</f>
        <v>243076</v>
      </c>
      <c r="G75" s="361">
        <f>SUM(G76+G77+G78+G79+G80+G81+G92+G93+G94+G96+G107)</f>
        <v>3730</v>
      </c>
      <c r="H75" s="895">
        <f>SUM(H76+H77+H78+H79+H80+H81+H92+H93+H94+H96+H107)</f>
        <v>9755</v>
      </c>
      <c r="I75" s="361">
        <f t="shared" si="1"/>
        <v>256561</v>
      </c>
    </row>
    <row r="76" spans="1:9" x14ac:dyDescent="0.2">
      <c r="A76" s="346"/>
      <c r="B76" s="346"/>
      <c r="C76" s="346" t="s">
        <v>227</v>
      </c>
      <c r="D76" s="346" t="s">
        <v>228</v>
      </c>
      <c r="E76" s="346"/>
      <c r="F76" s="347">
        <v>0</v>
      </c>
      <c r="G76" s="347">
        <v>0</v>
      </c>
      <c r="H76" s="887">
        <v>0</v>
      </c>
      <c r="I76" s="365">
        <f t="shared" si="1"/>
        <v>0</v>
      </c>
    </row>
    <row r="77" spans="1:9" x14ac:dyDescent="0.2">
      <c r="A77" s="346"/>
      <c r="B77" s="346"/>
      <c r="C77" s="346" t="s">
        <v>229</v>
      </c>
      <c r="D77" s="346" t="s">
        <v>230</v>
      </c>
      <c r="E77" s="346"/>
      <c r="F77" s="347">
        <f>20513+256+70</f>
        <v>20839</v>
      </c>
      <c r="G77" s="347">
        <f>3610+120</f>
        <v>3730</v>
      </c>
      <c r="H77" s="887">
        <v>9755</v>
      </c>
      <c r="I77" s="365">
        <f t="shared" si="1"/>
        <v>34324</v>
      </c>
    </row>
    <row r="78" spans="1:9" ht="24" customHeight="1" x14ac:dyDescent="0.2">
      <c r="A78" s="346"/>
      <c r="B78" s="346"/>
      <c r="C78" s="346" t="s">
        <v>231</v>
      </c>
      <c r="D78" s="1028" t="s">
        <v>232</v>
      </c>
      <c r="E78" s="1029"/>
      <c r="F78" s="347">
        <v>0</v>
      </c>
      <c r="G78" s="347">
        <v>0</v>
      </c>
      <c r="H78" s="887">
        <v>0</v>
      </c>
      <c r="I78" s="365">
        <f t="shared" si="1"/>
        <v>0</v>
      </c>
    </row>
    <row r="79" spans="1:9" ht="26.25" customHeight="1" x14ac:dyDescent="0.2">
      <c r="A79" s="346"/>
      <c r="B79" s="346"/>
      <c r="C79" s="346" t="s">
        <v>233</v>
      </c>
      <c r="D79" s="1028" t="s">
        <v>234</v>
      </c>
      <c r="E79" s="1029"/>
      <c r="F79" s="347">
        <f>1473+622</f>
        <v>2095</v>
      </c>
      <c r="G79" s="347">
        <v>0</v>
      </c>
      <c r="H79" s="887">
        <v>0</v>
      </c>
      <c r="I79" s="365">
        <f t="shared" si="1"/>
        <v>2095</v>
      </c>
    </row>
    <row r="80" spans="1:9" ht="24" customHeight="1" x14ac:dyDescent="0.2">
      <c r="A80" s="346"/>
      <c r="B80" s="346"/>
      <c r="C80" s="346" t="s">
        <v>255</v>
      </c>
      <c r="D80" s="1028" t="s">
        <v>256</v>
      </c>
      <c r="E80" s="1029"/>
      <c r="F80" s="347">
        <v>0</v>
      </c>
      <c r="G80" s="347">
        <v>0</v>
      </c>
      <c r="H80" s="887">
        <v>0</v>
      </c>
      <c r="I80" s="365">
        <f t="shared" si="1"/>
        <v>0</v>
      </c>
    </row>
    <row r="81" spans="1:9" x14ac:dyDescent="0.2">
      <c r="A81" s="346"/>
      <c r="B81" s="346"/>
      <c r="C81" s="346" t="s">
        <v>257</v>
      </c>
      <c r="D81" s="1028" t="s">
        <v>258</v>
      </c>
      <c r="E81" s="1029"/>
      <c r="F81" s="347">
        <f>SUM(F82:F91)+92</f>
        <v>469</v>
      </c>
      <c r="G81" s="347">
        <f>SUM(G82:G91)</f>
        <v>0</v>
      </c>
      <c r="H81" s="887">
        <f>SUM(H82:H91)</f>
        <v>0</v>
      </c>
      <c r="I81" s="365">
        <f t="shared" si="1"/>
        <v>469</v>
      </c>
    </row>
    <row r="82" spans="1:9" hidden="1" x14ac:dyDescent="0.2">
      <c r="A82" s="349"/>
      <c r="B82" s="349"/>
      <c r="C82" s="348" t="s">
        <v>1018</v>
      </c>
      <c r="D82" s="348" t="s">
        <v>235</v>
      </c>
      <c r="E82" s="348" t="s">
        <v>236</v>
      </c>
      <c r="F82" s="350">
        <v>0</v>
      </c>
      <c r="G82" s="350">
        <v>0</v>
      </c>
      <c r="H82" s="888">
        <v>0</v>
      </c>
      <c r="I82" s="352">
        <f t="shared" si="1"/>
        <v>0</v>
      </c>
    </row>
    <row r="83" spans="1:9" hidden="1" x14ac:dyDescent="0.2">
      <c r="A83" s="349"/>
      <c r="B83" s="349"/>
      <c r="C83" s="348"/>
      <c r="D83" s="348" t="s">
        <v>237</v>
      </c>
      <c r="E83" s="348" t="s">
        <v>238</v>
      </c>
      <c r="F83" s="350">
        <v>0</v>
      </c>
      <c r="G83" s="350">
        <v>0</v>
      </c>
      <c r="H83" s="888">
        <v>0</v>
      </c>
      <c r="I83" s="352">
        <f t="shared" si="1"/>
        <v>0</v>
      </c>
    </row>
    <row r="84" spans="1:9" hidden="1" x14ac:dyDescent="0.2">
      <c r="A84" s="349"/>
      <c r="B84" s="349"/>
      <c r="C84" s="348"/>
      <c r="D84" s="348" t="s">
        <v>239</v>
      </c>
      <c r="E84" s="348" t="s">
        <v>240</v>
      </c>
      <c r="F84" s="350">
        <v>0</v>
      </c>
      <c r="G84" s="350">
        <v>0</v>
      </c>
      <c r="H84" s="888">
        <v>0</v>
      </c>
      <c r="I84" s="352">
        <f t="shared" si="1"/>
        <v>0</v>
      </c>
    </row>
    <row r="85" spans="1:9" hidden="1" x14ac:dyDescent="0.2">
      <c r="A85" s="349"/>
      <c r="B85" s="349"/>
      <c r="C85" s="348"/>
      <c r="D85" s="348" t="s">
        <v>241</v>
      </c>
      <c r="E85" s="348" t="s">
        <v>242</v>
      </c>
      <c r="F85" s="350">
        <v>0</v>
      </c>
      <c r="G85" s="350">
        <v>0</v>
      </c>
      <c r="H85" s="888">
        <v>0</v>
      </c>
      <c r="I85" s="352">
        <f t="shared" si="1"/>
        <v>0</v>
      </c>
    </row>
    <row r="86" spans="1:9" hidden="1" x14ac:dyDescent="0.2">
      <c r="A86" s="349"/>
      <c r="B86" s="349"/>
      <c r="C86" s="348"/>
      <c r="D86" s="348" t="s">
        <v>243</v>
      </c>
      <c r="E86" s="348" t="s">
        <v>244</v>
      </c>
      <c r="F86" s="350">
        <v>0</v>
      </c>
      <c r="G86" s="350">
        <v>0</v>
      </c>
      <c r="H86" s="888">
        <v>0</v>
      </c>
      <c r="I86" s="352">
        <f t="shared" si="1"/>
        <v>0</v>
      </c>
    </row>
    <row r="87" spans="1:9" hidden="1" x14ac:dyDescent="0.2">
      <c r="A87" s="349"/>
      <c r="B87" s="349"/>
      <c r="C87" s="348"/>
      <c r="D87" s="348" t="s">
        <v>245</v>
      </c>
      <c r="E87" s="348" t="s">
        <v>246</v>
      </c>
      <c r="F87" s="350">
        <v>0</v>
      </c>
      <c r="G87" s="350">
        <v>0</v>
      </c>
      <c r="H87" s="888">
        <v>0</v>
      </c>
      <c r="I87" s="352">
        <f t="shared" si="1"/>
        <v>0</v>
      </c>
    </row>
    <row r="88" spans="1:9" hidden="1" x14ac:dyDescent="0.2">
      <c r="A88" s="349"/>
      <c r="B88" s="349"/>
      <c r="C88" s="348"/>
      <c r="D88" s="348" t="s">
        <v>247</v>
      </c>
      <c r="E88" s="348" t="s">
        <v>248</v>
      </c>
      <c r="F88" s="350">
        <v>280</v>
      </c>
      <c r="G88" s="350">
        <v>0</v>
      </c>
      <c r="H88" s="888">
        <v>0</v>
      </c>
      <c r="I88" s="352">
        <f t="shared" si="1"/>
        <v>280</v>
      </c>
    </row>
    <row r="89" spans="1:9" hidden="1" x14ac:dyDescent="0.2">
      <c r="A89" s="349"/>
      <c r="B89" s="349"/>
      <c r="C89" s="348"/>
      <c r="D89" s="348" t="s">
        <v>249</v>
      </c>
      <c r="E89" s="348" t="s">
        <v>250</v>
      </c>
      <c r="F89" s="350">
        <v>97</v>
      </c>
      <c r="G89" s="350">
        <v>0</v>
      </c>
      <c r="H89" s="888">
        <v>0</v>
      </c>
      <c r="I89" s="352">
        <f t="shared" si="1"/>
        <v>97</v>
      </c>
    </row>
    <row r="90" spans="1:9" hidden="1" x14ac:dyDescent="0.2">
      <c r="A90" s="349"/>
      <c r="B90" s="349"/>
      <c r="C90" s="348"/>
      <c r="D90" s="348" t="s">
        <v>251</v>
      </c>
      <c r="E90" s="348" t="s">
        <v>252</v>
      </c>
      <c r="F90" s="350">
        <v>0</v>
      </c>
      <c r="G90" s="350">
        <v>0</v>
      </c>
      <c r="H90" s="888">
        <v>0</v>
      </c>
      <c r="I90" s="352">
        <f t="shared" si="1"/>
        <v>0</v>
      </c>
    </row>
    <row r="91" spans="1:9" hidden="1" x14ac:dyDescent="0.2">
      <c r="A91" s="349"/>
      <c r="B91" s="349"/>
      <c r="C91" s="348"/>
      <c r="D91" s="348" t="s">
        <v>253</v>
      </c>
      <c r="E91" s="348" t="s">
        <v>254</v>
      </c>
      <c r="F91" s="350">
        <v>0</v>
      </c>
      <c r="G91" s="350">
        <v>0</v>
      </c>
      <c r="H91" s="888">
        <v>0</v>
      </c>
      <c r="I91" s="352">
        <f t="shared" si="1"/>
        <v>0</v>
      </c>
    </row>
    <row r="92" spans="1:9" ht="25.5" customHeight="1" x14ac:dyDescent="0.2">
      <c r="A92" s="346"/>
      <c r="B92" s="346"/>
      <c r="C92" s="346" t="s">
        <v>259</v>
      </c>
      <c r="D92" s="1028" t="s">
        <v>260</v>
      </c>
      <c r="E92" s="1029"/>
      <c r="F92" s="347">
        <v>0</v>
      </c>
      <c r="G92" s="347">
        <v>0</v>
      </c>
      <c r="H92" s="887">
        <v>0</v>
      </c>
      <c r="I92" s="365">
        <f t="shared" si="1"/>
        <v>0</v>
      </c>
    </row>
    <row r="93" spans="1:9" ht="24" customHeight="1" x14ac:dyDescent="0.2">
      <c r="A93" s="346"/>
      <c r="B93" s="346"/>
      <c r="C93" s="346" t="s">
        <v>261</v>
      </c>
      <c r="D93" s="1028" t="s">
        <v>262</v>
      </c>
      <c r="E93" s="1029"/>
      <c r="F93" s="347">
        <f>1945+10000</f>
        <v>11945</v>
      </c>
      <c r="G93" s="347">
        <v>0</v>
      </c>
      <c r="H93" s="887">
        <v>0</v>
      </c>
      <c r="I93" s="365">
        <f t="shared" si="1"/>
        <v>11945</v>
      </c>
    </row>
    <row r="94" spans="1:9" x14ac:dyDescent="0.2">
      <c r="A94" s="346"/>
      <c r="B94" s="346"/>
      <c r="C94" s="346" t="s">
        <v>273</v>
      </c>
      <c r="D94" s="1028" t="s">
        <v>274</v>
      </c>
      <c r="E94" s="1029"/>
      <c r="F94" s="347">
        <v>0</v>
      </c>
      <c r="G94" s="347">
        <v>0</v>
      </c>
      <c r="H94" s="887">
        <v>0</v>
      </c>
      <c r="I94" s="365">
        <f t="shared" ref="I94:I131" si="2">SUM(F94:H94)</f>
        <v>0</v>
      </c>
    </row>
    <row r="95" spans="1:9" x14ac:dyDescent="0.2">
      <c r="A95" s="346"/>
      <c r="B95" s="346"/>
      <c r="C95" s="346" t="s">
        <v>275</v>
      </c>
      <c r="D95" s="1028" t="s">
        <v>276</v>
      </c>
      <c r="E95" s="1029"/>
      <c r="F95" s="347">
        <v>0</v>
      </c>
      <c r="G95" s="347">
        <v>0</v>
      </c>
      <c r="H95" s="887">
        <v>0</v>
      </c>
      <c r="I95" s="365">
        <f t="shared" si="2"/>
        <v>0</v>
      </c>
    </row>
    <row r="96" spans="1:9" x14ac:dyDescent="0.2">
      <c r="A96" s="346"/>
      <c r="B96" s="346"/>
      <c r="C96" s="346" t="s">
        <v>277</v>
      </c>
      <c r="D96" s="1028" t="s">
        <v>278</v>
      </c>
      <c r="E96" s="1029"/>
      <c r="F96" s="347">
        <f>SUM(F97:F106)+4500-500+400+5872+1640+6890+42305-42305+1061-1061-100+15+2633+761+1039+3092-4500</f>
        <v>197007</v>
      </c>
      <c r="G96" s="347">
        <f>SUM(G97:G106)</f>
        <v>0</v>
      </c>
      <c r="H96" s="887">
        <f>SUM(H97:H106)</f>
        <v>0</v>
      </c>
      <c r="I96" s="365">
        <f t="shared" si="2"/>
        <v>197007</v>
      </c>
    </row>
    <row r="97" spans="1:9" hidden="1" x14ac:dyDescent="0.2">
      <c r="A97" s="351"/>
      <c r="B97" s="351"/>
      <c r="C97" s="348" t="s">
        <v>1018</v>
      </c>
      <c r="D97" s="348" t="s">
        <v>235</v>
      </c>
      <c r="E97" s="348" t="s">
        <v>263</v>
      </c>
      <c r="F97" s="350">
        <v>0</v>
      </c>
      <c r="G97" s="350">
        <v>0</v>
      </c>
      <c r="H97" s="888">
        <v>0</v>
      </c>
      <c r="I97" s="352">
        <f t="shared" si="2"/>
        <v>0</v>
      </c>
    </row>
    <row r="98" spans="1:9" hidden="1" x14ac:dyDescent="0.2">
      <c r="A98" s="351"/>
      <c r="B98" s="351"/>
      <c r="C98" s="348"/>
      <c r="D98" s="348" t="s">
        <v>237</v>
      </c>
      <c r="E98" s="348" t="s">
        <v>264</v>
      </c>
      <c r="F98" s="350">
        <v>0</v>
      </c>
      <c r="G98" s="350">
        <v>0</v>
      </c>
      <c r="H98" s="888">
        <v>0</v>
      </c>
      <c r="I98" s="352">
        <f t="shared" si="2"/>
        <v>0</v>
      </c>
    </row>
    <row r="99" spans="1:9" hidden="1" x14ac:dyDescent="0.2">
      <c r="A99" s="351"/>
      <c r="B99" s="351"/>
      <c r="C99" s="348"/>
      <c r="D99" s="348" t="s">
        <v>239</v>
      </c>
      <c r="E99" s="348" t="s">
        <v>265</v>
      </c>
      <c r="F99" s="350">
        <v>0</v>
      </c>
      <c r="G99" s="350">
        <v>0</v>
      </c>
      <c r="H99" s="888">
        <v>0</v>
      </c>
      <c r="I99" s="352">
        <f t="shared" si="2"/>
        <v>0</v>
      </c>
    </row>
    <row r="100" spans="1:9" hidden="1" x14ac:dyDescent="0.2">
      <c r="A100" s="351"/>
      <c r="B100" s="351"/>
      <c r="C100" s="348"/>
      <c r="D100" s="348" t="s">
        <v>241</v>
      </c>
      <c r="E100" s="348" t="s">
        <v>266</v>
      </c>
      <c r="F100" s="350">
        <v>0</v>
      </c>
      <c r="G100" s="350">
        <v>0</v>
      </c>
      <c r="H100" s="888">
        <v>0</v>
      </c>
      <c r="I100" s="352">
        <f t="shared" si="2"/>
        <v>0</v>
      </c>
    </row>
    <row r="101" spans="1:9" hidden="1" x14ac:dyDescent="0.2">
      <c r="A101" s="351"/>
      <c r="B101" s="351"/>
      <c r="C101" s="348"/>
      <c r="D101" s="348" t="s">
        <v>243</v>
      </c>
      <c r="E101" s="348" t="s">
        <v>267</v>
      </c>
      <c r="F101" s="350">
        <v>0</v>
      </c>
      <c r="G101" s="350">
        <v>0</v>
      </c>
      <c r="H101" s="888">
        <v>0</v>
      </c>
      <c r="I101" s="352">
        <f t="shared" si="2"/>
        <v>0</v>
      </c>
    </row>
    <row r="102" spans="1:9" hidden="1" x14ac:dyDescent="0.2">
      <c r="A102" s="349"/>
      <c r="B102" s="349"/>
      <c r="C102" s="348"/>
      <c r="D102" s="348" t="s">
        <v>245</v>
      </c>
      <c r="E102" s="348" t="s">
        <v>268</v>
      </c>
      <c r="F102" s="350">
        <v>175165</v>
      </c>
      <c r="G102" s="350">
        <v>0</v>
      </c>
      <c r="H102" s="888">
        <v>0</v>
      </c>
      <c r="I102" s="352">
        <f>SUM(F102:H102)</f>
        <v>175165</v>
      </c>
    </row>
    <row r="103" spans="1:9" hidden="1" x14ac:dyDescent="0.2">
      <c r="A103" s="349"/>
      <c r="B103" s="349"/>
      <c r="C103" s="348"/>
      <c r="D103" s="348" t="s">
        <v>247</v>
      </c>
      <c r="E103" s="348" t="s">
        <v>269</v>
      </c>
      <c r="F103" s="350">
        <v>100</v>
      </c>
      <c r="G103" s="350">
        <v>0</v>
      </c>
      <c r="H103" s="888">
        <v>0</v>
      </c>
      <c r="I103" s="352">
        <f t="shared" si="2"/>
        <v>100</v>
      </c>
    </row>
    <row r="104" spans="1:9" hidden="1" x14ac:dyDescent="0.2">
      <c r="A104" s="351"/>
      <c r="B104" s="351"/>
      <c r="C104" s="348"/>
      <c r="D104" s="348" t="s">
        <v>249</v>
      </c>
      <c r="E104" s="348" t="s">
        <v>270</v>
      </c>
      <c r="F104" s="350">
        <v>0</v>
      </c>
      <c r="G104" s="350">
        <v>0</v>
      </c>
      <c r="H104" s="888">
        <v>0</v>
      </c>
      <c r="I104" s="352">
        <f t="shared" si="2"/>
        <v>0</v>
      </c>
    </row>
    <row r="105" spans="1:9" hidden="1" x14ac:dyDescent="0.2">
      <c r="A105" s="351"/>
      <c r="B105" s="351"/>
      <c r="C105" s="348"/>
      <c r="D105" s="348" t="s">
        <v>251</v>
      </c>
      <c r="E105" s="348" t="s">
        <v>271</v>
      </c>
      <c r="F105" s="350">
        <v>0</v>
      </c>
      <c r="G105" s="350">
        <v>0</v>
      </c>
      <c r="H105" s="888">
        <v>0</v>
      </c>
      <c r="I105" s="352">
        <f t="shared" si="2"/>
        <v>0</v>
      </c>
    </row>
    <row r="106" spans="1:9" hidden="1" x14ac:dyDescent="0.2">
      <c r="A106" s="351"/>
      <c r="B106" s="351"/>
      <c r="C106" s="348"/>
      <c r="D106" s="348" t="s">
        <v>253</v>
      </c>
      <c r="E106" s="348" t="s">
        <v>272</v>
      </c>
      <c r="F106" s="350">
        <v>0</v>
      </c>
      <c r="G106" s="350">
        <v>0</v>
      </c>
      <c r="H106" s="888">
        <v>0</v>
      </c>
      <c r="I106" s="352">
        <f t="shared" si="2"/>
        <v>0</v>
      </c>
    </row>
    <row r="107" spans="1:9" x14ac:dyDescent="0.2">
      <c r="A107" s="351"/>
      <c r="B107" s="351"/>
      <c r="C107" s="346" t="s">
        <v>279</v>
      </c>
      <c r="D107" s="1028" t="s">
        <v>280</v>
      </c>
      <c r="E107" s="1029"/>
      <c r="F107" s="347">
        <f>SUM(F108:F113)</f>
        <v>10721</v>
      </c>
      <c r="G107" s="347">
        <f>SUM(G108:G113)</f>
        <v>0</v>
      </c>
      <c r="H107" s="887">
        <f>SUM(H108:H113)</f>
        <v>0</v>
      </c>
      <c r="I107" s="365">
        <f t="shared" si="2"/>
        <v>10721</v>
      </c>
    </row>
    <row r="108" spans="1:9" x14ac:dyDescent="0.2">
      <c r="A108" s="349"/>
      <c r="B108" s="349"/>
      <c r="C108" s="348"/>
      <c r="D108" s="353"/>
      <c r="E108" s="354" t="s">
        <v>686</v>
      </c>
      <c r="F108" s="350">
        <f>1000-290</f>
        <v>710</v>
      </c>
      <c r="G108" s="350">
        <v>0</v>
      </c>
      <c r="H108" s="888">
        <v>0</v>
      </c>
      <c r="I108" s="352">
        <f t="shared" si="2"/>
        <v>710</v>
      </c>
    </row>
    <row r="109" spans="1:9" x14ac:dyDescent="0.2">
      <c r="A109" s="349"/>
      <c r="B109" s="349"/>
      <c r="C109" s="348"/>
      <c r="D109" s="353"/>
      <c r="E109" s="354" t="s">
        <v>281</v>
      </c>
      <c r="F109" s="350">
        <f>500+2111</f>
        <v>2611</v>
      </c>
      <c r="G109" s="350">
        <v>0</v>
      </c>
      <c r="H109" s="888">
        <v>0</v>
      </c>
      <c r="I109" s="352">
        <f t="shared" si="2"/>
        <v>2611</v>
      </c>
    </row>
    <row r="110" spans="1:9" x14ac:dyDescent="0.2">
      <c r="A110" s="349"/>
      <c r="B110" s="349"/>
      <c r="C110" s="348"/>
      <c r="D110" s="353"/>
      <c r="E110" s="354" t="s">
        <v>878</v>
      </c>
      <c r="F110" s="350">
        <f>1596-1830+3134</f>
        <v>2900</v>
      </c>
      <c r="G110" s="350">
        <v>0</v>
      </c>
      <c r="H110" s="888">
        <v>0</v>
      </c>
      <c r="I110" s="352">
        <f t="shared" si="2"/>
        <v>2900</v>
      </c>
    </row>
    <row r="111" spans="1:9" x14ac:dyDescent="0.2">
      <c r="A111" s="349"/>
      <c r="B111" s="349"/>
      <c r="C111" s="348"/>
      <c r="D111" s="353"/>
      <c r="E111" s="354" t="s">
        <v>728</v>
      </c>
      <c r="F111" s="350">
        <f>1000-278-114-92-1112-4500+13365+120-307-96-451-680-3000-3855-5+874-340-529</f>
        <v>0</v>
      </c>
      <c r="G111" s="350">
        <v>0</v>
      </c>
      <c r="H111" s="888">
        <v>0</v>
      </c>
      <c r="I111" s="352">
        <f t="shared" si="2"/>
        <v>0</v>
      </c>
    </row>
    <row r="112" spans="1:9" x14ac:dyDescent="0.2">
      <c r="A112" s="349"/>
      <c r="B112" s="349"/>
      <c r="C112" s="348"/>
      <c r="D112" s="353"/>
      <c r="E112" s="354" t="s">
        <v>282</v>
      </c>
      <c r="F112" s="350">
        <f>6000+3000-4500</f>
        <v>4500</v>
      </c>
      <c r="G112" s="350">
        <v>0</v>
      </c>
      <c r="H112" s="888">
        <v>0</v>
      </c>
      <c r="I112" s="352">
        <f t="shared" si="2"/>
        <v>4500</v>
      </c>
    </row>
    <row r="113" spans="1:9" x14ac:dyDescent="0.2">
      <c r="A113" s="349"/>
      <c r="B113" s="349"/>
      <c r="C113" s="348"/>
      <c r="D113" s="353"/>
      <c r="E113" s="354" t="s">
        <v>879</v>
      </c>
      <c r="F113" s="350">
        <f>105238-20513-16503-3030-3155-575-10-7145-14359-214-283-3000-35509-942</f>
        <v>0</v>
      </c>
      <c r="G113" s="350">
        <f>3984-254-120-3610</f>
        <v>0</v>
      </c>
      <c r="H113" s="888">
        <f>10018-263-9755</f>
        <v>0</v>
      </c>
      <c r="I113" s="352">
        <f t="shared" si="2"/>
        <v>0</v>
      </c>
    </row>
    <row r="114" spans="1:9" s="362" customFormat="1" ht="12" customHeight="1" x14ac:dyDescent="0.2">
      <c r="A114" s="360" t="s">
        <v>188</v>
      </c>
      <c r="B114" s="1036" t="s">
        <v>609</v>
      </c>
      <c r="C114" s="1037"/>
      <c r="D114" s="1037"/>
      <c r="E114" s="1038"/>
      <c r="F114" s="361">
        <f>SUM(F115:F121)+1528+532+481-317+96+9718+2695+3000+80-7620-4642-70-500+2507+295-295-3000+400+290+395+1766</f>
        <v>4110272</v>
      </c>
      <c r="G114" s="361">
        <f>SUM(G115:G121)</f>
        <v>254</v>
      </c>
      <c r="H114" s="895">
        <f>SUM(H115:H121)+220+719-719+450</f>
        <v>670</v>
      </c>
      <c r="I114" s="361">
        <f t="shared" si="2"/>
        <v>4111196</v>
      </c>
    </row>
    <row r="115" spans="1:9" hidden="1" x14ac:dyDescent="0.2">
      <c r="A115" s="337"/>
      <c r="B115" s="337" t="s">
        <v>283</v>
      </c>
      <c r="C115" s="1011" t="s">
        <v>284</v>
      </c>
      <c r="D115" s="1011"/>
      <c r="E115" s="1011"/>
      <c r="F115" s="338">
        <v>1575</v>
      </c>
      <c r="G115" s="338">
        <v>0</v>
      </c>
      <c r="H115" s="886">
        <v>0</v>
      </c>
      <c r="I115" s="336">
        <f t="shared" si="2"/>
        <v>1575</v>
      </c>
    </row>
    <row r="116" spans="1:9" hidden="1" x14ac:dyDescent="0.2">
      <c r="A116" s="337"/>
      <c r="B116" s="337" t="s">
        <v>285</v>
      </c>
      <c r="C116" s="1011" t="s">
        <v>286</v>
      </c>
      <c r="D116" s="1011"/>
      <c r="E116" s="1011"/>
      <c r="F116" s="338">
        <f>3655+3619190</f>
        <v>3622845</v>
      </c>
      <c r="G116" s="338">
        <v>0</v>
      </c>
      <c r="H116" s="886">
        <v>0</v>
      </c>
      <c r="I116" s="336">
        <f t="shared" si="2"/>
        <v>3622845</v>
      </c>
    </row>
    <row r="117" spans="1:9" hidden="1" x14ac:dyDescent="0.2">
      <c r="A117" s="337" t="s">
        <v>287</v>
      </c>
      <c r="B117" s="337" t="s">
        <v>288</v>
      </c>
      <c r="C117" s="1011" t="s">
        <v>289</v>
      </c>
      <c r="D117" s="1011"/>
      <c r="E117" s="1011"/>
      <c r="F117" s="338">
        <v>1811</v>
      </c>
      <c r="G117" s="338">
        <v>0</v>
      </c>
      <c r="H117" s="886">
        <v>0</v>
      </c>
      <c r="I117" s="336">
        <f t="shared" si="2"/>
        <v>1811</v>
      </c>
    </row>
    <row r="118" spans="1:9" hidden="1" x14ac:dyDescent="0.2">
      <c r="A118" s="337"/>
      <c r="B118" s="337" t="s">
        <v>290</v>
      </c>
      <c r="C118" s="1011" t="s">
        <v>291</v>
      </c>
      <c r="D118" s="1011"/>
      <c r="E118" s="1011"/>
      <c r="F118" s="338">
        <f>371851+1568</f>
        <v>373419</v>
      </c>
      <c r="G118" s="338">
        <v>200</v>
      </c>
      <c r="H118" s="886">
        <f>120-120</f>
        <v>0</v>
      </c>
      <c r="I118" s="336">
        <f t="shared" si="2"/>
        <v>373619</v>
      </c>
    </row>
    <row r="119" spans="1:9" hidden="1" x14ac:dyDescent="0.2">
      <c r="A119" s="337"/>
      <c r="B119" s="337" t="s">
        <v>292</v>
      </c>
      <c r="C119" s="1011" t="s">
        <v>293</v>
      </c>
      <c r="D119" s="1011"/>
      <c r="E119" s="1011"/>
      <c r="F119" s="338">
        <v>1000</v>
      </c>
      <c r="G119" s="338">
        <v>0</v>
      </c>
      <c r="H119" s="886">
        <v>0</v>
      </c>
      <c r="I119" s="336">
        <f t="shared" si="2"/>
        <v>1000</v>
      </c>
    </row>
    <row r="120" spans="1:9" hidden="1" x14ac:dyDescent="0.2">
      <c r="A120" s="337"/>
      <c r="B120" s="337" t="s">
        <v>294</v>
      </c>
      <c r="C120" s="1011" t="s">
        <v>295</v>
      </c>
      <c r="D120" s="1011"/>
      <c r="E120" s="1011"/>
      <c r="F120" s="338">
        <v>0</v>
      </c>
      <c r="G120" s="338">
        <v>0</v>
      </c>
      <c r="H120" s="886">
        <v>0</v>
      </c>
      <c r="I120" s="336">
        <f t="shared" si="2"/>
        <v>0</v>
      </c>
    </row>
    <row r="121" spans="1:9" hidden="1" x14ac:dyDescent="0.2">
      <c r="A121" s="337"/>
      <c r="B121" s="337" t="s">
        <v>296</v>
      </c>
      <c r="C121" s="1011" t="s">
        <v>297</v>
      </c>
      <c r="D121" s="1011"/>
      <c r="E121" s="1011"/>
      <c r="F121" s="338">
        <v>102283</v>
      </c>
      <c r="G121" s="338">
        <v>54</v>
      </c>
      <c r="H121" s="886">
        <f>32-32</f>
        <v>0</v>
      </c>
      <c r="I121" s="336">
        <f t="shared" si="2"/>
        <v>102337</v>
      </c>
    </row>
    <row r="122" spans="1:9" s="362" customFormat="1" ht="12" customHeight="1" x14ac:dyDescent="0.2">
      <c r="A122" s="360" t="s">
        <v>190</v>
      </c>
      <c r="B122" s="1036" t="s">
        <v>189</v>
      </c>
      <c r="C122" s="1037"/>
      <c r="D122" s="1037"/>
      <c r="E122" s="1038"/>
      <c r="F122" s="361">
        <f>SUM(F123:F126)+7487+4509+1219</f>
        <v>28946</v>
      </c>
      <c r="G122" s="361">
        <f>SUM(G123:G126)</f>
        <v>0</v>
      </c>
      <c r="H122" s="895">
        <f>SUM(H123:H126)</f>
        <v>0</v>
      </c>
      <c r="I122" s="361">
        <f t="shared" si="2"/>
        <v>28946</v>
      </c>
    </row>
    <row r="123" spans="1:9" hidden="1" x14ac:dyDescent="0.2">
      <c r="A123" s="337"/>
      <c r="B123" s="337" t="s">
        <v>298</v>
      </c>
      <c r="C123" s="1011" t="s">
        <v>299</v>
      </c>
      <c r="D123" s="1011"/>
      <c r="E123" s="1011"/>
      <c r="F123" s="338">
        <v>15731</v>
      </c>
      <c r="G123" s="338">
        <v>0</v>
      </c>
      <c r="H123" s="886">
        <v>0</v>
      </c>
      <c r="I123" s="336">
        <f t="shared" si="2"/>
        <v>15731</v>
      </c>
    </row>
    <row r="124" spans="1:9" hidden="1" x14ac:dyDescent="0.2">
      <c r="A124" s="337"/>
      <c r="B124" s="337" t="s">
        <v>300</v>
      </c>
      <c r="C124" s="1011" t="s">
        <v>301</v>
      </c>
      <c r="D124" s="1011"/>
      <c r="E124" s="1011"/>
      <c r="F124" s="338">
        <v>0</v>
      </c>
      <c r="G124" s="338">
        <v>0</v>
      </c>
      <c r="H124" s="886">
        <v>0</v>
      </c>
      <c r="I124" s="336">
        <f t="shared" si="2"/>
        <v>0</v>
      </c>
    </row>
    <row r="125" spans="1:9" hidden="1" x14ac:dyDescent="0.2">
      <c r="A125" s="337" t="s">
        <v>287</v>
      </c>
      <c r="B125" s="337" t="s">
        <v>302</v>
      </c>
      <c r="C125" s="1011" t="s">
        <v>303</v>
      </c>
      <c r="D125" s="1011"/>
      <c r="E125" s="1011"/>
      <c r="F125" s="338">
        <v>0</v>
      </c>
      <c r="G125" s="338">
        <v>0</v>
      </c>
      <c r="H125" s="886">
        <v>0</v>
      </c>
      <c r="I125" s="336">
        <f t="shared" si="2"/>
        <v>0</v>
      </c>
    </row>
    <row r="126" spans="1:9" hidden="1" x14ac:dyDescent="0.2">
      <c r="A126" s="337"/>
      <c r="B126" s="337" t="s">
        <v>304</v>
      </c>
      <c r="C126" s="1011" t="s">
        <v>305</v>
      </c>
      <c r="D126" s="1011"/>
      <c r="E126" s="1011"/>
      <c r="F126" s="338">
        <v>0</v>
      </c>
      <c r="G126" s="338">
        <v>0</v>
      </c>
      <c r="H126" s="886">
        <v>0</v>
      </c>
      <c r="I126" s="336">
        <f t="shared" si="2"/>
        <v>0</v>
      </c>
    </row>
    <row r="127" spans="1:9" s="362" customFormat="1" ht="11.25" customHeight="1" x14ac:dyDescent="0.2">
      <c r="A127" s="360" t="s">
        <v>192</v>
      </c>
      <c r="B127" s="1036" t="s">
        <v>191</v>
      </c>
      <c r="C127" s="1037"/>
      <c r="D127" s="1037"/>
      <c r="E127" s="1038"/>
      <c r="F127" s="361">
        <f>SUM(F128+F129+F130+F131++F132+F133+F134+F135)+278+156+45+500+20019</f>
        <v>21473</v>
      </c>
      <c r="G127" s="361">
        <f>SUM(G128+G129+G130+G131++G132+G133+G134+G135)</f>
        <v>0</v>
      </c>
      <c r="H127" s="895">
        <f>SUM(H128+H129+H130+H131++H132+H133+H134+H135)</f>
        <v>0</v>
      </c>
      <c r="I127" s="361">
        <f t="shared" si="2"/>
        <v>21473</v>
      </c>
    </row>
    <row r="128" spans="1:9" hidden="1" x14ac:dyDescent="0.2">
      <c r="A128" s="337"/>
      <c r="B128" s="337" t="s">
        <v>306</v>
      </c>
      <c r="C128" s="1011" t="s">
        <v>307</v>
      </c>
      <c r="D128" s="1011"/>
      <c r="E128" s="1011"/>
      <c r="F128" s="338">
        <v>0</v>
      </c>
      <c r="G128" s="338">
        <v>0</v>
      </c>
      <c r="H128" s="886">
        <v>0</v>
      </c>
      <c r="I128" s="336">
        <f t="shared" si="2"/>
        <v>0</v>
      </c>
    </row>
    <row r="129" spans="1:9" hidden="1" x14ac:dyDescent="0.2">
      <c r="A129" s="337"/>
      <c r="B129" s="337" t="s">
        <v>308</v>
      </c>
      <c r="C129" s="1011" t="s">
        <v>309</v>
      </c>
      <c r="D129" s="1011"/>
      <c r="E129" s="1011"/>
      <c r="F129" s="338">
        <v>0</v>
      </c>
      <c r="G129" s="338">
        <v>0</v>
      </c>
      <c r="H129" s="886">
        <v>0</v>
      </c>
      <c r="I129" s="336">
        <f t="shared" si="2"/>
        <v>0</v>
      </c>
    </row>
    <row r="130" spans="1:9" hidden="1" x14ac:dyDescent="0.2">
      <c r="A130" s="337" t="s">
        <v>287</v>
      </c>
      <c r="B130" s="337" t="s">
        <v>310</v>
      </c>
      <c r="C130" s="1011" t="s">
        <v>311</v>
      </c>
      <c r="D130" s="1011"/>
      <c r="E130" s="1011"/>
      <c r="F130" s="338">
        <v>0</v>
      </c>
      <c r="G130" s="338">
        <v>0</v>
      </c>
      <c r="H130" s="886">
        <v>0</v>
      </c>
      <c r="I130" s="336">
        <f t="shared" si="2"/>
        <v>0</v>
      </c>
    </row>
    <row r="131" spans="1:9" hidden="1" x14ac:dyDescent="0.2">
      <c r="A131" s="337"/>
      <c r="B131" s="337" t="s">
        <v>312</v>
      </c>
      <c r="C131" s="1011" t="s">
        <v>313</v>
      </c>
      <c r="D131" s="1011"/>
      <c r="E131" s="1011"/>
      <c r="F131" s="338">
        <v>0</v>
      </c>
      <c r="G131" s="338">
        <v>0</v>
      </c>
      <c r="H131" s="886">
        <v>0</v>
      </c>
      <c r="I131" s="336">
        <f t="shared" si="2"/>
        <v>0</v>
      </c>
    </row>
    <row r="132" spans="1:9" hidden="1" x14ac:dyDescent="0.2">
      <c r="A132" s="337"/>
      <c r="B132" s="337" t="s">
        <v>314</v>
      </c>
      <c r="C132" s="1011" t="s">
        <v>315</v>
      </c>
      <c r="D132" s="1011"/>
      <c r="E132" s="1011"/>
      <c r="F132" s="338">
        <v>0</v>
      </c>
      <c r="G132" s="338">
        <v>0</v>
      </c>
      <c r="H132" s="886">
        <v>0</v>
      </c>
      <c r="I132" s="336">
        <f t="shared" ref="I132:I149" si="3">SUM(F132:H132)</f>
        <v>0</v>
      </c>
    </row>
    <row r="133" spans="1:9" hidden="1" x14ac:dyDescent="0.2">
      <c r="A133" s="337"/>
      <c r="B133" s="337" t="s">
        <v>316</v>
      </c>
      <c r="C133" s="1011" t="s">
        <v>317</v>
      </c>
      <c r="D133" s="1011"/>
      <c r="E133" s="1011"/>
      <c r="F133" s="338">
        <v>0</v>
      </c>
      <c r="G133" s="338">
        <v>0</v>
      </c>
      <c r="H133" s="886">
        <v>0</v>
      </c>
      <c r="I133" s="336">
        <f t="shared" si="3"/>
        <v>0</v>
      </c>
    </row>
    <row r="134" spans="1:9" hidden="1" x14ac:dyDescent="0.2">
      <c r="A134" s="337"/>
      <c r="B134" s="337" t="s">
        <v>318</v>
      </c>
      <c r="C134" s="1011" t="s">
        <v>319</v>
      </c>
      <c r="D134" s="1011"/>
      <c r="E134" s="1011"/>
      <c r="F134" s="338">
        <v>0</v>
      </c>
      <c r="G134" s="338">
        <v>0</v>
      </c>
      <c r="H134" s="886">
        <v>0</v>
      </c>
      <c r="I134" s="336">
        <f t="shared" si="3"/>
        <v>0</v>
      </c>
    </row>
    <row r="135" spans="1:9" hidden="1" x14ac:dyDescent="0.2">
      <c r="A135" s="337"/>
      <c r="B135" s="337" t="s">
        <v>320</v>
      </c>
      <c r="C135" s="1011" t="s">
        <v>321</v>
      </c>
      <c r="D135" s="1011"/>
      <c r="E135" s="1011"/>
      <c r="F135" s="338">
        <f>SUM(F136:F145)</f>
        <v>475</v>
      </c>
      <c r="G135" s="338">
        <f>SUM(G136:G145)</f>
        <v>0</v>
      </c>
      <c r="H135" s="886">
        <f>SUM(H136:H145)</f>
        <v>0</v>
      </c>
      <c r="I135" s="336">
        <f t="shared" si="3"/>
        <v>475</v>
      </c>
    </row>
    <row r="136" spans="1:9" hidden="1" x14ac:dyDescent="0.2">
      <c r="A136" s="351"/>
      <c r="B136" s="351"/>
      <c r="C136" s="348" t="s">
        <v>1018</v>
      </c>
      <c r="D136" s="348" t="s">
        <v>235</v>
      </c>
      <c r="E136" s="348" t="s">
        <v>263</v>
      </c>
      <c r="F136" s="350">
        <v>0</v>
      </c>
      <c r="G136" s="350">
        <v>0</v>
      </c>
      <c r="H136" s="888">
        <v>0</v>
      </c>
      <c r="I136" s="352">
        <f t="shared" si="3"/>
        <v>0</v>
      </c>
    </row>
    <row r="137" spans="1:9" hidden="1" x14ac:dyDescent="0.2">
      <c r="A137" s="351"/>
      <c r="B137" s="351"/>
      <c r="C137" s="348"/>
      <c r="D137" s="348" t="s">
        <v>237</v>
      </c>
      <c r="E137" s="348" t="s">
        <v>264</v>
      </c>
      <c r="F137" s="350">
        <v>475</v>
      </c>
      <c r="G137" s="350">
        <v>0</v>
      </c>
      <c r="H137" s="888">
        <v>0</v>
      </c>
      <c r="I137" s="352">
        <f t="shared" si="3"/>
        <v>475</v>
      </c>
    </row>
    <row r="138" spans="1:9" hidden="1" x14ac:dyDescent="0.2">
      <c r="A138" s="351"/>
      <c r="B138" s="351"/>
      <c r="C138" s="348"/>
      <c r="D138" s="348" t="s">
        <v>239</v>
      </c>
      <c r="E138" s="348" t="s">
        <v>265</v>
      </c>
      <c r="F138" s="350">
        <v>0</v>
      </c>
      <c r="G138" s="350">
        <v>0</v>
      </c>
      <c r="H138" s="888">
        <v>0</v>
      </c>
      <c r="I138" s="352">
        <f t="shared" si="3"/>
        <v>0</v>
      </c>
    </row>
    <row r="139" spans="1:9" hidden="1" x14ac:dyDescent="0.2">
      <c r="A139" s="351"/>
      <c r="B139" s="351"/>
      <c r="C139" s="348"/>
      <c r="D139" s="348" t="s">
        <v>241</v>
      </c>
      <c r="E139" s="348" t="s">
        <v>266</v>
      </c>
      <c r="F139" s="350">
        <v>0</v>
      </c>
      <c r="G139" s="350">
        <v>0</v>
      </c>
      <c r="H139" s="888">
        <v>0</v>
      </c>
      <c r="I139" s="352">
        <f t="shared" si="3"/>
        <v>0</v>
      </c>
    </row>
    <row r="140" spans="1:9" hidden="1" x14ac:dyDescent="0.2">
      <c r="A140" s="351"/>
      <c r="B140" s="351"/>
      <c r="C140" s="348"/>
      <c r="D140" s="348" t="s">
        <v>243</v>
      </c>
      <c r="E140" s="348" t="s">
        <v>267</v>
      </c>
      <c r="F140" s="350">
        <v>0</v>
      </c>
      <c r="G140" s="350">
        <v>0</v>
      </c>
      <c r="H140" s="888">
        <v>0</v>
      </c>
      <c r="I140" s="352">
        <f t="shared" si="3"/>
        <v>0</v>
      </c>
    </row>
    <row r="141" spans="1:9" hidden="1" x14ac:dyDescent="0.2">
      <c r="A141" s="351"/>
      <c r="B141" s="351"/>
      <c r="C141" s="348"/>
      <c r="D141" s="348" t="s">
        <v>245</v>
      </c>
      <c r="E141" s="348" t="s">
        <v>268</v>
      </c>
      <c r="F141" s="350">
        <v>0</v>
      </c>
      <c r="G141" s="350">
        <v>0</v>
      </c>
      <c r="H141" s="888">
        <v>0</v>
      </c>
      <c r="I141" s="352">
        <f t="shared" si="3"/>
        <v>0</v>
      </c>
    </row>
    <row r="142" spans="1:9" hidden="1" x14ac:dyDescent="0.2">
      <c r="A142" s="351"/>
      <c r="B142" s="351"/>
      <c r="C142" s="348"/>
      <c r="D142" s="348" t="s">
        <v>247</v>
      </c>
      <c r="E142" s="348" t="s">
        <v>269</v>
      </c>
      <c r="F142" s="350">
        <v>0</v>
      </c>
      <c r="G142" s="350">
        <v>0</v>
      </c>
      <c r="H142" s="888">
        <v>0</v>
      </c>
      <c r="I142" s="352">
        <f t="shared" si="3"/>
        <v>0</v>
      </c>
    </row>
    <row r="143" spans="1:9" hidden="1" x14ac:dyDescent="0.2">
      <c r="A143" s="351"/>
      <c r="B143" s="351"/>
      <c r="C143" s="348"/>
      <c r="D143" s="348" t="s">
        <v>249</v>
      </c>
      <c r="E143" s="348" t="s">
        <v>270</v>
      </c>
      <c r="F143" s="350">
        <v>0</v>
      </c>
      <c r="G143" s="350">
        <v>0</v>
      </c>
      <c r="H143" s="888">
        <v>0</v>
      </c>
      <c r="I143" s="352">
        <f t="shared" si="3"/>
        <v>0</v>
      </c>
    </row>
    <row r="144" spans="1:9" hidden="1" x14ac:dyDescent="0.2">
      <c r="A144" s="351"/>
      <c r="B144" s="351"/>
      <c r="C144" s="348"/>
      <c r="D144" s="348" t="s">
        <v>251</v>
      </c>
      <c r="E144" s="348" t="s">
        <v>271</v>
      </c>
      <c r="F144" s="350">
        <v>0</v>
      </c>
      <c r="G144" s="350">
        <v>0</v>
      </c>
      <c r="H144" s="888">
        <v>0</v>
      </c>
      <c r="I144" s="352">
        <f t="shared" si="3"/>
        <v>0</v>
      </c>
    </row>
    <row r="145" spans="1:9" hidden="1" x14ac:dyDescent="0.2">
      <c r="A145" s="351"/>
      <c r="B145" s="351"/>
      <c r="C145" s="348"/>
      <c r="D145" s="348" t="s">
        <v>253</v>
      </c>
      <c r="E145" s="348" t="s">
        <v>272</v>
      </c>
      <c r="F145" s="350">
        <v>0</v>
      </c>
      <c r="G145" s="350">
        <v>0</v>
      </c>
      <c r="H145" s="888">
        <v>0</v>
      </c>
      <c r="I145" s="352">
        <f t="shared" si="3"/>
        <v>0</v>
      </c>
    </row>
    <row r="146" spans="1:9" s="362" customFormat="1" ht="13.5" customHeight="1" x14ac:dyDescent="0.2">
      <c r="A146" s="360" t="s">
        <v>194</v>
      </c>
      <c r="B146" s="1036" t="s">
        <v>193</v>
      </c>
      <c r="C146" s="1037"/>
      <c r="D146" s="1037"/>
      <c r="E146" s="1038"/>
      <c r="F146" s="361">
        <f>SUM(F147:F149)+1034+187176</f>
        <v>188210</v>
      </c>
      <c r="G146" s="361">
        <f>SUM(G147:G149)</f>
        <v>0</v>
      </c>
      <c r="H146" s="895">
        <f>SUM(H147:H149)</f>
        <v>0</v>
      </c>
      <c r="I146" s="361">
        <f t="shared" si="3"/>
        <v>188210</v>
      </c>
    </row>
    <row r="147" spans="1:9" hidden="1" x14ac:dyDescent="0.2">
      <c r="A147" s="337"/>
      <c r="B147" s="337" t="s">
        <v>322</v>
      </c>
      <c r="C147" s="1011" t="s">
        <v>323</v>
      </c>
      <c r="D147" s="1011"/>
      <c r="E147" s="1011"/>
      <c r="F147" s="338">
        <v>0</v>
      </c>
      <c r="G147" s="338">
        <v>0</v>
      </c>
      <c r="H147" s="886">
        <v>0</v>
      </c>
      <c r="I147" s="336">
        <f t="shared" si="3"/>
        <v>0</v>
      </c>
    </row>
    <row r="148" spans="1:9" hidden="1" x14ac:dyDescent="0.2">
      <c r="A148" s="337"/>
      <c r="B148" s="337" t="s">
        <v>324</v>
      </c>
      <c r="C148" s="1011" t="s">
        <v>325</v>
      </c>
      <c r="D148" s="1011"/>
      <c r="E148" s="1011"/>
      <c r="F148" s="338">
        <v>0</v>
      </c>
      <c r="G148" s="338">
        <v>0</v>
      </c>
      <c r="H148" s="886">
        <v>0</v>
      </c>
      <c r="I148" s="336">
        <f t="shared" si="3"/>
        <v>0</v>
      </c>
    </row>
    <row r="149" spans="1:9" hidden="1" x14ac:dyDescent="0.2">
      <c r="A149" s="337"/>
      <c r="B149" s="337" t="s">
        <v>326</v>
      </c>
      <c r="C149" s="1011" t="s">
        <v>327</v>
      </c>
      <c r="D149" s="1011"/>
      <c r="E149" s="1011"/>
      <c r="F149" s="338">
        <v>0</v>
      </c>
      <c r="G149" s="338">
        <v>0</v>
      </c>
      <c r="H149" s="886">
        <v>0</v>
      </c>
      <c r="I149" s="336">
        <f t="shared" si="3"/>
        <v>0</v>
      </c>
    </row>
    <row r="150" spans="1:9" x14ac:dyDescent="0.2">
      <c r="A150" s="693"/>
      <c r="F150" s="336"/>
      <c r="G150" s="355"/>
      <c r="H150" s="891"/>
      <c r="I150" s="336"/>
    </row>
    <row r="151" spans="1:9" s="364" customFormat="1" ht="15.75" x14ac:dyDescent="0.25">
      <c r="A151" s="1033" t="s">
        <v>328</v>
      </c>
      <c r="B151" s="1034"/>
      <c r="C151" s="1034"/>
      <c r="D151" s="1034"/>
      <c r="E151" s="1035"/>
      <c r="F151" s="363">
        <f>SUM(F146+F127+F122+F114+F75+F56+F28+F22+F7)</f>
        <v>5303260</v>
      </c>
      <c r="G151" s="363">
        <f>SUM(G146+G127+G122+G114+G75+G56+G28+G22+G7)</f>
        <v>314324</v>
      </c>
      <c r="H151" s="892">
        <f>SUM(H146+H127+H122+H114+H75+H56+H28+H22+H7)</f>
        <v>207928</v>
      </c>
      <c r="I151" s="363">
        <f>SUM(I7+I22+I28+I56+I75+I114+I122+I127+I146)</f>
        <v>5825512</v>
      </c>
    </row>
    <row r="153" spans="1:9" x14ac:dyDescent="0.2">
      <c r="A153" s="1006"/>
      <c r="B153" s="1006"/>
      <c r="C153" s="1006"/>
      <c r="D153" s="1006"/>
    </row>
    <row r="154" spans="1:9" x14ac:dyDescent="0.2">
      <c r="A154" s="1009">
        <v>4</v>
      </c>
      <c r="B154" s="1007" t="s">
        <v>1148</v>
      </c>
      <c r="C154" s="1007"/>
      <c r="D154" s="1008"/>
      <c r="E154" s="1008"/>
    </row>
    <row r="155" spans="1:9" x14ac:dyDescent="0.2">
      <c r="A155" s="1009">
        <v>5</v>
      </c>
      <c r="B155" s="1007" t="s">
        <v>1146</v>
      </c>
      <c r="C155" s="1007"/>
      <c r="D155" s="1008"/>
      <c r="E155" s="1008"/>
    </row>
    <row r="156" spans="1:9" x14ac:dyDescent="0.2">
      <c r="A156" s="1010">
        <v>6</v>
      </c>
      <c r="B156" s="1007" t="s">
        <v>1147</v>
      </c>
      <c r="C156" s="1007"/>
      <c r="D156" s="1008"/>
      <c r="E156" s="1008"/>
    </row>
  </sheetData>
  <mergeCells count="73">
    <mergeCell ref="A3:I3"/>
    <mergeCell ref="C71:E71"/>
    <mergeCell ref="A1:I1"/>
    <mergeCell ref="C149:E149"/>
    <mergeCell ref="C148:E148"/>
    <mergeCell ref="C147:E147"/>
    <mergeCell ref="C133:E133"/>
    <mergeCell ref="C134:E134"/>
    <mergeCell ref="C135:E135"/>
    <mergeCell ref="C129:E129"/>
    <mergeCell ref="D72:E72"/>
    <mergeCell ref="D73:E73"/>
    <mergeCell ref="D74:E74"/>
    <mergeCell ref="D107:E107"/>
    <mergeCell ref="D79:E79"/>
    <mergeCell ref="D80:E80"/>
    <mergeCell ref="D81:E81"/>
    <mergeCell ref="D92:E92"/>
    <mergeCell ref="B75:E75"/>
    <mergeCell ref="D78:E78"/>
    <mergeCell ref="D93:E93"/>
    <mergeCell ref="C118:E118"/>
    <mergeCell ref="C119:E119"/>
    <mergeCell ref="B122:E122"/>
    <mergeCell ref="C120:E120"/>
    <mergeCell ref="D94:E94"/>
    <mergeCell ref="D95:E95"/>
    <mergeCell ref="C116:E116"/>
    <mergeCell ref="D96:E96"/>
    <mergeCell ref="C117:E117"/>
    <mergeCell ref="C115:E115"/>
    <mergeCell ref="D67:E67"/>
    <mergeCell ref="C68:E68"/>
    <mergeCell ref="D69:E69"/>
    <mergeCell ref="A151:E151"/>
    <mergeCell ref="B146:E146"/>
    <mergeCell ref="C131:E131"/>
    <mergeCell ref="C132:E132"/>
    <mergeCell ref="C125:E125"/>
    <mergeCell ref="C130:E130"/>
    <mergeCell ref="B127:E127"/>
    <mergeCell ref="C126:E126"/>
    <mergeCell ref="C128:E128"/>
    <mergeCell ref="C124:E124"/>
    <mergeCell ref="B114:E114"/>
    <mergeCell ref="C121:E121"/>
    <mergeCell ref="C123:E123"/>
    <mergeCell ref="D20:E20"/>
    <mergeCell ref="D21:E21"/>
    <mergeCell ref="B22:E22"/>
    <mergeCell ref="C49:E49"/>
    <mergeCell ref="C70:E70"/>
    <mergeCell ref="C62:E62"/>
    <mergeCell ref="C63:E63"/>
    <mergeCell ref="D64:E64"/>
    <mergeCell ref="D65:E65"/>
    <mergeCell ref="C66:E66"/>
    <mergeCell ref="C58:E58"/>
    <mergeCell ref="C57:E57"/>
    <mergeCell ref="B28:E28"/>
    <mergeCell ref="C29:E29"/>
    <mergeCell ref="C32:E32"/>
    <mergeCell ref="C35:E35"/>
    <mergeCell ref="A5:E5"/>
    <mergeCell ref="B7:E7"/>
    <mergeCell ref="C8:E8"/>
    <mergeCell ref="C18:E18"/>
    <mergeCell ref="B6:E6"/>
    <mergeCell ref="D61:E61"/>
    <mergeCell ref="D59:E59"/>
    <mergeCell ref="D60:E60"/>
    <mergeCell ref="C52:E52"/>
    <mergeCell ref="B56:E56"/>
  </mergeCells>
  <phoneticPr fontId="5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9"/>
  <sheetViews>
    <sheetView workbookViewId="0">
      <selection activeCell="F57" sqref="F57"/>
    </sheetView>
  </sheetViews>
  <sheetFormatPr defaultRowHeight="15" x14ac:dyDescent="0.25"/>
  <cols>
    <col min="1" max="1" width="4.140625" style="142" bestFit="1" customWidth="1"/>
    <col min="2" max="2" width="55.140625" style="72" bestFit="1" customWidth="1"/>
    <col min="3" max="5" width="9" style="72" customWidth="1"/>
    <col min="6" max="6" width="53.85546875" style="72" bestFit="1" customWidth="1"/>
    <col min="7" max="7" width="9" style="72" customWidth="1"/>
    <col min="8" max="9" width="10.140625" style="72" bestFit="1" customWidth="1"/>
    <col min="10" max="16384" width="9.140625" style="72"/>
  </cols>
  <sheetData>
    <row r="1" spans="1:10" ht="12.75" customHeight="1" x14ac:dyDescent="0.25">
      <c r="F1" s="1044" t="s">
        <v>1151</v>
      </c>
      <c r="G1" s="1045"/>
      <c r="H1" s="1045"/>
      <c r="I1" s="1045"/>
      <c r="J1" s="124"/>
    </row>
    <row r="2" spans="1:10" s="897" customFormat="1" ht="15.75" x14ac:dyDescent="0.25">
      <c r="A2" s="896"/>
      <c r="B2" s="1046" t="s">
        <v>875</v>
      </c>
      <c r="C2" s="1046"/>
      <c r="D2" s="1046"/>
      <c r="E2" s="1046"/>
      <c r="F2" s="1046"/>
      <c r="G2" s="1046"/>
      <c r="H2" s="1046"/>
      <c r="I2" s="1046"/>
    </row>
    <row r="3" spans="1:10" ht="8.25" customHeight="1" x14ac:dyDescent="0.25"/>
    <row r="4" spans="1:10" s="73" customFormat="1" ht="15" customHeight="1" x14ac:dyDescent="0.2">
      <c r="A4" s="1048" t="s">
        <v>693</v>
      </c>
      <c r="B4" s="1047" t="s">
        <v>702</v>
      </c>
      <c r="C4" s="1047"/>
      <c r="D4" s="1047"/>
      <c r="E4" s="1047"/>
      <c r="F4" s="1047" t="s">
        <v>603</v>
      </c>
      <c r="G4" s="1047"/>
      <c r="H4" s="1047"/>
      <c r="I4" s="1047"/>
    </row>
    <row r="5" spans="1:10" s="76" customFormat="1" ht="14.25" x14ac:dyDescent="0.2">
      <c r="A5" s="1048"/>
      <c r="B5" s="74" t="s">
        <v>602</v>
      </c>
      <c r="C5" s="75" t="s">
        <v>554</v>
      </c>
      <c r="D5" s="75" t="s">
        <v>553</v>
      </c>
      <c r="E5" s="75" t="s">
        <v>552</v>
      </c>
      <c r="F5" s="74" t="s">
        <v>602</v>
      </c>
      <c r="G5" s="75" t="s">
        <v>554</v>
      </c>
      <c r="H5" s="75" t="s">
        <v>553</v>
      </c>
      <c r="I5" s="75" t="s">
        <v>552</v>
      </c>
    </row>
    <row r="6" spans="1:10" s="141" customFormat="1" ht="12" x14ac:dyDescent="0.2">
      <c r="A6" s="1048"/>
      <c r="B6" s="140" t="s">
        <v>687</v>
      </c>
      <c r="C6" s="140" t="s">
        <v>688</v>
      </c>
      <c r="D6" s="140" t="s">
        <v>689</v>
      </c>
      <c r="E6" s="140" t="s">
        <v>690</v>
      </c>
      <c r="F6" s="140" t="s">
        <v>691</v>
      </c>
      <c r="G6" s="140" t="s">
        <v>692</v>
      </c>
      <c r="H6" s="140" t="s">
        <v>695</v>
      </c>
      <c r="I6" s="140" t="s">
        <v>696</v>
      </c>
    </row>
    <row r="7" spans="1:10" s="98" customFormat="1" ht="14.25" x14ac:dyDescent="0.2">
      <c r="A7" s="140">
        <v>1</v>
      </c>
      <c r="B7" s="97" t="s">
        <v>869</v>
      </c>
      <c r="C7" s="115">
        <f>SUM(C8)</f>
        <v>1356436</v>
      </c>
      <c r="D7" s="115">
        <f>SUM(D32,D8)</f>
        <v>4337108</v>
      </c>
      <c r="E7" s="115">
        <f t="shared" ref="E7:E30" si="0">SUM(C7:D7)</f>
        <v>5693544</v>
      </c>
      <c r="F7" s="97" t="s">
        <v>870</v>
      </c>
      <c r="G7" s="115">
        <f>SUM(G8,G32)</f>
        <v>1470808</v>
      </c>
      <c r="H7" s="115">
        <f>SUM(H8,H32)</f>
        <v>4166494</v>
      </c>
      <c r="I7" s="115">
        <f t="shared" ref="I7:I12" si="1">SUM(G7:H7)</f>
        <v>5637302</v>
      </c>
    </row>
    <row r="8" spans="1:10" s="107" customFormat="1" ht="12.75" x14ac:dyDescent="0.2">
      <c r="A8" s="143">
        <v>2</v>
      </c>
      <c r="B8" s="104" t="s">
        <v>719</v>
      </c>
      <c r="C8" s="105">
        <f>SUM(C28+C18+C14+C9)</f>
        <v>1356436</v>
      </c>
      <c r="D8" s="105">
        <f>SUM(D28+D18+D14+D9)</f>
        <v>769434</v>
      </c>
      <c r="E8" s="105">
        <f t="shared" si="0"/>
        <v>2125870</v>
      </c>
      <c r="F8" s="106" t="s">
        <v>725</v>
      </c>
      <c r="G8" s="105">
        <f>SUM(G13+G12+G11+G10+G9)</f>
        <v>1470808</v>
      </c>
      <c r="H8" s="105">
        <f>SUM(H13+H12+H11+H10+H9)</f>
        <v>4879</v>
      </c>
      <c r="I8" s="105">
        <f t="shared" si="1"/>
        <v>1475687</v>
      </c>
    </row>
    <row r="9" spans="1:10" s="79" customFormat="1" ht="12.75" x14ac:dyDescent="0.2">
      <c r="A9" s="143">
        <v>3</v>
      </c>
      <c r="B9" s="113" t="s">
        <v>8</v>
      </c>
      <c r="C9" s="94">
        <f>SUM(C10:C13)</f>
        <v>1038043</v>
      </c>
      <c r="D9" s="94">
        <v>0</v>
      </c>
      <c r="E9" s="94">
        <f t="shared" si="0"/>
        <v>1038043</v>
      </c>
      <c r="F9" s="114" t="s">
        <v>726</v>
      </c>
      <c r="G9" s="94">
        <f>385419+817+2276+354+15769+39+34+51+26+2+521+595+630+226+10-2+805+808+543+104+28+13+1210+316+65+118+1198+4260+183+45924+12384-790-756+34802+15848+177+102+19384+11157+360+921+126+619+2392-940</f>
        <v>558128</v>
      </c>
      <c r="H9" s="94">
        <v>0</v>
      </c>
      <c r="I9" s="94">
        <f t="shared" si="1"/>
        <v>558128</v>
      </c>
    </row>
    <row r="10" spans="1:10" s="79" customFormat="1" ht="12.75" x14ac:dyDescent="0.2">
      <c r="A10" s="140">
        <v>4</v>
      </c>
      <c r="B10" s="91" t="s">
        <v>9</v>
      </c>
      <c r="C10" s="96">
        <f>664295-897-750-6600+527+6047+1010+126+48355-48355-57416-1208+1239+401+1992+520</f>
        <v>609286</v>
      </c>
      <c r="D10" s="96">
        <v>0</v>
      </c>
      <c r="E10" s="96">
        <f t="shared" si="0"/>
        <v>609286</v>
      </c>
      <c r="F10" s="114" t="s">
        <v>40</v>
      </c>
      <c r="G10" s="94">
        <f>96163+221+615+96+2129+11+9+14+7+141+160+170+61+5+2+228+223+119+28+8+3+327+85+18+32+324+1150+50+6200+1672-107-102+4698+2139+52+2617+1506+90+256+35+300+444-269</f>
        <v>121930</v>
      </c>
      <c r="H10" s="94">
        <v>0</v>
      </c>
      <c r="I10" s="94">
        <f t="shared" si="1"/>
        <v>121930</v>
      </c>
    </row>
    <row r="11" spans="1:10" s="79" customFormat="1" ht="12.75" x14ac:dyDescent="0.2">
      <c r="A11" s="143">
        <v>5</v>
      </c>
      <c r="B11" s="91" t="s">
        <v>10</v>
      </c>
      <c r="C11" s="96">
        <f>1677+1473</f>
        <v>3150</v>
      </c>
      <c r="D11" s="96">
        <v>0</v>
      </c>
      <c r="E11" s="96">
        <f t="shared" si="0"/>
        <v>3150</v>
      </c>
      <c r="F11" s="114" t="s">
        <v>41</v>
      </c>
      <c r="G11" s="94">
        <f>360390+114+302+4271+2077+25+3018+12+21+94+10+5219+466+1460+214+27+1010+3175-400-5872-1640-6890-15+624-9718+208+7-7+210+2700+451+254+835+30+6545+454+897+1261-80+1239-942-3625-1208-1215+6360+295-295+4797+100+1-1509-400-220-395+3500-3500+75-1800-191+191+1992+27+391-254+31-450+300-300+5-2608-259+6900+1529+4000+4500+1000+221+20-1000+1051+137-137-2836-148-450</f>
        <v>386679</v>
      </c>
      <c r="H11" s="94">
        <v>379</v>
      </c>
      <c r="I11" s="94">
        <f t="shared" si="1"/>
        <v>387058</v>
      </c>
    </row>
    <row r="12" spans="1:10" s="79" customFormat="1" ht="12.75" x14ac:dyDescent="0.2">
      <c r="A12" s="143">
        <v>6</v>
      </c>
      <c r="B12" s="91" t="s">
        <v>11</v>
      </c>
      <c r="C12" s="96">
        <f>224004+16108+140-14359+6245-2680+1241+1241+58669+14510+208+373+45860+17987+1+177+2633+21747+12663+3092+70+1398+181+1970-1357</f>
        <v>412122</v>
      </c>
      <c r="D12" s="96">
        <v>0</v>
      </c>
      <c r="E12" s="96">
        <f>SUM(C12:D12)</f>
        <v>412122</v>
      </c>
      <c r="F12" s="114" t="s">
        <v>42</v>
      </c>
      <c r="G12" s="94">
        <f>159875-8250-15+400</f>
        <v>152010</v>
      </c>
      <c r="H12" s="94">
        <v>0</v>
      </c>
      <c r="I12" s="94">
        <f t="shared" si="1"/>
        <v>152010</v>
      </c>
    </row>
    <row r="13" spans="1:10" s="79" customFormat="1" ht="12.75" x14ac:dyDescent="0.2">
      <c r="A13" s="143">
        <v>7</v>
      </c>
      <c r="B13" s="91" t="s">
        <v>883</v>
      </c>
      <c r="C13" s="96">
        <f>9755+3610+120</f>
        <v>13485</v>
      </c>
      <c r="D13" s="96">
        <v>0</v>
      </c>
      <c r="E13" s="96">
        <f t="shared" si="0"/>
        <v>13485</v>
      </c>
      <c r="F13" s="118" t="s">
        <v>46</v>
      </c>
      <c r="G13" s="94">
        <f>SUM(G14:G19)</f>
        <v>252061</v>
      </c>
      <c r="H13" s="94">
        <f>SUM(H14:H19)</f>
        <v>4500</v>
      </c>
      <c r="I13" s="94">
        <f>SUM(I14:I19)</f>
        <v>256561</v>
      </c>
    </row>
    <row r="14" spans="1:10" s="79" customFormat="1" ht="12.75" x14ac:dyDescent="0.2">
      <c r="A14" s="140">
        <v>8</v>
      </c>
      <c r="B14" s="113" t="s">
        <v>15</v>
      </c>
      <c r="C14" s="94">
        <f>SUM(C15:C17)</f>
        <v>144570</v>
      </c>
      <c r="D14" s="94">
        <f>SUM(D15:D17)</f>
        <v>0</v>
      </c>
      <c r="E14" s="94">
        <f t="shared" si="0"/>
        <v>144570</v>
      </c>
      <c r="F14" s="93" t="s">
        <v>43</v>
      </c>
      <c r="G14" s="96">
        <f>377+92</f>
        <v>469</v>
      </c>
      <c r="H14" s="96">
        <v>0</v>
      </c>
      <c r="I14" s="96">
        <f t="shared" ref="I14:I19" si="2">SUM(G14:H14)</f>
        <v>469</v>
      </c>
    </row>
    <row r="15" spans="1:10" s="80" customFormat="1" ht="12.75" x14ac:dyDescent="0.2">
      <c r="A15" s="143">
        <v>9</v>
      </c>
      <c r="B15" s="91" t="s">
        <v>149</v>
      </c>
      <c r="C15" s="96">
        <f>118500+622-394+4000</f>
        <v>122728</v>
      </c>
      <c r="D15" s="96">
        <v>0</v>
      </c>
      <c r="E15" s="96">
        <f t="shared" si="0"/>
        <v>122728</v>
      </c>
      <c r="F15" s="93" t="s">
        <v>44</v>
      </c>
      <c r="G15" s="96">
        <f>1473+622</f>
        <v>2095</v>
      </c>
      <c r="H15" s="96">
        <v>0</v>
      </c>
      <c r="I15" s="96">
        <f t="shared" si="2"/>
        <v>2095</v>
      </c>
    </row>
    <row r="16" spans="1:10" s="80" customFormat="1" ht="12.75" x14ac:dyDescent="0.2">
      <c r="A16" s="143">
        <v>10</v>
      </c>
      <c r="B16" s="92" t="s">
        <v>53</v>
      </c>
      <c r="C16" s="96">
        <f>20000-126-7</f>
        <v>19867</v>
      </c>
      <c r="D16" s="96">
        <v>0</v>
      </c>
      <c r="E16" s="96">
        <f t="shared" si="0"/>
        <v>19867</v>
      </c>
      <c r="F16" s="93" t="s">
        <v>45</v>
      </c>
      <c r="G16" s="96">
        <f>175265+4500-500+400+5872+1640+6890+42305-42305+1061-1061-100+15+2633+1039+761+3092-4500</f>
        <v>197007</v>
      </c>
      <c r="H16" s="96">
        <v>0</v>
      </c>
      <c r="I16" s="96">
        <f t="shared" si="2"/>
        <v>197007</v>
      </c>
    </row>
    <row r="17" spans="1:9" s="80" customFormat="1" ht="12.75" x14ac:dyDescent="0.2">
      <c r="A17" s="140">
        <v>11</v>
      </c>
      <c r="B17" s="91" t="s">
        <v>16</v>
      </c>
      <c r="C17" s="96">
        <v>1975</v>
      </c>
      <c r="D17" s="96">
        <v>0</v>
      </c>
      <c r="E17" s="96">
        <f t="shared" si="0"/>
        <v>1975</v>
      </c>
      <c r="F17" s="93" t="s">
        <v>881</v>
      </c>
      <c r="G17" s="96">
        <f>1945+10000</f>
        <v>11945</v>
      </c>
      <c r="H17" s="96">
        <v>0</v>
      </c>
      <c r="I17" s="96">
        <f t="shared" si="2"/>
        <v>11945</v>
      </c>
    </row>
    <row r="18" spans="1:9" s="80" customFormat="1" ht="12.75" x14ac:dyDescent="0.2">
      <c r="A18" s="143">
        <v>12</v>
      </c>
      <c r="B18" s="113" t="s">
        <v>17</v>
      </c>
      <c r="C18" s="94">
        <f>SUM(C19:C27)</f>
        <v>157878</v>
      </c>
      <c r="D18" s="94">
        <f>SUM(D19:D27)</f>
        <v>769434</v>
      </c>
      <c r="E18" s="94">
        <f t="shared" si="0"/>
        <v>927312</v>
      </c>
      <c r="F18" s="93" t="s">
        <v>880</v>
      </c>
      <c r="G18" s="96">
        <f>4096-278-114-92-1112-4500-1830+105238-20513+2111-16503-3030+3134-3155-575-10-7145-14359-214-283-3000+13365+120-307-96-451+3984-254-120-3610+10018-263-9755-680-3000-35509-3855-942-290-5+874-340-529</f>
        <v>6221</v>
      </c>
      <c r="H18" s="96">
        <f>6000+3000-4500</f>
        <v>4500</v>
      </c>
      <c r="I18" s="96">
        <f t="shared" si="2"/>
        <v>10721</v>
      </c>
    </row>
    <row r="19" spans="1:9" s="79" customFormat="1" ht="12.75" x14ac:dyDescent="0.2">
      <c r="A19" s="143">
        <v>13</v>
      </c>
      <c r="B19" s="91" t="s">
        <v>18</v>
      </c>
      <c r="C19" s="96">
        <f>100+52</f>
        <v>152</v>
      </c>
      <c r="D19" s="96">
        <v>0</v>
      </c>
      <c r="E19" s="96">
        <f t="shared" si="0"/>
        <v>152</v>
      </c>
      <c r="F19" s="93" t="s">
        <v>882</v>
      </c>
      <c r="G19" s="96">
        <f>20513+256+120+3610+9755+70</f>
        <v>34324</v>
      </c>
      <c r="H19" s="96">
        <v>0</v>
      </c>
      <c r="I19" s="96">
        <f t="shared" si="2"/>
        <v>34324</v>
      </c>
    </row>
    <row r="20" spans="1:9" s="79" customFormat="1" ht="12.75" x14ac:dyDescent="0.2">
      <c r="A20" s="143">
        <v>14</v>
      </c>
      <c r="B20" s="91" t="s">
        <v>19</v>
      </c>
      <c r="C20" s="96">
        <f>91430+960</f>
        <v>92390</v>
      </c>
      <c r="D20" s="96">
        <v>0</v>
      </c>
      <c r="E20" s="96">
        <f t="shared" si="0"/>
        <v>92390</v>
      </c>
      <c r="F20" s="93"/>
      <c r="G20" s="96"/>
      <c r="H20" s="96"/>
      <c r="I20" s="96"/>
    </row>
    <row r="21" spans="1:9" s="79" customFormat="1" ht="12.75" x14ac:dyDescent="0.2">
      <c r="A21" s="140">
        <v>15</v>
      </c>
      <c r="B21" s="91" t="s">
        <v>20</v>
      </c>
      <c r="C21" s="96">
        <f>7538+3175+2126+24+787</f>
        <v>13650</v>
      </c>
      <c r="D21" s="96">
        <v>0</v>
      </c>
      <c r="E21" s="96">
        <f t="shared" si="0"/>
        <v>13650</v>
      </c>
      <c r="F21" s="93"/>
      <c r="G21" s="96"/>
      <c r="H21" s="96"/>
      <c r="I21" s="96"/>
    </row>
    <row r="22" spans="1:9" s="79" customFormat="1" ht="12.75" x14ac:dyDescent="0.2">
      <c r="A22" s="143">
        <v>16</v>
      </c>
      <c r="B22" s="91" t="s">
        <v>1099</v>
      </c>
      <c r="C22" s="96">
        <f>7500-4500</f>
        <v>3000</v>
      </c>
      <c r="D22" s="96">
        <v>0</v>
      </c>
      <c r="E22" s="96">
        <f t="shared" si="0"/>
        <v>3000</v>
      </c>
      <c r="F22" s="93"/>
      <c r="G22" s="96"/>
      <c r="H22" s="96"/>
      <c r="I22" s="96"/>
    </row>
    <row r="23" spans="1:9" s="79" customFormat="1" ht="12.75" x14ac:dyDescent="0.2">
      <c r="A23" s="143">
        <v>17</v>
      </c>
      <c r="B23" s="91" t="s">
        <v>21</v>
      </c>
      <c r="C23" s="96">
        <v>8902</v>
      </c>
      <c r="D23" s="96">
        <v>0</v>
      </c>
      <c r="E23" s="96">
        <f t="shared" si="0"/>
        <v>8902</v>
      </c>
      <c r="F23" s="93"/>
      <c r="G23" s="96"/>
      <c r="H23" s="96"/>
      <c r="I23" s="96"/>
    </row>
    <row r="24" spans="1:9" s="79" customFormat="1" ht="12.75" x14ac:dyDescent="0.2">
      <c r="A24" s="140">
        <v>18</v>
      </c>
      <c r="B24" s="91" t="s">
        <v>22</v>
      </c>
      <c r="C24" s="96">
        <f>25066+574-1215+7+213</f>
        <v>24645</v>
      </c>
      <c r="D24" s="96">
        <v>0</v>
      </c>
      <c r="E24" s="96">
        <f t="shared" si="0"/>
        <v>24645</v>
      </c>
      <c r="F24" s="93"/>
      <c r="G24" s="96"/>
      <c r="H24" s="96"/>
      <c r="I24" s="96"/>
    </row>
    <row r="25" spans="1:9" s="79" customFormat="1" ht="12.75" x14ac:dyDescent="0.2">
      <c r="A25" s="143">
        <v>19</v>
      </c>
      <c r="B25" s="91" t="s">
        <v>472</v>
      </c>
      <c r="C25" s="96">
        <v>7774</v>
      </c>
      <c r="D25" s="96">
        <v>769434</v>
      </c>
      <c r="E25" s="96">
        <f t="shared" si="0"/>
        <v>777208</v>
      </c>
      <c r="F25" s="93"/>
      <c r="G25" s="96"/>
      <c r="H25" s="96"/>
      <c r="I25" s="96"/>
    </row>
    <row r="26" spans="1:9" s="79" customFormat="1" ht="12.75" x14ac:dyDescent="0.2">
      <c r="A26" s="143">
        <v>20</v>
      </c>
      <c r="B26" s="91" t="s">
        <v>23</v>
      </c>
      <c r="C26" s="96">
        <v>3220</v>
      </c>
      <c r="D26" s="96">
        <v>0</v>
      </c>
      <c r="E26" s="96">
        <f t="shared" si="0"/>
        <v>3220</v>
      </c>
      <c r="F26" s="78"/>
      <c r="G26" s="96"/>
      <c r="H26" s="95"/>
      <c r="I26" s="95"/>
    </row>
    <row r="27" spans="1:9" s="77" customFormat="1" ht="12.75" x14ac:dyDescent="0.2">
      <c r="A27" s="143">
        <v>21</v>
      </c>
      <c r="B27" s="91" t="s">
        <v>24</v>
      </c>
      <c r="C27" s="96">
        <f>360+3650+75+60</f>
        <v>4145</v>
      </c>
      <c r="D27" s="96">
        <v>0</v>
      </c>
      <c r="E27" s="96">
        <f t="shared" si="0"/>
        <v>4145</v>
      </c>
      <c r="F27" s="78"/>
      <c r="G27" s="95"/>
      <c r="H27" s="95"/>
      <c r="I27" s="95"/>
    </row>
    <row r="28" spans="1:9" s="77" customFormat="1" ht="12.75" x14ac:dyDescent="0.2">
      <c r="A28" s="140">
        <v>22</v>
      </c>
      <c r="B28" s="113" t="s">
        <v>30</v>
      </c>
      <c r="C28" s="94">
        <f>SUM(C29:C30)</f>
        <v>15945</v>
      </c>
      <c r="D28" s="94"/>
      <c r="E28" s="94">
        <f t="shared" si="0"/>
        <v>15945</v>
      </c>
      <c r="F28" s="78"/>
      <c r="G28" s="95"/>
      <c r="H28" s="95"/>
      <c r="I28" s="95"/>
    </row>
    <row r="29" spans="1:9" s="77" customFormat="1" ht="12.75" x14ac:dyDescent="0.2">
      <c r="A29" s="143">
        <v>23</v>
      </c>
      <c r="B29" s="91" t="s">
        <v>31</v>
      </c>
      <c r="C29" s="96">
        <f>4000+1945+10000</f>
        <v>15945</v>
      </c>
      <c r="D29" s="96">
        <v>0</v>
      </c>
      <c r="E29" s="96">
        <f t="shared" si="0"/>
        <v>15945</v>
      </c>
      <c r="F29" s="78"/>
      <c r="G29" s="95"/>
      <c r="H29" s="95"/>
      <c r="I29" s="95"/>
    </row>
    <row r="30" spans="1:9" s="77" customFormat="1" ht="12.75" x14ac:dyDescent="0.2">
      <c r="A30" s="143">
        <v>24</v>
      </c>
      <c r="B30" s="91" t="s">
        <v>32</v>
      </c>
      <c r="C30" s="96">
        <v>0</v>
      </c>
      <c r="D30" s="96">
        <v>0</v>
      </c>
      <c r="E30" s="96">
        <f t="shared" si="0"/>
        <v>0</v>
      </c>
      <c r="F30" s="78"/>
      <c r="G30" s="95"/>
      <c r="H30" s="95"/>
      <c r="I30" s="95"/>
    </row>
    <row r="31" spans="1:9" s="77" customFormat="1" ht="12.75" x14ac:dyDescent="0.2">
      <c r="A31" s="140">
        <v>25</v>
      </c>
      <c r="B31" s="91"/>
      <c r="C31" s="96"/>
      <c r="D31" s="96"/>
      <c r="E31" s="96"/>
      <c r="F31" s="78"/>
      <c r="G31" s="95"/>
      <c r="H31" s="95"/>
      <c r="I31" s="95"/>
    </row>
    <row r="32" spans="1:9" s="107" customFormat="1" ht="12.75" x14ac:dyDescent="0.2">
      <c r="A32" s="143">
        <v>26</v>
      </c>
      <c r="B32" s="108" t="s">
        <v>724</v>
      </c>
      <c r="C32" s="105">
        <f>SUM(C41+C36+C33)</f>
        <v>0</v>
      </c>
      <c r="D32" s="105">
        <f>SUM(D41+D36+D33)</f>
        <v>3567674</v>
      </c>
      <c r="E32" s="105">
        <f>SUM(D32:D32)</f>
        <v>3567674</v>
      </c>
      <c r="F32" s="106" t="s">
        <v>548</v>
      </c>
      <c r="G32" s="105">
        <f>SUM(G33:G35)</f>
        <v>0</v>
      </c>
      <c r="H32" s="105">
        <f>SUM(H33:H35)</f>
        <v>4161615</v>
      </c>
      <c r="I32" s="105">
        <f t="shared" ref="I32:I40" si="3">SUM(G32:H32)</f>
        <v>4161615</v>
      </c>
    </row>
    <row r="33" spans="1:9" s="77" customFormat="1" ht="12.75" x14ac:dyDescent="0.2">
      <c r="A33" s="143">
        <v>27</v>
      </c>
      <c r="B33" s="113" t="s">
        <v>12</v>
      </c>
      <c r="C33" s="94">
        <f>SUM(C34:C35)</f>
        <v>0</v>
      </c>
      <c r="D33" s="94">
        <f>SUM(D34:D35)</f>
        <v>2993821</v>
      </c>
      <c r="E33" s="94">
        <f>SUM(D33:D33)</f>
        <v>2993821</v>
      </c>
      <c r="F33" s="114" t="s">
        <v>47</v>
      </c>
      <c r="G33" s="94">
        <v>0</v>
      </c>
      <c r="H33" s="94">
        <f>482804-152+635-858+3597933+21257+1568+1528+532+481-317+96+9718+2695+3000+80-7620-4642-70-500+2507+295-295-3000+400+290+395+1766+220+719-719+450</f>
        <v>4111196</v>
      </c>
      <c r="I33" s="94">
        <f t="shared" si="3"/>
        <v>4111196</v>
      </c>
    </row>
    <row r="34" spans="1:9" s="77" customFormat="1" ht="12.75" x14ac:dyDescent="0.2">
      <c r="A34" s="143">
        <v>28</v>
      </c>
      <c r="B34" s="91" t="s">
        <v>13</v>
      </c>
      <c r="C34" s="96">
        <v>0</v>
      </c>
      <c r="D34" s="96">
        <f>188589+156+45</f>
        <v>188790</v>
      </c>
      <c r="E34" s="96">
        <f t="shared" ref="E34:E43" si="4">SUM(D34:D34)</f>
        <v>188790</v>
      </c>
      <c r="F34" s="114" t="s">
        <v>48</v>
      </c>
      <c r="G34" s="94">
        <v>0</v>
      </c>
      <c r="H34" s="94">
        <f>15731+7487+4509+1219</f>
        <v>28946</v>
      </c>
      <c r="I34" s="94">
        <f t="shared" si="3"/>
        <v>28946</v>
      </c>
    </row>
    <row r="35" spans="1:9" s="77" customFormat="1" ht="12.75" x14ac:dyDescent="0.2">
      <c r="A35" s="140">
        <v>29</v>
      </c>
      <c r="B35" s="91" t="s">
        <v>14</v>
      </c>
      <c r="C35" s="96">
        <v>0</v>
      </c>
      <c r="D35" s="96">
        <f>2712972+2680+2695+2507+65000+1766+20019-2608+719-719</f>
        <v>2805031</v>
      </c>
      <c r="E35" s="96">
        <f t="shared" si="4"/>
        <v>2805031</v>
      </c>
      <c r="F35" s="114" t="s">
        <v>49</v>
      </c>
      <c r="G35" s="94">
        <f>SUM(G36:G40)</f>
        <v>0</v>
      </c>
      <c r="H35" s="94">
        <f>SUM(H36:H40)</f>
        <v>21473</v>
      </c>
      <c r="I35" s="94">
        <f t="shared" si="3"/>
        <v>21473</v>
      </c>
    </row>
    <row r="36" spans="1:9" s="77" customFormat="1" ht="12.75" x14ac:dyDescent="0.2">
      <c r="A36" s="143">
        <v>30</v>
      </c>
      <c r="B36" s="113" t="s">
        <v>25</v>
      </c>
      <c r="C36" s="94">
        <f>SUM(C37:C40)</f>
        <v>0</v>
      </c>
      <c r="D36" s="94">
        <f>SUM(D37:D40)</f>
        <v>25297</v>
      </c>
      <c r="E36" s="94">
        <f t="shared" si="4"/>
        <v>25297</v>
      </c>
      <c r="F36" s="93" t="s">
        <v>50</v>
      </c>
      <c r="G36" s="96">
        <v>0</v>
      </c>
      <c r="H36" s="96">
        <v>0</v>
      </c>
      <c r="I36" s="96">
        <f t="shared" si="3"/>
        <v>0</v>
      </c>
    </row>
    <row r="37" spans="1:9" s="77" customFormat="1" ht="12.75" x14ac:dyDescent="0.2">
      <c r="A37" s="143">
        <v>31</v>
      </c>
      <c r="B37" s="91" t="s">
        <v>26</v>
      </c>
      <c r="C37" s="96">
        <v>0</v>
      </c>
      <c r="D37" s="96">
        <v>0</v>
      </c>
      <c r="E37" s="96">
        <f t="shared" si="4"/>
        <v>0</v>
      </c>
      <c r="F37" s="93" t="s">
        <v>51</v>
      </c>
      <c r="G37" s="96">
        <v>0</v>
      </c>
      <c r="H37" s="96">
        <v>0</v>
      </c>
      <c r="I37" s="96">
        <f t="shared" si="3"/>
        <v>0</v>
      </c>
    </row>
    <row r="38" spans="1:9" s="79" customFormat="1" ht="12.75" x14ac:dyDescent="0.2">
      <c r="A38" s="140">
        <v>32</v>
      </c>
      <c r="B38" s="91" t="s">
        <v>27</v>
      </c>
      <c r="C38" s="96">
        <f>SUM(C39:C40)</f>
        <v>0</v>
      </c>
      <c r="D38" s="96">
        <v>25297</v>
      </c>
      <c r="E38" s="96">
        <f t="shared" si="4"/>
        <v>25297</v>
      </c>
      <c r="F38" s="93" t="s">
        <v>52</v>
      </c>
      <c r="G38" s="96">
        <v>0</v>
      </c>
      <c r="H38" s="96">
        <v>0</v>
      </c>
      <c r="I38" s="96">
        <f t="shared" si="3"/>
        <v>0</v>
      </c>
    </row>
    <row r="39" spans="1:9" s="79" customFormat="1" ht="12.75" x14ac:dyDescent="0.2">
      <c r="A39" s="143">
        <v>33</v>
      </c>
      <c r="B39" s="91" t="s">
        <v>28</v>
      </c>
      <c r="C39" s="96">
        <v>0</v>
      </c>
      <c r="D39" s="96">
        <v>0</v>
      </c>
      <c r="E39" s="96">
        <f t="shared" si="4"/>
        <v>0</v>
      </c>
      <c r="F39" s="93" t="s">
        <v>54</v>
      </c>
      <c r="G39" s="96">
        <v>0</v>
      </c>
      <c r="H39" s="96">
        <v>0</v>
      </c>
      <c r="I39" s="96">
        <f t="shared" si="3"/>
        <v>0</v>
      </c>
    </row>
    <row r="40" spans="1:9" s="81" customFormat="1" ht="13.5" x14ac:dyDescent="0.25">
      <c r="A40" s="143">
        <v>34</v>
      </c>
      <c r="B40" s="91" t="s">
        <v>29</v>
      </c>
      <c r="C40" s="96">
        <v>0</v>
      </c>
      <c r="D40" s="96">
        <v>0</v>
      </c>
      <c r="E40" s="96">
        <f t="shared" si="4"/>
        <v>0</v>
      </c>
      <c r="F40" s="93" t="s">
        <v>55</v>
      </c>
      <c r="G40" s="96">
        <v>0</v>
      </c>
      <c r="H40" s="96">
        <f>475+278+156+45+500+20019</f>
        <v>21473</v>
      </c>
      <c r="I40" s="96">
        <f t="shared" si="3"/>
        <v>21473</v>
      </c>
    </row>
    <row r="41" spans="1:9" s="81" customFormat="1" ht="13.5" x14ac:dyDescent="0.25">
      <c r="A41" s="143">
        <v>35</v>
      </c>
      <c r="B41" s="113" t="s">
        <v>33</v>
      </c>
      <c r="C41" s="94">
        <f>SUM(C42:C43)</f>
        <v>0</v>
      </c>
      <c r="D41" s="94">
        <f>SUM(D42:D43)</f>
        <v>548556</v>
      </c>
      <c r="E41" s="94">
        <f t="shared" si="4"/>
        <v>548556</v>
      </c>
      <c r="F41" s="93"/>
      <c r="G41" s="96"/>
      <c r="H41" s="96"/>
      <c r="I41" s="96"/>
    </row>
    <row r="42" spans="1:9" s="81" customFormat="1" ht="13.5" x14ac:dyDescent="0.25">
      <c r="A42" s="140">
        <v>36</v>
      </c>
      <c r="B42" s="91" t="s">
        <v>36</v>
      </c>
      <c r="C42" s="96">
        <v>0</v>
      </c>
      <c r="D42" s="96">
        <v>0</v>
      </c>
      <c r="E42" s="96">
        <f t="shared" si="4"/>
        <v>0</v>
      </c>
      <c r="F42" s="82"/>
      <c r="G42" s="96"/>
      <c r="H42" s="96"/>
      <c r="I42" s="96"/>
    </row>
    <row r="43" spans="1:9" s="81" customFormat="1" ht="13.5" x14ac:dyDescent="0.25">
      <c r="A43" s="143">
        <v>37</v>
      </c>
      <c r="B43" s="91" t="s">
        <v>37</v>
      </c>
      <c r="C43" s="96">
        <v>0</v>
      </c>
      <c r="D43" s="96">
        <v>548556</v>
      </c>
      <c r="E43" s="96">
        <f t="shared" si="4"/>
        <v>548556</v>
      </c>
      <c r="F43" s="82"/>
      <c r="G43" s="96"/>
      <c r="H43" s="96"/>
      <c r="I43" s="96"/>
    </row>
    <row r="44" spans="1:9" s="83" customFormat="1" ht="6" customHeight="1" x14ac:dyDescent="0.25">
      <c r="A44" s="1049"/>
      <c r="B44" s="1050"/>
      <c r="C44" s="1050"/>
      <c r="D44" s="1050"/>
      <c r="E44" s="1050"/>
      <c r="F44" s="1050"/>
      <c r="G44" s="1050"/>
      <c r="H44" s="1050"/>
      <c r="I44" s="1051"/>
    </row>
    <row r="45" spans="1:9" s="83" customFormat="1" x14ac:dyDescent="0.25">
      <c r="A45" s="143">
        <v>38</v>
      </c>
      <c r="B45" s="1052" t="s">
        <v>871</v>
      </c>
      <c r="C45" s="1053"/>
      <c r="D45" s="1053"/>
      <c r="E45" s="1053"/>
      <c r="F45" s="1053"/>
      <c r="G45" s="244">
        <f>C7-G7</f>
        <v>-114372</v>
      </c>
      <c r="H45" s="244">
        <f>D7-H7</f>
        <v>170614</v>
      </c>
      <c r="I45" s="244">
        <f>SUM(G45:H45)</f>
        <v>56242</v>
      </c>
    </row>
    <row r="46" spans="1:9" s="83" customFormat="1" ht="6" customHeight="1" x14ac:dyDescent="0.25">
      <c r="A46" s="1041"/>
      <c r="B46" s="1042"/>
      <c r="C46" s="1042"/>
      <c r="D46" s="1042"/>
      <c r="E46" s="1042"/>
      <c r="F46" s="1042"/>
      <c r="G46" s="1042"/>
      <c r="H46" s="1042"/>
      <c r="I46" s="1043"/>
    </row>
    <row r="47" spans="1:9" s="101" customFormat="1" ht="28.5" x14ac:dyDescent="0.25">
      <c r="A47" s="143">
        <v>39</v>
      </c>
      <c r="B47" s="97" t="s">
        <v>549</v>
      </c>
      <c r="C47" s="99">
        <f>SUM(C48)</f>
        <v>127834</v>
      </c>
      <c r="D47" s="99">
        <f>SUM(D48)</f>
        <v>4134</v>
      </c>
      <c r="E47" s="99">
        <f t="shared" ref="E47:E52" si="5">SUM(C47:D47)</f>
        <v>131968</v>
      </c>
      <c r="F47" s="100"/>
      <c r="G47" s="99"/>
      <c r="H47" s="99"/>
      <c r="I47" s="99"/>
    </row>
    <row r="48" spans="1:9" s="110" customFormat="1" ht="13.5" x14ac:dyDescent="0.25">
      <c r="A48" s="140">
        <v>40</v>
      </c>
      <c r="B48" s="111" t="s">
        <v>868</v>
      </c>
      <c r="C48" s="105">
        <f>7844+750+105238+3984+10018</f>
        <v>127834</v>
      </c>
      <c r="D48" s="105">
        <v>4134</v>
      </c>
      <c r="E48" s="105">
        <f t="shared" si="5"/>
        <v>131968</v>
      </c>
      <c r="F48" s="106"/>
      <c r="G48" s="105"/>
      <c r="H48" s="105"/>
      <c r="I48" s="105"/>
    </row>
    <row r="49" spans="1:9" s="101" customFormat="1" ht="28.5" x14ac:dyDescent="0.25">
      <c r="A49" s="143">
        <v>41</v>
      </c>
      <c r="B49" s="97" t="s">
        <v>550</v>
      </c>
      <c r="C49" s="99">
        <f>SUM(C50:C51)</f>
        <v>0</v>
      </c>
      <c r="D49" s="99">
        <f>SUM(D50:D51)</f>
        <v>0</v>
      </c>
      <c r="E49" s="99">
        <f t="shared" si="5"/>
        <v>0</v>
      </c>
      <c r="F49" s="116" t="s">
        <v>551</v>
      </c>
      <c r="G49" s="99">
        <f>SUM(G50:G51)</f>
        <v>0</v>
      </c>
      <c r="H49" s="99">
        <f>SUM(H50:H51)</f>
        <v>188210</v>
      </c>
      <c r="I49" s="99">
        <f>SUM(G49:H49)</f>
        <v>188210</v>
      </c>
    </row>
    <row r="50" spans="1:9" s="110" customFormat="1" ht="13.5" x14ac:dyDescent="0.25">
      <c r="A50" s="143">
        <v>42</v>
      </c>
      <c r="B50" s="109" t="s">
        <v>39</v>
      </c>
      <c r="C50" s="105">
        <v>0</v>
      </c>
      <c r="D50" s="105">
        <v>0</v>
      </c>
      <c r="E50" s="105">
        <f t="shared" si="5"/>
        <v>0</v>
      </c>
      <c r="F50" s="106" t="s">
        <v>547</v>
      </c>
      <c r="G50" s="105">
        <v>0</v>
      </c>
      <c r="H50" s="105">
        <v>0</v>
      </c>
      <c r="I50" s="105">
        <f>SUM(G50:H50)</f>
        <v>0</v>
      </c>
    </row>
    <row r="51" spans="1:9" s="112" customFormat="1" ht="12.75" x14ac:dyDescent="0.2">
      <c r="A51" s="143">
        <v>43</v>
      </c>
      <c r="B51" s="109" t="s">
        <v>38</v>
      </c>
      <c r="C51" s="105">
        <v>0</v>
      </c>
      <c r="D51" s="105">
        <f>65000-65000</f>
        <v>0</v>
      </c>
      <c r="E51" s="105">
        <f t="shared" si="5"/>
        <v>0</v>
      </c>
      <c r="F51" s="106" t="s">
        <v>884</v>
      </c>
      <c r="G51" s="105">
        <v>0</v>
      </c>
      <c r="H51" s="105">
        <f>1034+187176</f>
        <v>188210</v>
      </c>
      <c r="I51" s="105">
        <f>SUM(G51:H51)</f>
        <v>188210</v>
      </c>
    </row>
    <row r="52" spans="1:9" s="103" customFormat="1" ht="15.75" x14ac:dyDescent="0.25">
      <c r="A52" s="143">
        <v>44</v>
      </c>
      <c r="B52" s="102" t="s">
        <v>703</v>
      </c>
      <c r="C52" s="117">
        <f>SUM(C7,C47,C49)</f>
        <v>1484270</v>
      </c>
      <c r="D52" s="117">
        <f>SUM(D7,D47,D49)</f>
        <v>4341242</v>
      </c>
      <c r="E52" s="117">
        <f t="shared" si="5"/>
        <v>5825512</v>
      </c>
      <c r="F52" s="102" t="s">
        <v>564</v>
      </c>
      <c r="G52" s="117">
        <f>SUM(G7,G49)</f>
        <v>1470808</v>
      </c>
      <c r="H52" s="117">
        <f>SUM(H7,H49)</f>
        <v>4354704</v>
      </c>
      <c r="I52" s="117">
        <f>SUM(G52:H52)</f>
        <v>5825512</v>
      </c>
    </row>
    <row r="54" spans="1:9" x14ac:dyDescent="0.25">
      <c r="B54" s="1006"/>
      <c r="C54" s="1006"/>
      <c r="D54" s="1006"/>
      <c r="E54" s="1006"/>
      <c r="F54"/>
    </row>
    <row r="55" spans="1:9" x14ac:dyDescent="0.25">
      <c r="A55" s="1009">
        <v>7</v>
      </c>
      <c r="B55" s="1007" t="s">
        <v>1148</v>
      </c>
      <c r="C55" s="1007"/>
      <c r="D55" s="1008"/>
      <c r="E55" s="1008"/>
    </row>
    <row r="56" spans="1:9" x14ac:dyDescent="0.25">
      <c r="A56" s="1009">
        <v>8</v>
      </c>
      <c r="B56" s="1007" t="s">
        <v>1146</v>
      </c>
      <c r="C56" s="1007"/>
      <c r="D56" s="1008"/>
      <c r="E56" s="1008"/>
    </row>
    <row r="57" spans="1:9" x14ac:dyDescent="0.25">
      <c r="A57" s="1010">
        <v>9</v>
      </c>
      <c r="B57" s="1007" t="s">
        <v>1147</v>
      </c>
      <c r="C57" s="1007"/>
      <c r="D57" s="1008"/>
      <c r="E57" s="1008"/>
    </row>
    <row r="59" spans="1:9" x14ac:dyDescent="0.25">
      <c r="B59" s="84"/>
    </row>
  </sheetData>
  <mergeCells count="8">
    <mergeCell ref="A46:I46"/>
    <mergeCell ref="F1:I1"/>
    <mergeCell ref="B2:I2"/>
    <mergeCell ref="B4:E4"/>
    <mergeCell ref="F4:I4"/>
    <mergeCell ref="A4:A6"/>
    <mergeCell ref="A44:I44"/>
    <mergeCell ref="B45:F45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B0F0"/>
  </sheetPr>
  <dimension ref="A1:Y59"/>
  <sheetViews>
    <sheetView zoomScale="95" zoomScaleNormal="95" workbookViewId="0">
      <pane xSplit="7" ySplit="14" topLeftCell="H15" activePane="bottomRight" state="frozen"/>
      <selection pane="topRight" activeCell="H1" sqref="H1"/>
      <selection pane="bottomLeft" activeCell="A15" sqref="A15"/>
      <selection pane="bottomRight" activeCell="W6" sqref="W6"/>
    </sheetView>
  </sheetViews>
  <sheetFormatPr defaultColWidth="8.85546875" defaultRowHeight="12" x14ac:dyDescent="0.2"/>
  <cols>
    <col min="1" max="1" width="4.5703125" style="148" bestFit="1" customWidth="1"/>
    <col min="2" max="2" width="31.85546875" style="29" customWidth="1"/>
    <col min="3" max="3" width="8.42578125" style="29" customWidth="1"/>
    <col min="4" max="4" width="7.85546875" style="29" customWidth="1"/>
    <col min="5" max="5" width="8.140625" style="29" customWidth="1"/>
    <col min="6" max="6" width="8.7109375" style="29" customWidth="1"/>
    <col min="7" max="7" width="8.42578125" style="29" customWidth="1"/>
    <col min="8" max="9" width="9.85546875" style="29" customWidth="1"/>
    <col min="10" max="15" width="8.28515625" style="29" customWidth="1"/>
    <col min="16" max="16" width="9.5703125" style="29" bestFit="1" customWidth="1"/>
    <col min="17" max="17" width="9.5703125" style="29" customWidth="1"/>
    <col min="18" max="18" width="9.5703125" style="29" bestFit="1" customWidth="1"/>
    <col min="19" max="19" width="7.5703125" style="29" customWidth="1"/>
    <col min="20" max="20" width="9.28515625" style="29" customWidth="1"/>
    <col min="21" max="21" width="7.7109375" style="29" customWidth="1"/>
    <col min="22" max="22" width="9.42578125" style="37" customWidth="1"/>
    <col min="23" max="23" width="14.42578125" style="29" customWidth="1"/>
    <col min="24" max="16384" width="8.85546875" style="29"/>
  </cols>
  <sheetData>
    <row r="1" spans="1:22" ht="18" x14ac:dyDescent="0.2">
      <c r="K1" s="30"/>
      <c r="L1" s="30"/>
      <c r="M1" s="30"/>
      <c r="N1" s="30"/>
      <c r="O1" s="30"/>
      <c r="P1" s="1044" t="s">
        <v>1152</v>
      </c>
      <c r="Q1" s="1044"/>
      <c r="R1" s="1045"/>
      <c r="S1" s="1045"/>
      <c r="T1" s="1045"/>
      <c r="U1" s="1045"/>
      <c r="V1" s="1045"/>
    </row>
    <row r="2" spans="1:22" ht="15.75" x14ac:dyDescent="0.2">
      <c r="A2" s="40"/>
      <c r="B2" s="1058" t="s">
        <v>187</v>
      </c>
      <c r="C2" s="1058"/>
      <c r="D2" s="1058"/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</row>
    <row r="3" spans="1:22" ht="12.75" thickBot="1" x14ac:dyDescent="0.25">
      <c r="V3" s="31"/>
    </row>
    <row r="4" spans="1:22" s="32" customFormat="1" ht="13.15" customHeight="1" x14ac:dyDescent="0.2">
      <c r="A4" s="1059" t="s">
        <v>693</v>
      </c>
      <c r="B4" s="1062" t="s">
        <v>602</v>
      </c>
      <c r="C4" s="1065" t="s">
        <v>610</v>
      </c>
      <c r="D4" s="1066"/>
      <c r="E4" s="1066"/>
      <c r="F4" s="1066"/>
      <c r="G4" s="1066"/>
      <c r="H4" s="1066"/>
      <c r="I4" s="1066"/>
      <c r="J4" s="1066"/>
      <c r="K4" s="1066"/>
      <c r="L4" s="1066"/>
      <c r="M4" s="1066"/>
      <c r="N4" s="1066"/>
      <c r="O4" s="1066"/>
      <c r="P4" s="1066"/>
      <c r="Q4" s="1066"/>
      <c r="R4" s="1066"/>
      <c r="S4" s="1066"/>
      <c r="T4" s="1066"/>
      <c r="U4" s="1067"/>
      <c r="V4" s="1068" t="s">
        <v>611</v>
      </c>
    </row>
    <row r="5" spans="1:22" s="33" customFormat="1" ht="12" customHeight="1" x14ac:dyDescent="0.2">
      <c r="A5" s="1060"/>
      <c r="B5" s="1063"/>
      <c r="C5" s="1056" t="s">
        <v>563</v>
      </c>
      <c r="D5" s="1056" t="s">
        <v>562</v>
      </c>
      <c r="E5" s="1056" t="s">
        <v>604</v>
      </c>
      <c r="F5" s="1056" t="s">
        <v>0</v>
      </c>
      <c r="G5" s="1056" t="s">
        <v>889</v>
      </c>
      <c r="H5" s="1056" t="s">
        <v>885</v>
      </c>
      <c r="I5" s="1056" t="s">
        <v>888</v>
      </c>
      <c r="J5" s="1056" t="s">
        <v>890</v>
      </c>
      <c r="K5" s="1056" t="s">
        <v>686</v>
      </c>
      <c r="L5" s="1056" t="s">
        <v>700</v>
      </c>
      <c r="M5" s="1056" t="s">
        <v>891</v>
      </c>
      <c r="N5" s="1056" t="s">
        <v>728</v>
      </c>
      <c r="O5" s="1056" t="s">
        <v>894</v>
      </c>
      <c r="P5" s="1056" t="s">
        <v>56</v>
      </c>
      <c r="Q5" s="1056" t="s">
        <v>230</v>
      </c>
      <c r="R5" s="1071" t="s">
        <v>558</v>
      </c>
      <c r="S5" s="1071" t="s">
        <v>612</v>
      </c>
      <c r="T5" s="1056" t="s">
        <v>886</v>
      </c>
      <c r="U5" s="1056" t="s">
        <v>1106</v>
      </c>
      <c r="V5" s="1069"/>
    </row>
    <row r="6" spans="1:22" s="33" customFormat="1" ht="63" customHeight="1" x14ac:dyDescent="0.2">
      <c r="A6" s="1060"/>
      <c r="B6" s="1064"/>
      <c r="C6" s="1057"/>
      <c r="D6" s="1057"/>
      <c r="E6" s="1057"/>
      <c r="F6" s="1057"/>
      <c r="G6" s="1057"/>
      <c r="H6" s="1057"/>
      <c r="I6" s="1057"/>
      <c r="J6" s="1057"/>
      <c r="K6" s="1057"/>
      <c r="L6" s="1057"/>
      <c r="M6" s="1057"/>
      <c r="N6" s="1057"/>
      <c r="O6" s="1057"/>
      <c r="P6" s="1057"/>
      <c r="Q6" s="1057"/>
      <c r="R6" s="1072"/>
      <c r="S6" s="1072"/>
      <c r="T6" s="1057"/>
      <c r="U6" s="1057"/>
      <c r="V6" s="1070"/>
    </row>
    <row r="7" spans="1:22" s="698" customFormat="1" x14ac:dyDescent="0.2">
      <c r="A7" s="1061"/>
      <c r="B7" s="697" t="s">
        <v>687</v>
      </c>
      <c r="C7" s="699" t="s">
        <v>688</v>
      </c>
      <c r="D7" s="699" t="s">
        <v>689</v>
      </c>
      <c r="E7" s="700" t="s">
        <v>690</v>
      </c>
      <c r="F7" s="697" t="s">
        <v>691</v>
      </c>
      <c r="G7" s="697" t="s">
        <v>692</v>
      </c>
      <c r="H7" s="700" t="s">
        <v>695</v>
      </c>
      <c r="I7" s="700" t="s">
        <v>696</v>
      </c>
      <c r="J7" s="700" t="s">
        <v>636</v>
      </c>
      <c r="K7" s="700" t="s">
        <v>637</v>
      </c>
      <c r="L7" s="700" t="s">
        <v>638</v>
      </c>
      <c r="M7" s="700" t="s">
        <v>639</v>
      </c>
      <c r="N7" s="700" t="s">
        <v>640</v>
      </c>
      <c r="O7" s="700" t="s">
        <v>641</v>
      </c>
      <c r="P7" s="699" t="s">
        <v>642</v>
      </c>
      <c r="Q7" s="779" t="s">
        <v>643</v>
      </c>
      <c r="R7" s="779" t="s">
        <v>644</v>
      </c>
      <c r="S7" s="700" t="s">
        <v>671</v>
      </c>
      <c r="T7" s="701" t="s">
        <v>897</v>
      </c>
      <c r="U7" s="738" t="s">
        <v>898</v>
      </c>
      <c r="V7" s="739" t="s">
        <v>899</v>
      </c>
    </row>
    <row r="8" spans="1:22" s="36" customFormat="1" x14ac:dyDescent="0.2">
      <c r="A8" s="149" t="s">
        <v>645</v>
      </c>
      <c r="B8" s="166" t="s">
        <v>697</v>
      </c>
      <c r="C8" s="41">
        <v>0</v>
      </c>
      <c r="D8" s="41">
        <v>0</v>
      </c>
      <c r="E8" s="42">
        <f>1000+214+1010-942</f>
        <v>1282</v>
      </c>
      <c r="F8" s="42">
        <v>0</v>
      </c>
      <c r="G8" s="42">
        <v>97</v>
      </c>
      <c r="H8" s="42">
        <f>1473+622</f>
        <v>2095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35">
        <v>0</v>
      </c>
      <c r="S8" s="42">
        <v>0</v>
      </c>
      <c r="T8" s="42">
        <v>0</v>
      </c>
      <c r="U8" s="46">
        <v>0</v>
      </c>
      <c r="V8" s="38">
        <f t="shared" ref="V8:V54" si="0">SUM(C8:U8)</f>
        <v>3474</v>
      </c>
    </row>
    <row r="9" spans="1:22" s="36" customFormat="1" ht="36" x14ac:dyDescent="0.2">
      <c r="A9" s="149" t="s">
        <v>646</v>
      </c>
      <c r="B9" s="167" t="s">
        <v>57</v>
      </c>
      <c r="C9" s="34">
        <v>0</v>
      </c>
      <c r="D9" s="34">
        <v>0</v>
      </c>
      <c r="E9" s="35">
        <f>2415-1640</f>
        <v>775</v>
      </c>
      <c r="F9" s="35">
        <v>0</v>
      </c>
      <c r="G9" s="35">
        <v>0</v>
      </c>
      <c r="H9" s="35">
        <v>0</v>
      </c>
      <c r="I9" s="35">
        <v>0</v>
      </c>
      <c r="J9" s="35">
        <v>1640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1000</v>
      </c>
      <c r="S9" s="35">
        <v>0</v>
      </c>
      <c r="T9" s="35">
        <v>0</v>
      </c>
      <c r="U9" s="47">
        <v>0</v>
      </c>
      <c r="V9" s="38">
        <f t="shared" si="0"/>
        <v>3415</v>
      </c>
    </row>
    <row r="10" spans="1:22" s="36" customFormat="1" ht="24" x14ac:dyDescent="0.2">
      <c r="A10" s="149" t="s">
        <v>647</v>
      </c>
      <c r="B10" s="167" t="s">
        <v>620</v>
      </c>
      <c r="C10" s="34">
        <v>0</v>
      </c>
      <c r="D10" s="34">
        <v>0</v>
      </c>
      <c r="E10" s="35">
        <f>9158+1529</f>
        <v>10687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47">
        <v>0</v>
      </c>
      <c r="V10" s="38">
        <f t="shared" si="0"/>
        <v>10687</v>
      </c>
    </row>
    <row r="11" spans="1:22" s="36" customFormat="1" ht="24" x14ac:dyDescent="0.2">
      <c r="A11" s="149" t="s">
        <v>648</v>
      </c>
      <c r="B11" s="167" t="s">
        <v>58</v>
      </c>
      <c r="C11" s="34">
        <v>0</v>
      </c>
      <c r="D11" s="34">
        <v>0</v>
      </c>
      <c r="E11" s="35">
        <v>25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f>3619190+532</f>
        <v>3619722</v>
      </c>
      <c r="S11" s="35">
        <v>0</v>
      </c>
      <c r="T11" s="35">
        <v>0</v>
      </c>
      <c r="U11" s="47">
        <v>0</v>
      </c>
      <c r="V11" s="38">
        <f t="shared" si="0"/>
        <v>3619747</v>
      </c>
    </row>
    <row r="12" spans="1:22" s="36" customFormat="1" ht="24" x14ac:dyDescent="0.2">
      <c r="A12" s="149" t="s">
        <v>649</v>
      </c>
      <c r="B12" s="167" t="s">
        <v>561</v>
      </c>
      <c r="C12" s="34">
        <v>0</v>
      </c>
      <c r="D12" s="34">
        <v>0</v>
      </c>
      <c r="E12" s="35">
        <f>5872-5872</f>
        <v>0</v>
      </c>
      <c r="F12" s="35">
        <v>0</v>
      </c>
      <c r="G12" s="35">
        <v>0</v>
      </c>
      <c r="H12" s="35">
        <v>0</v>
      </c>
      <c r="I12" s="35">
        <v>0</v>
      </c>
      <c r="J12" s="35">
        <v>5872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47">
        <v>0</v>
      </c>
      <c r="V12" s="38">
        <f t="shared" si="0"/>
        <v>5872</v>
      </c>
    </row>
    <row r="13" spans="1:22" s="36" customFormat="1" x14ac:dyDescent="0.2">
      <c r="A13" s="149" t="s">
        <v>650</v>
      </c>
      <c r="B13" s="167" t="s">
        <v>621</v>
      </c>
      <c r="C13" s="34">
        <v>0</v>
      </c>
      <c r="D13" s="34">
        <v>0</v>
      </c>
      <c r="E13" s="35">
        <v>0</v>
      </c>
      <c r="F13" s="35">
        <v>0</v>
      </c>
      <c r="G13" s="35">
        <v>280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47">
        <v>0</v>
      </c>
      <c r="V13" s="38">
        <f t="shared" si="0"/>
        <v>280</v>
      </c>
    </row>
    <row r="14" spans="1:22" x14ac:dyDescent="0.2">
      <c r="A14" s="149" t="s">
        <v>651</v>
      </c>
      <c r="B14" s="167" t="s">
        <v>584</v>
      </c>
      <c r="C14" s="34">
        <f>25668+2</f>
        <v>25670</v>
      </c>
      <c r="D14" s="35">
        <v>6921</v>
      </c>
      <c r="E14" s="35">
        <f>97517+5219+1239-1208+1992</f>
        <v>104759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f>7690-7620</f>
        <v>70</v>
      </c>
      <c r="S14" s="35">
        <v>0</v>
      </c>
      <c r="T14" s="35">
        <v>0</v>
      </c>
      <c r="U14" s="47">
        <v>0</v>
      </c>
      <c r="V14" s="38">
        <f t="shared" si="0"/>
        <v>137420</v>
      </c>
    </row>
    <row r="15" spans="1:22" s="36" customFormat="1" ht="24" x14ac:dyDescent="0.2">
      <c r="A15" s="149" t="s">
        <v>652</v>
      </c>
      <c r="B15" s="167" t="s">
        <v>59</v>
      </c>
      <c r="C15" s="34">
        <v>0</v>
      </c>
      <c r="D15" s="34">
        <v>0</v>
      </c>
      <c r="E15" s="35">
        <f>17880+4271+466+3175-1509+3500-3500-2608</f>
        <v>21675</v>
      </c>
      <c r="F15" s="35">
        <v>0</v>
      </c>
      <c r="G15" s="35">
        <v>0</v>
      </c>
      <c r="H15" s="35">
        <v>0</v>
      </c>
      <c r="I15" s="35">
        <v>0</v>
      </c>
      <c r="J15" s="35">
        <v>42305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f>3000+80-3000+290</f>
        <v>370</v>
      </c>
      <c r="S15" s="35">
        <f>4509+1219</f>
        <v>5728</v>
      </c>
      <c r="T15" s="35">
        <v>475</v>
      </c>
      <c r="U15" s="47">
        <v>0</v>
      </c>
      <c r="V15" s="38">
        <f t="shared" si="0"/>
        <v>70553</v>
      </c>
    </row>
    <row r="16" spans="1:22" x14ac:dyDescent="0.2">
      <c r="A16" s="149" t="s">
        <v>653</v>
      </c>
      <c r="B16" s="167" t="s">
        <v>896</v>
      </c>
      <c r="C16" s="34">
        <f>16304+354+51+630</f>
        <v>17339</v>
      </c>
      <c r="D16" s="35">
        <f>4419+96+14+170</f>
        <v>4699</v>
      </c>
      <c r="E16" s="35">
        <f>21977+1460+191</f>
        <v>23628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395</v>
      </c>
      <c r="S16" s="35">
        <v>0</v>
      </c>
      <c r="T16" s="35">
        <v>0</v>
      </c>
      <c r="U16" s="47">
        <v>0</v>
      </c>
      <c r="V16" s="38">
        <f t="shared" si="0"/>
        <v>46061</v>
      </c>
    </row>
    <row r="17" spans="1:23" x14ac:dyDescent="0.2">
      <c r="A17" s="149" t="s">
        <v>654</v>
      </c>
      <c r="B17" s="167" t="s">
        <v>622</v>
      </c>
      <c r="C17" s="34">
        <v>0</v>
      </c>
      <c r="D17" s="35">
        <v>0</v>
      </c>
      <c r="E17" s="35">
        <f>550-400</f>
        <v>150</v>
      </c>
      <c r="F17" s="35">
        <v>0</v>
      </c>
      <c r="G17" s="35">
        <v>0</v>
      </c>
      <c r="H17" s="35">
        <v>0</v>
      </c>
      <c r="I17" s="35">
        <v>0</v>
      </c>
      <c r="J17" s="35">
        <f>19931+400</f>
        <v>20331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47">
        <v>0</v>
      </c>
      <c r="V17" s="38">
        <f t="shared" si="0"/>
        <v>20481</v>
      </c>
    </row>
    <row r="18" spans="1:23" ht="24" x14ac:dyDescent="0.2">
      <c r="A18" s="149" t="s">
        <v>655</v>
      </c>
      <c r="B18" s="167" t="s">
        <v>60</v>
      </c>
      <c r="C18" s="34">
        <v>127</v>
      </c>
      <c r="D18" s="35">
        <v>2476</v>
      </c>
      <c r="E18" s="35">
        <f>9333+379-1215+4797+6900+1000</f>
        <v>21194</v>
      </c>
      <c r="F18" s="35">
        <v>0</v>
      </c>
      <c r="G18" s="35">
        <v>92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f>2300+96</f>
        <v>2396</v>
      </c>
      <c r="S18" s="35">
        <v>0</v>
      </c>
      <c r="T18" s="35">
        <v>0</v>
      </c>
      <c r="U18" s="47">
        <v>0</v>
      </c>
      <c r="V18" s="38">
        <f t="shared" si="0"/>
        <v>26285</v>
      </c>
    </row>
    <row r="19" spans="1:23" x14ac:dyDescent="0.2">
      <c r="A19" s="149" t="s">
        <v>656</v>
      </c>
      <c r="B19" s="167" t="s">
        <v>61</v>
      </c>
      <c r="C19" s="34">
        <v>4803</v>
      </c>
      <c r="D19" s="34">
        <v>1297</v>
      </c>
      <c r="E19" s="35">
        <v>13800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2000</v>
      </c>
      <c r="S19" s="35">
        <v>0</v>
      </c>
      <c r="T19" s="35">
        <v>0</v>
      </c>
      <c r="U19" s="47">
        <v>0</v>
      </c>
      <c r="V19" s="38">
        <f t="shared" si="0"/>
        <v>21900</v>
      </c>
    </row>
    <row r="20" spans="1:23" ht="24" x14ac:dyDescent="0.2">
      <c r="A20" s="149" t="s">
        <v>657</v>
      </c>
      <c r="B20" s="167" t="s">
        <v>623</v>
      </c>
      <c r="C20" s="34">
        <f>10+102+360</f>
        <v>472</v>
      </c>
      <c r="D20" s="34">
        <f>5+52+90</f>
        <v>147</v>
      </c>
      <c r="E20" s="35">
        <f>950-15+27+391+31-450+4500</f>
        <v>5434</v>
      </c>
      <c r="F20" s="35">
        <v>0</v>
      </c>
      <c r="G20" s="35">
        <v>0</v>
      </c>
      <c r="H20" s="35">
        <v>0</v>
      </c>
      <c r="I20" s="35">
        <v>0</v>
      </c>
      <c r="J20" s="35">
        <f>4500-4500</f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47">
        <v>0</v>
      </c>
      <c r="V20" s="38">
        <f t="shared" si="0"/>
        <v>6053</v>
      </c>
    </row>
    <row r="21" spans="1:23" x14ac:dyDescent="0.2">
      <c r="A21" s="149" t="s">
        <v>658</v>
      </c>
      <c r="B21" s="167" t="s">
        <v>624</v>
      </c>
      <c r="C21" s="35">
        <v>0</v>
      </c>
      <c r="D21" s="34">
        <v>0</v>
      </c>
      <c r="E21" s="35">
        <v>21564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47">
        <v>0</v>
      </c>
      <c r="V21" s="38">
        <f t="shared" si="0"/>
        <v>21564</v>
      </c>
    </row>
    <row r="22" spans="1:23" x14ac:dyDescent="0.2">
      <c r="A22" s="149" t="s">
        <v>659</v>
      </c>
      <c r="B22" s="167" t="s">
        <v>62</v>
      </c>
      <c r="C22" s="34">
        <v>192</v>
      </c>
      <c r="D22" s="34">
        <v>47</v>
      </c>
      <c r="E22" s="35">
        <f>13255+114+10-6890-80+100-400-300-259</f>
        <v>5550</v>
      </c>
      <c r="F22" s="35">
        <v>0</v>
      </c>
      <c r="G22" s="35">
        <v>0</v>
      </c>
      <c r="H22" s="35">
        <v>0</v>
      </c>
      <c r="I22" s="35">
        <v>0</v>
      </c>
      <c r="J22" s="35">
        <f>52450+6890-42305-100</f>
        <v>16935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f>439627-500+400</f>
        <v>439527</v>
      </c>
      <c r="S22" s="35">
        <v>0</v>
      </c>
      <c r="T22" s="35">
        <v>0</v>
      </c>
      <c r="U22" s="47">
        <v>0</v>
      </c>
      <c r="V22" s="38">
        <f t="shared" si="0"/>
        <v>462251</v>
      </c>
    </row>
    <row r="23" spans="1:23" ht="24" x14ac:dyDescent="0.2">
      <c r="A23" s="149" t="s">
        <v>660</v>
      </c>
      <c r="B23" s="167" t="s">
        <v>625</v>
      </c>
      <c r="C23" s="34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f>1000-290</f>
        <v>710</v>
      </c>
      <c r="L23" s="35">
        <f>500+2111</f>
        <v>2611</v>
      </c>
      <c r="M23" s="35">
        <f>105238-20513-16503-3030-3155-575-10-7145-14359-214-283-3000-35509-942</f>
        <v>0</v>
      </c>
      <c r="N23" s="35">
        <f>1000-278-114-92-1112-4500+13365+120-307-96-451-680-3000-3855-5+874-340-529</f>
        <v>0</v>
      </c>
      <c r="O23" s="35">
        <f>1596-1830+3134</f>
        <v>2900</v>
      </c>
      <c r="P23" s="35">
        <f>6000+3000-4500</f>
        <v>4500</v>
      </c>
      <c r="Q23" s="35">
        <v>0</v>
      </c>
      <c r="R23" s="35">
        <v>0</v>
      </c>
      <c r="S23" s="35">
        <v>0</v>
      </c>
      <c r="T23" s="35">
        <v>0</v>
      </c>
      <c r="U23" s="47">
        <v>0</v>
      </c>
      <c r="V23" s="38">
        <f t="shared" si="0"/>
        <v>10721</v>
      </c>
    </row>
    <row r="24" spans="1:23" x14ac:dyDescent="0.2">
      <c r="A24" s="149" t="s">
        <v>661</v>
      </c>
      <c r="B24" s="167" t="s">
        <v>63</v>
      </c>
      <c r="C24" s="34">
        <v>0</v>
      </c>
      <c r="D24" s="35">
        <v>0</v>
      </c>
      <c r="E24" s="35">
        <v>624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42">
        <v>0</v>
      </c>
      <c r="N24" s="35">
        <v>0</v>
      </c>
      <c r="O24" s="35">
        <v>0</v>
      </c>
      <c r="P24" s="35">
        <v>0</v>
      </c>
      <c r="Q24" s="35">
        <v>0</v>
      </c>
      <c r="R24" s="34">
        <f>10323-317</f>
        <v>10006</v>
      </c>
      <c r="S24" s="35">
        <v>0</v>
      </c>
      <c r="T24" s="35">
        <v>0</v>
      </c>
      <c r="U24" s="47">
        <v>0</v>
      </c>
      <c r="V24" s="38">
        <f t="shared" si="0"/>
        <v>10630</v>
      </c>
    </row>
    <row r="25" spans="1:23" ht="24" x14ac:dyDescent="0.2">
      <c r="A25" s="149" t="s">
        <v>662</v>
      </c>
      <c r="B25" s="167" t="s">
        <v>64</v>
      </c>
      <c r="C25" s="34">
        <f>23139+26+226</f>
        <v>23391</v>
      </c>
      <c r="D25" s="35">
        <f>6237+7+61</f>
        <v>6305</v>
      </c>
      <c r="E25" s="35">
        <f>7398+94</f>
        <v>7492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4">
        <f>188+481</f>
        <v>669</v>
      </c>
      <c r="S25" s="35">
        <v>0</v>
      </c>
      <c r="T25" s="35">
        <v>0</v>
      </c>
      <c r="U25" s="47">
        <v>0</v>
      </c>
      <c r="V25" s="38">
        <f t="shared" si="0"/>
        <v>37857</v>
      </c>
    </row>
    <row r="26" spans="1:23" ht="24" x14ac:dyDescent="0.2">
      <c r="A26" s="149" t="s">
        <v>663</v>
      </c>
      <c r="B26" s="167" t="s">
        <v>65</v>
      </c>
      <c r="C26" s="34">
        <v>0</v>
      </c>
      <c r="D26" s="34">
        <v>0</v>
      </c>
      <c r="E26" s="35">
        <f>1000-220-395</f>
        <v>385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4">
        <v>0</v>
      </c>
      <c r="S26" s="35">
        <v>0</v>
      </c>
      <c r="T26" s="35">
        <v>0</v>
      </c>
      <c r="U26" s="47">
        <v>0</v>
      </c>
      <c r="V26" s="38">
        <f t="shared" si="0"/>
        <v>385</v>
      </c>
    </row>
    <row r="27" spans="1:23" x14ac:dyDescent="0.2">
      <c r="A27" s="149" t="s">
        <v>664</v>
      </c>
      <c r="B27" s="167" t="s">
        <v>66</v>
      </c>
      <c r="C27" s="34">
        <f>1546-790-756</f>
        <v>0</v>
      </c>
      <c r="D27" s="34">
        <f>209-107-102</f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4">
        <f>5277-4642</f>
        <v>635</v>
      </c>
      <c r="S27" s="35">
        <v>0</v>
      </c>
      <c r="T27" s="35">
        <v>0</v>
      </c>
      <c r="U27" s="47">
        <v>0</v>
      </c>
      <c r="V27" s="38">
        <f t="shared" si="0"/>
        <v>635</v>
      </c>
      <c r="W27" s="39"/>
    </row>
    <row r="28" spans="1:23" ht="15" customHeight="1" x14ac:dyDescent="0.2">
      <c r="A28" s="1055" t="s">
        <v>67</v>
      </c>
      <c r="B28" s="167" t="s">
        <v>626</v>
      </c>
      <c r="C28" s="35">
        <v>0</v>
      </c>
      <c r="D28" s="35">
        <v>0</v>
      </c>
      <c r="E28" s="35">
        <f>360+75</f>
        <v>435</v>
      </c>
      <c r="F28" s="35">
        <v>0</v>
      </c>
      <c r="G28" s="35">
        <v>0</v>
      </c>
      <c r="H28" s="35">
        <v>0</v>
      </c>
      <c r="I28" s="35">
        <v>0</v>
      </c>
      <c r="J28" s="35">
        <v>2633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8">
        <f t="shared" si="0"/>
        <v>3068</v>
      </c>
      <c r="W28" s="39"/>
    </row>
    <row r="29" spans="1:23" ht="14.25" customHeight="1" x14ac:dyDescent="0.2">
      <c r="A29" s="1055"/>
      <c r="B29" s="167" t="s">
        <v>627</v>
      </c>
      <c r="C29" s="35">
        <f>11106+34+595</f>
        <v>11735</v>
      </c>
      <c r="D29" s="35">
        <f>2999+9+160</f>
        <v>3168</v>
      </c>
      <c r="E29" s="35">
        <f>13283+1261</f>
        <v>14544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216</v>
      </c>
      <c r="S29" s="35">
        <v>0</v>
      </c>
      <c r="T29" s="35">
        <v>0</v>
      </c>
      <c r="U29" s="35">
        <v>0</v>
      </c>
      <c r="V29" s="38">
        <f t="shared" si="0"/>
        <v>29663</v>
      </c>
    </row>
    <row r="30" spans="1:23" ht="12" customHeight="1" x14ac:dyDescent="0.2">
      <c r="A30" s="1055"/>
      <c r="B30" s="167" t="s">
        <v>628</v>
      </c>
      <c r="C30" s="35">
        <v>0</v>
      </c>
      <c r="D30" s="35">
        <v>0</v>
      </c>
      <c r="E30" s="35">
        <v>120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8">
        <f t="shared" si="0"/>
        <v>120</v>
      </c>
    </row>
    <row r="31" spans="1:23" s="36" customFormat="1" ht="24" x14ac:dyDescent="0.2">
      <c r="A31" s="1055"/>
      <c r="B31" s="167" t="s">
        <v>699</v>
      </c>
      <c r="C31" s="35">
        <f>10893+39+521</f>
        <v>11453</v>
      </c>
      <c r="D31" s="35">
        <f>2942+11+141</f>
        <v>3094</v>
      </c>
      <c r="E31" s="35">
        <f>1356+302+21</f>
        <v>1679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f>13+1528</f>
        <v>1541</v>
      </c>
      <c r="S31" s="35">
        <v>0</v>
      </c>
      <c r="T31" s="35">
        <v>0</v>
      </c>
      <c r="U31" s="35">
        <v>0</v>
      </c>
      <c r="V31" s="38">
        <f t="shared" si="0"/>
        <v>17767</v>
      </c>
    </row>
    <row r="32" spans="1:23" s="36" customFormat="1" ht="24" customHeight="1" x14ac:dyDescent="0.2">
      <c r="A32" s="1054" t="s">
        <v>75</v>
      </c>
      <c r="B32" s="168" t="s">
        <v>68</v>
      </c>
      <c r="C32" s="35">
        <v>0</v>
      </c>
      <c r="D32" s="35">
        <v>0</v>
      </c>
      <c r="E32" s="35">
        <f>16471+4000</f>
        <v>20471</v>
      </c>
      <c r="F32" s="35">
        <v>0</v>
      </c>
      <c r="G32" s="35">
        <v>0</v>
      </c>
      <c r="H32" s="35">
        <v>0</v>
      </c>
      <c r="I32" s="35">
        <v>0</v>
      </c>
      <c r="J32" s="35">
        <v>17872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8">
        <f t="shared" si="0"/>
        <v>38343</v>
      </c>
    </row>
    <row r="33" spans="1:22" s="36" customFormat="1" x14ac:dyDescent="0.2">
      <c r="A33" s="1054"/>
      <c r="B33" s="168" t="s">
        <v>69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2292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8">
        <f t="shared" si="0"/>
        <v>2292</v>
      </c>
    </row>
    <row r="34" spans="1:22" s="36" customFormat="1" ht="24" x14ac:dyDescent="0.2">
      <c r="A34" s="1054"/>
      <c r="B34" s="168" t="s">
        <v>70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2763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8">
        <f t="shared" si="0"/>
        <v>2763</v>
      </c>
    </row>
    <row r="35" spans="1:22" s="36" customFormat="1" x14ac:dyDescent="0.2">
      <c r="A35" s="1054"/>
      <c r="B35" s="168" t="s">
        <v>71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13199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8">
        <f t="shared" si="0"/>
        <v>13199</v>
      </c>
    </row>
    <row r="36" spans="1:22" s="36" customFormat="1" x14ac:dyDescent="0.2">
      <c r="A36" s="1054"/>
      <c r="B36" s="168" t="s">
        <v>72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3689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8">
        <f t="shared" si="0"/>
        <v>3689</v>
      </c>
    </row>
    <row r="37" spans="1:22" x14ac:dyDescent="0.2">
      <c r="A37" s="1054"/>
      <c r="B37" s="167" t="s">
        <v>722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184">
        <v>0</v>
      </c>
      <c r="I37" s="184">
        <v>0</v>
      </c>
      <c r="J37" s="35">
        <v>5090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8">
        <f t="shared" si="0"/>
        <v>5090</v>
      </c>
    </row>
    <row r="38" spans="1:22" x14ac:dyDescent="0.2">
      <c r="A38" s="1054"/>
      <c r="B38" s="167" t="s">
        <v>723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184">
        <v>0</v>
      </c>
      <c r="I38" s="184">
        <v>0</v>
      </c>
      <c r="J38" s="35">
        <v>2753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8">
        <f t="shared" si="0"/>
        <v>2753</v>
      </c>
    </row>
    <row r="39" spans="1:22" x14ac:dyDescent="0.2">
      <c r="A39" s="1054"/>
      <c r="B39" s="167" t="s">
        <v>73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184">
        <v>0</v>
      </c>
      <c r="I39" s="184">
        <v>0</v>
      </c>
      <c r="J39" s="35">
        <v>8692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8">
        <f t="shared" si="0"/>
        <v>8692</v>
      </c>
    </row>
    <row r="40" spans="1:22" ht="24" x14ac:dyDescent="0.2">
      <c r="A40" s="1054"/>
      <c r="B40" s="167" t="s">
        <v>74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565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8">
        <f t="shared" si="0"/>
        <v>565</v>
      </c>
    </row>
    <row r="41" spans="1:22" ht="24" x14ac:dyDescent="0.2">
      <c r="A41" s="149" t="s">
        <v>780</v>
      </c>
      <c r="B41" s="167" t="s">
        <v>94</v>
      </c>
      <c r="C41" s="35">
        <v>0</v>
      </c>
      <c r="D41" s="35">
        <v>0</v>
      </c>
      <c r="E41" s="35">
        <v>0</v>
      </c>
      <c r="F41" s="35">
        <f>2800-15+400</f>
        <v>3185</v>
      </c>
      <c r="G41" s="35">
        <v>0</v>
      </c>
      <c r="H41" s="184">
        <v>0</v>
      </c>
      <c r="I41" s="184">
        <v>0</v>
      </c>
      <c r="J41" s="35">
        <v>15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8">
        <f t="shared" si="0"/>
        <v>3200</v>
      </c>
    </row>
    <row r="42" spans="1:22" x14ac:dyDescent="0.2">
      <c r="A42" s="1054" t="s">
        <v>77</v>
      </c>
      <c r="B42" s="167" t="s">
        <v>1109</v>
      </c>
      <c r="C42" s="35">
        <v>177</v>
      </c>
      <c r="D42" s="35">
        <v>0</v>
      </c>
      <c r="E42" s="35">
        <v>0</v>
      </c>
      <c r="F42" s="35">
        <v>0</v>
      </c>
      <c r="G42" s="35">
        <v>0</v>
      </c>
      <c r="H42" s="184">
        <v>0</v>
      </c>
      <c r="I42" s="184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8">
        <f t="shared" si="0"/>
        <v>177</v>
      </c>
    </row>
    <row r="43" spans="1:22" ht="24" x14ac:dyDescent="0.2">
      <c r="A43" s="1054"/>
      <c r="B43" s="167" t="s">
        <v>1110</v>
      </c>
      <c r="C43" s="35">
        <f>10860+45927+112242+19384</f>
        <v>188413</v>
      </c>
      <c r="D43" s="35">
        <f>1466+6200+15153+2617</f>
        <v>25436</v>
      </c>
      <c r="E43" s="35">
        <f>432+5207+15694-254</f>
        <v>21079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f>0+14625+1766</f>
        <v>16391</v>
      </c>
      <c r="S43" s="35">
        <v>0</v>
      </c>
      <c r="T43" s="35">
        <v>0</v>
      </c>
      <c r="U43" s="35">
        <v>0</v>
      </c>
      <c r="V43" s="38">
        <f t="shared" si="0"/>
        <v>251319</v>
      </c>
    </row>
    <row r="44" spans="1:22" ht="24" x14ac:dyDescent="0.2">
      <c r="A44" s="1054"/>
      <c r="B44" s="167" t="s">
        <v>1111</v>
      </c>
      <c r="C44" s="35">
        <f>15769+12384+15848+1379+11157</f>
        <v>56537</v>
      </c>
      <c r="D44" s="35">
        <f>2129+1672+2139+188+1506</f>
        <v>7634</v>
      </c>
      <c r="E44" s="35">
        <f>454-295</f>
        <v>159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295</v>
      </c>
      <c r="S44" s="35">
        <v>0</v>
      </c>
      <c r="T44" s="35">
        <v>0</v>
      </c>
      <c r="U44" s="35">
        <v>0</v>
      </c>
      <c r="V44" s="38">
        <f>SUM(C44:U44)</f>
        <v>64625</v>
      </c>
    </row>
    <row r="45" spans="1:22" x14ac:dyDescent="0.2">
      <c r="A45" s="149">
        <v>25</v>
      </c>
      <c r="B45" s="167" t="s">
        <v>629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f>5130-1061+761</f>
        <v>4830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f>278+45</f>
        <v>323</v>
      </c>
      <c r="U45" s="35">
        <v>0</v>
      </c>
      <c r="V45" s="38">
        <f t="shared" si="0"/>
        <v>5153</v>
      </c>
    </row>
    <row r="46" spans="1:22" x14ac:dyDescent="0.2">
      <c r="A46" s="149" t="s">
        <v>727</v>
      </c>
      <c r="B46" s="167" t="s">
        <v>895</v>
      </c>
      <c r="C46" s="35"/>
      <c r="D46" s="35"/>
      <c r="E46" s="35"/>
      <c r="F46" s="35"/>
      <c r="G46" s="35"/>
      <c r="H46" s="35"/>
      <c r="I46" s="35">
        <v>0</v>
      </c>
      <c r="J46" s="35">
        <v>1061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>
        <f t="shared" si="0"/>
        <v>1061</v>
      </c>
    </row>
    <row r="47" spans="1:22" x14ac:dyDescent="0.2">
      <c r="A47" s="149" t="s">
        <v>787</v>
      </c>
      <c r="B47" s="167" t="s">
        <v>84</v>
      </c>
      <c r="C47" s="35">
        <v>0</v>
      </c>
      <c r="D47" s="35">
        <v>0</v>
      </c>
      <c r="E47" s="35">
        <v>47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8">
        <f t="shared" si="0"/>
        <v>47</v>
      </c>
    </row>
    <row r="48" spans="1:22" ht="35.25" customHeight="1" x14ac:dyDescent="0.2">
      <c r="A48" s="149" t="s">
        <v>667</v>
      </c>
      <c r="B48" s="167" t="s">
        <v>78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f>5979-500+1039</f>
        <v>6518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13471</v>
      </c>
      <c r="S48" s="35">
        <v>0</v>
      </c>
      <c r="T48" s="35">
        <f>156+500</f>
        <v>656</v>
      </c>
      <c r="U48" s="35">
        <v>0</v>
      </c>
      <c r="V48" s="38">
        <f t="shared" si="0"/>
        <v>20645</v>
      </c>
    </row>
    <row r="49" spans="1:25" ht="24" x14ac:dyDescent="0.2">
      <c r="A49" s="149" t="s">
        <v>668</v>
      </c>
      <c r="B49" s="167" t="s">
        <v>79</v>
      </c>
      <c r="C49" s="35">
        <v>0</v>
      </c>
      <c r="D49" s="35">
        <v>0</v>
      </c>
      <c r="E49" s="35">
        <f>3625-3625</f>
        <v>0</v>
      </c>
      <c r="F49" s="35">
        <v>0</v>
      </c>
      <c r="G49" s="35">
        <v>0</v>
      </c>
      <c r="H49" s="35">
        <v>0</v>
      </c>
      <c r="I49" s="35">
        <v>0</v>
      </c>
      <c r="J49" s="35">
        <v>34860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f>70-70</f>
        <v>0</v>
      </c>
      <c r="S49" s="35">
        <v>0</v>
      </c>
      <c r="T49" s="35">
        <v>0</v>
      </c>
      <c r="U49" s="35">
        <v>0</v>
      </c>
      <c r="V49" s="38">
        <f t="shared" si="0"/>
        <v>34860</v>
      </c>
    </row>
    <row r="50" spans="1:25" ht="24" x14ac:dyDescent="0.2">
      <c r="A50" s="769" t="s">
        <v>669</v>
      </c>
      <c r="B50" s="770" t="s">
        <v>903</v>
      </c>
      <c r="C50" s="771">
        <v>0</v>
      </c>
      <c r="D50" s="772">
        <v>0</v>
      </c>
      <c r="E50" s="772">
        <v>0</v>
      </c>
      <c r="F50" s="772">
        <v>0</v>
      </c>
      <c r="G50" s="772">
        <v>0</v>
      </c>
      <c r="H50" s="772">
        <v>0</v>
      </c>
      <c r="I50" s="772">
        <v>1945</v>
      </c>
      <c r="J50" s="772">
        <v>0</v>
      </c>
      <c r="K50" s="772">
        <v>0</v>
      </c>
      <c r="L50" s="772">
        <v>0</v>
      </c>
      <c r="M50" s="772">
        <v>0</v>
      </c>
      <c r="N50" s="772">
        <v>0</v>
      </c>
      <c r="O50" s="772">
        <v>0</v>
      </c>
      <c r="P50" s="772">
        <v>0</v>
      </c>
      <c r="Q50" s="772">
        <v>0</v>
      </c>
      <c r="R50" s="772">
        <v>0</v>
      </c>
      <c r="S50" s="772">
        <v>0</v>
      </c>
      <c r="T50" s="772">
        <v>0</v>
      </c>
      <c r="U50" s="772">
        <v>0</v>
      </c>
      <c r="V50" s="38">
        <f t="shared" si="0"/>
        <v>1945</v>
      </c>
    </row>
    <row r="51" spans="1:25" ht="24" x14ac:dyDescent="0.2">
      <c r="A51" s="769" t="s">
        <v>789</v>
      </c>
      <c r="B51" s="770" t="s">
        <v>887</v>
      </c>
      <c r="C51" s="771">
        <v>0</v>
      </c>
      <c r="D51" s="772">
        <v>0</v>
      </c>
      <c r="E51" s="772">
        <v>0</v>
      </c>
      <c r="F51" s="772">
        <v>0</v>
      </c>
      <c r="G51" s="772">
        <v>0</v>
      </c>
      <c r="H51" s="772">
        <v>0</v>
      </c>
      <c r="I51" s="772">
        <v>10000</v>
      </c>
      <c r="J51" s="772">
        <v>0</v>
      </c>
      <c r="K51" s="772">
        <v>0</v>
      </c>
      <c r="L51" s="772">
        <v>0</v>
      </c>
      <c r="M51" s="772">
        <v>0</v>
      </c>
      <c r="N51" s="772">
        <v>0</v>
      </c>
      <c r="O51" s="772">
        <v>0</v>
      </c>
      <c r="P51" s="772">
        <v>0</v>
      </c>
      <c r="Q51" s="772">
        <v>0</v>
      </c>
      <c r="R51" s="772">
        <v>0</v>
      </c>
      <c r="S51" s="772">
        <v>0</v>
      </c>
      <c r="T51" s="772">
        <v>0</v>
      </c>
      <c r="U51" s="772">
        <v>0</v>
      </c>
      <c r="V51" s="38">
        <f t="shared" si="0"/>
        <v>10000</v>
      </c>
    </row>
    <row r="52" spans="1:25" x14ac:dyDescent="0.2">
      <c r="A52" s="769" t="s">
        <v>670</v>
      </c>
      <c r="B52" s="770" t="s">
        <v>892</v>
      </c>
      <c r="C52" s="771">
        <v>0</v>
      </c>
      <c r="D52" s="772">
        <v>0</v>
      </c>
      <c r="E52" s="772">
        <f>27+5</f>
        <v>32</v>
      </c>
      <c r="F52" s="772">
        <v>0</v>
      </c>
      <c r="G52" s="772">
        <v>0</v>
      </c>
      <c r="H52" s="772">
        <v>0</v>
      </c>
      <c r="I52" s="772">
        <v>0</v>
      </c>
      <c r="J52" s="772">
        <v>0</v>
      </c>
      <c r="K52" s="772">
        <v>0</v>
      </c>
      <c r="L52" s="772">
        <v>0</v>
      </c>
      <c r="M52" s="772">
        <v>0</v>
      </c>
      <c r="N52" s="772">
        <v>0</v>
      </c>
      <c r="O52" s="772">
        <v>0</v>
      </c>
      <c r="P52" s="772">
        <v>0</v>
      </c>
      <c r="Q52" s="772">
        <f>20513+256+70</f>
        <v>20839</v>
      </c>
      <c r="R52" s="772">
        <v>0</v>
      </c>
      <c r="S52" s="772">
        <v>0</v>
      </c>
      <c r="T52" s="772">
        <v>0</v>
      </c>
      <c r="U52" s="772">
        <v>0</v>
      </c>
      <c r="V52" s="38">
        <f t="shared" si="0"/>
        <v>20871</v>
      </c>
    </row>
    <row r="53" spans="1:25" x14ac:dyDescent="0.2">
      <c r="A53" s="769" t="s">
        <v>698</v>
      </c>
      <c r="B53" s="770" t="s">
        <v>893</v>
      </c>
      <c r="C53" s="771">
        <v>0</v>
      </c>
      <c r="D53" s="772">
        <v>0</v>
      </c>
      <c r="E53" s="772">
        <f>2077-1800-191</f>
        <v>86</v>
      </c>
      <c r="F53" s="772">
        <v>0</v>
      </c>
      <c r="G53" s="772">
        <v>0</v>
      </c>
      <c r="H53" s="772">
        <v>0</v>
      </c>
      <c r="I53" s="772">
        <v>0</v>
      </c>
      <c r="J53" s="772">
        <v>0</v>
      </c>
      <c r="K53" s="772">
        <v>0</v>
      </c>
      <c r="L53" s="772">
        <v>0</v>
      </c>
      <c r="M53" s="772">
        <v>0</v>
      </c>
      <c r="N53" s="772">
        <v>0</v>
      </c>
      <c r="O53" s="772">
        <v>0</v>
      </c>
      <c r="P53" s="772">
        <v>0</v>
      </c>
      <c r="Q53" s="772">
        <v>0</v>
      </c>
      <c r="R53" s="772">
        <v>0</v>
      </c>
      <c r="S53" s="772">
        <v>0</v>
      </c>
      <c r="T53" s="772">
        <v>0</v>
      </c>
      <c r="U53" s="772">
        <f>1034+187176</f>
        <v>188210</v>
      </c>
      <c r="V53" s="38">
        <f t="shared" si="0"/>
        <v>188296</v>
      </c>
    </row>
    <row r="54" spans="1:25" x14ac:dyDescent="0.2">
      <c r="A54" s="769" t="s">
        <v>793</v>
      </c>
      <c r="B54" s="770" t="s">
        <v>471</v>
      </c>
      <c r="C54" s="771">
        <v>2276</v>
      </c>
      <c r="D54" s="772">
        <v>615</v>
      </c>
      <c r="E54" s="772">
        <f>5698+300</f>
        <v>5998</v>
      </c>
      <c r="F54" s="772">
        <v>0</v>
      </c>
      <c r="G54" s="772">
        <v>0</v>
      </c>
      <c r="H54" s="772">
        <v>0</v>
      </c>
      <c r="I54" s="772">
        <v>0</v>
      </c>
      <c r="J54" s="772">
        <v>3092</v>
      </c>
      <c r="K54" s="772">
        <v>0</v>
      </c>
      <c r="L54" s="772">
        <v>0</v>
      </c>
      <c r="M54" s="772">
        <v>0</v>
      </c>
      <c r="N54" s="772">
        <v>0</v>
      </c>
      <c r="O54" s="772">
        <v>0</v>
      </c>
      <c r="P54" s="772">
        <v>0</v>
      </c>
      <c r="Q54" s="772">
        <v>0</v>
      </c>
      <c r="R54" s="772">
        <v>1568</v>
      </c>
      <c r="S54" s="772">
        <f>15731+7487</f>
        <v>23218</v>
      </c>
      <c r="T54" s="772">
        <v>20019</v>
      </c>
      <c r="U54" s="772">
        <v>0</v>
      </c>
      <c r="V54" s="38">
        <f t="shared" si="0"/>
        <v>56786</v>
      </c>
    </row>
    <row r="55" spans="1:25" s="169" customFormat="1" ht="13.5" thickBot="1" x14ac:dyDescent="0.25">
      <c r="A55" s="171" t="s">
        <v>794</v>
      </c>
      <c r="B55" s="172" t="s">
        <v>606</v>
      </c>
      <c r="C55" s="173">
        <f t="shared" ref="C55:N55" si="1">SUM(C8:C54)</f>
        <v>342585</v>
      </c>
      <c r="D55" s="174">
        <f t="shared" si="1"/>
        <v>61839</v>
      </c>
      <c r="E55" s="174">
        <f t="shared" si="1"/>
        <v>303674</v>
      </c>
      <c r="F55" s="174">
        <f t="shared" si="1"/>
        <v>3185</v>
      </c>
      <c r="G55" s="174">
        <f t="shared" si="1"/>
        <v>469</v>
      </c>
      <c r="H55" s="174">
        <f t="shared" si="1"/>
        <v>2095</v>
      </c>
      <c r="I55" s="174">
        <f t="shared" si="1"/>
        <v>11945</v>
      </c>
      <c r="J55" s="174">
        <f t="shared" si="1"/>
        <v>197007</v>
      </c>
      <c r="K55" s="174">
        <f t="shared" si="1"/>
        <v>710</v>
      </c>
      <c r="L55" s="174">
        <f t="shared" si="1"/>
        <v>2611</v>
      </c>
      <c r="M55" s="174">
        <f t="shared" si="1"/>
        <v>0</v>
      </c>
      <c r="N55" s="174">
        <f t="shared" si="1"/>
        <v>0</v>
      </c>
      <c r="O55" s="174">
        <f>SUM(O8:O49)</f>
        <v>2900</v>
      </c>
      <c r="P55" s="174">
        <f t="shared" ref="P55:V55" si="2">SUM(P8:P54)</f>
        <v>4500</v>
      </c>
      <c r="Q55" s="174">
        <f t="shared" si="2"/>
        <v>20839</v>
      </c>
      <c r="R55" s="174">
        <f t="shared" si="2"/>
        <v>4110272</v>
      </c>
      <c r="S55" s="174">
        <f t="shared" si="2"/>
        <v>28946</v>
      </c>
      <c r="T55" s="174">
        <f t="shared" si="2"/>
        <v>21473</v>
      </c>
      <c r="U55" s="174">
        <f t="shared" si="2"/>
        <v>188210</v>
      </c>
      <c r="V55" s="175">
        <f t="shared" si="2"/>
        <v>5303260</v>
      </c>
      <c r="W55" s="176">
        <f>SUM(C55:U55)</f>
        <v>5303260</v>
      </c>
      <c r="X55" s="170"/>
      <c r="Y55" s="170"/>
    </row>
    <row r="57" spans="1:25" x14ac:dyDescent="0.2">
      <c r="A57" s="1009">
        <v>10</v>
      </c>
      <c r="B57" s="1007" t="s">
        <v>1148</v>
      </c>
      <c r="C57" s="1007"/>
      <c r="D57" s="1008"/>
      <c r="E57" s="1008"/>
    </row>
    <row r="58" spans="1:25" x14ac:dyDescent="0.2">
      <c r="A58" s="1009">
        <v>11</v>
      </c>
      <c r="B58" s="1007" t="s">
        <v>1146</v>
      </c>
      <c r="C58" s="1007"/>
      <c r="D58" s="1008"/>
      <c r="E58" s="1008"/>
    </row>
    <row r="59" spans="1:25" x14ac:dyDescent="0.2">
      <c r="A59" s="1010">
        <v>12</v>
      </c>
      <c r="B59" s="1007" t="s">
        <v>1147</v>
      </c>
      <c r="C59" s="1007"/>
      <c r="D59" s="1008"/>
      <c r="E59" s="1008"/>
    </row>
  </sheetData>
  <mergeCells count="28">
    <mergeCell ref="A42:A44"/>
    <mergeCell ref="D5:D6"/>
    <mergeCell ref="G5:G6"/>
    <mergeCell ref="V4:V6"/>
    <mergeCell ref="U5:U6"/>
    <mergeCell ref="S5:S6"/>
    <mergeCell ref="O5:O6"/>
    <mergeCell ref="I5:I6"/>
    <mergeCell ref="R5:R6"/>
    <mergeCell ref="P5:P6"/>
    <mergeCell ref="N5:N6"/>
    <mergeCell ref="C5:C6"/>
    <mergeCell ref="P1:V1"/>
    <mergeCell ref="A32:A40"/>
    <mergeCell ref="A28:A31"/>
    <mergeCell ref="J5:J6"/>
    <mergeCell ref="F5:F6"/>
    <mergeCell ref="H5:H6"/>
    <mergeCell ref="B2:V2"/>
    <mergeCell ref="A4:A7"/>
    <mergeCell ref="L5:L6"/>
    <mergeCell ref="Q5:Q6"/>
    <mergeCell ref="M5:M6"/>
    <mergeCell ref="E5:E6"/>
    <mergeCell ref="B4:B6"/>
    <mergeCell ref="C4:U4"/>
    <mergeCell ref="T5:T6"/>
    <mergeCell ref="K5:K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64" orientation="landscape" r:id="rId1"/>
  <headerFooter alignWithMargins="0"/>
  <rowBreaks count="1" manualBreakCount="1">
    <brk id="3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83"/>
  <sheetViews>
    <sheetView zoomScaleNormal="100" workbookViewId="0">
      <selection activeCell="C5" sqref="C5:M5"/>
    </sheetView>
  </sheetViews>
  <sheetFormatPr defaultRowHeight="12.75" x14ac:dyDescent="0.2"/>
  <cols>
    <col min="1" max="1" width="10.425781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ht="15.75" x14ac:dyDescent="0.2">
      <c r="A1" s="221"/>
      <c r="B1" s="222"/>
      <c r="C1" s="223"/>
      <c r="D1" s="223"/>
      <c r="E1" s="223"/>
      <c r="F1" s="223"/>
      <c r="G1" s="1073" t="s">
        <v>1153</v>
      </c>
      <c r="H1" s="1073"/>
      <c r="I1" s="1074"/>
      <c r="J1" s="1074"/>
      <c r="K1" s="1074"/>
      <c r="L1" s="1074"/>
      <c r="M1" s="1074"/>
      <c r="N1" s="222"/>
      <c r="O1" s="222"/>
      <c r="P1" s="222"/>
      <c r="Q1" s="222"/>
      <c r="R1" s="226"/>
      <c r="S1" s="226"/>
      <c r="T1" s="226"/>
      <c r="U1" s="222"/>
    </row>
    <row r="2" spans="1:27" x14ac:dyDescent="0.2">
      <c r="A2" s="221"/>
      <c r="B2" s="222"/>
      <c r="C2" s="223"/>
      <c r="D2" s="223"/>
      <c r="E2" s="223"/>
      <c r="F2" s="223"/>
      <c r="G2" s="224"/>
      <c r="H2" s="224"/>
      <c r="I2" s="225"/>
      <c r="J2" s="225"/>
      <c r="K2" s="225"/>
      <c r="L2" s="225"/>
      <c r="M2" s="225"/>
      <c r="N2" s="222"/>
      <c r="O2" s="222"/>
      <c r="P2" s="222"/>
      <c r="Q2" s="222"/>
      <c r="R2" s="226"/>
      <c r="S2" s="226"/>
      <c r="T2" s="226"/>
      <c r="U2" s="222"/>
    </row>
    <row r="3" spans="1:27" ht="15.75" customHeight="1" x14ac:dyDescent="0.2">
      <c r="A3" s="1078" t="s">
        <v>876</v>
      </c>
      <c r="B3" s="1078"/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spans="1:27" ht="13.5" thickBot="1" x14ac:dyDescent="0.25">
      <c r="A4" s="1078"/>
      <c r="B4" s="1078"/>
      <c r="C4" s="1078"/>
      <c r="D4" s="1078"/>
      <c r="E4" s="1078"/>
      <c r="F4" s="1078"/>
      <c r="G4" s="1078"/>
      <c r="H4" s="1078"/>
      <c r="I4" s="1078"/>
      <c r="J4" s="1078"/>
      <c r="K4" s="1078"/>
      <c r="L4" s="1078"/>
      <c r="M4" s="107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spans="1:27" ht="16.5" thickBot="1" x14ac:dyDescent="0.25">
      <c r="A5" s="1100" t="s">
        <v>693</v>
      </c>
      <c r="B5" s="1097" t="s">
        <v>602</v>
      </c>
      <c r="C5" s="1103" t="s">
        <v>766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4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9"/>
    </row>
    <row r="6" spans="1:27" ht="12.75" customHeight="1" x14ac:dyDescent="0.2">
      <c r="A6" s="1101"/>
      <c r="B6" s="1098"/>
      <c r="C6" s="1079" t="s">
        <v>767</v>
      </c>
      <c r="D6" s="1082" t="s">
        <v>768</v>
      </c>
      <c r="E6" s="1083"/>
      <c r="F6" s="1084"/>
      <c r="G6" s="1082" t="s">
        <v>769</v>
      </c>
      <c r="H6" s="1083"/>
      <c r="I6" s="1084"/>
      <c r="J6" s="1082" t="s">
        <v>770</v>
      </c>
      <c r="K6" s="1083"/>
      <c r="L6" s="1084"/>
      <c r="M6" s="1075" t="s">
        <v>611</v>
      </c>
    </row>
    <row r="7" spans="1:27" ht="12.75" customHeight="1" x14ac:dyDescent="0.2">
      <c r="A7" s="1101"/>
      <c r="B7" s="1098"/>
      <c r="C7" s="1080"/>
      <c r="D7" s="1085"/>
      <c r="E7" s="1086"/>
      <c r="F7" s="1087"/>
      <c r="G7" s="1085"/>
      <c r="H7" s="1086"/>
      <c r="I7" s="1087"/>
      <c r="J7" s="1085"/>
      <c r="K7" s="1086"/>
      <c r="L7" s="1087"/>
      <c r="M7" s="1076"/>
    </row>
    <row r="8" spans="1:27" ht="24" customHeight="1" thickBot="1" x14ac:dyDescent="0.25">
      <c r="A8" s="1102"/>
      <c r="B8" s="1099"/>
      <c r="C8" s="1081"/>
      <c r="D8" s="715" t="s">
        <v>85</v>
      </c>
      <c r="E8" s="716" t="s">
        <v>86</v>
      </c>
      <c r="F8" s="409" t="s">
        <v>87</v>
      </c>
      <c r="G8" s="717" t="s">
        <v>85</v>
      </c>
      <c r="H8" s="716" t="s">
        <v>86</v>
      </c>
      <c r="I8" s="409" t="s">
        <v>87</v>
      </c>
      <c r="J8" s="717" t="s">
        <v>85</v>
      </c>
      <c r="K8" s="716" t="s">
        <v>86</v>
      </c>
      <c r="L8" s="409" t="s">
        <v>87</v>
      </c>
      <c r="M8" s="1077"/>
    </row>
    <row r="9" spans="1:27" ht="13.5" thickBot="1" x14ac:dyDescent="0.25">
      <c r="A9" s="712"/>
      <c r="B9" s="1105" t="s">
        <v>771</v>
      </c>
      <c r="C9" s="1106"/>
      <c r="D9" s="1106"/>
      <c r="E9" s="1106"/>
      <c r="F9" s="1106"/>
      <c r="G9" s="1106"/>
      <c r="H9" s="1106"/>
      <c r="I9" s="1106"/>
      <c r="J9" s="1106"/>
      <c r="K9" s="1106"/>
      <c r="L9" s="1106"/>
      <c r="M9" s="1107"/>
    </row>
    <row r="10" spans="1:27" ht="29.25" customHeight="1" x14ac:dyDescent="0.2">
      <c r="A10" s="713" t="s">
        <v>645</v>
      </c>
      <c r="B10" s="714" t="s">
        <v>697</v>
      </c>
      <c r="C10" s="376" t="s">
        <v>772</v>
      </c>
      <c r="D10" s="374">
        <f>3794-942+622</f>
        <v>3474</v>
      </c>
      <c r="E10" s="375"/>
      <c r="F10" s="376">
        <f>SUM(D10:E10)</f>
        <v>3474</v>
      </c>
      <c r="G10" s="387"/>
      <c r="H10" s="375"/>
      <c r="I10" s="393">
        <f>SUM(G10:H10)</f>
        <v>0</v>
      </c>
      <c r="J10" s="385"/>
      <c r="K10" s="386"/>
      <c r="L10" s="393">
        <f>SUM(J10:K10)</f>
        <v>0</v>
      </c>
      <c r="M10" s="720">
        <f>SUM(F10+I10+L10)</f>
        <v>3474</v>
      </c>
    </row>
    <row r="11" spans="1:27" ht="39.75" customHeight="1" x14ac:dyDescent="0.2">
      <c r="A11" s="230" t="s">
        <v>646</v>
      </c>
      <c r="B11" s="702" t="s">
        <v>57</v>
      </c>
      <c r="C11" s="408" t="s">
        <v>773</v>
      </c>
      <c r="D11" s="377">
        <v>2415</v>
      </c>
      <c r="E11" s="378">
        <v>1000</v>
      </c>
      <c r="F11" s="379">
        <f t="shared" ref="F11:F29" si="0">SUM(D11:E11)</f>
        <v>3415</v>
      </c>
      <c r="G11" s="388"/>
      <c r="H11" s="378"/>
      <c r="I11" s="379">
        <f>SUM(G11:H11)</f>
        <v>0</v>
      </c>
      <c r="J11" s="232"/>
      <c r="K11" s="233"/>
      <c r="L11" s="379">
        <f>SUM(J11:K11)</f>
        <v>0</v>
      </c>
      <c r="M11" s="721">
        <f>SUM(F11+I11+L11)</f>
        <v>3415</v>
      </c>
    </row>
    <row r="12" spans="1:27" ht="31.5" customHeight="1" x14ac:dyDescent="0.2">
      <c r="A12" s="230" t="s">
        <v>647</v>
      </c>
      <c r="B12" s="702" t="s">
        <v>620</v>
      </c>
      <c r="C12" s="408" t="s">
        <v>774</v>
      </c>
      <c r="D12" s="377">
        <f>9158+1529</f>
        <v>10687</v>
      </c>
      <c r="E12" s="378"/>
      <c r="F12" s="379">
        <f t="shared" si="0"/>
        <v>10687</v>
      </c>
      <c r="G12" s="388"/>
      <c r="H12" s="378"/>
      <c r="I12" s="379">
        <f t="shared" ref="I12:I29" si="1">SUM(G12:H12)</f>
        <v>0</v>
      </c>
      <c r="J12" s="232"/>
      <c r="K12" s="233"/>
      <c r="L12" s="379">
        <f t="shared" ref="L12:L29" si="2">SUM(J12:K12)</f>
        <v>0</v>
      </c>
      <c r="M12" s="721">
        <f t="shared" ref="M12:M29" si="3">SUM(F12+I12+L12)</f>
        <v>10687</v>
      </c>
    </row>
    <row r="13" spans="1:27" ht="30" customHeight="1" x14ac:dyDescent="0.2">
      <c r="A13" s="230" t="s">
        <v>648</v>
      </c>
      <c r="B13" s="702" t="s">
        <v>58</v>
      </c>
      <c r="C13" s="408" t="s">
        <v>779</v>
      </c>
      <c r="D13" s="377">
        <v>25</v>
      </c>
      <c r="E13" s="378">
        <v>3619722</v>
      </c>
      <c r="F13" s="379">
        <f t="shared" si="0"/>
        <v>3619747</v>
      </c>
      <c r="G13" s="388"/>
      <c r="H13" s="378"/>
      <c r="I13" s="379">
        <f t="shared" si="1"/>
        <v>0</v>
      </c>
      <c r="J13" s="232"/>
      <c r="K13" s="233"/>
      <c r="L13" s="379">
        <f t="shared" si="2"/>
        <v>0</v>
      </c>
      <c r="M13" s="721">
        <f t="shared" si="3"/>
        <v>3619747</v>
      </c>
    </row>
    <row r="14" spans="1:27" ht="29.25" customHeight="1" x14ac:dyDescent="0.2">
      <c r="A14" s="230" t="s">
        <v>649</v>
      </c>
      <c r="B14" s="702" t="s">
        <v>561</v>
      </c>
      <c r="C14" s="408" t="s">
        <v>775</v>
      </c>
      <c r="D14" s="377">
        <v>5872</v>
      </c>
      <c r="E14" s="378"/>
      <c r="F14" s="379">
        <f t="shared" si="0"/>
        <v>5872</v>
      </c>
      <c r="G14" s="388"/>
      <c r="H14" s="378"/>
      <c r="I14" s="379">
        <f t="shared" si="1"/>
        <v>0</v>
      </c>
      <c r="J14" s="232"/>
      <c r="K14" s="233"/>
      <c r="L14" s="379">
        <f t="shared" si="2"/>
        <v>0</v>
      </c>
      <c r="M14" s="721">
        <f t="shared" si="3"/>
        <v>5872</v>
      </c>
    </row>
    <row r="15" spans="1:27" ht="21.75" customHeight="1" x14ac:dyDescent="0.2">
      <c r="A15" s="230" t="s">
        <v>650</v>
      </c>
      <c r="B15" s="702" t="s">
        <v>621</v>
      </c>
      <c r="C15" s="709"/>
      <c r="D15" s="380"/>
      <c r="E15" s="381"/>
      <c r="F15" s="379">
        <f t="shared" si="0"/>
        <v>0</v>
      </c>
      <c r="G15" s="389">
        <v>280</v>
      </c>
      <c r="H15" s="381"/>
      <c r="I15" s="379">
        <f t="shared" si="1"/>
        <v>280</v>
      </c>
      <c r="J15" s="232"/>
      <c r="K15" s="233"/>
      <c r="L15" s="379">
        <f t="shared" si="2"/>
        <v>0</v>
      </c>
      <c r="M15" s="721">
        <f t="shared" si="3"/>
        <v>280</v>
      </c>
    </row>
    <row r="16" spans="1:27" ht="21" customHeight="1" x14ac:dyDescent="0.2">
      <c r="A16" s="230" t="s">
        <v>651</v>
      </c>
      <c r="B16" s="702" t="s">
        <v>584</v>
      </c>
      <c r="C16" s="710" t="s">
        <v>776</v>
      </c>
      <c r="D16" s="380">
        <f>135327-1208+1992</f>
        <v>136111</v>
      </c>
      <c r="E16" s="381">
        <f>7690-7620</f>
        <v>70</v>
      </c>
      <c r="F16" s="379">
        <f t="shared" si="0"/>
        <v>136181</v>
      </c>
      <c r="G16" s="389">
        <v>1239</v>
      </c>
      <c r="H16" s="381">
        <v>0</v>
      </c>
      <c r="I16" s="379">
        <f t="shared" si="1"/>
        <v>1239</v>
      </c>
      <c r="J16" s="232"/>
      <c r="K16" s="233"/>
      <c r="L16" s="379">
        <f t="shared" si="2"/>
        <v>0</v>
      </c>
      <c r="M16" s="721">
        <f t="shared" si="3"/>
        <v>137420</v>
      </c>
    </row>
    <row r="17" spans="1:13" ht="31.5" customHeight="1" x14ac:dyDescent="0.2">
      <c r="A17" s="230" t="s">
        <v>652</v>
      </c>
      <c r="B17" s="702" t="s">
        <v>59</v>
      </c>
      <c r="C17" s="408" t="s">
        <v>777</v>
      </c>
      <c r="D17" s="377">
        <f>68097-1509-3500+3500-2608</f>
        <v>63980</v>
      </c>
      <c r="E17" s="378">
        <f>475+3000+80+4509-3000+290+1219</f>
        <v>6573</v>
      </c>
      <c r="F17" s="379">
        <f t="shared" si="0"/>
        <v>70553</v>
      </c>
      <c r="G17" s="388"/>
      <c r="H17" s="378"/>
      <c r="I17" s="379">
        <f t="shared" si="1"/>
        <v>0</v>
      </c>
      <c r="J17" s="232"/>
      <c r="K17" s="233"/>
      <c r="L17" s="379">
        <f t="shared" si="2"/>
        <v>0</v>
      </c>
      <c r="M17" s="721">
        <f t="shared" si="3"/>
        <v>70553</v>
      </c>
    </row>
    <row r="18" spans="1:13" ht="23.25" customHeight="1" x14ac:dyDescent="0.2">
      <c r="A18" s="230" t="s">
        <v>653</v>
      </c>
      <c r="B18" s="702" t="s">
        <v>900</v>
      </c>
      <c r="C18" s="408" t="s">
        <v>777</v>
      </c>
      <c r="D18" s="377">
        <f>45475+191</f>
        <v>45666</v>
      </c>
      <c r="E18" s="378">
        <v>395</v>
      </c>
      <c r="F18" s="379">
        <f t="shared" si="0"/>
        <v>46061</v>
      </c>
      <c r="G18" s="388"/>
      <c r="H18" s="378"/>
      <c r="I18" s="379">
        <f t="shared" si="1"/>
        <v>0</v>
      </c>
      <c r="J18" s="232"/>
      <c r="K18" s="233"/>
      <c r="L18" s="379">
        <f t="shared" si="2"/>
        <v>0</v>
      </c>
      <c r="M18" s="721">
        <f t="shared" si="3"/>
        <v>46061</v>
      </c>
    </row>
    <row r="19" spans="1:13" ht="21.75" customHeight="1" x14ac:dyDescent="0.2">
      <c r="A19" s="230" t="s">
        <v>654</v>
      </c>
      <c r="B19" s="702" t="s">
        <v>622</v>
      </c>
      <c r="C19" s="408" t="s">
        <v>775</v>
      </c>
      <c r="D19" s="377">
        <v>20481</v>
      </c>
      <c r="E19" s="378"/>
      <c r="F19" s="379">
        <f t="shared" si="0"/>
        <v>20481</v>
      </c>
      <c r="G19" s="388"/>
      <c r="H19" s="378"/>
      <c r="I19" s="379">
        <f t="shared" si="1"/>
        <v>0</v>
      </c>
      <c r="J19" s="232"/>
      <c r="K19" s="233"/>
      <c r="L19" s="379">
        <f t="shared" si="2"/>
        <v>0</v>
      </c>
      <c r="M19" s="721">
        <f t="shared" si="3"/>
        <v>20481</v>
      </c>
    </row>
    <row r="20" spans="1:13" ht="28.5" customHeight="1" x14ac:dyDescent="0.2">
      <c r="A20" s="230" t="s">
        <v>655</v>
      </c>
      <c r="B20" s="702" t="s">
        <v>60</v>
      </c>
      <c r="C20" s="408" t="s">
        <v>778</v>
      </c>
      <c r="D20" s="377">
        <f>12407-379-1215+4797+6900+1000</f>
        <v>23510</v>
      </c>
      <c r="E20" s="378">
        <f>2775</f>
        <v>2775</v>
      </c>
      <c r="F20" s="379">
        <f t="shared" si="0"/>
        <v>26285</v>
      </c>
      <c r="G20" s="388"/>
      <c r="H20" s="378"/>
      <c r="I20" s="379">
        <f t="shared" si="1"/>
        <v>0</v>
      </c>
      <c r="J20" s="232"/>
      <c r="K20" s="233"/>
      <c r="L20" s="379">
        <f t="shared" si="2"/>
        <v>0</v>
      </c>
      <c r="M20" s="721">
        <f t="shared" si="3"/>
        <v>26285</v>
      </c>
    </row>
    <row r="21" spans="1:13" ht="20.25" customHeight="1" x14ac:dyDescent="0.2">
      <c r="A21" s="230" t="s">
        <v>656</v>
      </c>
      <c r="B21" s="702" t="s">
        <v>61</v>
      </c>
      <c r="C21" s="408"/>
      <c r="D21" s="377"/>
      <c r="E21" s="378"/>
      <c r="F21" s="379">
        <f t="shared" si="0"/>
        <v>0</v>
      </c>
      <c r="G21" s="388">
        <v>19900</v>
      </c>
      <c r="H21" s="378">
        <v>2000</v>
      </c>
      <c r="I21" s="379">
        <f t="shared" si="1"/>
        <v>21900</v>
      </c>
      <c r="J21" s="232"/>
      <c r="K21" s="233"/>
      <c r="L21" s="379">
        <f t="shared" si="2"/>
        <v>0</v>
      </c>
      <c r="M21" s="721">
        <f t="shared" si="3"/>
        <v>21900</v>
      </c>
    </row>
    <row r="22" spans="1:13" ht="27" customHeight="1" x14ac:dyDescent="0.2">
      <c r="A22" s="230" t="s">
        <v>657</v>
      </c>
      <c r="B22" s="702" t="s">
        <v>623</v>
      </c>
      <c r="C22" s="711"/>
      <c r="D22" s="382"/>
      <c r="E22" s="383"/>
      <c r="F22" s="379">
        <f t="shared" si="0"/>
        <v>0</v>
      </c>
      <c r="G22" s="389">
        <f>5450+102+52+27+391+360+90+31-450+4500-4500</f>
        <v>6053</v>
      </c>
      <c r="H22" s="383"/>
      <c r="I22" s="379">
        <f t="shared" si="1"/>
        <v>6053</v>
      </c>
      <c r="J22" s="232"/>
      <c r="K22" s="233"/>
      <c r="L22" s="379">
        <f t="shared" si="2"/>
        <v>0</v>
      </c>
      <c r="M22" s="721">
        <f t="shared" si="3"/>
        <v>6053</v>
      </c>
    </row>
    <row r="23" spans="1:13" ht="21.75" customHeight="1" x14ac:dyDescent="0.2">
      <c r="A23" s="230" t="s">
        <v>658</v>
      </c>
      <c r="B23" s="702" t="s">
        <v>624</v>
      </c>
      <c r="C23" s="408" t="s">
        <v>775</v>
      </c>
      <c r="D23" s="377">
        <v>21564</v>
      </c>
      <c r="E23" s="378"/>
      <c r="F23" s="379">
        <f t="shared" si="0"/>
        <v>21564</v>
      </c>
      <c r="G23" s="388"/>
      <c r="H23" s="378"/>
      <c r="I23" s="379">
        <f t="shared" si="1"/>
        <v>0</v>
      </c>
      <c r="J23" s="232"/>
      <c r="K23" s="233"/>
      <c r="L23" s="379">
        <f t="shared" si="2"/>
        <v>0</v>
      </c>
      <c r="M23" s="721">
        <f t="shared" si="3"/>
        <v>21564</v>
      </c>
    </row>
    <row r="24" spans="1:13" ht="30.75" customHeight="1" x14ac:dyDescent="0.2">
      <c r="A24" s="230" t="s">
        <v>659</v>
      </c>
      <c r="B24" s="702" t="s">
        <v>80</v>
      </c>
      <c r="C24" s="408" t="s">
        <v>89</v>
      </c>
      <c r="D24" s="377">
        <f>23763-80-400-300-259</f>
        <v>22724</v>
      </c>
      <c r="E24" s="378"/>
      <c r="F24" s="379">
        <f t="shared" si="0"/>
        <v>22724</v>
      </c>
      <c r="G24" s="388"/>
      <c r="H24" s="378">
        <f>439627-500+400</f>
        <v>439527</v>
      </c>
      <c r="I24" s="379">
        <f t="shared" si="1"/>
        <v>439527</v>
      </c>
      <c r="J24" s="232"/>
      <c r="K24" s="233"/>
      <c r="L24" s="379">
        <f t="shared" si="2"/>
        <v>0</v>
      </c>
      <c r="M24" s="721">
        <f t="shared" si="3"/>
        <v>462251</v>
      </c>
    </row>
    <row r="25" spans="1:13" s="245" customFormat="1" ht="27.75" customHeight="1" x14ac:dyDescent="0.2">
      <c r="A25" s="373" t="s">
        <v>660</v>
      </c>
      <c r="B25" s="702" t="s">
        <v>625</v>
      </c>
      <c r="C25" s="408" t="s">
        <v>90</v>
      </c>
      <c r="D25" s="394">
        <f>50497-680-3000-35509-3855-942-290-5+874-340-529</f>
        <v>6221</v>
      </c>
      <c r="E25" s="395">
        <f>9000-4500</f>
        <v>4500</v>
      </c>
      <c r="F25" s="379">
        <f t="shared" si="0"/>
        <v>10721</v>
      </c>
      <c r="G25" s="391"/>
      <c r="H25" s="384"/>
      <c r="I25" s="379">
        <f t="shared" si="1"/>
        <v>0</v>
      </c>
      <c r="J25" s="236"/>
      <c r="K25" s="236"/>
      <c r="L25" s="379">
        <f t="shared" si="2"/>
        <v>0</v>
      </c>
      <c r="M25" s="721">
        <f t="shared" si="3"/>
        <v>10721</v>
      </c>
    </row>
    <row r="26" spans="1:13" ht="23.25" customHeight="1" x14ac:dyDescent="0.2">
      <c r="A26" s="230" t="s">
        <v>661</v>
      </c>
      <c r="B26" s="702" t="s">
        <v>63</v>
      </c>
      <c r="C26" s="408" t="s">
        <v>88</v>
      </c>
      <c r="D26" s="380">
        <v>624</v>
      </c>
      <c r="E26" s="381">
        <v>10006</v>
      </c>
      <c r="F26" s="379">
        <f t="shared" si="0"/>
        <v>10630</v>
      </c>
      <c r="G26" s="390"/>
      <c r="H26" s="383"/>
      <c r="I26" s="379">
        <f t="shared" si="1"/>
        <v>0</v>
      </c>
      <c r="J26" s="232"/>
      <c r="K26" s="232"/>
      <c r="L26" s="379">
        <f t="shared" si="2"/>
        <v>0</v>
      </c>
      <c r="M26" s="721">
        <f t="shared" si="3"/>
        <v>10630</v>
      </c>
    </row>
    <row r="27" spans="1:13" ht="31.5" customHeight="1" x14ac:dyDescent="0.2">
      <c r="A27" s="230" t="s">
        <v>662</v>
      </c>
      <c r="B27" s="702" t="s">
        <v>64</v>
      </c>
      <c r="C27" s="408" t="s">
        <v>91</v>
      </c>
      <c r="D27" s="377"/>
      <c r="E27" s="378"/>
      <c r="F27" s="379">
        <f t="shared" si="0"/>
        <v>0</v>
      </c>
      <c r="G27" s="388"/>
      <c r="H27" s="378"/>
      <c r="I27" s="379">
        <f t="shared" si="1"/>
        <v>0</v>
      </c>
      <c r="J27" s="232">
        <v>37188</v>
      </c>
      <c r="K27" s="233">
        <v>669</v>
      </c>
      <c r="L27" s="379">
        <f t="shared" si="2"/>
        <v>37857</v>
      </c>
      <c r="M27" s="721">
        <f t="shared" si="3"/>
        <v>37857</v>
      </c>
    </row>
    <row r="28" spans="1:13" ht="25.5" customHeight="1" x14ac:dyDescent="0.2">
      <c r="A28" s="230" t="s">
        <v>663</v>
      </c>
      <c r="B28" s="702" t="s">
        <v>65</v>
      </c>
      <c r="C28" s="408" t="s">
        <v>779</v>
      </c>
      <c r="D28" s="377">
        <f>1000-220-395</f>
        <v>385</v>
      </c>
      <c r="E28" s="378"/>
      <c r="F28" s="379">
        <f t="shared" si="0"/>
        <v>385</v>
      </c>
      <c r="G28" s="388"/>
      <c r="H28" s="378"/>
      <c r="I28" s="379">
        <f t="shared" si="1"/>
        <v>0</v>
      </c>
      <c r="J28" s="232"/>
      <c r="K28" s="233"/>
      <c r="L28" s="379">
        <f t="shared" si="2"/>
        <v>0</v>
      </c>
      <c r="M28" s="721">
        <f t="shared" si="3"/>
        <v>385</v>
      </c>
    </row>
    <row r="29" spans="1:13" ht="23.25" customHeight="1" x14ac:dyDescent="0.2">
      <c r="A29" s="230" t="s">
        <v>664</v>
      </c>
      <c r="B29" s="702" t="s">
        <v>66</v>
      </c>
      <c r="C29" s="408" t="s">
        <v>815</v>
      </c>
      <c r="D29" s="377">
        <f>1755-897-756-102</f>
        <v>0</v>
      </c>
      <c r="E29" s="378">
        <f>5277-4642</f>
        <v>635</v>
      </c>
      <c r="F29" s="379">
        <f t="shared" si="0"/>
        <v>635</v>
      </c>
      <c r="G29" s="388"/>
      <c r="H29" s="378"/>
      <c r="I29" s="379">
        <f t="shared" si="1"/>
        <v>0</v>
      </c>
      <c r="J29" s="232"/>
      <c r="K29" s="233"/>
      <c r="L29" s="379">
        <f t="shared" si="2"/>
        <v>0</v>
      </c>
      <c r="M29" s="721">
        <f t="shared" si="3"/>
        <v>635</v>
      </c>
    </row>
    <row r="30" spans="1:13" ht="25.5" customHeight="1" x14ac:dyDescent="0.2">
      <c r="A30" s="230" t="s">
        <v>665</v>
      </c>
      <c r="B30" s="708" t="s">
        <v>626</v>
      </c>
      <c r="C30" s="408" t="s">
        <v>781</v>
      </c>
      <c r="D30" s="703">
        <f>360+2633+75</f>
        <v>3068</v>
      </c>
      <c r="E30" s="704"/>
      <c r="F30" s="408">
        <f t="shared" ref="F30:F50" si="4">SUM(D30:E30)</f>
        <v>3068</v>
      </c>
      <c r="G30" s="705"/>
      <c r="H30" s="705"/>
      <c r="I30" s="408">
        <f t="shared" ref="I30:I56" si="5">SUM(G30:H30)</f>
        <v>0</v>
      </c>
      <c r="J30" s="706"/>
      <c r="K30" s="707"/>
      <c r="L30" s="408">
        <f t="shared" ref="L30:L50" si="6">SUM(J30:K30)</f>
        <v>0</v>
      </c>
      <c r="M30" s="722">
        <f>SUM(F30+I30+L30)</f>
        <v>3068</v>
      </c>
    </row>
    <row r="31" spans="1:13" ht="24" customHeight="1" x14ac:dyDescent="0.2">
      <c r="A31" s="230" t="s">
        <v>666</v>
      </c>
      <c r="B31" s="234" t="s">
        <v>627</v>
      </c>
      <c r="C31" s="231" t="s">
        <v>783</v>
      </c>
      <c r="D31" s="377">
        <f>28186+1261</f>
        <v>29447</v>
      </c>
      <c r="E31" s="378">
        <v>216</v>
      </c>
      <c r="F31" s="379">
        <f t="shared" si="4"/>
        <v>29663</v>
      </c>
      <c r="G31" s="232"/>
      <c r="H31" s="232"/>
      <c r="I31" s="379">
        <f t="shared" si="5"/>
        <v>0</v>
      </c>
      <c r="J31" s="405"/>
      <c r="K31" s="233"/>
      <c r="L31" s="379">
        <f t="shared" si="6"/>
        <v>0</v>
      </c>
      <c r="M31" s="722">
        <f t="shared" ref="M31:M56" si="7">SUM(F31+I31+L31)</f>
        <v>29663</v>
      </c>
    </row>
    <row r="32" spans="1:13" ht="28.5" customHeight="1" x14ac:dyDescent="0.2">
      <c r="A32" s="230" t="s">
        <v>780</v>
      </c>
      <c r="B32" s="234" t="s">
        <v>628</v>
      </c>
      <c r="C32" s="231" t="s">
        <v>785</v>
      </c>
      <c r="D32" s="377">
        <v>120</v>
      </c>
      <c r="E32" s="378"/>
      <c r="F32" s="379">
        <f t="shared" si="4"/>
        <v>120</v>
      </c>
      <c r="G32" s="232"/>
      <c r="H32" s="232"/>
      <c r="I32" s="379">
        <f t="shared" si="5"/>
        <v>0</v>
      </c>
      <c r="J32" s="405"/>
      <c r="K32" s="233"/>
      <c r="L32" s="379">
        <f t="shared" si="6"/>
        <v>0</v>
      </c>
      <c r="M32" s="722">
        <f t="shared" si="7"/>
        <v>120</v>
      </c>
    </row>
    <row r="33" spans="1:13" ht="32.25" customHeight="1" x14ac:dyDescent="0.2">
      <c r="A33" s="230" t="s">
        <v>782</v>
      </c>
      <c r="B33" s="234" t="s">
        <v>699</v>
      </c>
      <c r="C33" s="231" t="s">
        <v>786</v>
      </c>
      <c r="D33" s="377">
        <v>16226</v>
      </c>
      <c r="E33" s="378">
        <v>1541</v>
      </c>
      <c r="F33" s="379">
        <f t="shared" si="4"/>
        <v>17767</v>
      </c>
      <c r="G33" s="232"/>
      <c r="H33" s="232"/>
      <c r="I33" s="379">
        <f t="shared" si="5"/>
        <v>0</v>
      </c>
      <c r="J33" s="405"/>
      <c r="K33" s="233"/>
      <c r="L33" s="379">
        <f t="shared" si="6"/>
        <v>0</v>
      </c>
      <c r="M33" s="722">
        <f t="shared" si="7"/>
        <v>17767</v>
      </c>
    </row>
    <row r="34" spans="1:13" ht="31.5" customHeight="1" x14ac:dyDescent="0.2">
      <c r="A34" s="230" t="s">
        <v>784</v>
      </c>
      <c r="B34" s="234" t="s">
        <v>81</v>
      </c>
      <c r="C34" s="239"/>
      <c r="D34" s="399"/>
      <c r="E34" s="400"/>
      <c r="F34" s="379">
        <f t="shared" si="4"/>
        <v>0</v>
      </c>
      <c r="G34" s="240">
        <f>34343+4000</f>
        <v>38343</v>
      </c>
      <c r="H34" s="240"/>
      <c r="I34" s="379">
        <f t="shared" si="5"/>
        <v>38343</v>
      </c>
      <c r="J34" s="406"/>
      <c r="K34" s="241"/>
      <c r="L34" s="379">
        <f t="shared" si="6"/>
        <v>0</v>
      </c>
      <c r="M34" s="722">
        <f t="shared" si="7"/>
        <v>38343</v>
      </c>
    </row>
    <row r="35" spans="1:13" ht="27.75" customHeight="1" x14ac:dyDescent="0.2">
      <c r="A35" s="230" t="s">
        <v>727</v>
      </c>
      <c r="B35" s="238" t="s">
        <v>82</v>
      </c>
      <c r="C35" s="239" t="s">
        <v>92</v>
      </c>
      <c r="D35" s="401"/>
      <c r="E35" s="402"/>
      <c r="F35" s="379">
        <f t="shared" si="4"/>
        <v>0</v>
      </c>
      <c r="G35" s="240">
        <v>2292</v>
      </c>
      <c r="H35" s="240"/>
      <c r="I35" s="379">
        <f t="shared" si="5"/>
        <v>2292</v>
      </c>
      <c r="J35" s="406"/>
      <c r="K35" s="241"/>
      <c r="L35" s="379">
        <f t="shared" si="6"/>
        <v>0</v>
      </c>
      <c r="M35" s="722">
        <f t="shared" si="7"/>
        <v>2292</v>
      </c>
    </row>
    <row r="36" spans="1:13" ht="28.5" customHeight="1" x14ac:dyDescent="0.2">
      <c r="A36" s="230" t="s">
        <v>787</v>
      </c>
      <c r="B36" s="234" t="s">
        <v>70</v>
      </c>
      <c r="C36" s="235" t="s">
        <v>790</v>
      </c>
      <c r="D36" s="380">
        <v>2763</v>
      </c>
      <c r="E36" s="381"/>
      <c r="F36" s="379">
        <f t="shared" si="4"/>
        <v>2763</v>
      </c>
      <c r="G36" s="240"/>
      <c r="H36" s="240"/>
      <c r="I36" s="379">
        <f t="shared" si="5"/>
        <v>0</v>
      </c>
      <c r="J36" s="406"/>
      <c r="K36" s="241"/>
      <c r="L36" s="379">
        <f t="shared" si="6"/>
        <v>0</v>
      </c>
      <c r="M36" s="722">
        <f t="shared" si="7"/>
        <v>2763</v>
      </c>
    </row>
    <row r="37" spans="1:13" ht="38.25" customHeight="1" x14ac:dyDescent="0.2">
      <c r="A37" s="230" t="s">
        <v>667</v>
      </c>
      <c r="B37" s="238" t="s">
        <v>720</v>
      </c>
      <c r="C37" s="231" t="s">
        <v>788</v>
      </c>
      <c r="D37" s="377">
        <v>13199</v>
      </c>
      <c r="E37" s="378"/>
      <c r="F37" s="379">
        <f t="shared" si="4"/>
        <v>13199</v>
      </c>
      <c r="G37" s="240"/>
      <c r="H37" s="240"/>
      <c r="I37" s="379">
        <f t="shared" si="5"/>
        <v>0</v>
      </c>
      <c r="J37" s="406"/>
      <c r="K37" s="241"/>
      <c r="L37" s="379">
        <f t="shared" si="6"/>
        <v>0</v>
      </c>
      <c r="M37" s="722">
        <f t="shared" si="7"/>
        <v>13199</v>
      </c>
    </row>
    <row r="38" spans="1:13" ht="18" customHeight="1" x14ac:dyDescent="0.2">
      <c r="A38" s="230" t="s">
        <v>668</v>
      </c>
      <c r="B38" s="238" t="s">
        <v>72</v>
      </c>
      <c r="C38" s="239" t="s">
        <v>92</v>
      </c>
      <c r="D38" s="401"/>
      <c r="E38" s="402"/>
      <c r="F38" s="379">
        <f t="shared" si="4"/>
        <v>0</v>
      </c>
      <c r="G38" s="240">
        <v>3689</v>
      </c>
      <c r="H38" s="240"/>
      <c r="I38" s="379">
        <f t="shared" si="5"/>
        <v>3689</v>
      </c>
      <c r="J38" s="406"/>
      <c r="K38" s="241"/>
      <c r="L38" s="379">
        <f t="shared" si="6"/>
        <v>0</v>
      </c>
      <c r="M38" s="722">
        <f t="shared" si="7"/>
        <v>3689</v>
      </c>
    </row>
    <row r="39" spans="1:13" ht="18" customHeight="1" x14ac:dyDescent="0.2">
      <c r="A39" s="230" t="s">
        <v>669</v>
      </c>
      <c r="B39" s="234" t="s">
        <v>722</v>
      </c>
      <c r="C39" s="235" t="s">
        <v>791</v>
      </c>
      <c r="D39" s="380">
        <v>5090</v>
      </c>
      <c r="E39" s="381"/>
      <c r="F39" s="379">
        <f t="shared" si="4"/>
        <v>5090</v>
      </c>
      <c r="G39" s="240"/>
      <c r="H39" s="240"/>
      <c r="I39" s="379">
        <f t="shared" si="5"/>
        <v>0</v>
      </c>
      <c r="J39" s="406"/>
      <c r="K39" s="241"/>
      <c r="L39" s="379">
        <f t="shared" si="6"/>
        <v>0</v>
      </c>
      <c r="M39" s="722">
        <f t="shared" si="7"/>
        <v>5090</v>
      </c>
    </row>
    <row r="40" spans="1:13" ht="18" customHeight="1" x14ac:dyDescent="0.2">
      <c r="A40" s="230" t="s">
        <v>789</v>
      </c>
      <c r="B40" s="234" t="s">
        <v>723</v>
      </c>
      <c r="C40" s="235" t="s">
        <v>792</v>
      </c>
      <c r="D40" s="380">
        <v>2753</v>
      </c>
      <c r="E40" s="381"/>
      <c r="F40" s="379">
        <f t="shared" si="4"/>
        <v>2753</v>
      </c>
      <c r="G40" s="240"/>
      <c r="H40" s="240"/>
      <c r="I40" s="379">
        <f t="shared" si="5"/>
        <v>0</v>
      </c>
      <c r="J40" s="406"/>
      <c r="K40" s="241"/>
      <c r="L40" s="379">
        <f t="shared" si="6"/>
        <v>0</v>
      </c>
      <c r="M40" s="722">
        <f t="shared" si="7"/>
        <v>2753</v>
      </c>
    </row>
    <row r="41" spans="1:13" ht="18.75" customHeight="1" x14ac:dyDescent="0.2">
      <c r="A41" s="230" t="s">
        <v>670</v>
      </c>
      <c r="B41" s="238" t="s">
        <v>721</v>
      </c>
      <c r="C41" s="235" t="s">
        <v>790</v>
      </c>
      <c r="D41" s="380">
        <v>8692</v>
      </c>
      <c r="E41" s="381"/>
      <c r="F41" s="379">
        <f t="shared" si="4"/>
        <v>8692</v>
      </c>
      <c r="G41" s="240"/>
      <c r="H41" s="240"/>
      <c r="I41" s="379">
        <f t="shared" si="5"/>
        <v>0</v>
      </c>
      <c r="J41" s="406"/>
      <c r="K41" s="241"/>
      <c r="L41" s="379">
        <f t="shared" si="6"/>
        <v>0</v>
      </c>
      <c r="M41" s="722">
        <f t="shared" si="7"/>
        <v>8692</v>
      </c>
    </row>
    <row r="42" spans="1:13" ht="24" customHeight="1" x14ac:dyDescent="0.2">
      <c r="A42" s="230" t="s">
        <v>698</v>
      </c>
      <c r="B42" s="234" t="s">
        <v>74</v>
      </c>
      <c r="C42" s="235"/>
      <c r="D42" s="380"/>
      <c r="E42" s="381"/>
      <c r="F42" s="379">
        <f t="shared" si="4"/>
        <v>0</v>
      </c>
      <c r="G42" s="232">
        <v>565</v>
      </c>
      <c r="H42" s="232"/>
      <c r="I42" s="379">
        <f t="shared" si="5"/>
        <v>565</v>
      </c>
      <c r="J42" s="405"/>
      <c r="K42" s="233"/>
      <c r="L42" s="379">
        <f t="shared" si="6"/>
        <v>0</v>
      </c>
      <c r="M42" s="722">
        <f t="shared" si="7"/>
        <v>565</v>
      </c>
    </row>
    <row r="43" spans="1:13" ht="39" customHeight="1" x14ac:dyDescent="0.2">
      <c r="A43" s="230" t="s">
        <v>793</v>
      </c>
      <c r="B43" s="234" t="s">
        <v>94</v>
      </c>
      <c r="C43" s="242" t="s">
        <v>83</v>
      </c>
      <c r="D43" s="377">
        <f>2800-15+400</f>
        <v>3185</v>
      </c>
      <c r="E43" s="378"/>
      <c r="F43" s="379">
        <f t="shared" si="4"/>
        <v>3185</v>
      </c>
      <c r="G43" s="232">
        <v>15</v>
      </c>
      <c r="H43" s="232"/>
      <c r="I43" s="379">
        <f t="shared" si="5"/>
        <v>15</v>
      </c>
      <c r="J43" s="405"/>
      <c r="K43" s="233"/>
      <c r="L43" s="379">
        <f t="shared" si="6"/>
        <v>0</v>
      </c>
      <c r="M43" s="722">
        <f t="shared" si="7"/>
        <v>3200</v>
      </c>
    </row>
    <row r="44" spans="1:13" ht="16.5" customHeight="1" x14ac:dyDescent="0.2">
      <c r="A44" s="230" t="s">
        <v>794</v>
      </c>
      <c r="B44" s="234" t="s">
        <v>1109</v>
      </c>
      <c r="C44" s="1088" t="s">
        <v>802</v>
      </c>
      <c r="D44" s="377">
        <v>177</v>
      </c>
      <c r="E44" s="378"/>
      <c r="F44" s="379">
        <f t="shared" si="4"/>
        <v>177</v>
      </c>
      <c r="G44" s="232"/>
      <c r="H44" s="232"/>
      <c r="I44" s="379">
        <f t="shared" si="5"/>
        <v>0</v>
      </c>
      <c r="J44" s="405"/>
      <c r="K44" s="233"/>
      <c r="L44" s="379">
        <f t="shared" si="6"/>
        <v>0</v>
      </c>
      <c r="M44" s="722">
        <f t="shared" si="7"/>
        <v>177</v>
      </c>
    </row>
    <row r="45" spans="1:13" ht="24" x14ac:dyDescent="0.2">
      <c r="A45" s="230" t="s">
        <v>795</v>
      </c>
      <c r="B45" s="234" t="s">
        <v>1110</v>
      </c>
      <c r="C45" s="1089"/>
      <c r="D45" s="401">
        <f>57039+295+12758+143089+19384+2617-254</f>
        <v>234928</v>
      </c>
      <c r="E45" s="402">
        <f>14625+1766</f>
        <v>16391</v>
      </c>
      <c r="F45" s="379">
        <f t="shared" si="4"/>
        <v>251319</v>
      </c>
      <c r="G45" s="232"/>
      <c r="H45" s="232"/>
      <c r="I45" s="379">
        <f t="shared" si="5"/>
        <v>0</v>
      </c>
      <c r="J45" s="405"/>
      <c r="K45" s="233"/>
      <c r="L45" s="379">
        <f t="shared" si="6"/>
        <v>0</v>
      </c>
      <c r="M45" s="722">
        <f t="shared" si="7"/>
        <v>251319</v>
      </c>
    </row>
    <row r="46" spans="1:13" ht="24" x14ac:dyDescent="0.2">
      <c r="A46" s="230" t="s">
        <v>796</v>
      </c>
      <c r="B46" s="372" t="s">
        <v>1111</v>
      </c>
      <c r="C46" s="1090"/>
      <c r="D46" s="401">
        <f>1567+50100+11157+1506</f>
        <v>64330</v>
      </c>
      <c r="E46" s="402">
        <v>295</v>
      </c>
      <c r="F46" s="379">
        <f t="shared" si="4"/>
        <v>64625</v>
      </c>
      <c r="G46" s="232"/>
      <c r="H46" s="232"/>
      <c r="I46" s="379">
        <f t="shared" si="5"/>
        <v>0</v>
      </c>
      <c r="J46" s="405"/>
      <c r="K46" s="233"/>
      <c r="L46" s="379">
        <f t="shared" si="6"/>
        <v>0</v>
      </c>
      <c r="M46" s="722">
        <f t="shared" si="7"/>
        <v>64625</v>
      </c>
    </row>
    <row r="47" spans="1:13" ht="27.75" customHeight="1" x14ac:dyDescent="0.2">
      <c r="A47" s="230" t="s">
        <v>797</v>
      </c>
      <c r="B47" s="234" t="s">
        <v>629</v>
      </c>
      <c r="C47" s="231" t="s">
        <v>803</v>
      </c>
      <c r="D47" s="401">
        <f>4069+761</f>
        <v>4830</v>
      </c>
      <c r="E47" s="402">
        <v>323</v>
      </c>
      <c r="F47" s="379">
        <f t="shared" si="4"/>
        <v>5153</v>
      </c>
      <c r="G47" s="232"/>
      <c r="H47" s="232"/>
      <c r="I47" s="379">
        <f t="shared" si="5"/>
        <v>0</v>
      </c>
      <c r="J47" s="405"/>
      <c r="K47" s="233"/>
      <c r="L47" s="379">
        <f t="shared" si="6"/>
        <v>0</v>
      </c>
      <c r="M47" s="722">
        <f t="shared" si="7"/>
        <v>5153</v>
      </c>
    </row>
    <row r="48" spans="1:13" ht="27.75" customHeight="1" x14ac:dyDescent="0.2">
      <c r="A48" s="230" t="s">
        <v>798</v>
      </c>
      <c r="B48" s="234" t="s">
        <v>901</v>
      </c>
      <c r="C48" s="231" t="s">
        <v>902</v>
      </c>
      <c r="D48" s="377">
        <v>1061</v>
      </c>
      <c r="E48" s="378"/>
      <c r="F48" s="379">
        <f t="shared" si="4"/>
        <v>1061</v>
      </c>
      <c r="G48" s="232"/>
      <c r="H48" s="232"/>
      <c r="I48" s="379">
        <f t="shared" si="5"/>
        <v>0</v>
      </c>
      <c r="J48" s="405"/>
      <c r="K48" s="233"/>
      <c r="L48" s="379"/>
      <c r="M48" s="722">
        <f t="shared" si="7"/>
        <v>1061</v>
      </c>
    </row>
    <row r="49" spans="1:13" ht="21" customHeight="1" x14ac:dyDescent="0.2">
      <c r="A49" s="230" t="s">
        <v>799</v>
      </c>
      <c r="B49" s="234" t="s">
        <v>84</v>
      </c>
      <c r="C49" s="239" t="s">
        <v>93</v>
      </c>
      <c r="D49" s="377"/>
      <c r="E49" s="378"/>
      <c r="F49" s="379">
        <f t="shared" si="4"/>
        <v>0</v>
      </c>
      <c r="G49" s="232">
        <v>47</v>
      </c>
      <c r="H49" s="232"/>
      <c r="I49" s="379">
        <f t="shared" si="5"/>
        <v>47</v>
      </c>
      <c r="J49" s="405"/>
      <c r="K49" s="233"/>
      <c r="L49" s="379">
        <f t="shared" si="6"/>
        <v>0</v>
      </c>
      <c r="M49" s="722">
        <f t="shared" si="7"/>
        <v>47</v>
      </c>
    </row>
    <row r="50" spans="1:13" ht="30.75" customHeight="1" x14ac:dyDescent="0.2">
      <c r="A50" s="230" t="s">
        <v>800</v>
      </c>
      <c r="B50" s="234" t="s">
        <v>78</v>
      </c>
      <c r="C50" s="231" t="s">
        <v>804</v>
      </c>
      <c r="D50" s="377">
        <f>5479+1039</f>
        <v>6518</v>
      </c>
      <c r="E50" s="378">
        <v>656</v>
      </c>
      <c r="F50" s="379">
        <f t="shared" si="4"/>
        <v>7174</v>
      </c>
      <c r="G50" s="232"/>
      <c r="H50" s="232">
        <v>13471</v>
      </c>
      <c r="I50" s="379">
        <f t="shared" si="5"/>
        <v>13471</v>
      </c>
      <c r="J50" s="405"/>
      <c r="K50" s="233"/>
      <c r="L50" s="379">
        <f t="shared" si="6"/>
        <v>0</v>
      </c>
      <c r="M50" s="722">
        <f t="shared" si="7"/>
        <v>20645</v>
      </c>
    </row>
    <row r="51" spans="1:13" ht="30.75" customHeight="1" x14ac:dyDescent="0.2">
      <c r="A51" s="410" t="s">
        <v>801</v>
      </c>
      <c r="B51" s="237" t="s">
        <v>79</v>
      </c>
      <c r="C51" s="379" t="s">
        <v>805</v>
      </c>
      <c r="D51" s="411">
        <v>34860</v>
      </c>
      <c r="E51" s="412"/>
      <c r="F51" s="413">
        <f t="shared" ref="F51:F56" si="8">SUM(D51:E51)</f>
        <v>34860</v>
      </c>
      <c r="G51" s="773">
        <f>3625-3625</f>
        <v>0</v>
      </c>
      <c r="H51" s="773">
        <f>70-70</f>
        <v>0</v>
      </c>
      <c r="I51" s="379">
        <f t="shared" si="5"/>
        <v>0</v>
      </c>
      <c r="J51" s="774"/>
      <c r="K51" s="775"/>
      <c r="L51" s="413">
        <f t="shared" ref="L51:L56" si="9">SUM(J51:K51)</f>
        <v>0</v>
      </c>
      <c r="M51" s="722">
        <f t="shared" si="7"/>
        <v>34860</v>
      </c>
    </row>
    <row r="52" spans="1:13" ht="30.75" customHeight="1" x14ac:dyDescent="0.2">
      <c r="A52" s="410" t="s">
        <v>473</v>
      </c>
      <c r="B52" s="237" t="s">
        <v>903</v>
      </c>
      <c r="C52" s="413"/>
      <c r="D52" s="411"/>
      <c r="E52" s="412"/>
      <c r="F52" s="413">
        <f t="shared" si="8"/>
        <v>0</v>
      </c>
      <c r="G52" s="773">
        <v>1945</v>
      </c>
      <c r="H52" s="773"/>
      <c r="I52" s="379">
        <f t="shared" si="5"/>
        <v>1945</v>
      </c>
      <c r="J52" s="774"/>
      <c r="K52" s="775"/>
      <c r="L52" s="413">
        <f t="shared" si="9"/>
        <v>0</v>
      </c>
      <c r="M52" s="722">
        <f t="shared" si="7"/>
        <v>1945</v>
      </c>
    </row>
    <row r="53" spans="1:13" ht="30.75" customHeight="1" x14ac:dyDescent="0.2">
      <c r="A53" s="410" t="s">
        <v>911</v>
      </c>
      <c r="B53" s="237" t="s">
        <v>887</v>
      </c>
      <c r="C53" s="413"/>
      <c r="D53" s="411"/>
      <c r="E53" s="412"/>
      <c r="F53" s="413">
        <f t="shared" si="8"/>
        <v>0</v>
      </c>
      <c r="G53" s="773">
        <v>10000</v>
      </c>
      <c r="H53" s="773"/>
      <c r="I53" s="379">
        <f t="shared" si="5"/>
        <v>10000</v>
      </c>
      <c r="J53" s="774"/>
      <c r="K53" s="775"/>
      <c r="L53" s="413">
        <f t="shared" si="9"/>
        <v>0</v>
      </c>
      <c r="M53" s="722">
        <f t="shared" si="7"/>
        <v>10000</v>
      </c>
    </row>
    <row r="54" spans="1:13" ht="30.75" customHeight="1" x14ac:dyDescent="0.2">
      <c r="A54" s="410" t="s">
        <v>912</v>
      </c>
      <c r="B54" s="237" t="s">
        <v>892</v>
      </c>
      <c r="C54" s="413" t="s">
        <v>904</v>
      </c>
      <c r="D54" s="411">
        <f>20796+70+5</f>
        <v>20871</v>
      </c>
      <c r="E54" s="412"/>
      <c r="F54" s="413">
        <f t="shared" si="8"/>
        <v>20871</v>
      </c>
      <c r="G54" s="773"/>
      <c r="H54" s="773"/>
      <c r="I54" s="379">
        <f t="shared" si="5"/>
        <v>0</v>
      </c>
      <c r="J54" s="774"/>
      <c r="K54" s="775"/>
      <c r="L54" s="413">
        <f t="shared" si="9"/>
        <v>0</v>
      </c>
      <c r="M54" s="722">
        <f t="shared" si="7"/>
        <v>20871</v>
      </c>
    </row>
    <row r="55" spans="1:13" ht="42.75" customHeight="1" x14ac:dyDescent="0.2">
      <c r="A55" s="410" t="s">
        <v>913</v>
      </c>
      <c r="B55" s="780" t="s">
        <v>905</v>
      </c>
      <c r="C55" s="413" t="s">
        <v>906</v>
      </c>
      <c r="D55" s="411"/>
      <c r="E55" s="412"/>
      <c r="F55" s="413">
        <f t="shared" si="8"/>
        <v>0</v>
      </c>
      <c r="G55" s="773">
        <f>2077-1800-191</f>
        <v>86</v>
      </c>
      <c r="H55" s="773">
        <v>188210</v>
      </c>
      <c r="I55" s="379">
        <f t="shared" si="5"/>
        <v>188296</v>
      </c>
      <c r="J55" s="774"/>
      <c r="K55" s="775"/>
      <c r="L55" s="413">
        <f t="shared" si="9"/>
        <v>0</v>
      </c>
      <c r="M55" s="722">
        <f t="shared" si="7"/>
        <v>188296</v>
      </c>
    </row>
    <row r="56" spans="1:13" ht="29.25" customHeight="1" thickBot="1" x14ac:dyDescent="0.25">
      <c r="A56" s="410" t="s">
        <v>914</v>
      </c>
      <c r="B56" s="237" t="s">
        <v>471</v>
      </c>
      <c r="C56" s="392"/>
      <c r="D56" s="403"/>
      <c r="E56" s="404"/>
      <c r="F56" s="413">
        <f t="shared" si="8"/>
        <v>0</v>
      </c>
      <c r="G56" s="397">
        <f>8589+3092+300</f>
        <v>11981</v>
      </c>
      <c r="H56" s="397">
        <f>24786+20019</f>
        <v>44805</v>
      </c>
      <c r="I56" s="392">
        <f t="shared" si="5"/>
        <v>56786</v>
      </c>
      <c r="J56" s="407"/>
      <c r="K56" s="398"/>
      <c r="L56" s="413">
        <f t="shared" si="9"/>
        <v>0</v>
      </c>
      <c r="M56" s="776">
        <f t="shared" si="7"/>
        <v>56786</v>
      </c>
    </row>
    <row r="57" spans="1:13" s="245" customFormat="1" ht="13.5" thickBot="1" x14ac:dyDescent="0.25">
      <c r="A57" s="1094" t="s">
        <v>806</v>
      </c>
      <c r="B57" s="1095"/>
      <c r="C57" s="1096"/>
      <c r="D57" s="396">
        <f t="shared" ref="D57:M57" si="10">SUM(D10:D56)</f>
        <v>815857</v>
      </c>
      <c r="E57" s="396">
        <f t="shared" si="10"/>
        <v>3665098</v>
      </c>
      <c r="F57" s="781">
        <f t="shared" si="10"/>
        <v>4480955</v>
      </c>
      <c r="G57" s="396">
        <f t="shared" si="10"/>
        <v>96435</v>
      </c>
      <c r="H57" s="396">
        <f t="shared" si="10"/>
        <v>688013</v>
      </c>
      <c r="I57" s="396">
        <f t="shared" si="10"/>
        <v>784448</v>
      </c>
      <c r="J57" s="396">
        <f t="shared" si="10"/>
        <v>37188</v>
      </c>
      <c r="K57" s="396">
        <f t="shared" si="10"/>
        <v>669</v>
      </c>
      <c r="L57" s="781">
        <f t="shared" si="10"/>
        <v>37857</v>
      </c>
      <c r="M57" s="777">
        <f t="shared" si="10"/>
        <v>5303260</v>
      </c>
    </row>
    <row r="58" spans="1:13" ht="30.75" customHeight="1" x14ac:dyDescent="0.2">
      <c r="A58" s="230" t="s">
        <v>645</v>
      </c>
      <c r="B58" s="702" t="s">
        <v>60</v>
      </c>
      <c r="C58" s="376" t="s">
        <v>778</v>
      </c>
      <c r="D58" s="374">
        <f>152181+805+228+208+7-7+808+223+210+543+119+104+28+13+28+8+3+1210+316+65+327+85+18+2700+451+3984+254-254+120-120+3610-3610+1+921+256+221+126+35+20-1000</f>
        <v>165245</v>
      </c>
      <c r="E58" s="375">
        <v>254</v>
      </c>
      <c r="F58" s="379">
        <f t="shared" ref="F58:F63" si="11">SUM(D58:E58)</f>
        <v>165499</v>
      </c>
      <c r="G58" s="374"/>
      <c r="H58" s="375"/>
      <c r="I58" s="376">
        <f t="shared" ref="I58:I63" si="12">SUM(G58:H58)</f>
        <v>0</v>
      </c>
      <c r="J58" s="374"/>
      <c r="K58" s="375"/>
      <c r="L58" s="376">
        <f t="shared" ref="L58:L63" si="13">SUM(J58:K58)</f>
        <v>0</v>
      </c>
      <c r="M58" s="721">
        <f t="shared" ref="M58:M63" si="14">SUM(L58,I58,F58)</f>
        <v>165499</v>
      </c>
    </row>
    <row r="59" spans="1:13" ht="22.5" x14ac:dyDescent="0.2">
      <c r="A59" s="230" t="s">
        <v>646</v>
      </c>
      <c r="B59" s="234" t="s">
        <v>100</v>
      </c>
      <c r="C59" s="231" t="s">
        <v>807</v>
      </c>
      <c r="D59" s="377">
        <f>110840-8250</f>
        <v>102590</v>
      </c>
      <c r="E59" s="378"/>
      <c r="F59" s="379">
        <f t="shared" si="11"/>
        <v>102590</v>
      </c>
      <c r="G59" s="377"/>
      <c r="H59" s="378"/>
      <c r="I59" s="379">
        <f t="shared" si="12"/>
        <v>0</v>
      </c>
      <c r="J59" s="377"/>
      <c r="K59" s="378"/>
      <c r="L59" s="379">
        <f t="shared" si="13"/>
        <v>0</v>
      </c>
      <c r="M59" s="721">
        <f t="shared" si="14"/>
        <v>102590</v>
      </c>
    </row>
    <row r="60" spans="1:13" ht="24" x14ac:dyDescent="0.2">
      <c r="A60" s="230" t="s">
        <v>647</v>
      </c>
      <c r="B60" s="234" t="s">
        <v>95</v>
      </c>
      <c r="C60" s="231" t="s">
        <v>808</v>
      </c>
      <c r="D60" s="377">
        <v>31950</v>
      </c>
      <c r="E60" s="378"/>
      <c r="F60" s="379">
        <f t="shared" si="11"/>
        <v>31950</v>
      </c>
      <c r="G60" s="377"/>
      <c r="H60" s="378"/>
      <c r="I60" s="379">
        <f t="shared" si="12"/>
        <v>0</v>
      </c>
      <c r="J60" s="377"/>
      <c r="K60" s="378"/>
      <c r="L60" s="379">
        <f t="shared" si="13"/>
        <v>0</v>
      </c>
      <c r="M60" s="721">
        <f t="shared" si="14"/>
        <v>31950</v>
      </c>
    </row>
    <row r="61" spans="1:13" ht="48" x14ac:dyDescent="0.2">
      <c r="A61" s="230" t="s">
        <v>648</v>
      </c>
      <c r="B61" s="234" t="s">
        <v>98</v>
      </c>
      <c r="C61" s="242" t="s">
        <v>99</v>
      </c>
      <c r="D61" s="377">
        <v>13750</v>
      </c>
      <c r="E61" s="378"/>
      <c r="F61" s="379">
        <f t="shared" si="11"/>
        <v>13750</v>
      </c>
      <c r="G61" s="377"/>
      <c r="H61" s="378"/>
      <c r="I61" s="379">
        <f t="shared" si="12"/>
        <v>0</v>
      </c>
      <c r="J61" s="377"/>
      <c r="K61" s="378"/>
      <c r="L61" s="379">
        <f t="shared" si="13"/>
        <v>0</v>
      </c>
      <c r="M61" s="721">
        <f t="shared" si="14"/>
        <v>13750</v>
      </c>
    </row>
    <row r="62" spans="1:13" ht="24" x14ac:dyDescent="0.2">
      <c r="A62" s="230" t="s">
        <v>649</v>
      </c>
      <c r="B62" s="234" t="s">
        <v>96</v>
      </c>
      <c r="C62" s="231" t="s">
        <v>810</v>
      </c>
      <c r="D62" s="377">
        <v>520</v>
      </c>
      <c r="E62" s="378"/>
      <c r="F62" s="379">
        <f t="shared" si="11"/>
        <v>520</v>
      </c>
      <c r="G62" s="377"/>
      <c r="H62" s="378"/>
      <c r="I62" s="379">
        <f t="shared" si="12"/>
        <v>0</v>
      </c>
      <c r="J62" s="377"/>
      <c r="K62" s="378"/>
      <c r="L62" s="379">
        <f t="shared" si="13"/>
        <v>0</v>
      </c>
      <c r="M62" s="721">
        <f t="shared" si="14"/>
        <v>520</v>
      </c>
    </row>
    <row r="63" spans="1:13" ht="36.75" thickBot="1" x14ac:dyDescent="0.25">
      <c r="A63" s="230" t="s">
        <v>650</v>
      </c>
      <c r="B63" s="234" t="s">
        <v>97</v>
      </c>
      <c r="C63" s="231" t="s">
        <v>811</v>
      </c>
      <c r="D63" s="411">
        <v>0</v>
      </c>
      <c r="E63" s="412"/>
      <c r="F63" s="413">
        <f t="shared" si="11"/>
        <v>0</v>
      </c>
      <c r="G63" s="411"/>
      <c r="H63" s="412"/>
      <c r="I63" s="379">
        <f t="shared" si="12"/>
        <v>0</v>
      </c>
      <c r="J63" s="411">
        <v>15</v>
      </c>
      <c r="K63" s="412"/>
      <c r="L63" s="379">
        <f t="shared" si="13"/>
        <v>15</v>
      </c>
      <c r="M63" s="721">
        <f t="shared" si="14"/>
        <v>15</v>
      </c>
    </row>
    <row r="64" spans="1:13" s="245" customFormat="1" ht="13.5" thickBot="1" x14ac:dyDescent="0.25">
      <c r="A64" s="1094" t="s">
        <v>812</v>
      </c>
      <c r="B64" s="1095"/>
      <c r="C64" s="1096"/>
      <c r="D64" s="414">
        <f>SUM(D58:D63)</f>
        <v>314055</v>
      </c>
      <c r="E64" s="414">
        <f t="shared" ref="E64:K64" si="15">SUM(E58:E63)</f>
        <v>254</v>
      </c>
      <c r="F64" s="414">
        <f t="shared" si="15"/>
        <v>314309</v>
      </c>
      <c r="G64" s="414">
        <f t="shared" si="15"/>
        <v>0</v>
      </c>
      <c r="H64" s="414">
        <f t="shared" si="15"/>
        <v>0</v>
      </c>
      <c r="I64" s="414">
        <f t="shared" si="15"/>
        <v>0</v>
      </c>
      <c r="J64" s="414">
        <f t="shared" si="15"/>
        <v>15</v>
      </c>
      <c r="K64" s="414">
        <f t="shared" si="15"/>
        <v>0</v>
      </c>
      <c r="L64" s="414">
        <f>SUM(L58:L63)</f>
        <v>15</v>
      </c>
      <c r="M64" s="719">
        <f>SUM(M58:M63)</f>
        <v>314324</v>
      </c>
    </row>
    <row r="65" spans="1:13" s="893" customFormat="1" x14ac:dyDescent="0.2">
      <c r="A65" s="898" t="s">
        <v>645</v>
      </c>
      <c r="B65" s="899" t="s">
        <v>813</v>
      </c>
      <c r="C65" s="900" t="s">
        <v>776</v>
      </c>
      <c r="D65" s="901">
        <v>31848</v>
      </c>
      <c r="E65" s="902"/>
      <c r="F65" s="903">
        <f>SUM(D65:E65)</f>
        <v>31848</v>
      </c>
      <c r="G65" s="901"/>
      <c r="H65" s="902"/>
      <c r="I65" s="904">
        <f>SUM(G65:H65)</f>
        <v>0</v>
      </c>
      <c r="J65" s="901"/>
      <c r="K65" s="902"/>
      <c r="L65" s="903">
        <f>SUM(J65:K65)</f>
        <v>0</v>
      </c>
      <c r="M65" s="905">
        <f>SUM(L65,I65,F65)</f>
        <v>31848</v>
      </c>
    </row>
    <row r="66" spans="1:13" s="893" customFormat="1" x14ac:dyDescent="0.2">
      <c r="A66" s="898" t="s">
        <v>646</v>
      </c>
      <c r="B66" s="899" t="s">
        <v>814</v>
      </c>
      <c r="C66" s="906" t="s">
        <v>815</v>
      </c>
      <c r="D66" s="907">
        <f>141323+145+1501+10018+6245+897-137-450</f>
        <v>159542</v>
      </c>
      <c r="E66" s="908">
        <f>220+450</f>
        <v>670</v>
      </c>
      <c r="F66" s="909">
        <f>SUM(D66:E66)</f>
        <v>160212</v>
      </c>
      <c r="G66" s="907"/>
      <c r="H66" s="908"/>
      <c r="I66" s="910">
        <f>SUM(G66:H66)</f>
        <v>0</v>
      </c>
      <c r="J66" s="907"/>
      <c r="K66" s="908"/>
      <c r="L66" s="909">
        <f>SUM(J66:K66)</f>
        <v>0</v>
      </c>
      <c r="M66" s="905">
        <f>SUM(L66,I66,F66)</f>
        <v>160212</v>
      </c>
    </row>
    <row r="67" spans="1:13" s="893" customFormat="1" ht="15.75" customHeight="1" x14ac:dyDescent="0.2">
      <c r="A67" s="911" t="s">
        <v>647</v>
      </c>
      <c r="B67" s="912" t="s">
        <v>816</v>
      </c>
      <c r="C67" s="909" t="s">
        <v>815</v>
      </c>
      <c r="D67" s="913">
        <f>10026+5+21</f>
        <v>10052</v>
      </c>
      <c r="E67" s="914"/>
      <c r="F67" s="910">
        <f>SUM(D67:E67)</f>
        <v>10052</v>
      </c>
      <c r="G67" s="913"/>
      <c r="H67" s="914"/>
      <c r="I67" s="910">
        <f>SUM(G67:H67)</f>
        <v>0</v>
      </c>
      <c r="J67" s="913"/>
      <c r="K67" s="914"/>
      <c r="L67" s="910">
        <f>SUM(J67:K67)</f>
        <v>0</v>
      </c>
      <c r="M67" s="905">
        <f>SUM(L67,I67,F67)</f>
        <v>10052</v>
      </c>
    </row>
    <row r="68" spans="1:13" s="893" customFormat="1" ht="15.75" customHeight="1" thickBot="1" x14ac:dyDescent="0.25">
      <c r="A68" s="911" t="s">
        <v>649</v>
      </c>
      <c r="B68" s="912" t="s">
        <v>907</v>
      </c>
      <c r="C68" s="915"/>
      <c r="D68" s="913"/>
      <c r="E68" s="914"/>
      <c r="F68" s="910">
        <f>SUM(D68:E68)</f>
        <v>0</v>
      </c>
      <c r="G68" s="913">
        <f>5066+619+300+1051+137+2392+444-2836-940-269-148</f>
        <v>5816</v>
      </c>
      <c r="H68" s="914">
        <f>719-719</f>
        <v>0</v>
      </c>
      <c r="I68" s="910">
        <f>SUM(G68:H68)</f>
        <v>5816</v>
      </c>
      <c r="J68" s="913"/>
      <c r="K68" s="914"/>
      <c r="L68" s="910">
        <f>SUM(J68:K68)</f>
        <v>0</v>
      </c>
      <c r="M68" s="905">
        <f>SUM(L68,I68,F68)</f>
        <v>5816</v>
      </c>
    </row>
    <row r="69" spans="1:13" ht="13.5" thickBot="1" x14ac:dyDescent="0.25">
      <c r="A69" s="1094" t="s">
        <v>877</v>
      </c>
      <c r="B69" s="1095"/>
      <c r="C69" s="1096"/>
      <c r="D69" s="416">
        <f t="shared" ref="D69:M69" si="16">SUM(D65:D68)</f>
        <v>201442</v>
      </c>
      <c r="E69" s="416">
        <f t="shared" si="16"/>
        <v>670</v>
      </c>
      <c r="F69" s="416">
        <f t="shared" si="16"/>
        <v>202112</v>
      </c>
      <c r="G69" s="416">
        <f t="shared" si="16"/>
        <v>5816</v>
      </c>
      <c r="H69" s="416">
        <f t="shared" si="16"/>
        <v>0</v>
      </c>
      <c r="I69" s="416">
        <f t="shared" si="16"/>
        <v>5816</v>
      </c>
      <c r="J69" s="416">
        <f t="shared" si="16"/>
        <v>0</v>
      </c>
      <c r="K69" s="416">
        <f t="shared" si="16"/>
        <v>0</v>
      </c>
      <c r="L69" s="416">
        <f t="shared" si="16"/>
        <v>0</v>
      </c>
      <c r="M69" s="719">
        <f t="shared" si="16"/>
        <v>207928</v>
      </c>
    </row>
    <row r="70" spans="1:13" s="246" customFormat="1" ht="15.75" thickBot="1" x14ac:dyDescent="0.25">
      <c r="A70" s="1091" t="s">
        <v>817</v>
      </c>
      <c r="B70" s="1092"/>
      <c r="C70" s="1093"/>
      <c r="D70" s="415">
        <f t="shared" ref="D70:M70" si="17">D57+D64+D69</f>
        <v>1331354</v>
      </c>
      <c r="E70" s="415">
        <f t="shared" si="17"/>
        <v>3666022</v>
      </c>
      <c r="F70" s="415">
        <f t="shared" si="17"/>
        <v>4997376</v>
      </c>
      <c r="G70" s="415">
        <f t="shared" si="17"/>
        <v>102251</v>
      </c>
      <c r="H70" s="415">
        <f t="shared" si="17"/>
        <v>688013</v>
      </c>
      <c r="I70" s="415">
        <f t="shared" si="17"/>
        <v>790264</v>
      </c>
      <c r="J70" s="415">
        <f t="shared" si="17"/>
        <v>37203</v>
      </c>
      <c r="K70" s="415">
        <f t="shared" si="17"/>
        <v>669</v>
      </c>
      <c r="L70" s="718">
        <f t="shared" si="17"/>
        <v>37872</v>
      </c>
      <c r="M70" s="723">
        <f t="shared" si="17"/>
        <v>5825512</v>
      </c>
    </row>
    <row r="73" spans="1:13" x14ac:dyDescent="0.2">
      <c r="A73" t="s">
        <v>818</v>
      </c>
      <c r="B73" t="s">
        <v>819</v>
      </c>
    </row>
    <row r="74" spans="1:13" x14ac:dyDescent="0.2">
      <c r="A74" t="s">
        <v>820</v>
      </c>
      <c r="B74" t="s">
        <v>821</v>
      </c>
    </row>
    <row r="75" spans="1:13" x14ac:dyDescent="0.2">
      <c r="A75" t="s">
        <v>822</v>
      </c>
      <c r="B75" t="s">
        <v>823</v>
      </c>
    </row>
    <row r="76" spans="1:13" x14ac:dyDescent="0.2">
      <c r="A76" t="s">
        <v>824</v>
      </c>
      <c r="B76" t="s">
        <v>825</v>
      </c>
    </row>
    <row r="77" spans="1:13" x14ac:dyDescent="0.2">
      <c r="A77" t="s">
        <v>826</v>
      </c>
      <c r="B77" t="s">
        <v>827</v>
      </c>
    </row>
    <row r="78" spans="1:13" x14ac:dyDescent="0.2">
      <c r="A78" t="s">
        <v>828</v>
      </c>
      <c r="B78" t="s">
        <v>829</v>
      </c>
    </row>
    <row r="79" spans="1:13" x14ac:dyDescent="0.2">
      <c r="A79" t="s">
        <v>830</v>
      </c>
      <c r="B79" t="s">
        <v>831</v>
      </c>
    </row>
    <row r="81" spans="1:4" x14ac:dyDescent="0.2">
      <c r="A81" s="1009">
        <v>13</v>
      </c>
      <c r="B81" s="1007" t="s">
        <v>1148</v>
      </c>
      <c r="C81" s="1007"/>
      <c r="D81" s="1008"/>
    </row>
    <row r="82" spans="1:4" x14ac:dyDescent="0.2">
      <c r="A82" s="1009">
        <v>14</v>
      </c>
      <c r="B82" s="1007" t="s">
        <v>1146</v>
      </c>
      <c r="C82" s="1007"/>
      <c r="D82" s="1008"/>
    </row>
    <row r="83" spans="1:4" x14ac:dyDescent="0.2">
      <c r="A83" s="1010">
        <v>15</v>
      </c>
      <c r="B83" s="1007" t="s">
        <v>1147</v>
      </c>
      <c r="C83" s="1007"/>
      <c r="D83" s="1008"/>
    </row>
  </sheetData>
  <mergeCells count="16">
    <mergeCell ref="C44:C46"/>
    <mergeCell ref="A70:C70"/>
    <mergeCell ref="A64:C64"/>
    <mergeCell ref="D6:F7"/>
    <mergeCell ref="A69:C69"/>
    <mergeCell ref="B5:B8"/>
    <mergeCell ref="A5:A8"/>
    <mergeCell ref="C5:M5"/>
    <mergeCell ref="A57:C57"/>
    <mergeCell ref="B9:M9"/>
    <mergeCell ref="G1:M1"/>
    <mergeCell ref="M6:M8"/>
    <mergeCell ref="A3:M4"/>
    <mergeCell ref="C6:C8"/>
    <mergeCell ref="G6:I7"/>
    <mergeCell ref="J6:L7"/>
  </mergeCells>
  <phoneticPr fontId="21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57" orientation="landscape" r:id="rId1"/>
  <headerFooter alignWithMargins="0"/>
  <rowBreaks count="2" manualBreakCount="2">
    <brk id="29" max="12" man="1"/>
    <brk id="5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O98"/>
  <sheetViews>
    <sheetView zoomScaleNormal="100" workbookViewId="0">
      <selection activeCell="AF10" sqref="AF10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710937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3.28515625" bestFit="1" customWidth="1"/>
    <col min="21" max="21" width="9.85546875" customWidth="1"/>
    <col min="22" max="22" width="10.140625" bestFit="1" customWidth="1"/>
    <col min="23" max="23" width="13.85546875" customWidth="1"/>
    <col min="24" max="24" width="14.7109375" style="247" bestFit="1" customWidth="1"/>
    <col min="25" max="25" width="13.85546875" style="247" customWidth="1"/>
    <col min="26" max="26" width="14.7109375" style="247" bestFit="1" customWidth="1"/>
    <col min="27" max="27" width="13.140625" style="247" bestFit="1" customWidth="1"/>
    <col min="28" max="28" width="12.5703125" style="247" bestFit="1" customWidth="1"/>
    <col min="29" max="29" width="13.140625" style="247" bestFit="1" customWidth="1"/>
    <col min="30" max="223" width="9.140625" style="247"/>
  </cols>
  <sheetData>
    <row r="1" spans="1:223" ht="18" x14ac:dyDescent="0.2">
      <c r="A1" s="221"/>
      <c r="B1" s="222"/>
      <c r="C1" s="223"/>
      <c r="H1" s="222"/>
      <c r="I1" s="222"/>
      <c r="J1" s="222"/>
      <c r="K1" s="226"/>
      <c r="L1" s="226"/>
      <c r="M1" s="226"/>
      <c r="N1" s="222"/>
      <c r="T1" s="1225" t="s">
        <v>1154</v>
      </c>
      <c r="U1" s="1226"/>
      <c r="V1" s="1226"/>
      <c r="W1" s="1226"/>
      <c r="X1" s="1227"/>
      <c r="Y1" s="1227"/>
      <c r="Z1" s="1227"/>
      <c r="AA1" s="1227"/>
      <c r="AB1" s="1227"/>
    </row>
    <row r="2" spans="1:223" x14ac:dyDescent="0.2">
      <c r="A2" s="221"/>
      <c r="B2" s="222"/>
      <c r="C2" s="223"/>
      <c r="D2" s="224"/>
      <c r="E2" s="225"/>
      <c r="F2" s="225"/>
      <c r="G2" s="225"/>
      <c r="H2" s="222"/>
      <c r="I2" s="222"/>
      <c r="J2" s="222"/>
      <c r="K2" s="226"/>
      <c r="L2" s="226"/>
      <c r="M2" s="226"/>
      <c r="N2" s="222"/>
    </row>
    <row r="3" spans="1:223" ht="15.75" customHeight="1" x14ac:dyDescent="0.2">
      <c r="A3" s="1230" t="s">
        <v>993</v>
      </c>
      <c r="B3" s="1230"/>
      <c r="C3" s="1230"/>
      <c r="D3" s="1230"/>
      <c r="E3" s="1230"/>
      <c r="F3" s="1230"/>
      <c r="G3" s="1230"/>
      <c r="H3" s="1230"/>
      <c r="I3" s="1230"/>
      <c r="J3" s="1230"/>
      <c r="K3" s="1230"/>
      <c r="L3" s="1230"/>
      <c r="M3" s="1230"/>
      <c r="N3" s="1230"/>
      <c r="O3" s="1230"/>
      <c r="P3" s="1230"/>
      <c r="Q3" s="1230"/>
      <c r="R3" s="1230"/>
      <c r="S3" s="1230"/>
      <c r="T3" s="1230"/>
      <c r="U3" s="1230"/>
      <c r="V3" s="1230"/>
      <c r="W3" s="1230"/>
      <c r="X3" s="1230"/>
    </row>
    <row r="4" spans="1:223" ht="13.5" thickBot="1" x14ac:dyDescent="0.25">
      <c r="A4" s="1231"/>
      <c r="B4" s="1231"/>
      <c r="C4" s="1231"/>
      <c r="D4" s="1231"/>
      <c r="E4" s="1231"/>
      <c r="F4" s="1231"/>
      <c r="G4" s="1231"/>
      <c r="H4" s="1231"/>
      <c r="I4" s="1231"/>
      <c r="J4" s="1231"/>
      <c r="K4" s="1231"/>
      <c r="L4" s="1231"/>
      <c r="M4" s="1231"/>
      <c r="N4" s="1231"/>
      <c r="O4" s="1231"/>
      <c r="P4" s="1231"/>
      <c r="Q4" s="1231"/>
      <c r="R4" s="1231"/>
      <c r="S4" s="1231"/>
      <c r="T4" s="1231"/>
      <c r="U4" s="1231"/>
      <c r="V4" s="1231"/>
      <c r="W4" s="1231"/>
      <c r="X4" s="1231"/>
    </row>
    <row r="5" spans="1:223" s="248" customFormat="1" ht="15" customHeight="1" thickTop="1" thickBot="1" x14ac:dyDescent="0.25">
      <c r="A5" s="1232" t="s">
        <v>101</v>
      </c>
      <c r="B5" s="1233"/>
      <c r="C5" s="1233"/>
      <c r="D5" s="1241" t="s">
        <v>603</v>
      </c>
      <c r="E5" s="1242"/>
      <c r="F5" s="1243"/>
      <c r="G5" s="1244" t="s">
        <v>832</v>
      </c>
      <c r="H5" s="1245"/>
      <c r="I5" s="1245"/>
      <c r="J5" s="1245"/>
      <c r="K5" s="1246"/>
      <c r="L5" s="1216" t="s">
        <v>833</v>
      </c>
      <c r="M5" s="1236"/>
      <c r="N5" s="1236"/>
      <c r="O5" s="1236"/>
      <c r="P5" s="1236"/>
      <c r="Q5" s="1237"/>
      <c r="R5" s="1216" t="s">
        <v>834</v>
      </c>
      <c r="S5" s="1236"/>
      <c r="T5" s="1236"/>
      <c r="U5" s="1236"/>
      <c r="V5" s="1236"/>
      <c r="W5" s="1236"/>
      <c r="X5" s="1228" t="s">
        <v>835</v>
      </c>
      <c r="Y5" s="1223"/>
      <c r="Z5" s="1223"/>
      <c r="AA5" s="1229" t="s">
        <v>102</v>
      </c>
      <c r="AB5" s="1214"/>
      <c r="AC5" s="1215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</row>
    <row r="6" spans="1:223" s="247" customFormat="1" ht="16.5" customHeight="1" thickBot="1" x14ac:dyDescent="0.25">
      <c r="A6" s="1234"/>
      <c r="B6" s="1235"/>
      <c r="C6" s="1235"/>
      <c r="D6" s="417" t="s">
        <v>103</v>
      </c>
      <c r="E6" s="418" t="s">
        <v>86</v>
      </c>
      <c r="F6" s="419" t="s">
        <v>104</v>
      </c>
      <c r="G6" s="1247"/>
      <c r="H6" s="1248"/>
      <c r="I6" s="1248"/>
      <c r="J6" s="1248"/>
      <c r="K6" s="1249"/>
      <c r="L6" s="1238"/>
      <c r="M6" s="1239"/>
      <c r="N6" s="1239"/>
      <c r="O6" s="1239"/>
      <c r="P6" s="1239"/>
      <c r="Q6" s="1240"/>
      <c r="R6" s="1238"/>
      <c r="S6" s="1239"/>
      <c r="T6" s="1239"/>
      <c r="U6" s="1239"/>
      <c r="V6" s="1239"/>
      <c r="W6" s="1239"/>
      <c r="X6" s="420" t="s">
        <v>103</v>
      </c>
      <c r="Y6" s="421" t="s">
        <v>86</v>
      </c>
      <c r="Z6" s="422" t="s">
        <v>104</v>
      </c>
      <c r="AA6" s="423" t="s">
        <v>103</v>
      </c>
      <c r="AB6" s="424" t="s">
        <v>86</v>
      </c>
      <c r="AC6" s="425" t="s">
        <v>104</v>
      </c>
    </row>
    <row r="7" spans="1:223" s="249" customFormat="1" ht="26.25" customHeight="1" x14ac:dyDescent="0.2">
      <c r="A7" s="426"/>
      <c r="B7" s="427"/>
      <c r="C7" s="428"/>
      <c r="D7" s="429"/>
      <c r="E7" s="427"/>
      <c r="F7" s="430"/>
      <c r="G7" s="1210" t="s">
        <v>836</v>
      </c>
      <c r="H7" s="1211"/>
      <c r="I7" s="1211"/>
      <c r="J7" s="435">
        <v>84901</v>
      </c>
      <c r="K7" s="1169">
        <f>SUM(J7:J25)</f>
        <v>191008</v>
      </c>
      <c r="L7" s="1198" t="s">
        <v>128</v>
      </c>
      <c r="M7" s="1199"/>
      <c r="N7" s="1199"/>
      <c r="O7" s="1199"/>
      <c r="P7" s="432">
        <v>1000</v>
      </c>
      <c r="Q7" s="1169">
        <f>SUM(P7:P25)</f>
        <v>330631</v>
      </c>
      <c r="R7" s="1134" t="s">
        <v>837</v>
      </c>
      <c r="S7" s="1135"/>
      <c r="T7" s="1135"/>
      <c r="U7" s="1135"/>
      <c r="V7" s="435">
        <f>7620-4500-1215</f>
        <v>1905</v>
      </c>
      <c r="W7" s="1131">
        <f>SUM(V7:V25)</f>
        <v>412060</v>
      </c>
      <c r="X7" s="436"/>
      <c r="Y7" s="437"/>
      <c r="Z7" s="438"/>
      <c r="AA7" s="439"/>
      <c r="AB7" s="440"/>
      <c r="AC7" s="441"/>
    </row>
    <row r="8" spans="1:223" s="249" customFormat="1" ht="42" customHeight="1" x14ac:dyDescent="0.2">
      <c r="A8" s="426"/>
      <c r="B8" s="427"/>
      <c r="C8" s="429"/>
      <c r="D8" s="429"/>
      <c r="E8" s="427"/>
      <c r="F8" s="430"/>
      <c r="G8" s="1120" t="s">
        <v>132</v>
      </c>
      <c r="H8" s="1120"/>
      <c r="I8" s="1120"/>
      <c r="J8" s="435">
        <f>13578-490</f>
        <v>13088</v>
      </c>
      <c r="K8" s="1170"/>
      <c r="L8" s="1119" t="s">
        <v>838</v>
      </c>
      <c r="M8" s="1120"/>
      <c r="N8" s="1120"/>
      <c r="O8" s="1120"/>
      <c r="P8" s="435">
        <f>2543+208</f>
        <v>2751</v>
      </c>
      <c r="Q8" s="1170"/>
      <c r="R8" s="1119" t="s">
        <v>839</v>
      </c>
      <c r="S8" s="1120"/>
      <c r="T8" s="1120"/>
      <c r="U8" s="1120"/>
      <c r="V8" s="435">
        <f>550+787+213</f>
        <v>1550</v>
      </c>
      <c r="W8" s="1132"/>
      <c r="X8" s="443"/>
      <c r="Y8" s="437"/>
      <c r="Z8" s="444"/>
      <c r="AA8" s="426"/>
      <c r="AB8" s="445"/>
      <c r="AC8" s="446"/>
    </row>
    <row r="9" spans="1:223" s="249" customFormat="1" ht="24.75" customHeight="1" x14ac:dyDescent="0.2">
      <c r="A9" s="447"/>
      <c r="B9" s="448"/>
      <c r="C9" s="449" t="s">
        <v>768</v>
      </c>
      <c r="D9" s="450">
        <v>815857</v>
      </c>
      <c r="E9" s="451">
        <v>3665098</v>
      </c>
      <c r="F9" s="452">
        <f>SUM(D9:E9)</f>
        <v>4480955</v>
      </c>
      <c r="G9" s="1250" t="s">
        <v>840</v>
      </c>
      <c r="H9" s="1251"/>
      <c r="I9" s="1251"/>
      <c r="J9" s="435">
        <v>7352</v>
      </c>
      <c r="K9" s="1170"/>
      <c r="L9" s="1134" t="s">
        <v>841</v>
      </c>
      <c r="M9" s="1135"/>
      <c r="N9" s="1135"/>
      <c r="O9" s="1135"/>
      <c r="P9" s="435">
        <f>12420+373</f>
        <v>12793</v>
      </c>
      <c r="Q9" s="1170"/>
      <c r="R9" s="1134" t="s">
        <v>842</v>
      </c>
      <c r="S9" s="1135"/>
      <c r="T9" s="1135"/>
      <c r="U9" s="1135"/>
      <c r="V9" s="435">
        <v>102849</v>
      </c>
      <c r="W9" s="1132"/>
      <c r="X9" s="453"/>
      <c r="Y9" s="454"/>
      <c r="Z9" s="444"/>
      <c r="AA9" s="455"/>
      <c r="AB9" s="456"/>
      <c r="AC9" s="457"/>
    </row>
    <row r="10" spans="1:223" s="249" customFormat="1" ht="28.5" customHeight="1" x14ac:dyDescent="0.2">
      <c r="A10" s="458"/>
      <c r="B10" s="459"/>
      <c r="C10" s="460"/>
      <c r="D10" s="460"/>
      <c r="E10" s="427"/>
      <c r="F10" s="430"/>
      <c r="G10" s="1146" t="s">
        <v>843</v>
      </c>
      <c r="H10" s="1120"/>
      <c r="I10" s="1120"/>
      <c r="J10" s="435">
        <v>10609</v>
      </c>
      <c r="K10" s="1170"/>
      <c r="L10" s="1119" t="s">
        <v>844</v>
      </c>
      <c r="M10" s="1120"/>
      <c r="N10" s="1120"/>
      <c r="O10" s="1120"/>
      <c r="P10" s="435">
        <v>16800</v>
      </c>
      <c r="Q10" s="1170"/>
      <c r="R10" s="1134" t="s">
        <v>845</v>
      </c>
      <c r="S10" s="1135"/>
      <c r="T10" s="1135"/>
      <c r="U10" s="1135"/>
      <c r="V10" s="435">
        <v>4726</v>
      </c>
      <c r="W10" s="1132"/>
      <c r="X10" s="453"/>
      <c r="Y10" s="454"/>
      <c r="Z10" s="444"/>
      <c r="AA10" s="455"/>
      <c r="AB10" s="456"/>
      <c r="AC10" s="457"/>
    </row>
    <row r="11" spans="1:223" s="249" customFormat="1" ht="24.75" customHeight="1" x14ac:dyDescent="0.2">
      <c r="A11" s="458"/>
      <c r="B11" s="459"/>
      <c r="C11" s="460"/>
      <c r="D11" s="460"/>
      <c r="E11" s="427"/>
      <c r="F11" s="430"/>
      <c r="G11" s="1146" t="s">
        <v>141</v>
      </c>
      <c r="H11" s="1120"/>
      <c r="I11" s="1120"/>
      <c r="J11" s="435">
        <v>3840</v>
      </c>
      <c r="K11" s="1170"/>
      <c r="L11" s="1119" t="s">
        <v>137</v>
      </c>
      <c r="M11" s="1120"/>
      <c r="N11" s="1120"/>
      <c r="O11" s="1120"/>
      <c r="P11" s="435">
        <v>12758</v>
      </c>
      <c r="Q11" s="1170"/>
      <c r="R11" s="1119" t="s">
        <v>846</v>
      </c>
      <c r="S11" s="1120"/>
      <c r="T11" s="1120"/>
      <c r="U11" s="1120"/>
      <c r="V11" s="435">
        <f>140100-126+622-394-7+4000</f>
        <v>144195</v>
      </c>
      <c r="W11" s="1132"/>
      <c r="X11" s="453"/>
      <c r="Y11" s="454"/>
      <c r="Z11" s="444"/>
      <c r="AA11" s="455"/>
      <c r="AB11" s="456"/>
      <c r="AC11" s="457"/>
    </row>
    <row r="12" spans="1:223" s="249" customFormat="1" ht="25.5" customHeight="1" x14ac:dyDescent="0.2">
      <c r="A12" s="458"/>
      <c r="B12" s="459"/>
      <c r="C12" s="460"/>
      <c r="D12" s="460"/>
      <c r="E12" s="427"/>
      <c r="F12" s="462"/>
      <c r="G12" s="1212" t="s">
        <v>105</v>
      </c>
      <c r="H12" s="1135"/>
      <c r="I12" s="1135"/>
      <c r="J12" s="435">
        <v>820</v>
      </c>
      <c r="K12" s="1170"/>
      <c r="L12" s="1119" t="s">
        <v>138</v>
      </c>
      <c r="M12" s="1120"/>
      <c r="N12" s="1120"/>
      <c r="O12" s="1120"/>
      <c r="P12" s="435">
        <f>45248-2680+58669+45860+21747</f>
        <v>168844</v>
      </c>
      <c r="Q12" s="1170"/>
      <c r="R12" s="1119" t="s">
        <v>129</v>
      </c>
      <c r="S12" s="1120"/>
      <c r="T12" s="1120"/>
      <c r="U12" s="1120"/>
      <c r="V12" s="435">
        <f>8320+960</f>
        <v>9280</v>
      </c>
      <c r="W12" s="1132"/>
      <c r="X12" s="463">
        <f>SUM(W7,Q7,K7)</f>
        <v>933699</v>
      </c>
      <c r="Y12" s="464">
        <f>SUM(Q26,W26,K26)</f>
        <v>3850603</v>
      </c>
      <c r="Z12" s="465">
        <f>SUM(Y12,X12)</f>
        <v>4784302</v>
      </c>
      <c r="AA12" s="463">
        <f>X12-D9</f>
        <v>117842</v>
      </c>
      <c r="AB12" s="464">
        <f>Y12-E9</f>
        <v>185505</v>
      </c>
      <c r="AC12" s="466">
        <f>SUM(AA12:AB12)</f>
        <v>303347</v>
      </c>
    </row>
    <row r="13" spans="1:223" s="247" customFormat="1" ht="14.25" customHeight="1" x14ac:dyDescent="0.2">
      <c r="A13" s="467"/>
      <c r="B13" s="468"/>
      <c r="C13" s="469"/>
      <c r="D13" s="469"/>
      <c r="E13" s="470"/>
      <c r="F13" s="471"/>
      <c r="G13" s="1135" t="s">
        <v>756</v>
      </c>
      <c r="H13" s="1135"/>
      <c r="I13" s="1135"/>
      <c r="J13" s="435">
        <v>23980</v>
      </c>
      <c r="K13" s="1170"/>
      <c r="L13" s="1119" t="s">
        <v>139</v>
      </c>
      <c r="M13" s="1120"/>
      <c r="N13" s="1120"/>
      <c r="O13" s="1120"/>
      <c r="P13" s="435">
        <f>57039-14359</f>
        <v>42680</v>
      </c>
      <c r="Q13" s="1170"/>
      <c r="R13" s="1134" t="s">
        <v>847</v>
      </c>
      <c r="S13" s="1135"/>
      <c r="T13" s="1135"/>
      <c r="U13" s="1135"/>
      <c r="V13" s="472">
        <v>681</v>
      </c>
      <c r="W13" s="1132"/>
      <c r="X13" s="453"/>
      <c r="Y13" s="454"/>
      <c r="Z13" s="444"/>
      <c r="AA13" s="455"/>
      <c r="AB13" s="456"/>
      <c r="AC13" s="457"/>
    </row>
    <row r="14" spans="1:223" s="247" customFormat="1" ht="24.75" customHeight="1" x14ac:dyDescent="0.2">
      <c r="A14" s="467"/>
      <c r="B14" s="468"/>
      <c r="C14" s="469"/>
      <c r="D14" s="469"/>
      <c r="E14" s="470"/>
      <c r="F14" s="471"/>
      <c r="G14" s="1146" t="s">
        <v>451</v>
      </c>
      <c r="H14" s="1120"/>
      <c r="I14" s="1120"/>
      <c r="J14" s="435">
        <f>30041-50</f>
        <v>29991</v>
      </c>
      <c r="K14" s="1170"/>
      <c r="L14" s="1119" t="s">
        <v>140</v>
      </c>
      <c r="M14" s="1120"/>
      <c r="N14" s="1120"/>
      <c r="O14" s="1120"/>
      <c r="P14" s="435">
        <v>1567</v>
      </c>
      <c r="Q14" s="1170"/>
      <c r="R14" s="1134" t="s">
        <v>861</v>
      </c>
      <c r="S14" s="1135"/>
      <c r="T14" s="1135"/>
      <c r="U14" s="1135"/>
      <c r="V14" s="472">
        <v>2920</v>
      </c>
      <c r="W14" s="1132"/>
      <c r="X14" s="453"/>
      <c r="Y14" s="454"/>
      <c r="Z14" s="444"/>
      <c r="AA14" s="455"/>
      <c r="AB14" s="456"/>
      <c r="AC14" s="457"/>
    </row>
    <row r="15" spans="1:223" s="247" customFormat="1" ht="12.75" customHeight="1" x14ac:dyDescent="0.2">
      <c r="A15" s="467"/>
      <c r="B15" s="468"/>
      <c r="C15" s="469"/>
      <c r="D15" s="469"/>
      <c r="E15" s="470"/>
      <c r="F15" s="471"/>
      <c r="G15" s="1146" t="s">
        <v>457</v>
      </c>
      <c r="H15" s="1120"/>
      <c r="I15" s="1120"/>
      <c r="J15" s="435">
        <f>70736-897-750-57416+520</f>
        <v>12193</v>
      </c>
      <c r="K15" s="1170"/>
      <c r="L15" s="1134" t="s">
        <v>850</v>
      </c>
      <c r="M15" s="1135"/>
      <c r="N15" s="1135"/>
      <c r="O15" s="1135"/>
      <c r="P15" s="473">
        <f>5677+1473</f>
        <v>7150</v>
      </c>
      <c r="Q15" s="1170"/>
      <c r="R15" s="1134" t="s">
        <v>1115</v>
      </c>
      <c r="S15" s="1135"/>
      <c r="T15" s="1135"/>
      <c r="U15" s="1135"/>
      <c r="V15" s="472">
        <f>127+52</f>
        <v>179</v>
      </c>
      <c r="W15" s="1132"/>
      <c r="X15" s="453"/>
      <c r="Y15" s="454"/>
      <c r="Z15" s="444"/>
      <c r="AA15" s="455"/>
      <c r="AB15" s="456"/>
      <c r="AC15" s="457"/>
    </row>
    <row r="16" spans="1:223" s="247" customFormat="1" ht="12.75" customHeight="1" x14ac:dyDescent="0.2">
      <c r="A16" s="467"/>
      <c r="B16" s="468"/>
      <c r="C16" s="469"/>
      <c r="D16" s="469"/>
      <c r="E16" s="470"/>
      <c r="F16" s="471"/>
      <c r="G16" s="1146" t="s">
        <v>919</v>
      </c>
      <c r="H16" s="1120"/>
      <c r="I16" s="1120"/>
      <c r="J16" s="435">
        <v>193</v>
      </c>
      <c r="K16" s="1170"/>
      <c r="L16" s="1134" t="s">
        <v>916</v>
      </c>
      <c r="M16" s="1135"/>
      <c r="N16" s="1135"/>
      <c r="O16" s="1135"/>
      <c r="P16" s="495">
        <f>16108+14510+17987+12663</f>
        <v>61268</v>
      </c>
      <c r="Q16" s="1170"/>
      <c r="R16" s="1134" t="s">
        <v>848</v>
      </c>
      <c r="S16" s="1135"/>
      <c r="T16" s="1135"/>
      <c r="U16" s="1135"/>
      <c r="V16" s="472">
        <v>35</v>
      </c>
      <c r="W16" s="1132"/>
      <c r="X16" s="453"/>
      <c r="Y16" s="454"/>
      <c r="Z16" s="444"/>
      <c r="AA16" s="455"/>
      <c r="AB16" s="456"/>
      <c r="AC16" s="457"/>
    </row>
    <row r="17" spans="1:223" s="247" customFormat="1" ht="12.75" customHeight="1" x14ac:dyDescent="0.2">
      <c r="A17" s="467"/>
      <c r="B17" s="468"/>
      <c r="C17" s="469"/>
      <c r="D17" s="469"/>
      <c r="E17" s="470"/>
      <c r="F17" s="471"/>
      <c r="G17" s="1146" t="s">
        <v>920</v>
      </c>
      <c r="H17" s="1120"/>
      <c r="I17" s="1120"/>
      <c r="J17" s="435">
        <v>2504</v>
      </c>
      <c r="K17" s="1170"/>
      <c r="L17" s="1134" t="s">
        <v>917</v>
      </c>
      <c r="M17" s="1135"/>
      <c r="N17" s="1135"/>
      <c r="O17" s="1135"/>
      <c r="P17" s="495">
        <v>140</v>
      </c>
      <c r="Q17" s="1170"/>
      <c r="R17" s="1134" t="s">
        <v>849</v>
      </c>
      <c r="S17" s="1135"/>
      <c r="T17" s="1135"/>
      <c r="U17" s="1135"/>
      <c r="V17" s="472">
        <f>360+60</f>
        <v>420</v>
      </c>
      <c r="W17" s="1132"/>
      <c r="X17" s="453"/>
      <c r="Y17" s="454"/>
      <c r="Z17" s="444"/>
      <c r="AA17" s="455"/>
      <c r="AB17" s="456"/>
      <c r="AC17" s="457"/>
    </row>
    <row r="18" spans="1:223" s="247" customFormat="1" ht="26.25" customHeight="1" x14ac:dyDescent="0.2">
      <c r="A18" s="467"/>
      <c r="B18" s="468"/>
      <c r="C18" s="469"/>
      <c r="D18" s="469"/>
      <c r="E18" s="470"/>
      <c r="F18" s="471"/>
      <c r="G18" s="1146" t="s">
        <v>922</v>
      </c>
      <c r="H18" s="1120"/>
      <c r="I18" s="1120"/>
      <c r="J18" s="472">
        <f>126+401</f>
        <v>527</v>
      </c>
      <c r="K18" s="1170"/>
      <c r="L18" s="1271" t="s">
        <v>1112</v>
      </c>
      <c r="M18" s="1272"/>
      <c r="N18" s="1272"/>
      <c r="O18" s="1272"/>
      <c r="P18" s="435">
        <v>177</v>
      </c>
      <c r="Q18" s="1170"/>
      <c r="R18" s="1119" t="s">
        <v>130</v>
      </c>
      <c r="S18" s="1120"/>
      <c r="T18" s="1120"/>
      <c r="U18" s="1120"/>
      <c r="V18" s="473">
        <f>1524+3175+24+7</f>
        <v>4730</v>
      </c>
      <c r="W18" s="1132"/>
      <c r="X18" s="453"/>
      <c r="Y18" s="454"/>
      <c r="Z18" s="444"/>
      <c r="AA18" s="455"/>
      <c r="AB18" s="456"/>
      <c r="AC18" s="457"/>
    </row>
    <row r="19" spans="1:223" s="247" customFormat="1" ht="14.25" customHeight="1" x14ac:dyDescent="0.2">
      <c r="A19" s="467"/>
      <c r="B19" s="468"/>
      <c r="C19" s="469"/>
      <c r="D19" s="469"/>
      <c r="E19" s="470"/>
      <c r="F19" s="471"/>
      <c r="G19" s="1146" t="s">
        <v>921</v>
      </c>
      <c r="H19" s="1120"/>
      <c r="I19" s="1120"/>
      <c r="J19" s="435">
        <v>1010</v>
      </c>
      <c r="K19" s="1170"/>
      <c r="L19" s="1119" t="s">
        <v>1113</v>
      </c>
      <c r="M19" s="1120"/>
      <c r="N19" s="1120"/>
      <c r="O19" s="1120"/>
      <c r="P19" s="435">
        <v>2633</v>
      </c>
      <c r="Q19" s="1170"/>
      <c r="R19" s="1119" t="s">
        <v>455</v>
      </c>
      <c r="S19" s="1120"/>
      <c r="T19" s="1120"/>
      <c r="U19" s="1120"/>
      <c r="V19" s="473">
        <v>144</v>
      </c>
      <c r="W19" s="1132"/>
      <c r="X19" s="453"/>
      <c r="Y19" s="454"/>
      <c r="Z19" s="444"/>
      <c r="AA19" s="455"/>
      <c r="AB19" s="456"/>
      <c r="AC19" s="457"/>
    </row>
    <row r="20" spans="1:223" s="247" customFormat="1" ht="13.5" customHeight="1" x14ac:dyDescent="0.2">
      <c r="A20" s="467"/>
      <c r="B20" s="468"/>
      <c r="C20" s="469"/>
      <c r="D20" s="469"/>
      <c r="E20" s="470"/>
      <c r="F20" s="471"/>
      <c r="G20" s="1146"/>
      <c r="H20" s="1120"/>
      <c r="I20" s="1120"/>
      <c r="J20" s="435"/>
      <c r="K20" s="1170"/>
      <c r="L20" s="1119" t="s">
        <v>1116</v>
      </c>
      <c r="M20" s="1120"/>
      <c r="N20" s="1120"/>
      <c r="O20" s="1120"/>
      <c r="P20" s="435">
        <v>70</v>
      </c>
      <c r="Q20" s="1170"/>
      <c r="R20" s="1119" t="s">
        <v>456</v>
      </c>
      <c r="S20" s="1120"/>
      <c r="T20" s="1120"/>
      <c r="U20" s="1120"/>
      <c r="V20" s="473">
        <f>6577+897+750</f>
        <v>8224</v>
      </c>
      <c r="W20" s="1132"/>
      <c r="X20" s="453"/>
      <c r="Y20" s="454"/>
      <c r="Z20" s="444"/>
      <c r="AA20" s="455"/>
      <c r="AB20" s="456"/>
      <c r="AC20" s="457"/>
    </row>
    <row r="21" spans="1:223" s="247" customFormat="1" ht="24.75" customHeight="1" x14ac:dyDescent="0.2">
      <c r="A21" s="467"/>
      <c r="B21" s="468"/>
      <c r="C21" s="469"/>
      <c r="D21" s="469"/>
      <c r="E21" s="470"/>
      <c r="F21" s="471"/>
      <c r="G21" s="633"/>
      <c r="H21" s="632"/>
      <c r="I21" s="632"/>
      <c r="J21" s="631"/>
      <c r="K21" s="1170"/>
      <c r="L21" s="643"/>
      <c r="M21" s="632"/>
      <c r="N21" s="632"/>
      <c r="O21" s="632"/>
      <c r="P21" s="631"/>
      <c r="Q21" s="1170"/>
      <c r="R21" s="1119" t="s">
        <v>932</v>
      </c>
      <c r="S21" s="1120"/>
      <c r="T21" s="1120"/>
      <c r="U21" s="1120"/>
      <c r="V21" s="473">
        <f>9755+3610+120</f>
        <v>13485</v>
      </c>
      <c r="W21" s="1132"/>
      <c r="X21" s="453"/>
      <c r="Y21" s="454"/>
      <c r="Z21" s="444"/>
      <c r="AA21" s="455"/>
      <c r="AB21" s="456"/>
      <c r="AC21" s="457"/>
    </row>
    <row r="22" spans="1:223" s="247" customFormat="1" ht="14.25" customHeight="1" x14ac:dyDescent="0.2">
      <c r="A22" s="467"/>
      <c r="B22" s="468"/>
      <c r="C22" s="469"/>
      <c r="D22" s="469"/>
      <c r="E22" s="470"/>
      <c r="F22" s="471"/>
      <c r="G22" s="633"/>
      <c r="H22" s="632"/>
      <c r="I22" s="632"/>
      <c r="J22" s="631"/>
      <c r="K22" s="1170"/>
      <c r="L22" s="643"/>
      <c r="M22" s="632"/>
      <c r="N22" s="632"/>
      <c r="O22" s="632"/>
      <c r="P22" s="631"/>
      <c r="Q22" s="1170"/>
      <c r="R22" s="1119" t="s">
        <v>1117</v>
      </c>
      <c r="S22" s="1120"/>
      <c r="T22" s="1120"/>
      <c r="U22" s="1120"/>
      <c r="V22" s="473">
        <v>7774</v>
      </c>
      <c r="W22" s="1132"/>
      <c r="X22" s="453"/>
      <c r="Y22" s="454"/>
      <c r="Z22" s="444"/>
      <c r="AA22" s="455"/>
      <c r="AB22" s="456"/>
      <c r="AC22" s="457"/>
    </row>
    <row r="23" spans="1:223" s="247" customFormat="1" ht="13.5" customHeight="1" x14ac:dyDescent="0.2">
      <c r="A23" s="467"/>
      <c r="B23" s="468"/>
      <c r="C23" s="469"/>
      <c r="D23" s="469"/>
      <c r="E23" s="470"/>
      <c r="F23" s="471"/>
      <c r="G23" s="633"/>
      <c r="H23" s="632"/>
      <c r="I23" s="632"/>
      <c r="J23" s="631"/>
      <c r="K23" s="1170"/>
      <c r="L23" s="643"/>
      <c r="M23" s="632"/>
      <c r="N23" s="632"/>
      <c r="O23" s="632"/>
      <c r="P23" s="631"/>
      <c r="Q23" s="1170"/>
      <c r="R23" s="1119" t="s">
        <v>1114</v>
      </c>
      <c r="S23" s="1120"/>
      <c r="T23" s="1120"/>
      <c r="U23" s="1120"/>
      <c r="V23" s="473">
        <v>75</v>
      </c>
      <c r="W23" s="1132"/>
      <c r="X23" s="453"/>
      <c r="Y23" s="454"/>
      <c r="Z23" s="444"/>
      <c r="AA23" s="455"/>
      <c r="AB23" s="456"/>
      <c r="AC23" s="457"/>
    </row>
    <row r="24" spans="1:223" s="247" customFormat="1" ht="13.5" customHeight="1" x14ac:dyDescent="0.2">
      <c r="A24" s="467"/>
      <c r="B24" s="468"/>
      <c r="C24" s="469"/>
      <c r="D24" s="469"/>
      <c r="E24" s="470"/>
      <c r="F24" s="471"/>
      <c r="G24" s="633"/>
      <c r="H24" s="632"/>
      <c r="I24" s="632"/>
      <c r="J24" s="631"/>
      <c r="K24" s="1170"/>
      <c r="L24" s="643"/>
      <c r="M24" s="632"/>
      <c r="N24" s="632"/>
      <c r="O24" s="632"/>
      <c r="P24" s="631"/>
      <c r="Q24" s="1170"/>
      <c r="R24" s="1119" t="s">
        <v>1101</v>
      </c>
      <c r="S24" s="1120"/>
      <c r="T24" s="1120"/>
      <c r="U24" s="1120"/>
      <c r="V24" s="473">
        <v>3650</v>
      </c>
      <c r="W24" s="1132"/>
      <c r="X24" s="453"/>
      <c r="Y24" s="454"/>
      <c r="Z24" s="444"/>
      <c r="AA24" s="455"/>
      <c r="AB24" s="456"/>
      <c r="AC24" s="457"/>
    </row>
    <row r="25" spans="1:223" s="247" customFormat="1" ht="14.25" customHeight="1" thickBot="1" x14ac:dyDescent="0.25">
      <c r="A25" s="467"/>
      <c r="B25" s="468"/>
      <c r="C25" s="469"/>
      <c r="D25" s="469"/>
      <c r="E25" s="470"/>
      <c r="F25" s="471"/>
      <c r="G25" s="633"/>
      <c r="H25" s="632"/>
      <c r="I25" s="632"/>
      <c r="J25" s="631"/>
      <c r="K25" s="1170"/>
      <c r="L25" s="643"/>
      <c r="M25" s="632"/>
      <c r="N25" s="632"/>
      <c r="O25" s="632"/>
      <c r="P25" s="631"/>
      <c r="Q25" s="1170"/>
      <c r="R25" s="1119" t="s">
        <v>918</v>
      </c>
      <c r="S25" s="1120"/>
      <c r="T25" s="1120"/>
      <c r="U25" s="1120"/>
      <c r="V25" s="473">
        <v>105238</v>
      </c>
      <c r="W25" s="1132"/>
      <c r="X25" s="453"/>
      <c r="Y25" s="454"/>
      <c r="Z25" s="444"/>
      <c r="AA25" s="455"/>
      <c r="AB25" s="456"/>
      <c r="AC25" s="457"/>
    </row>
    <row r="26" spans="1:223" s="247" customFormat="1" ht="12.75" customHeight="1" x14ac:dyDescent="0.2">
      <c r="A26" s="467"/>
      <c r="B26" s="468"/>
      <c r="C26" s="469"/>
      <c r="D26" s="469"/>
      <c r="E26" s="474" t="s">
        <v>106</v>
      </c>
      <c r="F26" s="471"/>
      <c r="G26" s="1257" t="s">
        <v>923</v>
      </c>
      <c r="H26" s="1199"/>
      <c r="I26" s="1199"/>
      <c r="J26" s="432">
        <v>188589</v>
      </c>
      <c r="K26" s="1169">
        <f>SUM(J26:J31)</f>
        <v>188790</v>
      </c>
      <c r="L26" s="1198" t="s">
        <v>474</v>
      </c>
      <c r="M26" s="1199"/>
      <c r="N26" s="1199"/>
      <c r="O26" s="1199"/>
      <c r="P26" s="475">
        <f>8128-2608</f>
        <v>5520</v>
      </c>
      <c r="Q26" s="1169">
        <f>SUM(P26:P31)</f>
        <v>2864924</v>
      </c>
      <c r="R26" s="1198" t="s">
        <v>107</v>
      </c>
      <c r="S26" s="1199"/>
      <c r="T26" s="1199"/>
      <c r="U26" s="1199"/>
      <c r="V26" s="476">
        <f>8380+350+100+1350+300+14817</f>
        <v>25297</v>
      </c>
      <c r="W26" s="1131">
        <f>SUM(V26:V31)</f>
        <v>796889</v>
      </c>
      <c r="X26" s="453"/>
      <c r="Y26" s="454"/>
      <c r="Z26" s="444"/>
      <c r="AA26" s="455"/>
      <c r="AB26" s="456"/>
      <c r="AC26" s="457"/>
    </row>
    <row r="27" spans="1:223" s="247" customFormat="1" ht="12.75" customHeight="1" x14ac:dyDescent="0.2">
      <c r="A27" s="467"/>
      <c r="B27" s="468"/>
      <c r="C27" s="469"/>
      <c r="D27" s="469"/>
      <c r="E27" s="470"/>
      <c r="F27" s="471"/>
      <c r="G27" s="1212" t="s">
        <v>925</v>
      </c>
      <c r="H27" s="1135"/>
      <c r="I27" s="1135"/>
      <c r="J27" s="435">
        <v>156</v>
      </c>
      <c r="K27" s="1170"/>
      <c r="L27" s="1134" t="s">
        <v>475</v>
      </c>
      <c r="M27" s="1135"/>
      <c r="N27" s="1135"/>
      <c r="O27" s="1135"/>
      <c r="P27" s="495">
        <v>548556</v>
      </c>
      <c r="Q27" s="1205"/>
      <c r="R27" s="433" t="s">
        <v>453</v>
      </c>
      <c r="S27" s="434"/>
      <c r="T27" s="434"/>
      <c r="U27" s="434"/>
      <c r="V27" s="473">
        <v>2158</v>
      </c>
      <c r="W27" s="1197"/>
      <c r="X27" s="453"/>
      <c r="Y27" s="454"/>
      <c r="Z27" s="444"/>
      <c r="AA27" s="455"/>
      <c r="AB27" s="456"/>
      <c r="AC27" s="457"/>
    </row>
    <row r="28" spans="1:223" s="247" customFormat="1" ht="12.75" customHeight="1" x14ac:dyDescent="0.2">
      <c r="A28" s="467"/>
      <c r="B28" s="468"/>
      <c r="C28" s="469"/>
      <c r="D28" s="469"/>
      <c r="E28" s="470"/>
      <c r="F28" s="471"/>
      <c r="G28" s="1212" t="s">
        <v>926</v>
      </c>
      <c r="H28" s="1135"/>
      <c r="I28" s="1135"/>
      <c r="J28" s="435">
        <v>45</v>
      </c>
      <c r="K28" s="1170"/>
      <c r="L28" s="1134" t="s">
        <v>476</v>
      </c>
      <c r="M28" s="1135"/>
      <c r="N28" s="1135"/>
      <c r="O28" s="1135"/>
      <c r="P28" s="495">
        <v>2301200</v>
      </c>
      <c r="Q28" s="1205"/>
      <c r="R28" s="433" t="s">
        <v>477</v>
      </c>
      <c r="S28" s="434"/>
      <c r="T28" s="434"/>
      <c r="U28" s="434"/>
      <c r="V28" s="473">
        <v>769434</v>
      </c>
      <c r="W28" s="1197"/>
      <c r="X28" s="453"/>
      <c r="Y28" s="454"/>
      <c r="Z28" s="444"/>
      <c r="AA28" s="455"/>
      <c r="AB28" s="456"/>
      <c r="AC28" s="457"/>
    </row>
    <row r="29" spans="1:223" s="247" customFormat="1" ht="28.5" customHeight="1" thickBot="1" x14ac:dyDescent="0.25">
      <c r="A29" s="467"/>
      <c r="B29" s="468"/>
      <c r="C29" s="469"/>
      <c r="D29" s="469"/>
      <c r="E29" s="470"/>
      <c r="F29" s="471"/>
      <c r="G29" s="477"/>
      <c r="H29" s="470"/>
      <c r="I29" s="470"/>
      <c r="J29" s="560"/>
      <c r="K29" s="1170"/>
      <c r="L29" s="1119" t="s">
        <v>138</v>
      </c>
      <c r="M29" s="1120"/>
      <c r="N29" s="1120"/>
      <c r="O29" s="1120"/>
      <c r="P29" s="435">
        <f>2680+2695+2507+1766</f>
        <v>9648</v>
      </c>
      <c r="Q29" s="1205"/>
      <c r="R29" s="1200"/>
      <c r="S29" s="1201"/>
      <c r="T29" s="1201"/>
      <c r="U29" s="1201"/>
      <c r="V29" s="634"/>
      <c r="W29" s="1197"/>
      <c r="X29" s="453"/>
      <c r="Y29" s="454"/>
      <c r="Z29" s="444"/>
      <c r="AA29" s="455"/>
      <c r="AB29" s="456"/>
      <c r="AC29" s="457"/>
    </row>
    <row r="30" spans="1:223" s="250" customFormat="1" ht="15.75" customHeight="1" x14ac:dyDescent="0.2">
      <c r="A30" s="467"/>
      <c r="B30" s="468"/>
      <c r="C30" s="469"/>
      <c r="D30" s="469"/>
      <c r="E30" s="470"/>
      <c r="F30" s="471"/>
      <c r="G30" s="477"/>
      <c r="H30" s="478"/>
      <c r="I30" s="478"/>
      <c r="J30" s="560"/>
      <c r="K30" s="1170"/>
      <c r="L30" s="1200"/>
      <c r="M30" s="1201"/>
      <c r="N30" s="1201"/>
      <c r="O30" s="1201"/>
      <c r="P30" s="634"/>
      <c r="Q30" s="1205"/>
      <c r="R30" s="646"/>
      <c r="S30" s="247"/>
      <c r="T30" s="247"/>
      <c r="U30" s="247"/>
      <c r="V30" s="266"/>
      <c r="W30" s="1197"/>
      <c r="X30" s="453"/>
      <c r="Y30" s="454"/>
      <c r="Z30" s="444"/>
      <c r="AA30" s="455"/>
      <c r="AB30" s="456"/>
      <c r="AC30" s="45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7"/>
      <c r="DD30" s="247"/>
      <c r="DE30" s="247"/>
      <c r="DF30" s="247"/>
      <c r="DG30" s="247"/>
      <c r="DH30" s="247"/>
      <c r="DI30" s="247"/>
      <c r="DJ30" s="247"/>
      <c r="DK30" s="247"/>
      <c r="DL30" s="247"/>
      <c r="DM30" s="247"/>
      <c r="DN30" s="247"/>
      <c r="DO30" s="247"/>
      <c r="DP30" s="247"/>
      <c r="DQ30" s="247"/>
      <c r="DR30" s="247"/>
      <c r="DS30" s="247"/>
      <c r="DT30" s="247"/>
      <c r="DU30" s="247"/>
      <c r="DV30" s="247"/>
      <c r="DW30" s="247"/>
      <c r="DX30" s="247"/>
      <c r="DY30" s="247"/>
      <c r="DZ30" s="247"/>
      <c r="EA30" s="247"/>
      <c r="EB30" s="247"/>
      <c r="EC30" s="247"/>
      <c r="ED30" s="247"/>
      <c r="EE30" s="247"/>
      <c r="EF30" s="247"/>
      <c r="EG30" s="247"/>
      <c r="EH30" s="247"/>
      <c r="EI30" s="247"/>
      <c r="EJ30" s="247"/>
      <c r="EK30" s="247"/>
      <c r="EL30" s="247"/>
      <c r="EM30" s="247"/>
      <c r="EN30" s="247"/>
      <c r="EO30" s="247"/>
      <c r="EP30" s="247"/>
      <c r="EQ30" s="247"/>
      <c r="ER30" s="247"/>
      <c r="ES30" s="247"/>
      <c r="ET30" s="247"/>
      <c r="EU30" s="247"/>
      <c r="EV30" s="247"/>
      <c r="EW30" s="247"/>
      <c r="EX30" s="247"/>
      <c r="EY30" s="247"/>
      <c r="EZ30" s="247"/>
      <c r="FA30" s="247"/>
      <c r="FB30" s="247"/>
      <c r="FC30" s="247"/>
      <c r="FD30" s="247"/>
      <c r="FE30" s="247"/>
      <c r="FF30" s="247"/>
      <c r="FG30" s="247"/>
      <c r="FH30" s="247"/>
      <c r="FI30" s="247"/>
      <c r="FJ30" s="247"/>
      <c r="FK30" s="247"/>
      <c r="FL30" s="247"/>
      <c r="FM30" s="247"/>
      <c r="FN30" s="247"/>
      <c r="FO30" s="247"/>
      <c r="FP30" s="247"/>
      <c r="FQ30" s="247"/>
      <c r="FR30" s="247"/>
      <c r="FS30" s="247"/>
      <c r="FT30" s="247"/>
      <c r="FU30" s="247"/>
      <c r="FV30" s="247"/>
      <c r="FW30" s="247"/>
      <c r="FX30" s="247"/>
      <c r="FY30" s="247"/>
      <c r="FZ30" s="247"/>
      <c r="GA30" s="247"/>
      <c r="GB30" s="247"/>
      <c r="GC30" s="247"/>
      <c r="GD30" s="247"/>
      <c r="GE30" s="247"/>
      <c r="GF30" s="247"/>
      <c r="GG30" s="247"/>
      <c r="GH30" s="247"/>
      <c r="GI30" s="247"/>
      <c r="GJ30" s="247"/>
      <c r="GK30" s="247"/>
      <c r="GL30" s="247"/>
      <c r="GM30" s="247"/>
      <c r="GN30" s="247"/>
      <c r="GO30" s="247"/>
      <c r="GP30" s="247"/>
      <c r="GQ30" s="247"/>
      <c r="GR30" s="247"/>
      <c r="GS30" s="247"/>
      <c r="GT30" s="247"/>
      <c r="GU30" s="247"/>
      <c r="GV30" s="247"/>
      <c r="GW30" s="247"/>
      <c r="GX30" s="247"/>
      <c r="GY30" s="247"/>
      <c r="GZ30" s="247"/>
      <c r="HA30" s="247"/>
      <c r="HB30" s="247"/>
      <c r="HC30" s="247"/>
      <c r="HD30" s="247"/>
      <c r="HE30" s="247"/>
      <c r="HF30" s="247"/>
      <c r="HG30" s="247"/>
      <c r="HH30" s="247"/>
      <c r="HI30" s="247"/>
      <c r="HJ30" s="247"/>
      <c r="HK30" s="247"/>
      <c r="HL30" s="247"/>
      <c r="HM30" s="247"/>
      <c r="HN30" s="247"/>
      <c r="HO30" s="247"/>
    </row>
    <row r="31" spans="1:223" s="251" customFormat="1" ht="13.5" customHeight="1" thickBot="1" x14ac:dyDescent="0.25">
      <c r="A31" s="467"/>
      <c r="B31" s="468"/>
      <c r="C31" s="469"/>
      <c r="D31" s="469"/>
      <c r="E31" s="470"/>
      <c r="F31" s="471"/>
      <c r="G31" s="477"/>
      <c r="H31" s="478"/>
      <c r="I31" s="478"/>
      <c r="J31" s="560"/>
      <c r="K31" s="1170"/>
      <c r="L31" s="470"/>
      <c r="M31" s="470"/>
      <c r="N31" s="470"/>
      <c r="O31" s="470"/>
      <c r="P31" s="470"/>
      <c r="Q31" s="1170"/>
      <c r="R31" s="643"/>
      <c r="S31" s="632"/>
      <c r="T31" s="632"/>
      <c r="U31" s="632"/>
      <c r="V31" s="645"/>
      <c r="W31" s="1132"/>
      <c r="X31" s="453"/>
      <c r="Y31" s="454"/>
      <c r="Z31" s="444"/>
      <c r="AA31" s="455"/>
      <c r="AB31" s="456"/>
      <c r="AC31" s="45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7"/>
      <c r="DY31" s="247"/>
      <c r="DZ31" s="247"/>
      <c r="EA31" s="247"/>
      <c r="EB31" s="247"/>
      <c r="EC31" s="247"/>
      <c r="ED31" s="247"/>
      <c r="EE31" s="247"/>
      <c r="EF31" s="247"/>
      <c r="EG31" s="247"/>
      <c r="EH31" s="247"/>
      <c r="EI31" s="247"/>
      <c r="EJ31" s="247"/>
      <c r="EK31" s="247"/>
      <c r="EL31" s="247"/>
      <c r="EM31" s="247"/>
      <c r="EN31" s="247"/>
      <c r="EO31" s="247"/>
      <c r="EP31" s="247"/>
      <c r="EQ31" s="247"/>
      <c r="ER31" s="247"/>
      <c r="ES31" s="247"/>
      <c r="ET31" s="247"/>
      <c r="EU31" s="247"/>
      <c r="EV31" s="247"/>
      <c r="EW31" s="247"/>
      <c r="EX31" s="247"/>
      <c r="EY31" s="247"/>
      <c r="EZ31" s="247"/>
      <c r="FA31" s="247"/>
      <c r="FB31" s="247"/>
      <c r="FC31" s="247"/>
      <c r="FD31" s="247"/>
      <c r="FE31" s="247"/>
      <c r="FF31" s="247"/>
      <c r="FG31" s="247"/>
      <c r="FH31" s="247"/>
      <c r="FI31" s="247"/>
      <c r="FJ31" s="247"/>
      <c r="FK31" s="247"/>
      <c r="FL31" s="247"/>
      <c r="FM31" s="247"/>
      <c r="FN31" s="247"/>
      <c r="FO31" s="247"/>
      <c r="FP31" s="247"/>
      <c r="FQ31" s="247"/>
      <c r="FR31" s="247"/>
      <c r="FS31" s="247"/>
      <c r="FT31" s="247"/>
      <c r="FU31" s="247"/>
      <c r="FV31" s="247"/>
      <c r="FW31" s="247"/>
      <c r="FX31" s="247"/>
      <c r="FY31" s="247"/>
      <c r="FZ31" s="247"/>
      <c r="GA31" s="247"/>
      <c r="GB31" s="247"/>
      <c r="GC31" s="247"/>
      <c r="GD31" s="247"/>
      <c r="GE31" s="247"/>
      <c r="GF31" s="247"/>
      <c r="GG31" s="247"/>
      <c r="GH31" s="247"/>
      <c r="GI31" s="247"/>
      <c r="GJ31" s="247"/>
      <c r="GK31" s="247"/>
      <c r="GL31" s="247"/>
      <c r="GM31" s="247"/>
      <c r="GN31" s="247"/>
      <c r="GO31" s="247"/>
      <c r="GP31" s="247"/>
      <c r="GQ31" s="247"/>
      <c r="GR31" s="247"/>
      <c r="GS31" s="247"/>
      <c r="GT31" s="247"/>
      <c r="GU31" s="247"/>
      <c r="GV31" s="247"/>
      <c r="GW31" s="247"/>
      <c r="GX31" s="247"/>
      <c r="GY31" s="247"/>
      <c r="GZ31" s="247"/>
      <c r="HA31" s="247"/>
      <c r="HB31" s="247"/>
      <c r="HC31" s="247"/>
      <c r="HD31" s="247"/>
      <c r="HE31" s="247"/>
      <c r="HF31" s="247"/>
      <c r="HG31" s="247"/>
      <c r="HH31" s="247"/>
      <c r="HI31" s="247"/>
      <c r="HJ31" s="247"/>
      <c r="HK31" s="247"/>
      <c r="HL31" s="247"/>
      <c r="HM31" s="247"/>
      <c r="HN31" s="247"/>
      <c r="HO31" s="247"/>
    </row>
    <row r="32" spans="1:223" ht="19.5" customHeight="1" thickTop="1" thickBot="1" x14ac:dyDescent="0.3">
      <c r="A32" s="479"/>
      <c r="B32" s="1258" t="s">
        <v>109</v>
      </c>
      <c r="C32" s="1259"/>
      <c r="D32" s="480">
        <v>37188</v>
      </c>
      <c r="E32" s="481">
        <v>669</v>
      </c>
      <c r="F32" s="482">
        <f>SUM(D32:E32)</f>
        <v>37857</v>
      </c>
      <c r="G32" s="1260"/>
      <c r="H32" s="1261"/>
      <c r="I32" s="1261"/>
      <c r="J32" s="642"/>
      <c r="K32" s="483">
        <f>SUM(J32)</f>
        <v>0</v>
      </c>
      <c r="L32" s="1202" t="s">
        <v>852</v>
      </c>
      <c r="M32" s="1203"/>
      <c r="N32" s="1203"/>
      <c r="O32" s="1203"/>
      <c r="P32" s="484">
        <v>29550</v>
      </c>
      <c r="Q32" s="483">
        <f>SUM(P32)</f>
        <v>29550</v>
      </c>
      <c r="R32" s="1202" t="s">
        <v>853</v>
      </c>
      <c r="S32" s="1203"/>
      <c r="T32" s="1203"/>
      <c r="U32" s="1203"/>
      <c r="V32" s="486">
        <v>152</v>
      </c>
      <c r="W32" s="487">
        <v>152</v>
      </c>
      <c r="X32" s="488">
        <f>SUM(W32,Q32,K32)</f>
        <v>29702</v>
      </c>
      <c r="Y32" s="489">
        <v>0</v>
      </c>
      <c r="Z32" s="490">
        <f>SUM(X32:Y32)</f>
        <v>29702</v>
      </c>
      <c r="AA32" s="488">
        <f>X32-D32</f>
        <v>-7486</v>
      </c>
      <c r="AB32" s="489">
        <f>Y32-E32</f>
        <v>-669</v>
      </c>
      <c r="AC32" s="491">
        <f>SUM(AA32:AB32)</f>
        <v>-8155</v>
      </c>
    </row>
    <row r="33" spans="1:223" ht="24.75" customHeight="1" thickTop="1" x14ac:dyDescent="0.2">
      <c r="A33" s="492"/>
      <c r="B33" s="470"/>
      <c r="C33" s="493"/>
      <c r="D33" s="494"/>
      <c r="E33" s="494"/>
      <c r="F33" s="471"/>
      <c r="G33" s="633"/>
      <c r="H33" s="632"/>
      <c r="I33" s="632"/>
      <c r="J33" s="724"/>
      <c r="K33" s="1262">
        <f>SUM(J33:J35)</f>
        <v>1239</v>
      </c>
      <c r="L33" s="1134" t="s">
        <v>134</v>
      </c>
      <c r="M33" s="1135"/>
      <c r="N33" s="1135"/>
      <c r="O33" s="1135"/>
      <c r="P33" s="435">
        <v>19900</v>
      </c>
      <c r="Q33" s="1262">
        <f>SUM(P33:P35)</f>
        <v>43300</v>
      </c>
      <c r="R33" s="1119" t="s">
        <v>478</v>
      </c>
      <c r="S33" s="1120"/>
      <c r="T33" s="1120"/>
      <c r="U33" s="1120"/>
      <c r="V33" s="473">
        <v>226</v>
      </c>
      <c r="W33" s="1204">
        <f>SUM(V33:V35)</f>
        <v>226</v>
      </c>
      <c r="X33" s="496"/>
      <c r="Y33" s="497"/>
      <c r="Z33" s="651"/>
      <c r="AA33" s="496"/>
      <c r="AB33" s="497"/>
      <c r="AC33" s="498"/>
    </row>
    <row r="34" spans="1:223" ht="24.75" customHeight="1" x14ac:dyDescent="0.2">
      <c r="A34" s="492"/>
      <c r="B34" s="470"/>
      <c r="C34" s="493"/>
      <c r="D34" s="494"/>
      <c r="E34" s="470"/>
      <c r="F34" s="471"/>
      <c r="G34" s="1146" t="s">
        <v>1100</v>
      </c>
      <c r="H34" s="1120"/>
      <c r="I34" s="1120"/>
      <c r="J34" s="435">
        <v>1239</v>
      </c>
      <c r="K34" s="1170"/>
      <c r="L34" s="1134" t="s">
        <v>479</v>
      </c>
      <c r="M34" s="1135"/>
      <c r="N34" s="1135"/>
      <c r="O34" s="1135"/>
      <c r="P34" s="435">
        <f>8363+3092</f>
        <v>11455</v>
      </c>
      <c r="Q34" s="1170"/>
      <c r="R34" s="782"/>
      <c r="S34" s="768"/>
      <c r="T34" s="768"/>
      <c r="U34" s="768"/>
      <c r="V34" s="473"/>
      <c r="W34" s="1205"/>
      <c r="X34" s="783"/>
      <c r="Y34" s="494"/>
      <c r="Z34" s="470"/>
      <c r="AA34" s="477"/>
      <c r="AB34" s="494"/>
      <c r="AC34" s="471"/>
    </row>
    <row r="35" spans="1:223" ht="25.5" customHeight="1" thickBot="1" x14ac:dyDescent="0.25">
      <c r="A35" s="492"/>
      <c r="B35" s="470"/>
      <c r="C35" s="493"/>
      <c r="D35" s="494"/>
      <c r="E35" s="470"/>
      <c r="F35" s="471"/>
      <c r="G35" s="461"/>
      <c r="H35" s="434"/>
      <c r="I35" s="434"/>
      <c r="J35" s="495"/>
      <c r="K35" s="1173"/>
      <c r="L35" s="1119" t="s">
        <v>915</v>
      </c>
      <c r="M35" s="1120"/>
      <c r="N35" s="1120"/>
      <c r="O35" s="1120"/>
      <c r="P35" s="435">
        <f>1945+10000</f>
        <v>11945</v>
      </c>
      <c r="Q35" s="1173"/>
      <c r="R35" s="1207"/>
      <c r="S35" s="1208"/>
      <c r="T35" s="1208"/>
      <c r="U35" s="1208"/>
      <c r="V35" s="644"/>
      <c r="W35" s="1206"/>
      <c r="X35" s="499">
        <f>SUM(W33,Q33,K33)</f>
        <v>44765</v>
      </c>
      <c r="Y35" s="464">
        <f>SUM(Q36,W36,K36)</f>
        <v>490639</v>
      </c>
      <c r="Z35" s="465">
        <f>SUM(X35:Y35)</f>
        <v>535404</v>
      </c>
      <c r="AA35" s="463">
        <f>X35-D36</f>
        <v>-51670</v>
      </c>
      <c r="AB35" s="464">
        <f>Y35-E36</f>
        <v>-197374</v>
      </c>
      <c r="AC35" s="466">
        <f>SUM(AA35:AB35)</f>
        <v>-249044</v>
      </c>
    </row>
    <row r="36" spans="1:223" ht="27" customHeight="1" x14ac:dyDescent="0.2">
      <c r="A36" s="1254" t="s">
        <v>769</v>
      </c>
      <c r="B36" s="1255"/>
      <c r="C36" s="1256"/>
      <c r="D36" s="502">
        <v>96435</v>
      </c>
      <c r="E36" s="451">
        <v>688013</v>
      </c>
      <c r="F36" s="452">
        <f>SUM(D36:E36)</f>
        <v>784448</v>
      </c>
      <c r="G36" s="635"/>
      <c r="H36" s="636"/>
      <c r="I36" s="636"/>
      <c r="J36" s="637"/>
      <c r="K36" s="1169">
        <f>SUM(J36:J40)</f>
        <v>0</v>
      </c>
      <c r="L36" s="1198" t="s">
        <v>135</v>
      </c>
      <c r="M36" s="1199"/>
      <c r="N36" s="1199"/>
      <c r="O36" s="1199"/>
      <c r="P36" s="476">
        <v>2000</v>
      </c>
      <c r="Q36" s="1169">
        <f>SUM(P36:P40)</f>
        <v>488663</v>
      </c>
      <c r="R36" s="1134" t="s">
        <v>108</v>
      </c>
      <c r="S36" s="1135"/>
      <c r="T36" s="1135"/>
      <c r="U36" s="1135"/>
      <c r="V36" s="473">
        <f>65000-65000</f>
        <v>0</v>
      </c>
      <c r="W36" s="1169">
        <f>SUM(V36:V40)</f>
        <v>1976</v>
      </c>
      <c r="X36" s="503"/>
      <c r="Y36" s="500"/>
      <c r="Z36" s="465"/>
      <c r="AA36" s="463"/>
      <c r="AB36" s="464"/>
      <c r="AC36" s="457"/>
    </row>
    <row r="37" spans="1:223" ht="27" customHeight="1" x14ac:dyDescent="0.2">
      <c r="A37" s="628"/>
      <c r="B37" s="448"/>
      <c r="C37" s="449"/>
      <c r="D37" s="502"/>
      <c r="E37" s="451"/>
      <c r="F37" s="452"/>
      <c r="G37" s="633"/>
      <c r="H37" s="632"/>
      <c r="I37" s="632"/>
      <c r="J37" s="641"/>
      <c r="K37" s="1170"/>
      <c r="L37" s="1119" t="s">
        <v>143</v>
      </c>
      <c r="M37" s="1120"/>
      <c r="N37" s="1120"/>
      <c r="O37" s="1120"/>
      <c r="P37" s="473">
        <v>11195</v>
      </c>
      <c r="Q37" s="1170"/>
      <c r="R37" s="1119" t="s">
        <v>454</v>
      </c>
      <c r="S37" s="1120"/>
      <c r="T37" s="1120"/>
      <c r="U37" s="1120"/>
      <c r="V37" s="472">
        <v>1976</v>
      </c>
      <c r="W37" s="1170"/>
      <c r="X37" s="503"/>
      <c r="Y37" s="500"/>
      <c r="Z37" s="465"/>
      <c r="AA37" s="463"/>
      <c r="AB37" s="464"/>
      <c r="AC37" s="457"/>
    </row>
    <row r="38" spans="1:223" ht="27" customHeight="1" x14ac:dyDescent="0.2">
      <c r="A38" s="628"/>
      <c r="B38" s="448"/>
      <c r="C38" s="449"/>
      <c r="D38" s="502"/>
      <c r="E38" s="451"/>
      <c r="F38" s="452"/>
      <c r="G38" s="633"/>
      <c r="H38" s="632"/>
      <c r="I38" s="632"/>
      <c r="J38" s="641"/>
      <c r="K38" s="1170"/>
      <c r="L38" s="1119" t="s">
        <v>131</v>
      </c>
      <c r="M38" s="1120"/>
      <c r="N38" s="1120"/>
      <c r="O38" s="1120"/>
      <c r="P38" s="495">
        <v>373150</v>
      </c>
      <c r="Q38" s="1170"/>
      <c r="R38" s="768"/>
      <c r="S38" s="768"/>
      <c r="T38" s="768"/>
      <c r="U38" s="768"/>
      <c r="V38" s="472"/>
      <c r="W38" s="1170"/>
      <c r="X38" s="503"/>
      <c r="Y38" s="500"/>
      <c r="Z38" s="465"/>
      <c r="AA38" s="463"/>
      <c r="AB38" s="464"/>
      <c r="AC38" s="457"/>
    </row>
    <row r="39" spans="1:223" ht="27" customHeight="1" x14ac:dyDescent="0.2">
      <c r="A39" s="628"/>
      <c r="B39" s="448"/>
      <c r="C39" s="449"/>
      <c r="D39" s="502"/>
      <c r="E39" s="451"/>
      <c r="F39" s="452"/>
      <c r="G39" s="633"/>
      <c r="H39" s="632"/>
      <c r="I39" s="632"/>
      <c r="J39" s="641"/>
      <c r="K39" s="1170"/>
      <c r="L39" s="1119" t="s">
        <v>1102</v>
      </c>
      <c r="M39" s="1120"/>
      <c r="N39" s="1120"/>
      <c r="O39" s="1120"/>
      <c r="P39" s="495">
        <v>65000</v>
      </c>
      <c r="Q39" s="1170"/>
      <c r="R39" s="768"/>
      <c r="S39" s="768"/>
      <c r="T39" s="768"/>
      <c r="U39" s="768"/>
      <c r="V39" s="472"/>
      <c r="W39" s="1170"/>
      <c r="X39" s="503"/>
      <c r="Y39" s="500"/>
      <c r="Z39" s="465"/>
      <c r="AA39" s="463"/>
      <c r="AB39" s="464"/>
      <c r="AC39" s="457"/>
    </row>
    <row r="40" spans="1:223" ht="16.5" customHeight="1" thickBot="1" x14ac:dyDescent="0.25">
      <c r="A40" s="504"/>
      <c r="B40" s="505"/>
      <c r="C40" s="506"/>
      <c r="D40" s="507"/>
      <c r="E40" s="508"/>
      <c r="F40" s="509"/>
      <c r="G40" s="691"/>
      <c r="H40" s="690"/>
      <c r="I40" s="690"/>
      <c r="J40" s="644"/>
      <c r="K40" s="1209"/>
      <c r="L40" s="1252" t="s">
        <v>480</v>
      </c>
      <c r="M40" s="1253"/>
      <c r="N40" s="1253"/>
      <c r="O40" s="1253"/>
      <c r="P40" s="501">
        <f>17299+20019</f>
        <v>37318</v>
      </c>
      <c r="Q40" s="1209"/>
      <c r="R40" s="470"/>
      <c r="S40" s="470"/>
      <c r="T40" s="470"/>
      <c r="U40" s="470"/>
      <c r="V40" s="470"/>
      <c r="W40" s="1209"/>
      <c r="X40" s="503"/>
      <c r="Y40" s="500"/>
      <c r="Z40" s="444"/>
      <c r="AA40" s="455"/>
      <c r="AB40" s="456"/>
      <c r="AC40" s="510"/>
    </row>
    <row r="41" spans="1:223" ht="25.5" customHeight="1" thickBot="1" x14ac:dyDescent="0.3">
      <c r="A41" s="1189" t="s">
        <v>110</v>
      </c>
      <c r="B41" s="1190"/>
      <c r="C41" s="1191"/>
      <c r="D41" s="511">
        <f>SUM(D8:D40)</f>
        <v>949480</v>
      </c>
      <c r="E41" s="512">
        <f>SUM(E7:E40)</f>
        <v>4353780</v>
      </c>
      <c r="F41" s="513">
        <f>SUM(F7:F40)</f>
        <v>5303260</v>
      </c>
      <c r="G41" s="514"/>
      <c r="H41" s="1153" t="s">
        <v>111</v>
      </c>
      <c r="I41" s="1154"/>
      <c r="J41" s="1155"/>
      <c r="K41" s="516">
        <f>SUM(K7:K40)</f>
        <v>381037</v>
      </c>
      <c r="L41" s="515"/>
      <c r="M41" s="1195" t="s">
        <v>112</v>
      </c>
      <c r="N41" s="1195"/>
      <c r="O41" s="1195"/>
      <c r="P41" s="1196"/>
      <c r="Q41" s="516">
        <f>SUM(Q7:Q40)</f>
        <v>3757068</v>
      </c>
      <c r="R41" s="517"/>
      <c r="S41" s="1156" t="s">
        <v>113</v>
      </c>
      <c r="T41" s="1156"/>
      <c r="U41" s="1156"/>
      <c r="V41" s="1157"/>
      <c r="W41" s="518">
        <f>SUM(W7:W40)</f>
        <v>1211303</v>
      </c>
      <c r="X41" s="519">
        <f>SUM(X7:X40)</f>
        <v>1008166</v>
      </c>
      <c r="Y41" s="520">
        <f>SUM(Y7:Y40)</f>
        <v>4341242</v>
      </c>
      <c r="Z41" s="521">
        <f>SUM(X41:Y41)</f>
        <v>5349408</v>
      </c>
      <c r="AA41" s="522">
        <f>SUM(AA10:AA40)</f>
        <v>58686</v>
      </c>
      <c r="AB41" s="523">
        <f>SUM(AB9:AB40)</f>
        <v>-12538</v>
      </c>
      <c r="AC41" s="650">
        <f>SUM(AA41:AB41)</f>
        <v>46148</v>
      </c>
    </row>
    <row r="42" spans="1:223" ht="27.75" customHeight="1" thickTop="1" thickBot="1" x14ac:dyDescent="0.25">
      <c r="A42" s="1232" t="s">
        <v>114</v>
      </c>
      <c r="B42" s="1217"/>
      <c r="C42" s="1263"/>
      <c r="D42" s="1241" t="s">
        <v>603</v>
      </c>
      <c r="E42" s="1242"/>
      <c r="F42" s="1243"/>
      <c r="G42" s="1244" t="s">
        <v>832</v>
      </c>
      <c r="H42" s="1217"/>
      <c r="I42" s="1217"/>
      <c r="J42" s="1217"/>
      <c r="K42" s="1266"/>
      <c r="L42" s="1216" t="s">
        <v>833</v>
      </c>
      <c r="M42" s="1217"/>
      <c r="N42" s="1217"/>
      <c r="O42" s="1217"/>
      <c r="P42" s="1217"/>
      <c r="Q42" s="1266"/>
      <c r="R42" s="1216" t="s">
        <v>834</v>
      </c>
      <c r="S42" s="1217"/>
      <c r="T42" s="1217"/>
      <c r="U42" s="1217"/>
      <c r="V42" s="1217"/>
      <c r="W42" s="1218"/>
      <c r="X42" s="1222" t="s">
        <v>835</v>
      </c>
      <c r="Y42" s="1223"/>
      <c r="Z42" s="1224"/>
      <c r="AA42" s="1213" t="s">
        <v>102</v>
      </c>
      <c r="AB42" s="1214"/>
      <c r="AC42" s="1215"/>
    </row>
    <row r="43" spans="1:223" s="252" customFormat="1" ht="18.75" customHeight="1" thickTop="1" thickBot="1" x14ac:dyDescent="0.25">
      <c r="A43" s="1264"/>
      <c r="B43" s="1220"/>
      <c r="C43" s="1265"/>
      <c r="D43" s="417" t="s">
        <v>103</v>
      </c>
      <c r="E43" s="418" t="s">
        <v>86</v>
      </c>
      <c r="F43" s="419" t="s">
        <v>104</v>
      </c>
      <c r="G43" s="1264"/>
      <c r="H43" s="1220"/>
      <c r="I43" s="1220"/>
      <c r="J43" s="1267"/>
      <c r="K43" s="1268"/>
      <c r="L43" s="1219"/>
      <c r="M43" s="1220"/>
      <c r="N43" s="1220"/>
      <c r="O43" s="1220"/>
      <c r="P43" s="1220"/>
      <c r="Q43" s="1268"/>
      <c r="R43" s="1219"/>
      <c r="S43" s="1220"/>
      <c r="T43" s="1220"/>
      <c r="U43" s="1220"/>
      <c r="V43" s="1220"/>
      <c r="W43" s="1221"/>
      <c r="X43" s="524" t="s">
        <v>103</v>
      </c>
      <c r="Y43" s="525" t="s">
        <v>86</v>
      </c>
      <c r="Z43" s="526" t="s">
        <v>104</v>
      </c>
      <c r="AA43" s="527" t="s">
        <v>103</v>
      </c>
      <c r="AB43" s="424" t="s">
        <v>86</v>
      </c>
      <c r="AC43" s="425" t="s">
        <v>104</v>
      </c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7"/>
      <c r="BX43" s="247"/>
      <c r="BY43" s="247"/>
      <c r="BZ43" s="247"/>
      <c r="CA43" s="247"/>
      <c r="CB43" s="247"/>
      <c r="CC43" s="247"/>
      <c r="CD43" s="247"/>
      <c r="CE43" s="247"/>
      <c r="CF43" s="247"/>
      <c r="CG43" s="247"/>
      <c r="CH43" s="247"/>
      <c r="CI43" s="247"/>
      <c r="CJ43" s="247"/>
      <c r="CK43" s="247"/>
      <c r="CL43" s="247"/>
      <c r="CM43" s="247"/>
      <c r="CN43" s="247"/>
      <c r="CO43" s="247"/>
      <c r="CP43" s="247"/>
      <c r="CQ43" s="247"/>
      <c r="CR43" s="247"/>
      <c r="CS43" s="247"/>
      <c r="CT43" s="247"/>
      <c r="CU43" s="247"/>
      <c r="CV43" s="247"/>
      <c r="CW43" s="247"/>
      <c r="CX43" s="247"/>
      <c r="CY43" s="247"/>
      <c r="CZ43" s="247"/>
      <c r="DA43" s="247"/>
      <c r="DB43" s="247"/>
      <c r="DC43" s="247"/>
      <c r="DD43" s="247"/>
      <c r="DE43" s="247"/>
      <c r="DF43" s="247"/>
      <c r="DG43" s="247"/>
      <c r="DH43" s="247"/>
      <c r="DI43" s="247"/>
      <c r="DJ43" s="247"/>
      <c r="DK43" s="247"/>
      <c r="DL43" s="247"/>
      <c r="DM43" s="247"/>
      <c r="DN43" s="247"/>
      <c r="DO43" s="247"/>
      <c r="DP43" s="247"/>
      <c r="DQ43" s="247"/>
      <c r="DR43" s="247"/>
      <c r="DS43" s="247"/>
      <c r="DT43" s="247"/>
      <c r="DU43" s="247"/>
      <c r="DV43" s="247"/>
      <c r="DW43" s="247"/>
      <c r="DX43" s="247"/>
      <c r="DY43" s="247"/>
      <c r="DZ43" s="247"/>
      <c r="EA43" s="247"/>
      <c r="EB43" s="247"/>
      <c r="EC43" s="247"/>
      <c r="ED43" s="247"/>
      <c r="EE43" s="247"/>
      <c r="EF43" s="247"/>
      <c r="EG43" s="247"/>
      <c r="EH43" s="247"/>
      <c r="EI43" s="247"/>
      <c r="EJ43" s="247"/>
      <c r="EK43" s="247"/>
      <c r="EL43" s="247"/>
      <c r="EM43" s="247"/>
      <c r="EN43" s="247"/>
      <c r="EO43" s="247"/>
      <c r="EP43" s="247"/>
      <c r="EQ43" s="247"/>
      <c r="ER43" s="247"/>
      <c r="ES43" s="247"/>
      <c r="ET43" s="247"/>
      <c r="EU43" s="247"/>
      <c r="EV43" s="247"/>
      <c r="EW43" s="247"/>
      <c r="EX43" s="247"/>
      <c r="EY43" s="247"/>
      <c r="EZ43" s="247"/>
      <c r="FA43" s="247"/>
      <c r="FB43" s="247"/>
      <c r="FC43" s="247"/>
      <c r="FD43" s="247"/>
      <c r="FE43" s="247"/>
      <c r="FF43" s="247"/>
      <c r="FG43" s="247"/>
      <c r="FH43" s="247"/>
      <c r="FI43" s="247"/>
      <c r="FJ43" s="247"/>
      <c r="FK43" s="247"/>
      <c r="FL43" s="247"/>
      <c r="FM43" s="247"/>
      <c r="FN43" s="247"/>
      <c r="FO43" s="247"/>
      <c r="FP43" s="247"/>
      <c r="FQ43" s="247"/>
      <c r="FR43" s="247"/>
      <c r="FS43" s="247"/>
      <c r="FT43" s="247"/>
      <c r="FU43" s="247"/>
      <c r="FV43" s="247"/>
      <c r="FW43" s="247"/>
      <c r="FX43" s="247"/>
      <c r="FY43" s="247"/>
      <c r="FZ43" s="247"/>
      <c r="GA43" s="247"/>
      <c r="GB43" s="247"/>
      <c r="GC43" s="247"/>
      <c r="GD43" s="247"/>
      <c r="GE43" s="247"/>
      <c r="GF43" s="247"/>
      <c r="GG43" s="247"/>
      <c r="GH43" s="247"/>
      <c r="GI43" s="247"/>
      <c r="GJ43" s="247"/>
      <c r="GK43" s="247"/>
      <c r="GL43" s="247"/>
      <c r="GM43" s="247"/>
      <c r="GN43" s="247"/>
      <c r="GO43" s="247"/>
      <c r="GP43" s="247"/>
      <c r="GQ43" s="247"/>
      <c r="GR43" s="247"/>
      <c r="GS43" s="247"/>
      <c r="GT43" s="247"/>
      <c r="GU43" s="247"/>
      <c r="GV43" s="247"/>
      <c r="GW43" s="247"/>
      <c r="GX43" s="247"/>
      <c r="GY43" s="247"/>
      <c r="GZ43" s="247"/>
      <c r="HA43" s="247"/>
      <c r="HB43" s="247"/>
      <c r="HC43" s="247"/>
      <c r="HD43" s="247"/>
      <c r="HE43" s="247"/>
      <c r="HF43" s="247"/>
      <c r="HG43" s="247"/>
      <c r="HH43" s="247"/>
      <c r="HI43" s="247"/>
      <c r="HJ43" s="247"/>
      <c r="HK43" s="247"/>
      <c r="HL43" s="247"/>
      <c r="HM43" s="247"/>
      <c r="HN43" s="247"/>
      <c r="HO43" s="247"/>
    </row>
    <row r="44" spans="1:223" ht="12.75" customHeight="1" x14ac:dyDescent="0.2">
      <c r="A44" s="426"/>
      <c r="B44" s="470"/>
      <c r="C44" s="470"/>
      <c r="D44" s="494"/>
      <c r="E44" s="470"/>
      <c r="F44" s="430"/>
      <c r="G44" s="1257" t="s">
        <v>735</v>
      </c>
      <c r="H44" s="1199"/>
      <c r="I44" s="1199"/>
      <c r="J44" s="431">
        <v>123797</v>
      </c>
      <c r="K44" s="1269">
        <f>SUM(J44:J54)</f>
        <v>264712</v>
      </c>
      <c r="L44" s="1270" t="s">
        <v>142</v>
      </c>
      <c r="M44" s="1211"/>
      <c r="N44" s="1211"/>
      <c r="O44" s="1211"/>
      <c r="P44" s="1168">
        <f>12000-545</f>
        <v>11455</v>
      </c>
      <c r="Q44" s="1169">
        <f>SUM(P44:P54)</f>
        <v>15812</v>
      </c>
      <c r="R44" s="1119" t="s">
        <v>855</v>
      </c>
      <c r="S44" s="1120"/>
      <c r="T44" s="1120"/>
      <c r="U44" s="1120"/>
      <c r="V44" s="435">
        <v>250</v>
      </c>
      <c r="W44" s="1131">
        <f>SUM(V44:V54)</f>
        <v>14551</v>
      </c>
      <c r="X44" s="528"/>
      <c r="Y44" s="529"/>
      <c r="Z44" s="530"/>
      <c r="AA44" s="426"/>
      <c r="AB44" s="445"/>
      <c r="AC44" s="446"/>
    </row>
    <row r="45" spans="1:223" ht="12.75" customHeight="1" x14ac:dyDescent="0.2">
      <c r="A45" s="477"/>
      <c r="B45" s="468"/>
      <c r="C45" s="468"/>
      <c r="D45" s="531"/>
      <c r="E45" s="470"/>
      <c r="F45" s="471"/>
      <c r="G45" s="1212" t="s">
        <v>854</v>
      </c>
      <c r="H45" s="1135"/>
      <c r="I45" s="1135"/>
      <c r="J45" s="442">
        <f>90180-6600</f>
        <v>83580</v>
      </c>
      <c r="K45" s="1170"/>
      <c r="L45" s="1119"/>
      <c r="M45" s="1120"/>
      <c r="N45" s="1120"/>
      <c r="O45" s="1120"/>
      <c r="P45" s="1136"/>
      <c r="Q45" s="1170"/>
      <c r="R45" s="1134" t="s">
        <v>856</v>
      </c>
      <c r="S45" s="1135"/>
      <c r="T45" s="1135"/>
      <c r="U45" s="1135"/>
      <c r="V45" s="435">
        <v>125</v>
      </c>
      <c r="W45" s="1132"/>
      <c r="X45" s="532"/>
      <c r="Y45" s="454"/>
      <c r="Z45" s="444"/>
      <c r="AA45" s="455"/>
      <c r="AB45" s="456"/>
      <c r="AC45" s="457"/>
    </row>
    <row r="46" spans="1:223" ht="12.75" customHeight="1" x14ac:dyDescent="0.2">
      <c r="A46" s="477"/>
      <c r="B46" s="1255" t="s">
        <v>768</v>
      </c>
      <c r="C46" s="1256"/>
      <c r="D46" s="502">
        <v>314055</v>
      </c>
      <c r="E46" s="451">
        <v>254</v>
      </c>
      <c r="F46" s="452">
        <f>SUM(D46:E46)</f>
        <v>314309</v>
      </c>
      <c r="G46" s="434" t="s">
        <v>857</v>
      </c>
      <c r="H46" s="434"/>
      <c r="I46" s="434"/>
      <c r="J46" s="442">
        <v>28755</v>
      </c>
      <c r="K46" s="1170"/>
      <c r="L46" s="1119" t="s">
        <v>136</v>
      </c>
      <c r="M46" s="1120"/>
      <c r="N46" s="1120"/>
      <c r="O46" s="1120"/>
      <c r="P46" s="1136">
        <v>295</v>
      </c>
      <c r="Q46" s="1170"/>
      <c r="R46" s="1134" t="s">
        <v>858</v>
      </c>
      <c r="S46" s="1135"/>
      <c r="T46" s="1135"/>
      <c r="U46" s="1135"/>
      <c r="V46" s="647">
        <v>250</v>
      </c>
      <c r="W46" s="1132"/>
      <c r="X46" s="532">
        <f>SUM(W44,Q44,K44)</f>
        <v>295075</v>
      </c>
      <c r="Y46" s="454">
        <v>0</v>
      </c>
      <c r="Z46" s="465">
        <f>SUM(Y46,X46)</f>
        <v>295075</v>
      </c>
      <c r="AA46" s="463">
        <f>X46-D46</f>
        <v>-18980</v>
      </c>
      <c r="AB46" s="464">
        <f>Y46-E46</f>
        <v>-254</v>
      </c>
      <c r="AC46" s="457">
        <f>SUM(AA46:AB46)</f>
        <v>-19234</v>
      </c>
    </row>
    <row r="47" spans="1:223" ht="20.25" customHeight="1" x14ac:dyDescent="0.2">
      <c r="A47" s="477"/>
      <c r="B47" s="468"/>
      <c r="C47" s="468"/>
      <c r="D47" s="533"/>
      <c r="E47" s="534"/>
      <c r="F47" s="535"/>
      <c r="G47" s="434" t="s">
        <v>860</v>
      </c>
      <c r="H47" s="434"/>
      <c r="I47" s="434"/>
      <c r="J47" s="442">
        <v>2000</v>
      </c>
      <c r="K47" s="1170"/>
      <c r="L47" s="1119"/>
      <c r="M47" s="1120"/>
      <c r="N47" s="1120"/>
      <c r="O47" s="1120"/>
      <c r="P47" s="1136"/>
      <c r="Q47" s="1170"/>
      <c r="R47" s="1134" t="s">
        <v>859</v>
      </c>
      <c r="S47" s="1135"/>
      <c r="T47" s="1135"/>
      <c r="U47" s="1135"/>
      <c r="V47" s="435">
        <f>5505+45+2126+574</f>
        <v>8250</v>
      </c>
      <c r="W47" s="1132"/>
      <c r="X47" s="532"/>
      <c r="Y47" s="454"/>
      <c r="Z47" s="444"/>
      <c r="AA47" s="455"/>
      <c r="AB47" s="456"/>
      <c r="AC47" s="457"/>
    </row>
    <row r="48" spans="1:223" ht="14.25" customHeight="1" x14ac:dyDescent="0.2">
      <c r="A48" s="477"/>
      <c r="B48" s="468"/>
      <c r="C48" s="468"/>
      <c r="D48" s="533"/>
      <c r="E48" s="534"/>
      <c r="F48" s="535"/>
      <c r="G48" s="1135" t="s">
        <v>756</v>
      </c>
      <c r="H48" s="1135"/>
      <c r="I48" s="1135"/>
      <c r="J48" s="442">
        <v>24375</v>
      </c>
      <c r="K48" s="1170"/>
      <c r="L48" s="1119" t="s">
        <v>927</v>
      </c>
      <c r="M48" s="1120"/>
      <c r="N48" s="1120"/>
      <c r="O48" s="1120"/>
      <c r="P48" s="1136">
        <v>1241</v>
      </c>
      <c r="Q48" s="1170"/>
      <c r="R48" s="1134" t="s">
        <v>144</v>
      </c>
      <c r="S48" s="1135"/>
      <c r="T48" s="1135"/>
      <c r="U48" s="1135"/>
      <c r="V48" s="435">
        <v>1542</v>
      </c>
      <c r="W48" s="1132"/>
      <c r="X48" s="532"/>
      <c r="Y48" s="454"/>
      <c r="Z48" s="444"/>
      <c r="AA48" s="455"/>
      <c r="AB48" s="456"/>
      <c r="AC48" s="457"/>
    </row>
    <row r="49" spans="1:223" ht="12.75" customHeight="1" x14ac:dyDescent="0.2">
      <c r="A49" s="477"/>
      <c r="B49" s="468"/>
      <c r="C49" s="468"/>
      <c r="D49" s="533"/>
      <c r="E49" s="534"/>
      <c r="F49" s="535"/>
      <c r="G49" s="1146" t="s">
        <v>919</v>
      </c>
      <c r="H49" s="1120"/>
      <c r="I49" s="1120"/>
      <c r="J49" s="435">
        <v>184</v>
      </c>
      <c r="K49" s="1170"/>
      <c r="L49" s="1119"/>
      <c r="M49" s="1120" t="s">
        <v>106</v>
      </c>
      <c r="N49" s="1120"/>
      <c r="O49" s="1120"/>
      <c r="P49" s="1136"/>
      <c r="Q49" s="1170"/>
      <c r="R49" s="1134" t="s">
        <v>861</v>
      </c>
      <c r="S49" s="1135"/>
      <c r="T49" s="1135"/>
      <c r="U49" s="1135"/>
      <c r="V49" s="472">
        <v>150</v>
      </c>
      <c r="W49" s="1132"/>
      <c r="X49" s="532"/>
      <c r="Y49" s="454"/>
      <c r="Z49" s="444"/>
      <c r="AA49" s="455"/>
      <c r="AB49" s="456"/>
      <c r="AC49" s="457"/>
    </row>
    <row r="50" spans="1:223" ht="12.75" customHeight="1" x14ac:dyDescent="0.2">
      <c r="A50" s="477"/>
      <c r="B50" s="468"/>
      <c r="C50" s="468"/>
      <c r="D50" s="533"/>
      <c r="E50" s="534"/>
      <c r="F50" s="535"/>
      <c r="G50" s="1146" t="s">
        <v>920</v>
      </c>
      <c r="H50" s="1120"/>
      <c r="I50" s="1120"/>
      <c r="J50" s="435">
        <v>2021</v>
      </c>
      <c r="K50" s="1170"/>
      <c r="L50" s="1119" t="s">
        <v>928</v>
      </c>
      <c r="M50" s="1120"/>
      <c r="N50" s="1120"/>
      <c r="O50" s="1120"/>
      <c r="P50" s="1136">
        <f>1241+1</f>
        <v>1242</v>
      </c>
      <c r="Q50" s="1170"/>
      <c r="R50" s="1134" t="s">
        <v>929</v>
      </c>
      <c r="S50" s="1135"/>
      <c r="T50" s="1135"/>
      <c r="U50" s="1135"/>
      <c r="V50" s="427">
        <v>254</v>
      </c>
      <c r="W50" s="1132"/>
      <c r="X50" s="435"/>
      <c r="Y50" s="456"/>
      <c r="Z50" s="444"/>
      <c r="AA50" s="455"/>
      <c r="AB50" s="456"/>
      <c r="AC50" s="457"/>
    </row>
    <row r="51" spans="1:223" ht="13.5" customHeight="1" x14ac:dyDescent="0.2">
      <c r="A51" s="477"/>
      <c r="B51" s="468"/>
      <c r="C51" s="468"/>
      <c r="D51" s="533"/>
      <c r="E51" s="534"/>
      <c r="F51" s="535"/>
      <c r="K51" s="1170"/>
      <c r="L51" s="1119"/>
      <c r="M51" s="1120" t="s">
        <v>106</v>
      </c>
      <c r="N51" s="1120"/>
      <c r="O51" s="1120"/>
      <c r="P51" s="1136"/>
      <c r="Q51" s="1170"/>
      <c r="R51" s="1134" t="s">
        <v>930</v>
      </c>
      <c r="S51" s="1135"/>
      <c r="T51" s="1135"/>
      <c r="U51" s="1135"/>
      <c r="V51" s="427">
        <v>3610</v>
      </c>
      <c r="W51" s="1132"/>
      <c r="X51" s="455"/>
      <c r="Y51" s="456"/>
      <c r="Z51" s="444"/>
      <c r="AA51" s="455"/>
      <c r="AB51" s="456"/>
      <c r="AC51" s="457"/>
    </row>
    <row r="52" spans="1:223" ht="26.25" customHeight="1" x14ac:dyDescent="0.2">
      <c r="A52" s="477"/>
      <c r="B52" s="468"/>
      <c r="C52" s="468"/>
      <c r="D52" s="533"/>
      <c r="E52" s="534"/>
      <c r="F52" s="535"/>
      <c r="K52" s="1170"/>
      <c r="L52" s="1119" t="s">
        <v>1118</v>
      </c>
      <c r="M52" s="1120"/>
      <c r="N52" s="1120"/>
      <c r="O52" s="1120"/>
      <c r="P52" s="435">
        <v>1398</v>
      </c>
      <c r="Q52" s="1170"/>
      <c r="R52" s="1134" t="s">
        <v>931</v>
      </c>
      <c r="S52" s="1135"/>
      <c r="T52" s="1135"/>
      <c r="U52" s="1135"/>
      <c r="V52" s="427">
        <v>120</v>
      </c>
      <c r="W52" s="1132"/>
      <c r="X52" s="455"/>
      <c r="Y52" s="456"/>
      <c r="Z52" s="444"/>
      <c r="AA52" s="455"/>
      <c r="AB52" s="456"/>
      <c r="AC52" s="457"/>
    </row>
    <row r="53" spans="1:223" ht="24.75" customHeight="1" x14ac:dyDescent="0.2">
      <c r="A53" s="477"/>
      <c r="B53" s="468"/>
      <c r="C53" s="468"/>
      <c r="D53" s="533"/>
      <c r="E53" s="534"/>
      <c r="F53" s="535"/>
      <c r="J53" s="631"/>
      <c r="K53" s="1170"/>
      <c r="L53" s="1119" t="s">
        <v>1119</v>
      </c>
      <c r="M53" s="1120"/>
      <c r="N53" s="1120"/>
      <c r="O53" s="1120"/>
      <c r="P53" s="435">
        <v>181</v>
      </c>
      <c r="Q53" s="1170"/>
      <c r="R53" s="434"/>
      <c r="S53" s="434"/>
      <c r="T53" s="434"/>
      <c r="U53" s="434"/>
      <c r="V53" s="427"/>
      <c r="W53" s="1132"/>
      <c r="X53" s="435"/>
      <c r="Y53" s="456"/>
      <c r="Z53" s="444"/>
      <c r="AA53" s="455"/>
      <c r="AB53" s="456"/>
      <c r="AC53" s="457"/>
    </row>
    <row r="54" spans="1:223" ht="16.5" thickBot="1" x14ac:dyDescent="0.25">
      <c r="A54" s="477"/>
      <c r="B54" s="468"/>
      <c r="C54" s="468"/>
      <c r="D54" s="533"/>
      <c r="E54" s="534"/>
      <c r="F54" s="536"/>
      <c r="G54" s="633"/>
      <c r="H54" s="632"/>
      <c r="I54" s="632"/>
      <c r="J54" s="631"/>
      <c r="K54" s="1173"/>
      <c r="L54" s="433"/>
      <c r="M54" s="434"/>
      <c r="N54" s="434"/>
      <c r="O54" s="434"/>
      <c r="P54" s="435"/>
      <c r="Q54" s="1173"/>
      <c r="R54" s="468"/>
      <c r="S54" s="243"/>
      <c r="T54" s="470"/>
      <c r="U54" s="470"/>
      <c r="V54" s="470"/>
      <c r="W54" s="1133"/>
      <c r="X54" s="537"/>
      <c r="Y54" s="538"/>
      <c r="Z54" s="539"/>
      <c r="AA54" s="540"/>
      <c r="AB54" s="538"/>
      <c r="AC54" s="457"/>
    </row>
    <row r="55" spans="1:223" ht="16.5" thickBot="1" x14ac:dyDescent="0.3">
      <c r="A55" s="541"/>
      <c r="B55" s="1192" t="s">
        <v>851</v>
      </c>
      <c r="C55" s="1193"/>
      <c r="D55" s="542">
        <v>15</v>
      </c>
      <c r="E55" s="543">
        <v>0</v>
      </c>
      <c r="F55" s="544">
        <f>SUM(D55:E55)</f>
        <v>15</v>
      </c>
      <c r="G55" s="1194" t="s">
        <v>862</v>
      </c>
      <c r="H55" s="1194"/>
      <c r="I55" s="1194"/>
      <c r="J55" s="545">
        <v>15</v>
      </c>
      <c r="K55" s="546">
        <v>15</v>
      </c>
      <c r="L55" s="547"/>
      <c r="M55" s="548"/>
      <c r="N55" s="548"/>
      <c r="O55" s="548"/>
      <c r="P55" s="549"/>
      <c r="Q55" s="546">
        <v>0</v>
      </c>
      <c r="R55" s="548"/>
      <c r="S55" s="548"/>
      <c r="T55" s="548"/>
      <c r="U55" s="548"/>
      <c r="V55" s="550"/>
      <c r="W55" s="551">
        <v>0</v>
      </c>
      <c r="X55" s="552">
        <f>SUM(W55,Q55,K55)</f>
        <v>15</v>
      </c>
      <c r="Y55" s="553">
        <v>0</v>
      </c>
      <c r="Z55" s="554">
        <f>SUM(X55:Y55)</f>
        <v>15</v>
      </c>
      <c r="AA55" s="555">
        <f>X55-D55</f>
        <v>0</v>
      </c>
      <c r="AB55" s="556">
        <v>0</v>
      </c>
      <c r="AC55" s="557">
        <v>0</v>
      </c>
    </row>
    <row r="56" spans="1:223" ht="15.75" x14ac:dyDescent="0.25">
      <c r="A56" s="477"/>
      <c r="B56" s="448"/>
      <c r="C56" s="448"/>
      <c r="D56" s="502"/>
      <c r="E56" s="451"/>
      <c r="F56" s="535"/>
      <c r="G56" s="434"/>
      <c r="H56" s="434"/>
      <c r="I56" s="434"/>
      <c r="J56" s="558"/>
      <c r="K56" s="559"/>
      <c r="L56" s="492"/>
      <c r="M56" s="470"/>
      <c r="N56" s="470"/>
      <c r="O56" s="470"/>
      <c r="P56" s="560"/>
      <c r="Q56" s="559"/>
      <c r="R56" s="470"/>
      <c r="S56" s="470"/>
      <c r="T56" s="470"/>
      <c r="U56" s="470"/>
      <c r="V56" s="470"/>
      <c r="W56" s="561"/>
      <c r="X56" s="562"/>
      <c r="Y56" s="500"/>
      <c r="Z56" s="444"/>
      <c r="AA56" s="455"/>
      <c r="AB56" s="456"/>
      <c r="AC56" s="457"/>
    </row>
    <row r="57" spans="1:223" ht="16.5" thickBot="1" x14ac:dyDescent="0.3">
      <c r="A57" s="1189" t="s">
        <v>115</v>
      </c>
      <c r="B57" s="1190"/>
      <c r="C57" s="1191"/>
      <c r="D57" s="511">
        <f>SUM(D44:D56)</f>
        <v>314070</v>
      </c>
      <c r="E57" s="512">
        <f>SUM(E44:E56)</f>
        <v>254</v>
      </c>
      <c r="F57" s="513">
        <f>SUM(F44:F56)</f>
        <v>314324</v>
      </c>
      <c r="G57" s="563"/>
      <c r="H57" s="1153" t="s">
        <v>111</v>
      </c>
      <c r="I57" s="1154"/>
      <c r="J57" s="1155"/>
      <c r="K57" s="516">
        <f>SUM(K44:K55)</f>
        <v>264727</v>
      </c>
      <c r="L57" s="515"/>
      <c r="M57" s="1195" t="s">
        <v>112</v>
      </c>
      <c r="N57" s="1195"/>
      <c r="O57" s="1195"/>
      <c r="P57" s="1196"/>
      <c r="Q57" s="516">
        <f>SUM(Q44:Q55)</f>
        <v>15812</v>
      </c>
      <c r="R57" s="514"/>
      <c r="S57" s="1195" t="s">
        <v>113</v>
      </c>
      <c r="T57" s="1195"/>
      <c r="U57" s="1195"/>
      <c r="V57" s="1196"/>
      <c r="W57" s="564">
        <f>SUM(W44:W55)</f>
        <v>14551</v>
      </c>
      <c r="X57" s="565">
        <f>SUM(X44:X55)</f>
        <v>295090</v>
      </c>
      <c r="Y57" s="566">
        <v>0</v>
      </c>
      <c r="Z57" s="567">
        <f>SUM(X57:Y57)</f>
        <v>295090</v>
      </c>
      <c r="AA57" s="568">
        <f>X57-D57</f>
        <v>-18980</v>
      </c>
      <c r="AB57" s="569">
        <f>Y57-E57</f>
        <v>-254</v>
      </c>
      <c r="AC57" s="570">
        <f>SUM(AA57:AB57)</f>
        <v>-19234</v>
      </c>
    </row>
    <row r="58" spans="1:223" ht="17.25" thickTop="1" thickBot="1" x14ac:dyDescent="0.3">
      <c r="A58" s="571"/>
      <c r="B58" s="572"/>
      <c r="C58" s="572"/>
      <c r="D58" s="573"/>
      <c r="E58" s="574"/>
      <c r="F58" s="575"/>
      <c r="G58" s="574"/>
      <c r="H58" s="574"/>
      <c r="I58" s="576"/>
      <c r="J58" s="576"/>
      <c r="K58" s="577"/>
      <c r="L58" s="578"/>
      <c r="M58" s="574"/>
      <c r="N58" s="574"/>
      <c r="O58" s="574"/>
      <c r="P58" s="574"/>
      <c r="Q58" s="577"/>
      <c r="R58" s="574"/>
      <c r="S58" s="574"/>
      <c r="T58" s="574"/>
      <c r="U58" s="574"/>
      <c r="V58" s="574"/>
      <c r="W58" s="579"/>
      <c r="X58" s="580"/>
      <c r="Y58" s="581"/>
      <c r="Z58" s="582"/>
      <c r="AA58" s="571"/>
      <c r="AB58" s="583"/>
      <c r="AC58" s="584"/>
    </row>
    <row r="59" spans="1:223" s="893" customFormat="1" ht="14.25" thickTop="1" thickBot="1" x14ac:dyDescent="0.25">
      <c r="A59" s="1174" t="s">
        <v>873</v>
      </c>
      <c r="B59" s="1175"/>
      <c r="C59" s="1175"/>
      <c r="D59" s="1178" t="s">
        <v>603</v>
      </c>
      <c r="E59" s="1179"/>
      <c r="F59" s="1180"/>
      <c r="G59" s="1181" t="s">
        <v>832</v>
      </c>
      <c r="H59" s="1182"/>
      <c r="I59" s="1182"/>
      <c r="J59" s="1182"/>
      <c r="K59" s="1183"/>
      <c r="L59" s="1121" t="s">
        <v>833</v>
      </c>
      <c r="M59" s="1122"/>
      <c r="N59" s="1122"/>
      <c r="O59" s="1122"/>
      <c r="P59" s="1122"/>
      <c r="Q59" s="1187"/>
      <c r="R59" s="1121" t="s">
        <v>834</v>
      </c>
      <c r="S59" s="1122"/>
      <c r="T59" s="1122"/>
      <c r="U59" s="1122"/>
      <c r="V59" s="1122"/>
      <c r="W59" s="1123"/>
      <c r="X59" s="1158" t="s">
        <v>835</v>
      </c>
      <c r="Y59" s="1159"/>
      <c r="Z59" s="1159"/>
      <c r="AA59" s="1111" t="s">
        <v>102</v>
      </c>
      <c r="AB59" s="1112"/>
      <c r="AC59" s="1113"/>
      <c r="AD59" s="916"/>
      <c r="AE59" s="916"/>
      <c r="AF59" s="916"/>
      <c r="AG59" s="916"/>
      <c r="AH59" s="916"/>
      <c r="AI59" s="916"/>
      <c r="AJ59" s="916"/>
      <c r="AK59" s="916"/>
      <c r="AL59" s="916"/>
      <c r="AM59" s="916"/>
      <c r="AN59" s="916"/>
      <c r="AO59" s="916"/>
      <c r="AP59" s="916"/>
      <c r="AQ59" s="916"/>
      <c r="AR59" s="916"/>
      <c r="AS59" s="916"/>
      <c r="AT59" s="916"/>
      <c r="AU59" s="916"/>
      <c r="AV59" s="916"/>
      <c r="AW59" s="916"/>
      <c r="AX59" s="916"/>
      <c r="AY59" s="916"/>
      <c r="AZ59" s="916"/>
      <c r="BA59" s="916"/>
      <c r="BB59" s="916"/>
      <c r="BC59" s="916"/>
      <c r="BD59" s="916"/>
      <c r="BE59" s="916"/>
      <c r="BF59" s="916"/>
      <c r="BG59" s="916"/>
      <c r="BH59" s="916"/>
      <c r="BI59" s="916"/>
      <c r="BJ59" s="916"/>
      <c r="BK59" s="916"/>
      <c r="BL59" s="916"/>
      <c r="BM59" s="916"/>
      <c r="BN59" s="916"/>
      <c r="BO59" s="916"/>
      <c r="BP59" s="916"/>
      <c r="BQ59" s="916"/>
      <c r="BR59" s="916"/>
      <c r="BS59" s="916"/>
      <c r="BT59" s="916"/>
      <c r="BU59" s="916"/>
      <c r="BV59" s="916"/>
      <c r="BW59" s="916"/>
      <c r="BX59" s="916"/>
      <c r="BY59" s="916"/>
      <c r="BZ59" s="916"/>
      <c r="CA59" s="916"/>
      <c r="CB59" s="916"/>
      <c r="CC59" s="916"/>
      <c r="CD59" s="916"/>
      <c r="CE59" s="916"/>
      <c r="CF59" s="916"/>
      <c r="CG59" s="916"/>
      <c r="CH59" s="916"/>
      <c r="CI59" s="916"/>
      <c r="CJ59" s="916"/>
      <c r="CK59" s="916"/>
      <c r="CL59" s="916"/>
      <c r="CM59" s="916"/>
      <c r="CN59" s="916"/>
      <c r="CO59" s="916"/>
      <c r="CP59" s="916"/>
      <c r="CQ59" s="916"/>
      <c r="CR59" s="916"/>
      <c r="CS59" s="916"/>
      <c r="CT59" s="916"/>
      <c r="CU59" s="916"/>
      <c r="CV59" s="916"/>
      <c r="CW59" s="916"/>
      <c r="CX59" s="916"/>
      <c r="CY59" s="916"/>
      <c r="CZ59" s="916"/>
      <c r="DA59" s="916"/>
      <c r="DB59" s="916"/>
      <c r="DC59" s="916"/>
      <c r="DD59" s="916"/>
      <c r="DE59" s="916"/>
      <c r="DF59" s="916"/>
      <c r="DG59" s="916"/>
      <c r="DH59" s="916"/>
      <c r="DI59" s="916"/>
      <c r="DJ59" s="916"/>
      <c r="DK59" s="916"/>
      <c r="DL59" s="916"/>
      <c r="DM59" s="916"/>
      <c r="DN59" s="916"/>
      <c r="DO59" s="916"/>
      <c r="DP59" s="916"/>
      <c r="DQ59" s="916"/>
      <c r="DR59" s="916"/>
      <c r="DS59" s="916"/>
      <c r="DT59" s="916"/>
      <c r="DU59" s="916"/>
      <c r="DV59" s="916"/>
      <c r="DW59" s="916"/>
      <c r="DX59" s="916"/>
      <c r="DY59" s="916"/>
      <c r="DZ59" s="916"/>
      <c r="EA59" s="916"/>
      <c r="EB59" s="916"/>
      <c r="EC59" s="916"/>
      <c r="ED59" s="916"/>
      <c r="EE59" s="916"/>
      <c r="EF59" s="916"/>
      <c r="EG59" s="916"/>
      <c r="EH59" s="916"/>
      <c r="EI59" s="916"/>
      <c r="EJ59" s="916"/>
      <c r="EK59" s="916"/>
      <c r="EL59" s="916"/>
      <c r="EM59" s="916"/>
      <c r="EN59" s="916"/>
      <c r="EO59" s="916"/>
      <c r="EP59" s="916"/>
      <c r="EQ59" s="916"/>
      <c r="ER59" s="916"/>
      <c r="ES59" s="916"/>
      <c r="ET59" s="916"/>
      <c r="EU59" s="916"/>
      <c r="EV59" s="916"/>
      <c r="EW59" s="916"/>
      <c r="EX59" s="916"/>
      <c r="EY59" s="916"/>
      <c r="EZ59" s="916"/>
      <c r="FA59" s="916"/>
      <c r="FB59" s="916"/>
      <c r="FC59" s="916"/>
      <c r="FD59" s="916"/>
      <c r="FE59" s="916"/>
      <c r="FF59" s="916"/>
      <c r="FG59" s="916"/>
      <c r="FH59" s="916"/>
      <c r="FI59" s="916"/>
      <c r="FJ59" s="916"/>
      <c r="FK59" s="916"/>
      <c r="FL59" s="916"/>
      <c r="FM59" s="916"/>
      <c r="FN59" s="916"/>
      <c r="FO59" s="916"/>
      <c r="FP59" s="916"/>
      <c r="FQ59" s="916"/>
      <c r="FR59" s="916"/>
      <c r="FS59" s="916"/>
      <c r="FT59" s="916"/>
      <c r="FU59" s="916"/>
      <c r="FV59" s="916"/>
      <c r="FW59" s="916"/>
      <c r="FX59" s="916"/>
      <c r="FY59" s="916"/>
      <c r="FZ59" s="916"/>
      <c r="GA59" s="916"/>
      <c r="GB59" s="916"/>
      <c r="GC59" s="916"/>
      <c r="GD59" s="916"/>
      <c r="GE59" s="916"/>
      <c r="GF59" s="916"/>
      <c r="GG59" s="916"/>
      <c r="GH59" s="916"/>
      <c r="GI59" s="916"/>
      <c r="GJ59" s="916"/>
      <c r="GK59" s="916"/>
      <c r="GL59" s="916"/>
      <c r="GM59" s="916"/>
      <c r="GN59" s="916"/>
      <c r="GO59" s="916"/>
      <c r="GP59" s="916"/>
      <c r="GQ59" s="916"/>
      <c r="GR59" s="916"/>
      <c r="GS59" s="916"/>
      <c r="GT59" s="916"/>
      <c r="GU59" s="916"/>
      <c r="GV59" s="916"/>
      <c r="GW59" s="916"/>
      <c r="GX59" s="916"/>
      <c r="GY59" s="916"/>
      <c r="GZ59" s="916"/>
      <c r="HA59" s="916"/>
      <c r="HB59" s="916"/>
      <c r="HC59" s="916"/>
      <c r="HD59" s="916"/>
      <c r="HE59" s="916"/>
      <c r="HF59" s="916"/>
      <c r="HG59" s="916"/>
      <c r="HH59" s="916"/>
      <c r="HI59" s="916"/>
      <c r="HJ59" s="916"/>
      <c r="HK59" s="916"/>
      <c r="HL59" s="916"/>
      <c r="HM59" s="916"/>
      <c r="HN59" s="916"/>
      <c r="HO59" s="916"/>
    </row>
    <row r="60" spans="1:223" s="893" customFormat="1" ht="19.5" customHeight="1" thickBot="1" x14ac:dyDescent="0.25">
      <c r="A60" s="1176"/>
      <c r="B60" s="1177"/>
      <c r="C60" s="1177"/>
      <c r="D60" s="917" t="s">
        <v>103</v>
      </c>
      <c r="E60" s="918" t="s">
        <v>86</v>
      </c>
      <c r="F60" s="919" t="s">
        <v>104</v>
      </c>
      <c r="G60" s="1184"/>
      <c r="H60" s="1185"/>
      <c r="I60" s="1185"/>
      <c r="J60" s="1185"/>
      <c r="K60" s="1186"/>
      <c r="L60" s="1124"/>
      <c r="M60" s="1125"/>
      <c r="N60" s="1125"/>
      <c r="O60" s="1125"/>
      <c r="P60" s="1125"/>
      <c r="Q60" s="1188"/>
      <c r="R60" s="1124"/>
      <c r="S60" s="1125"/>
      <c r="T60" s="1125"/>
      <c r="U60" s="1125"/>
      <c r="V60" s="1125"/>
      <c r="W60" s="1126"/>
      <c r="X60" s="920" t="s">
        <v>103</v>
      </c>
      <c r="Y60" s="921" t="s">
        <v>86</v>
      </c>
      <c r="Z60" s="922" t="s">
        <v>104</v>
      </c>
      <c r="AA60" s="923" t="s">
        <v>103</v>
      </c>
      <c r="AB60" s="924" t="s">
        <v>86</v>
      </c>
      <c r="AC60" s="925" t="s">
        <v>104</v>
      </c>
      <c r="AD60" s="916"/>
      <c r="AE60" s="916"/>
      <c r="AF60" s="916"/>
      <c r="AG60" s="916"/>
      <c r="AH60" s="916"/>
      <c r="AI60" s="916"/>
      <c r="AJ60" s="916"/>
      <c r="AK60" s="916"/>
      <c r="AL60" s="916"/>
      <c r="AM60" s="916"/>
      <c r="AN60" s="916"/>
      <c r="AO60" s="916"/>
      <c r="AP60" s="916"/>
      <c r="AQ60" s="916"/>
      <c r="AR60" s="916"/>
      <c r="AS60" s="916"/>
      <c r="AT60" s="916"/>
      <c r="AU60" s="916"/>
      <c r="AV60" s="916"/>
      <c r="AW60" s="916"/>
      <c r="AX60" s="916"/>
      <c r="AY60" s="916"/>
      <c r="AZ60" s="916"/>
      <c r="BA60" s="916"/>
      <c r="BB60" s="916"/>
      <c r="BC60" s="916"/>
      <c r="BD60" s="916"/>
      <c r="BE60" s="916"/>
      <c r="BF60" s="916"/>
      <c r="BG60" s="916"/>
      <c r="BH60" s="916"/>
      <c r="BI60" s="916"/>
      <c r="BJ60" s="916"/>
      <c r="BK60" s="916"/>
      <c r="BL60" s="916"/>
      <c r="BM60" s="916"/>
      <c r="BN60" s="916"/>
      <c r="BO60" s="916"/>
      <c r="BP60" s="916"/>
      <c r="BQ60" s="916"/>
      <c r="BR60" s="916"/>
      <c r="BS60" s="916"/>
      <c r="BT60" s="916"/>
      <c r="BU60" s="916"/>
      <c r="BV60" s="916"/>
      <c r="BW60" s="916"/>
      <c r="BX60" s="916"/>
      <c r="BY60" s="916"/>
      <c r="BZ60" s="916"/>
      <c r="CA60" s="916"/>
      <c r="CB60" s="916"/>
      <c r="CC60" s="916"/>
      <c r="CD60" s="916"/>
      <c r="CE60" s="916"/>
      <c r="CF60" s="916"/>
      <c r="CG60" s="916"/>
      <c r="CH60" s="916"/>
      <c r="CI60" s="916"/>
      <c r="CJ60" s="916"/>
      <c r="CK60" s="916"/>
      <c r="CL60" s="916"/>
      <c r="CM60" s="916"/>
      <c r="CN60" s="916"/>
      <c r="CO60" s="916"/>
      <c r="CP60" s="916"/>
      <c r="CQ60" s="916"/>
      <c r="CR60" s="916"/>
      <c r="CS60" s="916"/>
      <c r="CT60" s="916"/>
      <c r="CU60" s="916"/>
      <c r="CV60" s="916"/>
      <c r="CW60" s="916"/>
      <c r="CX60" s="916"/>
      <c r="CY60" s="916"/>
      <c r="CZ60" s="916"/>
      <c r="DA60" s="916"/>
      <c r="DB60" s="916"/>
      <c r="DC60" s="916"/>
      <c r="DD60" s="916"/>
      <c r="DE60" s="916"/>
      <c r="DF60" s="916"/>
      <c r="DG60" s="916"/>
      <c r="DH60" s="916"/>
      <c r="DI60" s="916"/>
      <c r="DJ60" s="916"/>
      <c r="DK60" s="916"/>
      <c r="DL60" s="916"/>
      <c r="DM60" s="916"/>
      <c r="DN60" s="916"/>
      <c r="DO60" s="916"/>
      <c r="DP60" s="916"/>
      <c r="DQ60" s="916"/>
      <c r="DR60" s="916"/>
      <c r="DS60" s="916"/>
      <c r="DT60" s="916"/>
      <c r="DU60" s="916"/>
      <c r="DV60" s="916"/>
      <c r="DW60" s="916"/>
      <c r="DX60" s="916"/>
      <c r="DY60" s="916"/>
      <c r="DZ60" s="916"/>
      <c r="EA60" s="916"/>
      <c r="EB60" s="916"/>
      <c r="EC60" s="916"/>
      <c r="ED60" s="916"/>
      <c r="EE60" s="916"/>
      <c r="EF60" s="916"/>
      <c r="EG60" s="916"/>
      <c r="EH60" s="916"/>
      <c r="EI60" s="916"/>
      <c r="EJ60" s="916"/>
      <c r="EK60" s="916"/>
      <c r="EL60" s="916"/>
      <c r="EM60" s="916"/>
      <c r="EN60" s="916"/>
      <c r="EO60" s="916"/>
      <c r="EP60" s="916"/>
      <c r="EQ60" s="916"/>
      <c r="ER60" s="916"/>
      <c r="ES60" s="916"/>
      <c r="ET60" s="916"/>
      <c r="EU60" s="916"/>
      <c r="EV60" s="916"/>
      <c r="EW60" s="916"/>
      <c r="EX60" s="916"/>
      <c r="EY60" s="916"/>
      <c r="EZ60" s="916"/>
      <c r="FA60" s="916"/>
      <c r="FB60" s="916"/>
      <c r="FC60" s="916"/>
      <c r="FD60" s="916"/>
      <c r="FE60" s="916"/>
      <c r="FF60" s="916"/>
      <c r="FG60" s="916"/>
      <c r="FH60" s="916"/>
      <c r="FI60" s="916"/>
      <c r="FJ60" s="916"/>
      <c r="FK60" s="916"/>
      <c r="FL60" s="916"/>
      <c r="FM60" s="916"/>
      <c r="FN60" s="916"/>
      <c r="FO60" s="916"/>
      <c r="FP60" s="916"/>
      <c r="FQ60" s="916"/>
      <c r="FR60" s="916"/>
      <c r="FS60" s="916"/>
      <c r="FT60" s="916"/>
      <c r="FU60" s="916"/>
      <c r="FV60" s="916"/>
      <c r="FW60" s="916"/>
      <c r="FX60" s="916"/>
      <c r="FY60" s="916"/>
      <c r="FZ60" s="916"/>
      <c r="GA60" s="916"/>
      <c r="GB60" s="916"/>
      <c r="GC60" s="916"/>
      <c r="GD60" s="916"/>
      <c r="GE60" s="916"/>
      <c r="GF60" s="916"/>
      <c r="GG60" s="916"/>
      <c r="GH60" s="916"/>
      <c r="GI60" s="916"/>
      <c r="GJ60" s="916"/>
      <c r="GK60" s="916"/>
      <c r="GL60" s="916"/>
      <c r="GM60" s="916"/>
      <c r="GN60" s="916"/>
      <c r="GO60" s="916"/>
      <c r="GP60" s="916"/>
      <c r="GQ60" s="916"/>
      <c r="GR60" s="916"/>
      <c r="GS60" s="916"/>
      <c r="GT60" s="916"/>
      <c r="GU60" s="916"/>
      <c r="GV60" s="916"/>
      <c r="GW60" s="916"/>
      <c r="GX60" s="916"/>
      <c r="GY60" s="916"/>
      <c r="GZ60" s="916"/>
      <c r="HA60" s="916"/>
      <c r="HB60" s="916"/>
      <c r="HC60" s="916"/>
      <c r="HD60" s="916"/>
      <c r="HE60" s="916"/>
      <c r="HF60" s="916"/>
      <c r="HG60" s="916"/>
      <c r="HH60" s="916"/>
      <c r="HI60" s="916"/>
      <c r="HJ60" s="916"/>
      <c r="HK60" s="916"/>
      <c r="HL60" s="916"/>
      <c r="HM60" s="916"/>
      <c r="HN60" s="916"/>
      <c r="HO60" s="916"/>
    </row>
    <row r="61" spans="1:223" s="893" customFormat="1" ht="15.75" customHeight="1" x14ac:dyDescent="0.2">
      <c r="A61" s="926"/>
      <c r="B61" s="927"/>
      <c r="C61" s="927"/>
      <c r="D61" s="928"/>
      <c r="E61" s="929"/>
      <c r="F61" s="930"/>
      <c r="G61" s="1162" t="s">
        <v>753</v>
      </c>
      <c r="H61" s="1129"/>
      <c r="I61" s="1129"/>
      <c r="J61" s="931">
        <v>13365</v>
      </c>
      <c r="K61" s="1171">
        <f>SUM(J61:J66)</f>
        <v>152312</v>
      </c>
      <c r="L61" s="1273" t="s">
        <v>924</v>
      </c>
      <c r="M61" s="1274"/>
      <c r="N61" s="1274"/>
      <c r="O61" s="1274"/>
      <c r="P61" s="932">
        <v>6245</v>
      </c>
      <c r="Q61" s="1171">
        <f>SUM(P61:P66)</f>
        <v>6245</v>
      </c>
      <c r="R61" s="929"/>
      <c r="S61" s="929"/>
      <c r="T61" s="929"/>
      <c r="U61" s="929"/>
      <c r="V61" s="929"/>
      <c r="W61" s="933"/>
      <c r="X61" s="927"/>
      <c r="Y61" s="928"/>
      <c r="Z61" s="934"/>
      <c r="AA61" s="926"/>
      <c r="AB61" s="928"/>
      <c r="AC61" s="935"/>
      <c r="AD61" s="916"/>
      <c r="AE61" s="916"/>
      <c r="AF61" s="916"/>
      <c r="AG61" s="916"/>
      <c r="AH61" s="916"/>
      <c r="AI61" s="916"/>
      <c r="AJ61" s="916"/>
      <c r="AK61" s="916"/>
      <c r="AL61" s="916"/>
      <c r="AM61" s="916"/>
      <c r="AN61" s="916"/>
      <c r="AO61" s="916"/>
      <c r="AP61" s="916"/>
      <c r="AQ61" s="916"/>
      <c r="AR61" s="916"/>
      <c r="AS61" s="916"/>
      <c r="AT61" s="916"/>
      <c r="AU61" s="916"/>
      <c r="AV61" s="916"/>
      <c r="AW61" s="916"/>
      <c r="AX61" s="916"/>
      <c r="AY61" s="916"/>
      <c r="AZ61" s="916"/>
      <c r="BA61" s="916"/>
      <c r="BB61" s="916"/>
      <c r="BC61" s="916"/>
      <c r="BD61" s="916"/>
      <c r="BE61" s="916"/>
      <c r="BF61" s="916"/>
      <c r="BG61" s="916"/>
      <c r="BH61" s="916"/>
      <c r="BI61" s="916"/>
      <c r="BJ61" s="916"/>
      <c r="BK61" s="916"/>
      <c r="BL61" s="916"/>
      <c r="BM61" s="916"/>
      <c r="BN61" s="916"/>
      <c r="BO61" s="916"/>
      <c r="BP61" s="916"/>
      <c r="BQ61" s="916"/>
      <c r="BR61" s="916"/>
      <c r="BS61" s="916"/>
      <c r="BT61" s="916"/>
      <c r="BU61" s="916"/>
      <c r="BV61" s="916"/>
      <c r="BW61" s="916"/>
      <c r="BX61" s="916"/>
      <c r="BY61" s="916"/>
      <c r="BZ61" s="916"/>
      <c r="CA61" s="916"/>
      <c r="CB61" s="916"/>
      <c r="CC61" s="916"/>
      <c r="CD61" s="916"/>
      <c r="CE61" s="916"/>
      <c r="CF61" s="916"/>
      <c r="CG61" s="916"/>
      <c r="CH61" s="916"/>
      <c r="CI61" s="916"/>
      <c r="CJ61" s="916"/>
      <c r="CK61" s="916"/>
      <c r="CL61" s="916"/>
      <c r="CM61" s="916"/>
      <c r="CN61" s="916"/>
      <c r="CO61" s="916"/>
      <c r="CP61" s="916"/>
      <c r="CQ61" s="916"/>
      <c r="CR61" s="916"/>
      <c r="CS61" s="916"/>
      <c r="CT61" s="916"/>
      <c r="CU61" s="916"/>
      <c r="CV61" s="916"/>
      <c r="CW61" s="916"/>
      <c r="CX61" s="916"/>
      <c r="CY61" s="916"/>
      <c r="CZ61" s="916"/>
      <c r="DA61" s="916"/>
      <c r="DB61" s="916"/>
      <c r="DC61" s="916"/>
      <c r="DD61" s="916"/>
      <c r="DE61" s="916"/>
      <c r="DF61" s="916"/>
      <c r="DG61" s="916"/>
      <c r="DH61" s="916"/>
      <c r="DI61" s="916"/>
      <c r="DJ61" s="916"/>
      <c r="DK61" s="916"/>
      <c r="DL61" s="916"/>
      <c r="DM61" s="916"/>
      <c r="DN61" s="916"/>
      <c r="DO61" s="916"/>
      <c r="DP61" s="916"/>
      <c r="DQ61" s="916"/>
      <c r="DR61" s="916"/>
      <c r="DS61" s="916"/>
      <c r="DT61" s="916"/>
      <c r="DU61" s="916"/>
      <c r="DV61" s="916"/>
      <c r="DW61" s="916"/>
      <c r="DX61" s="916"/>
      <c r="DY61" s="916"/>
      <c r="DZ61" s="916"/>
      <c r="EA61" s="916"/>
      <c r="EB61" s="916"/>
      <c r="EC61" s="916"/>
      <c r="ED61" s="916"/>
      <c r="EE61" s="916"/>
      <c r="EF61" s="916"/>
      <c r="EG61" s="916"/>
      <c r="EH61" s="916"/>
      <c r="EI61" s="916"/>
      <c r="EJ61" s="916"/>
      <c r="EK61" s="916"/>
      <c r="EL61" s="916"/>
      <c r="EM61" s="916"/>
      <c r="EN61" s="916"/>
      <c r="EO61" s="916"/>
      <c r="EP61" s="916"/>
      <c r="EQ61" s="916"/>
      <c r="ER61" s="916"/>
      <c r="ES61" s="916"/>
      <c r="ET61" s="916"/>
      <c r="EU61" s="916"/>
      <c r="EV61" s="916"/>
      <c r="EW61" s="916"/>
      <c r="EX61" s="916"/>
      <c r="EY61" s="916"/>
      <c r="EZ61" s="916"/>
      <c r="FA61" s="916"/>
      <c r="FB61" s="916"/>
      <c r="FC61" s="916"/>
      <c r="FD61" s="916"/>
      <c r="FE61" s="916"/>
      <c r="FF61" s="916"/>
      <c r="FG61" s="916"/>
      <c r="FH61" s="916"/>
      <c r="FI61" s="916"/>
      <c r="FJ61" s="916"/>
      <c r="FK61" s="916"/>
      <c r="FL61" s="916"/>
      <c r="FM61" s="916"/>
      <c r="FN61" s="916"/>
      <c r="FO61" s="916"/>
      <c r="FP61" s="916"/>
      <c r="FQ61" s="916"/>
      <c r="FR61" s="916"/>
      <c r="FS61" s="916"/>
      <c r="FT61" s="916"/>
      <c r="FU61" s="916"/>
      <c r="FV61" s="916"/>
      <c r="FW61" s="916"/>
      <c r="FX61" s="916"/>
      <c r="FY61" s="916"/>
      <c r="FZ61" s="916"/>
      <c r="GA61" s="916"/>
      <c r="GB61" s="916"/>
      <c r="GC61" s="916"/>
      <c r="GD61" s="916"/>
      <c r="GE61" s="916"/>
      <c r="GF61" s="916"/>
      <c r="GG61" s="916"/>
      <c r="GH61" s="916"/>
      <c r="GI61" s="916"/>
      <c r="GJ61" s="916"/>
      <c r="GK61" s="916"/>
      <c r="GL61" s="916"/>
      <c r="GM61" s="916"/>
      <c r="GN61" s="916"/>
      <c r="GO61" s="916"/>
      <c r="GP61" s="916"/>
      <c r="GQ61" s="916"/>
      <c r="GR61" s="916"/>
      <c r="GS61" s="916"/>
      <c r="GT61" s="916"/>
      <c r="GU61" s="916"/>
      <c r="GV61" s="916"/>
      <c r="GW61" s="916"/>
      <c r="GX61" s="916"/>
      <c r="GY61" s="916"/>
      <c r="GZ61" s="916"/>
      <c r="HA61" s="916"/>
      <c r="HB61" s="916"/>
      <c r="HC61" s="916"/>
      <c r="HD61" s="916"/>
      <c r="HE61" s="916"/>
      <c r="HF61" s="916"/>
      <c r="HG61" s="916"/>
      <c r="HH61" s="916"/>
      <c r="HI61" s="916"/>
      <c r="HJ61" s="916"/>
      <c r="HK61" s="916"/>
      <c r="HL61" s="916"/>
      <c r="HM61" s="916"/>
      <c r="HN61" s="916"/>
      <c r="HO61" s="916"/>
    </row>
    <row r="62" spans="1:223" s="893" customFormat="1" ht="25.5" customHeight="1" x14ac:dyDescent="0.2">
      <c r="A62" s="926"/>
      <c r="B62" s="927"/>
      <c r="C62" s="927"/>
      <c r="D62" s="928"/>
      <c r="E62" s="929"/>
      <c r="F62" s="930"/>
      <c r="G62" s="1114" t="s">
        <v>133</v>
      </c>
      <c r="H62" s="1114"/>
      <c r="I62" s="1114"/>
      <c r="J62" s="931">
        <f>7246-718</f>
        <v>6528</v>
      </c>
      <c r="K62" s="1172"/>
      <c r="L62" s="1115"/>
      <c r="M62" s="1116"/>
      <c r="N62" s="1116"/>
      <c r="O62" s="1116"/>
      <c r="P62" s="936"/>
      <c r="Q62" s="1172"/>
      <c r="R62" s="1117" t="s">
        <v>863</v>
      </c>
      <c r="S62" s="1118"/>
      <c r="T62" s="1118"/>
      <c r="U62" s="1118"/>
      <c r="V62" s="937">
        <v>6393</v>
      </c>
      <c r="W62" s="1127">
        <f>SUM(V62:V66)</f>
        <v>16778</v>
      </c>
      <c r="X62" s="932"/>
      <c r="Y62" s="938"/>
      <c r="Z62" s="939"/>
      <c r="AA62" s="940"/>
      <c r="AB62" s="938"/>
      <c r="AC62" s="941"/>
      <c r="AD62" s="916"/>
      <c r="AE62" s="916"/>
      <c r="AF62" s="916"/>
      <c r="AG62" s="916"/>
      <c r="AH62" s="916"/>
      <c r="AI62" s="916"/>
      <c r="AJ62" s="916"/>
      <c r="AK62" s="916"/>
      <c r="AL62" s="916"/>
      <c r="AM62" s="916"/>
      <c r="AN62" s="916"/>
      <c r="AO62" s="916"/>
      <c r="AP62" s="916"/>
      <c r="AQ62" s="916"/>
      <c r="AR62" s="916"/>
      <c r="AS62" s="916"/>
      <c r="AT62" s="916"/>
      <c r="AU62" s="916"/>
      <c r="AV62" s="916"/>
      <c r="AW62" s="916"/>
      <c r="AX62" s="916"/>
      <c r="AY62" s="916"/>
      <c r="AZ62" s="916"/>
      <c r="BA62" s="916"/>
      <c r="BB62" s="916"/>
      <c r="BC62" s="916"/>
      <c r="BD62" s="916"/>
      <c r="BE62" s="916"/>
      <c r="BF62" s="916"/>
      <c r="BG62" s="916"/>
      <c r="BH62" s="916"/>
      <c r="BI62" s="916"/>
      <c r="BJ62" s="916"/>
      <c r="BK62" s="916"/>
      <c r="BL62" s="916"/>
      <c r="BM62" s="916"/>
      <c r="BN62" s="916"/>
      <c r="BO62" s="916"/>
      <c r="BP62" s="916"/>
      <c r="BQ62" s="916"/>
      <c r="BR62" s="916"/>
      <c r="BS62" s="916"/>
      <c r="BT62" s="916"/>
      <c r="BU62" s="916"/>
      <c r="BV62" s="916"/>
      <c r="BW62" s="916"/>
      <c r="BX62" s="916"/>
      <c r="BY62" s="916"/>
      <c r="BZ62" s="916"/>
      <c r="CA62" s="916"/>
      <c r="CB62" s="916"/>
      <c r="CC62" s="916"/>
      <c r="CD62" s="916"/>
      <c r="CE62" s="916"/>
      <c r="CF62" s="916"/>
      <c r="CG62" s="916"/>
      <c r="CH62" s="916"/>
      <c r="CI62" s="916"/>
      <c r="CJ62" s="916"/>
      <c r="CK62" s="916"/>
      <c r="CL62" s="916"/>
      <c r="CM62" s="916"/>
      <c r="CN62" s="916"/>
      <c r="CO62" s="916"/>
      <c r="CP62" s="916"/>
      <c r="CQ62" s="916"/>
      <c r="CR62" s="916"/>
      <c r="CS62" s="916"/>
      <c r="CT62" s="916"/>
      <c r="CU62" s="916"/>
      <c r="CV62" s="916"/>
      <c r="CW62" s="916"/>
      <c r="CX62" s="916"/>
      <c r="CY62" s="916"/>
      <c r="CZ62" s="916"/>
      <c r="DA62" s="916"/>
      <c r="DB62" s="916"/>
      <c r="DC62" s="916"/>
      <c r="DD62" s="916"/>
      <c r="DE62" s="916"/>
      <c r="DF62" s="916"/>
      <c r="DG62" s="916"/>
      <c r="DH62" s="916"/>
      <c r="DI62" s="916"/>
      <c r="DJ62" s="916"/>
      <c r="DK62" s="916"/>
      <c r="DL62" s="916"/>
      <c r="DM62" s="916"/>
      <c r="DN62" s="916"/>
      <c r="DO62" s="916"/>
      <c r="DP62" s="916"/>
      <c r="DQ62" s="916"/>
      <c r="DR62" s="916"/>
      <c r="DS62" s="916"/>
      <c r="DT62" s="916"/>
      <c r="DU62" s="916"/>
      <c r="DV62" s="916"/>
      <c r="DW62" s="916"/>
      <c r="DX62" s="916"/>
      <c r="DY62" s="916"/>
      <c r="DZ62" s="916"/>
      <c r="EA62" s="916"/>
      <c r="EB62" s="916"/>
      <c r="EC62" s="916"/>
      <c r="ED62" s="916"/>
      <c r="EE62" s="916"/>
      <c r="EF62" s="916"/>
      <c r="EG62" s="916"/>
      <c r="EH62" s="916"/>
      <c r="EI62" s="916"/>
      <c r="EJ62" s="916"/>
      <c r="EK62" s="916"/>
      <c r="EL62" s="916"/>
      <c r="EM62" s="916"/>
      <c r="EN62" s="916"/>
      <c r="EO62" s="916"/>
      <c r="EP62" s="916"/>
      <c r="EQ62" s="916"/>
      <c r="ER62" s="916"/>
      <c r="ES62" s="916"/>
      <c r="ET62" s="916"/>
      <c r="EU62" s="916"/>
      <c r="EV62" s="916"/>
      <c r="EW62" s="916"/>
      <c r="EX62" s="916"/>
      <c r="EY62" s="916"/>
      <c r="EZ62" s="916"/>
      <c r="FA62" s="916"/>
      <c r="FB62" s="916"/>
      <c r="FC62" s="916"/>
      <c r="FD62" s="916"/>
      <c r="FE62" s="916"/>
      <c r="FF62" s="916"/>
      <c r="FG62" s="916"/>
      <c r="FH62" s="916"/>
      <c r="FI62" s="916"/>
      <c r="FJ62" s="916"/>
      <c r="FK62" s="916"/>
      <c r="FL62" s="916"/>
      <c r="FM62" s="916"/>
      <c r="FN62" s="916"/>
      <c r="FO62" s="916"/>
      <c r="FP62" s="916"/>
      <c r="FQ62" s="916"/>
      <c r="FR62" s="916"/>
      <c r="FS62" s="916"/>
      <c r="FT62" s="916"/>
      <c r="FU62" s="916"/>
      <c r="FV62" s="916"/>
      <c r="FW62" s="916"/>
      <c r="FX62" s="916"/>
      <c r="FY62" s="916"/>
      <c r="FZ62" s="916"/>
      <c r="GA62" s="916"/>
      <c r="GB62" s="916"/>
      <c r="GC62" s="916"/>
      <c r="GD62" s="916"/>
      <c r="GE62" s="916"/>
      <c r="GF62" s="916"/>
      <c r="GG62" s="916"/>
      <c r="GH62" s="916"/>
      <c r="GI62" s="916"/>
      <c r="GJ62" s="916"/>
      <c r="GK62" s="916"/>
      <c r="GL62" s="916"/>
      <c r="GM62" s="916"/>
      <c r="GN62" s="916"/>
      <c r="GO62" s="916"/>
      <c r="GP62" s="916"/>
      <c r="GQ62" s="916"/>
      <c r="GR62" s="916"/>
      <c r="GS62" s="916"/>
      <c r="GT62" s="916"/>
      <c r="GU62" s="916"/>
      <c r="GV62" s="916"/>
      <c r="GW62" s="916"/>
      <c r="GX62" s="916"/>
      <c r="GY62" s="916"/>
      <c r="GZ62" s="916"/>
      <c r="HA62" s="916"/>
      <c r="HB62" s="916"/>
      <c r="HC62" s="916"/>
      <c r="HD62" s="916"/>
      <c r="HE62" s="916"/>
      <c r="HF62" s="916"/>
      <c r="HG62" s="916"/>
      <c r="HH62" s="916"/>
      <c r="HI62" s="916"/>
      <c r="HJ62" s="916"/>
      <c r="HK62" s="916"/>
      <c r="HL62" s="916"/>
      <c r="HM62" s="916"/>
      <c r="HN62" s="916"/>
      <c r="HO62" s="916"/>
    </row>
    <row r="63" spans="1:223" s="893" customFormat="1" ht="28.5" customHeight="1" x14ac:dyDescent="0.2">
      <c r="A63" s="1165" t="s">
        <v>768</v>
      </c>
      <c r="B63" s="1166"/>
      <c r="C63" s="1167"/>
      <c r="D63" s="942">
        <f>201132+897-137-450</f>
        <v>201442</v>
      </c>
      <c r="E63" s="943">
        <f>220+450</f>
        <v>670</v>
      </c>
      <c r="F63" s="944">
        <f>SUM(D63:E63)</f>
        <v>202112</v>
      </c>
      <c r="G63" s="1130" t="s">
        <v>748</v>
      </c>
      <c r="H63" s="1114"/>
      <c r="I63" s="1114"/>
      <c r="J63" s="931">
        <v>114680</v>
      </c>
      <c r="K63" s="1172"/>
      <c r="L63" s="945"/>
      <c r="M63" s="927"/>
      <c r="N63" s="927"/>
      <c r="O63" s="927"/>
      <c r="P63" s="946"/>
      <c r="Q63" s="1172"/>
      <c r="R63" s="1128" t="s">
        <v>864</v>
      </c>
      <c r="S63" s="1129"/>
      <c r="T63" s="1129"/>
      <c r="U63" s="1129"/>
      <c r="V63" s="937">
        <v>217</v>
      </c>
      <c r="W63" s="1127"/>
      <c r="X63" s="947">
        <f>SUM(W62+Q61+K61)</f>
        <v>175335</v>
      </c>
      <c r="Y63" s="948">
        <v>0</v>
      </c>
      <c r="Z63" s="949">
        <f>SUM(X63:Y63)</f>
        <v>175335</v>
      </c>
      <c r="AA63" s="950">
        <f>X63-D63</f>
        <v>-26107</v>
      </c>
      <c r="AB63" s="948">
        <f>Y63-E63</f>
        <v>-670</v>
      </c>
      <c r="AC63" s="951">
        <f>SUM(AA63:AB63)</f>
        <v>-26777</v>
      </c>
      <c r="AD63" s="916"/>
      <c r="AE63" s="916"/>
      <c r="AF63" s="916"/>
      <c r="AG63" s="916"/>
      <c r="AH63" s="916"/>
      <c r="AI63" s="916"/>
      <c r="AJ63" s="916"/>
      <c r="AK63" s="916"/>
      <c r="AL63" s="916"/>
      <c r="AM63" s="916"/>
      <c r="AN63" s="916"/>
      <c r="AO63" s="916"/>
      <c r="AP63" s="916"/>
      <c r="AQ63" s="916"/>
      <c r="AR63" s="916"/>
      <c r="AS63" s="916"/>
      <c r="AT63" s="916"/>
      <c r="AU63" s="916"/>
      <c r="AV63" s="916"/>
      <c r="AW63" s="916"/>
      <c r="AX63" s="916"/>
      <c r="AY63" s="916"/>
      <c r="AZ63" s="916"/>
      <c r="BA63" s="916"/>
      <c r="BB63" s="916"/>
      <c r="BC63" s="916"/>
      <c r="BD63" s="916"/>
      <c r="BE63" s="916"/>
      <c r="BF63" s="916"/>
      <c r="BG63" s="916"/>
      <c r="BH63" s="916"/>
      <c r="BI63" s="916"/>
      <c r="BJ63" s="916"/>
      <c r="BK63" s="916"/>
      <c r="BL63" s="916"/>
      <c r="BM63" s="916"/>
      <c r="BN63" s="916"/>
      <c r="BO63" s="916"/>
      <c r="BP63" s="916"/>
      <c r="BQ63" s="916"/>
      <c r="BR63" s="916"/>
      <c r="BS63" s="916"/>
      <c r="BT63" s="916"/>
      <c r="BU63" s="916"/>
      <c r="BV63" s="916"/>
      <c r="BW63" s="916"/>
      <c r="BX63" s="916"/>
      <c r="BY63" s="916"/>
      <c r="BZ63" s="916"/>
      <c r="CA63" s="916"/>
      <c r="CB63" s="916"/>
      <c r="CC63" s="916"/>
      <c r="CD63" s="916"/>
      <c r="CE63" s="916"/>
      <c r="CF63" s="916"/>
      <c r="CG63" s="916"/>
      <c r="CH63" s="916"/>
      <c r="CI63" s="916"/>
      <c r="CJ63" s="916"/>
      <c r="CK63" s="916"/>
      <c r="CL63" s="916"/>
      <c r="CM63" s="916"/>
      <c r="CN63" s="916"/>
      <c r="CO63" s="916"/>
      <c r="CP63" s="916"/>
      <c r="CQ63" s="916"/>
      <c r="CR63" s="916"/>
      <c r="CS63" s="916"/>
      <c r="CT63" s="916"/>
      <c r="CU63" s="916"/>
      <c r="CV63" s="916"/>
      <c r="CW63" s="916"/>
      <c r="CX63" s="916"/>
      <c r="CY63" s="916"/>
      <c r="CZ63" s="916"/>
      <c r="DA63" s="916"/>
      <c r="DB63" s="916"/>
      <c r="DC63" s="916"/>
      <c r="DD63" s="916"/>
      <c r="DE63" s="916"/>
      <c r="DF63" s="916"/>
      <c r="DG63" s="916"/>
      <c r="DH63" s="916"/>
      <c r="DI63" s="916"/>
      <c r="DJ63" s="916"/>
      <c r="DK63" s="916"/>
      <c r="DL63" s="916"/>
      <c r="DM63" s="916"/>
      <c r="DN63" s="916"/>
      <c r="DO63" s="916"/>
      <c r="DP63" s="916"/>
      <c r="DQ63" s="916"/>
      <c r="DR63" s="916"/>
      <c r="DS63" s="916"/>
      <c r="DT63" s="916"/>
      <c r="DU63" s="916"/>
      <c r="DV63" s="916"/>
      <c r="DW63" s="916"/>
      <c r="DX63" s="916"/>
      <c r="DY63" s="916"/>
      <c r="DZ63" s="916"/>
      <c r="EA63" s="916"/>
      <c r="EB63" s="916"/>
      <c r="EC63" s="916"/>
      <c r="ED63" s="916"/>
      <c r="EE63" s="916"/>
      <c r="EF63" s="916"/>
      <c r="EG63" s="916"/>
      <c r="EH63" s="916"/>
      <c r="EI63" s="916"/>
      <c r="EJ63" s="916"/>
      <c r="EK63" s="916"/>
      <c r="EL63" s="916"/>
      <c r="EM63" s="916"/>
      <c r="EN63" s="916"/>
      <c r="EO63" s="916"/>
      <c r="EP63" s="916"/>
      <c r="EQ63" s="916"/>
      <c r="ER63" s="916"/>
      <c r="ES63" s="916"/>
      <c r="ET63" s="916"/>
      <c r="EU63" s="916"/>
      <c r="EV63" s="916"/>
      <c r="EW63" s="916"/>
      <c r="EX63" s="916"/>
      <c r="EY63" s="916"/>
      <c r="EZ63" s="916"/>
      <c r="FA63" s="916"/>
      <c r="FB63" s="916"/>
      <c r="FC63" s="916"/>
      <c r="FD63" s="916"/>
      <c r="FE63" s="916"/>
      <c r="FF63" s="916"/>
      <c r="FG63" s="916"/>
      <c r="FH63" s="916"/>
      <c r="FI63" s="916"/>
      <c r="FJ63" s="916"/>
      <c r="FK63" s="916"/>
      <c r="FL63" s="916"/>
      <c r="FM63" s="916"/>
      <c r="FN63" s="916"/>
      <c r="FO63" s="916"/>
      <c r="FP63" s="916"/>
      <c r="FQ63" s="916"/>
      <c r="FR63" s="916"/>
      <c r="FS63" s="916"/>
      <c r="FT63" s="916"/>
      <c r="FU63" s="916"/>
      <c r="FV63" s="916"/>
      <c r="FW63" s="916"/>
      <c r="FX63" s="916"/>
      <c r="FY63" s="916"/>
      <c r="FZ63" s="916"/>
      <c r="GA63" s="916"/>
      <c r="GB63" s="916"/>
      <c r="GC63" s="916"/>
      <c r="GD63" s="916"/>
      <c r="GE63" s="916"/>
      <c r="GF63" s="916"/>
      <c r="GG63" s="916"/>
      <c r="GH63" s="916"/>
      <c r="GI63" s="916"/>
      <c r="GJ63" s="916"/>
      <c r="GK63" s="916"/>
      <c r="GL63" s="916"/>
      <c r="GM63" s="916"/>
      <c r="GN63" s="916"/>
      <c r="GO63" s="916"/>
      <c r="GP63" s="916"/>
      <c r="GQ63" s="916"/>
      <c r="GR63" s="916"/>
      <c r="GS63" s="916"/>
      <c r="GT63" s="916"/>
      <c r="GU63" s="916"/>
      <c r="GV63" s="916"/>
      <c r="GW63" s="916"/>
      <c r="GX63" s="916"/>
      <c r="GY63" s="916"/>
      <c r="GZ63" s="916"/>
      <c r="HA63" s="916"/>
      <c r="HB63" s="916"/>
      <c r="HC63" s="916"/>
      <c r="HD63" s="916"/>
      <c r="HE63" s="916"/>
      <c r="HF63" s="916"/>
      <c r="HG63" s="916"/>
      <c r="HH63" s="916"/>
      <c r="HI63" s="916"/>
      <c r="HJ63" s="916"/>
      <c r="HK63" s="916"/>
      <c r="HL63" s="916"/>
      <c r="HM63" s="916"/>
      <c r="HN63" s="916"/>
      <c r="HO63" s="916"/>
    </row>
    <row r="64" spans="1:223" s="893" customFormat="1" ht="16.5" customHeight="1" x14ac:dyDescent="0.2">
      <c r="A64" s="952"/>
      <c r="B64" s="953"/>
      <c r="C64" s="954"/>
      <c r="D64" s="942"/>
      <c r="E64" s="943"/>
      <c r="F64" s="944"/>
      <c r="G64" s="1114" t="s">
        <v>452</v>
      </c>
      <c r="H64" s="1114"/>
      <c r="I64" s="1114"/>
      <c r="J64" s="931">
        <f>14025+2042</f>
        <v>16067</v>
      </c>
      <c r="K64" s="1172"/>
      <c r="L64" s="945"/>
      <c r="M64" s="927"/>
      <c r="N64" s="927"/>
      <c r="O64" s="927"/>
      <c r="P64" s="955"/>
      <c r="Q64" s="1172"/>
      <c r="R64" s="1128" t="s">
        <v>861</v>
      </c>
      <c r="S64" s="1129"/>
      <c r="T64" s="1129"/>
      <c r="U64" s="1129"/>
      <c r="V64" s="956">
        <v>150</v>
      </c>
      <c r="W64" s="1127"/>
      <c r="X64" s="957"/>
      <c r="Y64" s="958"/>
      <c r="Z64" s="949"/>
      <c r="AA64" s="959"/>
      <c r="AB64" s="948"/>
      <c r="AC64" s="941"/>
      <c r="AD64" s="916"/>
      <c r="AE64" s="916"/>
      <c r="AF64" s="916"/>
      <c r="AG64" s="916"/>
      <c r="AH64" s="916"/>
      <c r="AI64" s="916"/>
      <c r="AJ64" s="916"/>
      <c r="AK64" s="916"/>
      <c r="AL64" s="916"/>
      <c r="AM64" s="916"/>
      <c r="AN64" s="916"/>
      <c r="AO64" s="916"/>
      <c r="AP64" s="916"/>
      <c r="AQ64" s="916"/>
      <c r="AR64" s="916"/>
      <c r="AS64" s="916"/>
      <c r="AT64" s="916"/>
      <c r="AU64" s="916"/>
      <c r="AV64" s="916"/>
      <c r="AW64" s="916"/>
      <c r="AX64" s="916"/>
      <c r="AY64" s="916"/>
      <c r="AZ64" s="916"/>
      <c r="BA64" s="916"/>
      <c r="BB64" s="916"/>
      <c r="BC64" s="916"/>
      <c r="BD64" s="916"/>
      <c r="BE64" s="916"/>
      <c r="BF64" s="916"/>
      <c r="BG64" s="916"/>
      <c r="BH64" s="916"/>
      <c r="BI64" s="916"/>
      <c r="BJ64" s="916"/>
      <c r="BK64" s="916"/>
      <c r="BL64" s="916"/>
      <c r="BM64" s="916"/>
      <c r="BN64" s="916"/>
      <c r="BO64" s="916"/>
      <c r="BP64" s="916"/>
      <c r="BQ64" s="916"/>
      <c r="BR64" s="916"/>
      <c r="BS64" s="916"/>
      <c r="BT64" s="916"/>
      <c r="BU64" s="916"/>
      <c r="BV64" s="916"/>
      <c r="BW64" s="916"/>
      <c r="BX64" s="916"/>
      <c r="BY64" s="916"/>
      <c r="BZ64" s="916"/>
      <c r="CA64" s="916"/>
      <c r="CB64" s="916"/>
      <c r="CC64" s="916"/>
      <c r="CD64" s="916"/>
      <c r="CE64" s="916"/>
      <c r="CF64" s="916"/>
      <c r="CG64" s="916"/>
      <c r="CH64" s="916"/>
      <c r="CI64" s="916"/>
      <c r="CJ64" s="916"/>
      <c r="CK64" s="916"/>
      <c r="CL64" s="916"/>
      <c r="CM64" s="916"/>
      <c r="CN64" s="916"/>
      <c r="CO64" s="916"/>
      <c r="CP64" s="916"/>
      <c r="CQ64" s="916"/>
      <c r="CR64" s="916"/>
      <c r="CS64" s="916"/>
      <c r="CT64" s="916"/>
      <c r="CU64" s="916"/>
      <c r="CV64" s="916"/>
      <c r="CW64" s="916"/>
      <c r="CX64" s="916"/>
      <c r="CY64" s="916"/>
      <c r="CZ64" s="916"/>
      <c r="DA64" s="916"/>
      <c r="DB64" s="916"/>
      <c r="DC64" s="916"/>
      <c r="DD64" s="916"/>
      <c r="DE64" s="916"/>
      <c r="DF64" s="916"/>
      <c r="DG64" s="916"/>
      <c r="DH64" s="916"/>
      <c r="DI64" s="916"/>
      <c r="DJ64" s="916"/>
      <c r="DK64" s="916"/>
      <c r="DL64" s="916"/>
      <c r="DM64" s="916"/>
      <c r="DN64" s="916"/>
      <c r="DO64" s="916"/>
      <c r="DP64" s="916"/>
      <c r="DQ64" s="916"/>
      <c r="DR64" s="916"/>
      <c r="DS64" s="916"/>
      <c r="DT64" s="916"/>
      <c r="DU64" s="916"/>
      <c r="DV64" s="916"/>
      <c r="DW64" s="916"/>
      <c r="DX64" s="916"/>
      <c r="DY64" s="916"/>
      <c r="DZ64" s="916"/>
      <c r="EA64" s="916"/>
      <c r="EB64" s="916"/>
      <c r="EC64" s="916"/>
      <c r="ED64" s="916"/>
      <c r="EE64" s="916"/>
      <c r="EF64" s="916"/>
      <c r="EG64" s="916"/>
      <c r="EH64" s="916"/>
      <c r="EI64" s="916"/>
      <c r="EJ64" s="916"/>
      <c r="EK64" s="916"/>
      <c r="EL64" s="916"/>
      <c r="EM64" s="916"/>
      <c r="EN64" s="916"/>
      <c r="EO64" s="916"/>
      <c r="EP64" s="916"/>
      <c r="EQ64" s="916"/>
      <c r="ER64" s="916"/>
      <c r="ES64" s="916"/>
      <c r="ET64" s="916"/>
      <c r="EU64" s="916"/>
      <c r="EV64" s="916"/>
      <c r="EW64" s="916"/>
      <c r="EX64" s="916"/>
      <c r="EY64" s="916"/>
      <c r="EZ64" s="916"/>
      <c r="FA64" s="916"/>
      <c r="FB64" s="916"/>
      <c r="FC64" s="916"/>
      <c r="FD64" s="916"/>
      <c r="FE64" s="916"/>
      <c r="FF64" s="916"/>
      <c r="FG64" s="916"/>
      <c r="FH64" s="916"/>
      <c r="FI64" s="916"/>
      <c r="FJ64" s="916"/>
      <c r="FK64" s="916"/>
      <c r="FL64" s="916"/>
      <c r="FM64" s="916"/>
      <c r="FN64" s="916"/>
      <c r="FO64" s="916"/>
      <c r="FP64" s="916"/>
      <c r="FQ64" s="916"/>
      <c r="FR64" s="916"/>
      <c r="FS64" s="916"/>
      <c r="FT64" s="916"/>
      <c r="FU64" s="916"/>
      <c r="FV64" s="916"/>
      <c r="FW64" s="916"/>
      <c r="FX64" s="916"/>
      <c r="FY64" s="916"/>
      <c r="FZ64" s="916"/>
      <c r="GA64" s="916"/>
      <c r="GB64" s="916"/>
      <c r="GC64" s="916"/>
      <c r="GD64" s="916"/>
      <c r="GE64" s="916"/>
      <c r="GF64" s="916"/>
      <c r="GG64" s="916"/>
      <c r="GH64" s="916"/>
      <c r="GI64" s="916"/>
      <c r="GJ64" s="916"/>
      <c r="GK64" s="916"/>
      <c r="GL64" s="916"/>
      <c r="GM64" s="916"/>
      <c r="GN64" s="916"/>
      <c r="GO64" s="916"/>
      <c r="GP64" s="916"/>
      <c r="GQ64" s="916"/>
      <c r="GR64" s="916"/>
      <c r="GS64" s="916"/>
      <c r="GT64" s="916"/>
      <c r="GU64" s="916"/>
      <c r="GV64" s="916"/>
      <c r="GW64" s="916"/>
      <c r="GX64" s="916"/>
      <c r="GY64" s="916"/>
      <c r="GZ64" s="916"/>
      <c r="HA64" s="916"/>
      <c r="HB64" s="916"/>
      <c r="HC64" s="916"/>
      <c r="HD64" s="916"/>
      <c r="HE64" s="916"/>
      <c r="HF64" s="916"/>
      <c r="HG64" s="916"/>
      <c r="HH64" s="916"/>
      <c r="HI64" s="916"/>
      <c r="HJ64" s="916"/>
      <c r="HK64" s="916"/>
      <c r="HL64" s="916"/>
      <c r="HM64" s="916"/>
      <c r="HN64" s="916"/>
      <c r="HO64" s="916"/>
    </row>
    <row r="65" spans="1:223" s="893" customFormat="1" ht="16.5" customHeight="1" x14ac:dyDescent="0.2">
      <c r="A65" s="952"/>
      <c r="B65" s="953"/>
      <c r="C65" s="954"/>
      <c r="D65" s="942"/>
      <c r="E65" s="943"/>
      <c r="F65" s="944"/>
      <c r="G65" s="1130" t="s">
        <v>919</v>
      </c>
      <c r="H65" s="1114"/>
      <c r="I65" s="1114"/>
      <c r="J65" s="932">
        <v>150</v>
      </c>
      <c r="K65" s="1172"/>
      <c r="L65" s="945"/>
      <c r="M65" s="927"/>
      <c r="N65" s="927"/>
      <c r="O65" s="927"/>
      <c r="P65" s="955"/>
      <c r="Q65" s="1172"/>
      <c r="R65" s="1128" t="s">
        <v>929</v>
      </c>
      <c r="S65" s="1129"/>
      <c r="T65" s="1129"/>
      <c r="U65" s="1129"/>
      <c r="V65" s="960">
        <v>263</v>
      </c>
      <c r="W65" s="1127"/>
      <c r="X65" s="957"/>
      <c r="Y65" s="958"/>
      <c r="Z65" s="949"/>
      <c r="AA65" s="959"/>
      <c r="AB65" s="948"/>
      <c r="AC65" s="941"/>
      <c r="AD65" s="916"/>
      <c r="AE65" s="916"/>
      <c r="AF65" s="916"/>
      <c r="AG65" s="916"/>
      <c r="AH65" s="916"/>
      <c r="AI65" s="916"/>
      <c r="AJ65" s="916"/>
      <c r="AK65" s="916"/>
      <c r="AL65" s="916"/>
      <c r="AM65" s="916"/>
      <c r="AN65" s="916"/>
      <c r="AO65" s="916"/>
      <c r="AP65" s="916"/>
      <c r="AQ65" s="916"/>
      <c r="AR65" s="916"/>
      <c r="AS65" s="916"/>
      <c r="AT65" s="916"/>
      <c r="AU65" s="916"/>
      <c r="AV65" s="916"/>
      <c r="AW65" s="916"/>
      <c r="AX65" s="916"/>
      <c r="AY65" s="916"/>
      <c r="AZ65" s="916"/>
      <c r="BA65" s="916"/>
      <c r="BB65" s="916"/>
      <c r="BC65" s="916"/>
      <c r="BD65" s="916"/>
      <c r="BE65" s="916"/>
      <c r="BF65" s="916"/>
      <c r="BG65" s="916"/>
      <c r="BH65" s="916"/>
      <c r="BI65" s="916"/>
      <c r="BJ65" s="916"/>
      <c r="BK65" s="916"/>
      <c r="BL65" s="916"/>
      <c r="BM65" s="916"/>
      <c r="BN65" s="916"/>
      <c r="BO65" s="916"/>
      <c r="BP65" s="916"/>
      <c r="BQ65" s="916"/>
      <c r="BR65" s="916"/>
      <c r="BS65" s="916"/>
      <c r="BT65" s="916"/>
      <c r="BU65" s="916"/>
      <c r="BV65" s="916"/>
      <c r="BW65" s="916"/>
      <c r="BX65" s="916"/>
      <c r="BY65" s="916"/>
      <c r="BZ65" s="916"/>
      <c r="CA65" s="916"/>
      <c r="CB65" s="916"/>
      <c r="CC65" s="916"/>
      <c r="CD65" s="916"/>
      <c r="CE65" s="916"/>
      <c r="CF65" s="916"/>
      <c r="CG65" s="916"/>
      <c r="CH65" s="916"/>
      <c r="CI65" s="916"/>
      <c r="CJ65" s="916"/>
      <c r="CK65" s="916"/>
      <c r="CL65" s="916"/>
      <c r="CM65" s="916"/>
      <c r="CN65" s="916"/>
      <c r="CO65" s="916"/>
      <c r="CP65" s="916"/>
      <c r="CQ65" s="916"/>
      <c r="CR65" s="916"/>
      <c r="CS65" s="916"/>
      <c r="CT65" s="916"/>
      <c r="CU65" s="916"/>
      <c r="CV65" s="916"/>
      <c r="CW65" s="916"/>
      <c r="CX65" s="916"/>
      <c r="CY65" s="916"/>
      <c r="CZ65" s="916"/>
      <c r="DA65" s="916"/>
      <c r="DB65" s="916"/>
      <c r="DC65" s="916"/>
      <c r="DD65" s="916"/>
      <c r="DE65" s="916"/>
      <c r="DF65" s="916"/>
      <c r="DG65" s="916"/>
      <c r="DH65" s="916"/>
      <c r="DI65" s="916"/>
      <c r="DJ65" s="916"/>
      <c r="DK65" s="916"/>
      <c r="DL65" s="916"/>
      <c r="DM65" s="916"/>
      <c r="DN65" s="916"/>
      <c r="DO65" s="916"/>
      <c r="DP65" s="916"/>
      <c r="DQ65" s="916"/>
      <c r="DR65" s="916"/>
      <c r="DS65" s="916"/>
      <c r="DT65" s="916"/>
      <c r="DU65" s="916"/>
      <c r="DV65" s="916"/>
      <c r="DW65" s="916"/>
      <c r="DX65" s="916"/>
      <c r="DY65" s="916"/>
      <c r="DZ65" s="916"/>
      <c r="EA65" s="916"/>
      <c r="EB65" s="916"/>
      <c r="EC65" s="916"/>
      <c r="ED65" s="916"/>
      <c r="EE65" s="916"/>
      <c r="EF65" s="916"/>
      <c r="EG65" s="916"/>
      <c r="EH65" s="916"/>
      <c r="EI65" s="916"/>
      <c r="EJ65" s="916"/>
      <c r="EK65" s="916"/>
      <c r="EL65" s="916"/>
      <c r="EM65" s="916"/>
      <c r="EN65" s="916"/>
      <c r="EO65" s="916"/>
      <c r="EP65" s="916"/>
      <c r="EQ65" s="916"/>
      <c r="ER65" s="916"/>
      <c r="ES65" s="916"/>
      <c r="ET65" s="916"/>
      <c r="EU65" s="916"/>
      <c r="EV65" s="916"/>
      <c r="EW65" s="916"/>
      <c r="EX65" s="916"/>
      <c r="EY65" s="916"/>
      <c r="EZ65" s="916"/>
      <c r="FA65" s="916"/>
      <c r="FB65" s="916"/>
      <c r="FC65" s="916"/>
      <c r="FD65" s="916"/>
      <c r="FE65" s="916"/>
      <c r="FF65" s="916"/>
      <c r="FG65" s="916"/>
      <c r="FH65" s="916"/>
      <c r="FI65" s="916"/>
      <c r="FJ65" s="916"/>
      <c r="FK65" s="916"/>
      <c r="FL65" s="916"/>
      <c r="FM65" s="916"/>
      <c r="FN65" s="916"/>
      <c r="FO65" s="916"/>
      <c r="FP65" s="916"/>
      <c r="FQ65" s="916"/>
      <c r="FR65" s="916"/>
      <c r="FS65" s="916"/>
      <c r="FT65" s="916"/>
      <c r="FU65" s="916"/>
      <c r="FV65" s="916"/>
      <c r="FW65" s="916"/>
      <c r="FX65" s="916"/>
      <c r="FY65" s="916"/>
      <c r="FZ65" s="916"/>
      <c r="GA65" s="916"/>
      <c r="GB65" s="916"/>
      <c r="GC65" s="916"/>
      <c r="GD65" s="916"/>
      <c r="GE65" s="916"/>
      <c r="GF65" s="916"/>
      <c r="GG65" s="916"/>
      <c r="GH65" s="916"/>
      <c r="GI65" s="916"/>
      <c r="GJ65" s="916"/>
      <c r="GK65" s="916"/>
      <c r="GL65" s="916"/>
      <c r="GM65" s="916"/>
      <c r="GN65" s="916"/>
      <c r="GO65" s="916"/>
      <c r="GP65" s="916"/>
      <c r="GQ65" s="916"/>
      <c r="GR65" s="916"/>
      <c r="GS65" s="916"/>
      <c r="GT65" s="916"/>
      <c r="GU65" s="916"/>
      <c r="GV65" s="916"/>
      <c r="GW65" s="916"/>
      <c r="GX65" s="916"/>
      <c r="GY65" s="916"/>
      <c r="GZ65" s="916"/>
      <c r="HA65" s="916"/>
      <c r="HB65" s="916"/>
      <c r="HC65" s="916"/>
      <c r="HD65" s="916"/>
      <c r="HE65" s="916"/>
      <c r="HF65" s="916"/>
      <c r="HG65" s="916"/>
      <c r="HH65" s="916"/>
      <c r="HI65" s="916"/>
      <c r="HJ65" s="916"/>
      <c r="HK65" s="916"/>
      <c r="HL65" s="916"/>
      <c r="HM65" s="916"/>
      <c r="HN65" s="916"/>
      <c r="HO65" s="916"/>
    </row>
    <row r="66" spans="1:223" s="893" customFormat="1" ht="16.5" customHeight="1" thickBot="1" x14ac:dyDescent="0.25">
      <c r="A66" s="952"/>
      <c r="B66" s="953"/>
      <c r="C66" s="954"/>
      <c r="D66" s="942"/>
      <c r="E66" s="943"/>
      <c r="F66" s="944"/>
      <c r="G66" s="1130" t="s">
        <v>920</v>
      </c>
      <c r="H66" s="1114"/>
      <c r="I66" s="1114"/>
      <c r="J66" s="932">
        <v>1522</v>
      </c>
      <c r="K66" s="1172"/>
      <c r="L66" s="945"/>
      <c r="M66" s="927"/>
      <c r="N66" s="927"/>
      <c r="O66" s="927"/>
      <c r="P66" s="955"/>
      <c r="Q66" s="1172"/>
      <c r="R66" s="1128" t="s">
        <v>930</v>
      </c>
      <c r="S66" s="1129"/>
      <c r="T66" s="1129"/>
      <c r="U66" s="1129"/>
      <c r="V66" s="960">
        <v>9755</v>
      </c>
      <c r="W66" s="1127"/>
      <c r="X66" s="957"/>
      <c r="Y66" s="958"/>
      <c r="Z66" s="949"/>
      <c r="AA66" s="959"/>
      <c r="AB66" s="948"/>
      <c r="AC66" s="941"/>
      <c r="AD66" s="916"/>
      <c r="AE66" s="916"/>
      <c r="AF66" s="916"/>
      <c r="AG66" s="916"/>
      <c r="AH66" s="916"/>
      <c r="AI66" s="916"/>
      <c r="AJ66" s="916"/>
      <c r="AK66" s="916"/>
      <c r="AL66" s="916"/>
      <c r="AM66" s="916"/>
      <c r="AN66" s="916"/>
      <c r="AO66" s="916"/>
      <c r="AP66" s="916"/>
      <c r="AQ66" s="916"/>
      <c r="AR66" s="916"/>
      <c r="AS66" s="916"/>
      <c r="AT66" s="916"/>
      <c r="AU66" s="916"/>
      <c r="AV66" s="916"/>
      <c r="AW66" s="916"/>
      <c r="AX66" s="916"/>
      <c r="AY66" s="916"/>
      <c r="AZ66" s="916"/>
      <c r="BA66" s="916"/>
      <c r="BB66" s="916"/>
      <c r="BC66" s="916"/>
      <c r="BD66" s="916"/>
      <c r="BE66" s="916"/>
      <c r="BF66" s="916"/>
      <c r="BG66" s="916"/>
      <c r="BH66" s="916"/>
      <c r="BI66" s="916"/>
      <c r="BJ66" s="916"/>
      <c r="BK66" s="916"/>
      <c r="BL66" s="916"/>
      <c r="BM66" s="916"/>
      <c r="BN66" s="916"/>
      <c r="BO66" s="916"/>
      <c r="BP66" s="916"/>
      <c r="BQ66" s="916"/>
      <c r="BR66" s="916"/>
      <c r="BS66" s="916"/>
      <c r="BT66" s="916"/>
      <c r="BU66" s="916"/>
      <c r="BV66" s="916"/>
      <c r="BW66" s="916"/>
      <c r="BX66" s="916"/>
      <c r="BY66" s="916"/>
      <c r="BZ66" s="916"/>
      <c r="CA66" s="916"/>
      <c r="CB66" s="916"/>
      <c r="CC66" s="916"/>
      <c r="CD66" s="916"/>
      <c r="CE66" s="916"/>
      <c r="CF66" s="916"/>
      <c r="CG66" s="916"/>
      <c r="CH66" s="916"/>
      <c r="CI66" s="916"/>
      <c r="CJ66" s="916"/>
      <c r="CK66" s="916"/>
      <c r="CL66" s="916"/>
      <c r="CM66" s="916"/>
      <c r="CN66" s="916"/>
      <c r="CO66" s="916"/>
      <c r="CP66" s="916"/>
      <c r="CQ66" s="916"/>
      <c r="CR66" s="916"/>
      <c r="CS66" s="916"/>
      <c r="CT66" s="916"/>
      <c r="CU66" s="916"/>
      <c r="CV66" s="916"/>
      <c r="CW66" s="916"/>
      <c r="CX66" s="916"/>
      <c r="CY66" s="916"/>
      <c r="CZ66" s="916"/>
      <c r="DA66" s="916"/>
      <c r="DB66" s="916"/>
      <c r="DC66" s="916"/>
      <c r="DD66" s="916"/>
      <c r="DE66" s="916"/>
      <c r="DF66" s="916"/>
      <c r="DG66" s="916"/>
      <c r="DH66" s="916"/>
      <c r="DI66" s="916"/>
      <c r="DJ66" s="916"/>
      <c r="DK66" s="916"/>
      <c r="DL66" s="916"/>
      <c r="DM66" s="916"/>
      <c r="DN66" s="916"/>
      <c r="DO66" s="916"/>
      <c r="DP66" s="916"/>
      <c r="DQ66" s="916"/>
      <c r="DR66" s="916"/>
      <c r="DS66" s="916"/>
      <c r="DT66" s="916"/>
      <c r="DU66" s="916"/>
      <c r="DV66" s="916"/>
      <c r="DW66" s="916"/>
      <c r="DX66" s="916"/>
      <c r="DY66" s="916"/>
      <c r="DZ66" s="916"/>
      <c r="EA66" s="916"/>
      <c r="EB66" s="916"/>
      <c r="EC66" s="916"/>
      <c r="ED66" s="916"/>
      <c r="EE66" s="916"/>
      <c r="EF66" s="916"/>
      <c r="EG66" s="916"/>
      <c r="EH66" s="916"/>
      <c r="EI66" s="916"/>
      <c r="EJ66" s="916"/>
      <c r="EK66" s="916"/>
      <c r="EL66" s="916"/>
      <c r="EM66" s="916"/>
      <c r="EN66" s="916"/>
      <c r="EO66" s="916"/>
      <c r="EP66" s="916"/>
      <c r="EQ66" s="916"/>
      <c r="ER66" s="916"/>
      <c r="ES66" s="916"/>
      <c r="ET66" s="916"/>
      <c r="EU66" s="916"/>
      <c r="EV66" s="916"/>
      <c r="EW66" s="916"/>
      <c r="EX66" s="916"/>
      <c r="EY66" s="916"/>
      <c r="EZ66" s="916"/>
      <c r="FA66" s="916"/>
      <c r="FB66" s="916"/>
      <c r="FC66" s="916"/>
      <c r="FD66" s="916"/>
      <c r="FE66" s="916"/>
      <c r="FF66" s="916"/>
      <c r="FG66" s="916"/>
      <c r="FH66" s="916"/>
      <c r="FI66" s="916"/>
      <c r="FJ66" s="916"/>
      <c r="FK66" s="916"/>
      <c r="FL66" s="916"/>
      <c r="FM66" s="916"/>
      <c r="FN66" s="916"/>
      <c r="FO66" s="916"/>
      <c r="FP66" s="916"/>
      <c r="FQ66" s="916"/>
      <c r="FR66" s="916"/>
      <c r="FS66" s="916"/>
      <c r="FT66" s="916"/>
      <c r="FU66" s="916"/>
      <c r="FV66" s="916"/>
      <c r="FW66" s="916"/>
      <c r="FX66" s="916"/>
      <c r="FY66" s="916"/>
      <c r="FZ66" s="916"/>
      <c r="GA66" s="916"/>
      <c r="GB66" s="916"/>
      <c r="GC66" s="916"/>
      <c r="GD66" s="916"/>
      <c r="GE66" s="916"/>
      <c r="GF66" s="916"/>
      <c r="GG66" s="916"/>
      <c r="GH66" s="916"/>
      <c r="GI66" s="916"/>
      <c r="GJ66" s="916"/>
      <c r="GK66" s="916"/>
      <c r="GL66" s="916"/>
      <c r="GM66" s="916"/>
      <c r="GN66" s="916"/>
      <c r="GO66" s="916"/>
      <c r="GP66" s="916"/>
      <c r="GQ66" s="916"/>
      <c r="GR66" s="916"/>
      <c r="GS66" s="916"/>
      <c r="GT66" s="916"/>
      <c r="GU66" s="916"/>
      <c r="GV66" s="916"/>
      <c r="GW66" s="916"/>
      <c r="GX66" s="916"/>
      <c r="GY66" s="916"/>
      <c r="GZ66" s="916"/>
      <c r="HA66" s="916"/>
      <c r="HB66" s="916"/>
      <c r="HC66" s="916"/>
      <c r="HD66" s="916"/>
      <c r="HE66" s="916"/>
      <c r="HF66" s="916"/>
      <c r="HG66" s="916"/>
      <c r="HH66" s="916"/>
      <c r="HI66" s="916"/>
      <c r="HJ66" s="916"/>
      <c r="HK66" s="916"/>
      <c r="HL66" s="916"/>
      <c r="HM66" s="916"/>
      <c r="HN66" s="916"/>
      <c r="HO66" s="916"/>
    </row>
    <row r="67" spans="1:223" s="893" customFormat="1" ht="15.75" x14ac:dyDescent="0.2">
      <c r="A67" s="961"/>
      <c r="B67" s="962"/>
      <c r="C67" s="962"/>
      <c r="D67" s="963"/>
      <c r="E67" s="964"/>
      <c r="F67" s="965"/>
      <c r="G67" s="966"/>
      <c r="H67" s="967"/>
      <c r="I67" s="967"/>
      <c r="J67" s="968"/>
      <c r="K67" s="969"/>
      <c r="L67" s="1160"/>
      <c r="M67" s="1161"/>
      <c r="N67" s="1161"/>
      <c r="O67" s="1161"/>
      <c r="P67" s="970"/>
      <c r="Q67" s="1169">
        <f>SUM(P67:P69)</f>
        <v>5679</v>
      </c>
      <c r="R67" s="971"/>
      <c r="S67" s="972"/>
      <c r="T67" s="972"/>
      <c r="U67" s="972"/>
      <c r="V67" s="972"/>
      <c r="W67" s="973"/>
      <c r="X67" s="974"/>
      <c r="Y67" s="975"/>
      <c r="Z67" s="976"/>
      <c r="AA67" s="977"/>
      <c r="AB67" s="978"/>
      <c r="AC67" s="979"/>
      <c r="AD67" s="916"/>
      <c r="AE67" s="916"/>
      <c r="AF67" s="916"/>
      <c r="AG67" s="916"/>
      <c r="AH67" s="916"/>
      <c r="AI67" s="916"/>
      <c r="AJ67" s="916"/>
      <c r="AK67" s="916"/>
      <c r="AL67" s="916"/>
      <c r="AM67" s="916"/>
      <c r="AN67" s="916"/>
      <c r="AO67" s="916"/>
      <c r="AP67" s="916"/>
      <c r="AQ67" s="916"/>
      <c r="AR67" s="916"/>
      <c r="AS67" s="916"/>
      <c r="AT67" s="916"/>
      <c r="AU67" s="916"/>
      <c r="AV67" s="916"/>
      <c r="AW67" s="916"/>
      <c r="AX67" s="916"/>
      <c r="AY67" s="916"/>
      <c r="AZ67" s="916"/>
      <c r="BA67" s="916"/>
      <c r="BB67" s="916"/>
      <c r="BC67" s="916"/>
      <c r="BD67" s="916"/>
      <c r="BE67" s="916"/>
      <c r="BF67" s="916"/>
      <c r="BG67" s="916"/>
      <c r="BH67" s="916"/>
      <c r="BI67" s="916"/>
      <c r="BJ67" s="916"/>
      <c r="BK67" s="916"/>
      <c r="BL67" s="916"/>
      <c r="BM67" s="916"/>
      <c r="BN67" s="916"/>
      <c r="BO67" s="916"/>
      <c r="BP67" s="916"/>
      <c r="BQ67" s="916"/>
      <c r="BR67" s="916"/>
      <c r="BS67" s="916"/>
      <c r="BT67" s="916"/>
      <c r="BU67" s="916"/>
      <c r="BV67" s="916"/>
      <c r="BW67" s="916"/>
      <c r="BX67" s="916"/>
      <c r="BY67" s="916"/>
      <c r="BZ67" s="916"/>
      <c r="CA67" s="916"/>
      <c r="CB67" s="916"/>
      <c r="CC67" s="916"/>
      <c r="CD67" s="916"/>
      <c r="CE67" s="916"/>
      <c r="CF67" s="916"/>
      <c r="CG67" s="916"/>
      <c r="CH67" s="916"/>
      <c r="CI67" s="916"/>
      <c r="CJ67" s="916"/>
      <c r="CK67" s="916"/>
      <c r="CL67" s="916"/>
      <c r="CM67" s="916"/>
      <c r="CN67" s="916"/>
      <c r="CO67" s="916"/>
      <c r="CP67" s="916"/>
      <c r="CQ67" s="916"/>
      <c r="CR67" s="916"/>
      <c r="CS67" s="916"/>
      <c r="CT67" s="916"/>
      <c r="CU67" s="916"/>
      <c r="CV67" s="916"/>
      <c r="CW67" s="916"/>
      <c r="CX67" s="916"/>
      <c r="CY67" s="916"/>
      <c r="CZ67" s="916"/>
      <c r="DA67" s="916"/>
      <c r="DB67" s="916"/>
      <c r="DC67" s="916"/>
      <c r="DD67" s="916"/>
      <c r="DE67" s="916"/>
      <c r="DF67" s="916"/>
      <c r="DG67" s="916"/>
      <c r="DH67" s="916"/>
      <c r="DI67" s="916"/>
      <c r="DJ67" s="916"/>
      <c r="DK67" s="916"/>
      <c r="DL67" s="916"/>
      <c r="DM67" s="916"/>
      <c r="DN67" s="916"/>
      <c r="DO67" s="916"/>
      <c r="DP67" s="916"/>
      <c r="DQ67" s="916"/>
      <c r="DR67" s="916"/>
      <c r="DS67" s="916"/>
      <c r="DT67" s="916"/>
      <c r="DU67" s="916"/>
      <c r="DV67" s="916"/>
      <c r="DW67" s="916"/>
      <c r="DX67" s="916"/>
      <c r="DY67" s="916"/>
      <c r="DZ67" s="916"/>
      <c r="EA67" s="916"/>
      <c r="EB67" s="916"/>
      <c r="EC67" s="916"/>
      <c r="ED67" s="916"/>
      <c r="EE67" s="916"/>
      <c r="EF67" s="916"/>
      <c r="EG67" s="916"/>
      <c r="EH67" s="916"/>
      <c r="EI67" s="916"/>
      <c r="EJ67" s="916"/>
      <c r="EK67" s="916"/>
      <c r="EL67" s="916"/>
      <c r="EM67" s="916"/>
      <c r="EN67" s="916"/>
      <c r="EO67" s="916"/>
      <c r="EP67" s="916"/>
      <c r="EQ67" s="916"/>
      <c r="ER67" s="916"/>
      <c r="ES67" s="916"/>
      <c r="ET67" s="916"/>
      <c r="EU67" s="916"/>
      <c r="EV67" s="916"/>
      <c r="EW67" s="916"/>
      <c r="EX67" s="916"/>
      <c r="EY67" s="916"/>
      <c r="EZ67" s="916"/>
      <c r="FA67" s="916"/>
      <c r="FB67" s="916"/>
      <c r="FC67" s="916"/>
      <c r="FD67" s="916"/>
      <c r="FE67" s="916"/>
      <c r="FF67" s="916"/>
      <c r="FG67" s="916"/>
      <c r="FH67" s="916"/>
      <c r="FI67" s="916"/>
      <c r="FJ67" s="916"/>
      <c r="FK67" s="916"/>
      <c r="FL67" s="916"/>
      <c r="FM67" s="916"/>
      <c r="FN67" s="916"/>
      <c r="FO67" s="916"/>
      <c r="FP67" s="916"/>
      <c r="FQ67" s="916"/>
      <c r="FR67" s="916"/>
      <c r="FS67" s="916"/>
      <c r="FT67" s="916"/>
      <c r="FU67" s="916"/>
      <c r="FV67" s="916"/>
      <c r="FW67" s="916"/>
      <c r="FX67" s="916"/>
      <c r="FY67" s="916"/>
      <c r="FZ67" s="916"/>
      <c r="GA67" s="916"/>
      <c r="GB67" s="916"/>
      <c r="GC67" s="916"/>
      <c r="GD67" s="916"/>
      <c r="GE67" s="916"/>
      <c r="GF67" s="916"/>
      <c r="GG67" s="916"/>
      <c r="GH67" s="916"/>
      <c r="GI67" s="916"/>
      <c r="GJ67" s="916"/>
      <c r="GK67" s="916"/>
      <c r="GL67" s="916"/>
      <c r="GM67" s="916"/>
      <c r="GN67" s="916"/>
      <c r="GO67" s="916"/>
      <c r="GP67" s="916"/>
      <c r="GQ67" s="916"/>
      <c r="GR67" s="916"/>
      <c r="GS67" s="916"/>
      <c r="GT67" s="916"/>
      <c r="GU67" s="916"/>
      <c r="GV67" s="916"/>
      <c r="GW67" s="916"/>
      <c r="GX67" s="916"/>
      <c r="GY67" s="916"/>
      <c r="GZ67" s="916"/>
      <c r="HA67" s="916"/>
      <c r="HB67" s="916"/>
      <c r="HC67" s="916"/>
      <c r="HD67" s="916"/>
      <c r="HE67" s="916"/>
      <c r="HF67" s="916"/>
      <c r="HG67" s="916"/>
      <c r="HH67" s="916"/>
      <c r="HI67" s="916"/>
      <c r="HJ67" s="916"/>
      <c r="HK67" s="916"/>
      <c r="HL67" s="916"/>
      <c r="HM67" s="916"/>
      <c r="HN67" s="916"/>
      <c r="HO67" s="916"/>
    </row>
    <row r="68" spans="1:223" s="893" customFormat="1" ht="15.75" x14ac:dyDescent="0.2">
      <c r="A68" s="1147" t="s">
        <v>769</v>
      </c>
      <c r="B68" s="1148"/>
      <c r="C68" s="1149"/>
      <c r="D68" s="942">
        <f>5066+619+300+1051+137+2392+444-2836-940-269-148</f>
        <v>5816</v>
      </c>
      <c r="E68" s="943">
        <f>719-719</f>
        <v>0</v>
      </c>
      <c r="F68" s="944">
        <f>SUM(D68:E68)</f>
        <v>5816</v>
      </c>
      <c r="G68" s="980"/>
      <c r="H68" s="981"/>
      <c r="I68" s="981"/>
      <c r="J68" s="982"/>
      <c r="K68" s="983"/>
      <c r="L68" s="1128" t="s">
        <v>458</v>
      </c>
      <c r="M68" s="1129"/>
      <c r="N68" s="1129"/>
      <c r="O68" s="1129"/>
      <c r="P68" s="932">
        <f>5066+1970-1357</f>
        <v>5679</v>
      </c>
      <c r="Q68" s="1170"/>
      <c r="R68" s="1163"/>
      <c r="S68" s="1164"/>
      <c r="T68" s="1164"/>
      <c r="U68" s="1164"/>
      <c r="V68" s="984"/>
      <c r="W68" s="985">
        <f>SUM(V68)</f>
        <v>0</v>
      </c>
      <c r="X68" s="957">
        <f>SUM(K68+Q67+W69)</f>
        <v>5679</v>
      </c>
      <c r="Y68" s="958">
        <v>0</v>
      </c>
      <c r="Z68" s="949">
        <f>SUM(X68:Y68)</f>
        <v>5679</v>
      </c>
      <c r="AA68" s="950">
        <f>X68-D68</f>
        <v>-137</v>
      </c>
      <c r="AB68" s="948">
        <f>Y68-E68</f>
        <v>0</v>
      </c>
      <c r="AC68" s="951">
        <f>SUM(AA68:AB68)</f>
        <v>-137</v>
      </c>
      <c r="AD68" s="916"/>
      <c r="AE68" s="916"/>
      <c r="AF68" s="916"/>
      <c r="AG68" s="916"/>
      <c r="AH68" s="916"/>
      <c r="AI68" s="916"/>
      <c r="AJ68" s="916"/>
      <c r="AK68" s="916"/>
      <c r="AL68" s="916"/>
      <c r="AM68" s="916"/>
      <c r="AN68" s="916"/>
      <c r="AO68" s="916"/>
      <c r="AP68" s="916"/>
      <c r="AQ68" s="916"/>
      <c r="AR68" s="916"/>
      <c r="AS68" s="916"/>
      <c r="AT68" s="916"/>
      <c r="AU68" s="916"/>
      <c r="AV68" s="916"/>
      <c r="AW68" s="916"/>
      <c r="AX68" s="916"/>
      <c r="AY68" s="916"/>
      <c r="AZ68" s="916"/>
      <c r="BA68" s="916"/>
      <c r="BB68" s="916"/>
      <c r="BC68" s="916"/>
      <c r="BD68" s="916"/>
      <c r="BE68" s="916"/>
      <c r="BF68" s="916"/>
      <c r="BG68" s="916"/>
      <c r="BH68" s="916"/>
      <c r="BI68" s="916"/>
      <c r="BJ68" s="916"/>
      <c r="BK68" s="916"/>
      <c r="BL68" s="916"/>
      <c r="BM68" s="916"/>
      <c r="BN68" s="916"/>
      <c r="BO68" s="916"/>
      <c r="BP68" s="916"/>
      <c r="BQ68" s="916"/>
      <c r="BR68" s="916"/>
      <c r="BS68" s="916"/>
      <c r="BT68" s="916"/>
      <c r="BU68" s="916"/>
      <c r="BV68" s="916"/>
      <c r="BW68" s="916"/>
      <c r="BX68" s="916"/>
      <c r="BY68" s="916"/>
      <c r="BZ68" s="916"/>
      <c r="CA68" s="916"/>
      <c r="CB68" s="916"/>
      <c r="CC68" s="916"/>
      <c r="CD68" s="916"/>
      <c r="CE68" s="916"/>
      <c r="CF68" s="916"/>
      <c r="CG68" s="916"/>
      <c r="CH68" s="916"/>
      <c r="CI68" s="916"/>
      <c r="CJ68" s="916"/>
      <c r="CK68" s="916"/>
      <c r="CL68" s="916"/>
      <c r="CM68" s="916"/>
      <c r="CN68" s="916"/>
      <c r="CO68" s="916"/>
      <c r="CP68" s="916"/>
      <c r="CQ68" s="916"/>
      <c r="CR68" s="916"/>
      <c r="CS68" s="916"/>
      <c r="CT68" s="916"/>
      <c r="CU68" s="916"/>
      <c r="CV68" s="916"/>
      <c r="CW68" s="916"/>
      <c r="CX68" s="916"/>
      <c r="CY68" s="916"/>
      <c r="CZ68" s="916"/>
      <c r="DA68" s="916"/>
      <c r="DB68" s="916"/>
      <c r="DC68" s="916"/>
      <c r="DD68" s="916"/>
      <c r="DE68" s="916"/>
      <c r="DF68" s="916"/>
      <c r="DG68" s="916"/>
      <c r="DH68" s="916"/>
      <c r="DI68" s="916"/>
      <c r="DJ68" s="916"/>
      <c r="DK68" s="916"/>
      <c r="DL68" s="916"/>
      <c r="DM68" s="916"/>
      <c r="DN68" s="916"/>
      <c r="DO68" s="916"/>
      <c r="DP68" s="916"/>
      <c r="DQ68" s="916"/>
      <c r="DR68" s="916"/>
      <c r="DS68" s="916"/>
      <c r="DT68" s="916"/>
      <c r="DU68" s="916"/>
      <c r="DV68" s="916"/>
      <c r="DW68" s="916"/>
      <c r="DX68" s="916"/>
      <c r="DY68" s="916"/>
      <c r="DZ68" s="916"/>
      <c r="EA68" s="916"/>
      <c r="EB68" s="916"/>
      <c r="EC68" s="916"/>
      <c r="ED68" s="916"/>
      <c r="EE68" s="916"/>
      <c r="EF68" s="916"/>
      <c r="EG68" s="916"/>
      <c r="EH68" s="916"/>
      <c r="EI68" s="916"/>
      <c r="EJ68" s="916"/>
      <c r="EK68" s="916"/>
      <c r="EL68" s="916"/>
      <c r="EM68" s="916"/>
      <c r="EN68" s="916"/>
      <c r="EO68" s="916"/>
      <c r="EP68" s="916"/>
      <c r="EQ68" s="916"/>
      <c r="ER68" s="916"/>
      <c r="ES68" s="916"/>
      <c r="ET68" s="916"/>
      <c r="EU68" s="916"/>
      <c r="EV68" s="916"/>
      <c r="EW68" s="916"/>
      <c r="EX68" s="916"/>
      <c r="EY68" s="916"/>
      <c r="EZ68" s="916"/>
      <c r="FA68" s="916"/>
      <c r="FB68" s="916"/>
      <c r="FC68" s="916"/>
      <c r="FD68" s="916"/>
      <c r="FE68" s="916"/>
      <c r="FF68" s="916"/>
      <c r="FG68" s="916"/>
      <c r="FH68" s="916"/>
      <c r="FI68" s="916"/>
      <c r="FJ68" s="916"/>
      <c r="FK68" s="916"/>
      <c r="FL68" s="916"/>
      <c r="FM68" s="916"/>
      <c r="FN68" s="916"/>
      <c r="FO68" s="916"/>
      <c r="FP68" s="916"/>
      <c r="FQ68" s="916"/>
      <c r="FR68" s="916"/>
      <c r="FS68" s="916"/>
      <c r="FT68" s="916"/>
      <c r="FU68" s="916"/>
      <c r="FV68" s="916"/>
      <c r="FW68" s="916"/>
      <c r="FX68" s="916"/>
      <c r="FY68" s="916"/>
      <c r="FZ68" s="916"/>
      <c r="GA68" s="916"/>
      <c r="GB68" s="916"/>
      <c r="GC68" s="916"/>
      <c r="GD68" s="916"/>
      <c r="GE68" s="916"/>
      <c r="GF68" s="916"/>
      <c r="GG68" s="916"/>
      <c r="GH68" s="916"/>
      <c r="GI68" s="916"/>
      <c r="GJ68" s="916"/>
      <c r="GK68" s="916"/>
      <c r="GL68" s="916"/>
      <c r="GM68" s="916"/>
      <c r="GN68" s="916"/>
      <c r="GO68" s="916"/>
      <c r="GP68" s="916"/>
      <c r="GQ68" s="916"/>
      <c r="GR68" s="916"/>
      <c r="GS68" s="916"/>
      <c r="GT68" s="916"/>
      <c r="GU68" s="916"/>
      <c r="GV68" s="916"/>
      <c r="GW68" s="916"/>
      <c r="GX68" s="916"/>
      <c r="GY68" s="916"/>
      <c r="GZ68" s="916"/>
      <c r="HA68" s="916"/>
      <c r="HB68" s="916"/>
      <c r="HC68" s="916"/>
      <c r="HD68" s="916"/>
      <c r="HE68" s="916"/>
      <c r="HF68" s="916"/>
      <c r="HG68" s="916"/>
      <c r="HH68" s="916"/>
      <c r="HI68" s="916"/>
      <c r="HJ68" s="916"/>
      <c r="HK68" s="916"/>
      <c r="HL68" s="916"/>
      <c r="HM68" s="916"/>
      <c r="HN68" s="916"/>
      <c r="HO68" s="916"/>
    </row>
    <row r="69" spans="1:223" ht="16.5" thickBot="1" x14ac:dyDescent="0.3">
      <c r="A69" s="458"/>
      <c r="B69" s="459"/>
      <c r="C69" s="459"/>
      <c r="D69" s="533"/>
      <c r="E69" s="534"/>
      <c r="F69" s="587"/>
      <c r="G69" s="638"/>
      <c r="H69" s="639"/>
      <c r="I69" s="639"/>
      <c r="J69" s="640"/>
      <c r="K69" s="746"/>
      <c r="L69" s="492"/>
      <c r="M69" s="470"/>
      <c r="N69" s="470"/>
      <c r="O69" s="470"/>
      <c r="P69" s="470"/>
      <c r="Q69" s="1170"/>
      <c r="R69" s="585"/>
      <c r="S69" s="585"/>
      <c r="T69" s="585"/>
      <c r="U69" s="585"/>
      <c r="V69" s="585"/>
      <c r="W69" s="588"/>
      <c r="X69" s="589"/>
      <c r="Y69" s="590"/>
      <c r="Z69" s="554"/>
      <c r="AA69" s="591"/>
      <c r="AB69" s="592"/>
      <c r="AC69" s="510"/>
    </row>
    <row r="70" spans="1:223" ht="47.25" customHeight="1" thickTop="1" thickBot="1" x14ac:dyDescent="0.3">
      <c r="A70" s="1150" t="s">
        <v>116</v>
      </c>
      <c r="B70" s="1151"/>
      <c r="C70" s="1152"/>
      <c r="D70" s="629">
        <f>SUM(D62:D69)</f>
        <v>207258</v>
      </c>
      <c r="E70" s="630">
        <f>SUM(E62:E69)</f>
        <v>670</v>
      </c>
      <c r="F70" s="593">
        <f>SUM(D70:E70)</f>
        <v>207928</v>
      </c>
      <c r="G70" s="594"/>
      <c r="H70" s="1153" t="s">
        <v>111</v>
      </c>
      <c r="I70" s="1154"/>
      <c r="J70" s="1155"/>
      <c r="K70" s="595">
        <f>SUM(K61:K69)</f>
        <v>152312</v>
      </c>
      <c r="L70" s="517"/>
      <c r="M70" s="1156" t="s">
        <v>112</v>
      </c>
      <c r="N70" s="1156"/>
      <c r="O70" s="1156"/>
      <c r="P70" s="1157"/>
      <c r="Q70" s="648">
        <f>SUM(Q61:Q69)</f>
        <v>11924</v>
      </c>
      <c r="R70" s="649"/>
      <c r="S70" s="1156" t="s">
        <v>113</v>
      </c>
      <c r="T70" s="1156"/>
      <c r="U70" s="1156"/>
      <c r="V70" s="1157"/>
      <c r="W70" s="596">
        <f>SUM(W62:W69)</f>
        <v>16778</v>
      </c>
      <c r="X70" s="597">
        <f>SUM(X60:X69)</f>
        <v>181014</v>
      </c>
      <c r="Y70" s="598">
        <f>SUM(Y60:Y69)</f>
        <v>0</v>
      </c>
      <c r="Z70" s="599">
        <f>SUM(X70:Y70)</f>
        <v>181014</v>
      </c>
      <c r="AA70" s="597">
        <f>X70-D70</f>
        <v>-26244</v>
      </c>
      <c r="AB70" s="600">
        <f>Y70-E70</f>
        <v>-670</v>
      </c>
      <c r="AC70" s="599">
        <f>SUM(AA70:AB70)</f>
        <v>-26914</v>
      </c>
    </row>
    <row r="71" spans="1:223" ht="20.25" thickTop="1" thickBot="1" x14ac:dyDescent="0.35">
      <c r="A71" s="1137" t="s">
        <v>606</v>
      </c>
      <c r="B71" s="1138"/>
      <c r="C71" s="1139"/>
      <c r="D71" s="601">
        <f>SUM(D70,D57,D41)</f>
        <v>1470808</v>
      </c>
      <c r="E71" s="602">
        <f>SUM(E70,E57,E41)</f>
        <v>4354704</v>
      </c>
      <c r="F71" s="603">
        <f>SUM(D71:E71)</f>
        <v>5825512</v>
      </c>
      <c r="G71" s="485"/>
      <c r="H71" s="1140" t="s">
        <v>117</v>
      </c>
      <c r="I71" s="1141"/>
      <c r="J71" s="1142"/>
      <c r="K71" s="604">
        <f>SUM(K70,K57,K41)</f>
        <v>798076</v>
      </c>
      <c r="L71" s="605"/>
      <c r="M71" s="1143" t="s">
        <v>118</v>
      </c>
      <c r="N71" s="1143"/>
      <c r="O71" s="1143"/>
      <c r="P71" s="1144"/>
      <c r="Q71" s="483">
        <f>SUM(Q70,Q57,Q41)</f>
        <v>3784804</v>
      </c>
      <c r="R71" s="606"/>
      <c r="S71" s="1143" t="s">
        <v>119</v>
      </c>
      <c r="T71" s="1143"/>
      <c r="U71" s="1143"/>
      <c r="V71" s="1144"/>
      <c r="W71" s="487">
        <f>SUM(W70,W57,W41)</f>
        <v>1242632</v>
      </c>
      <c r="X71" s="743">
        <f>SUM(X70,X57,X41)</f>
        <v>1484270</v>
      </c>
      <c r="Y71" s="744">
        <f>SUM(Y70,Y57,Y41)</f>
        <v>4341242</v>
      </c>
      <c r="Z71" s="745">
        <f>SUM(W71+Q71+K71)</f>
        <v>5825512</v>
      </c>
      <c r="AA71" s="608">
        <f>SUM(AA70,AA57,AA41)</f>
        <v>13462</v>
      </c>
      <c r="AB71" s="607">
        <f>SUM(AB70,AB57,AB41)</f>
        <v>-13462</v>
      </c>
      <c r="AC71" s="609">
        <f>SUM(AC70,AC57,AC41)</f>
        <v>0</v>
      </c>
    </row>
    <row r="72" spans="1:223" ht="16.5" thickTop="1" x14ac:dyDescent="0.2">
      <c r="A72" s="585"/>
      <c r="B72" s="585"/>
      <c r="C72" s="585"/>
      <c r="D72" s="585"/>
      <c r="E72" s="585"/>
      <c r="F72" s="585"/>
      <c r="G72" s="610"/>
      <c r="H72" s="610"/>
      <c r="I72" s="610"/>
      <c r="J72" s="611"/>
      <c r="K72" s="528"/>
      <c r="L72" s="612"/>
      <c r="M72" s="470"/>
      <c r="N72" s="470"/>
      <c r="O72" s="470"/>
      <c r="P72" s="470"/>
      <c r="Q72" s="470"/>
      <c r="R72" s="612"/>
      <c r="S72" s="585"/>
      <c r="T72" s="585"/>
      <c r="U72" s="585"/>
      <c r="V72" s="585"/>
      <c r="W72" s="585"/>
      <c r="X72" s="585"/>
      <c r="Y72" s="585"/>
      <c r="Z72" s="585"/>
      <c r="AA72" s="585"/>
      <c r="AB72" s="585"/>
      <c r="AC72" s="612"/>
    </row>
    <row r="73" spans="1:223" ht="15.75" x14ac:dyDescent="0.2">
      <c r="A73" s="585"/>
      <c r="B73" s="585"/>
      <c r="C73" s="585"/>
      <c r="D73" s="1108" t="s">
        <v>766</v>
      </c>
      <c r="E73" s="1145"/>
      <c r="F73" s="1145"/>
      <c r="G73" s="434"/>
      <c r="H73" s="434"/>
      <c r="I73" s="434"/>
      <c r="J73" s="427"/>
      <c r="K73" s="528"/>
      <c r="L73" s="470"/>
      <c r="M73" s="470"/>
      <c r="N73" s="470"/>
      <c r="O73" s="470"/>
      <c r="P73" s="470"/>
      <c r="Q73" s="470"/>
      <c r="R73" s="470"/>
      <c r="S73" s="585"/>
      <c r="T73" s="585"/>
      <c r="U73" s="585"/>
      <c r="V73" s="585"/>
      <c r="W73" s="1108" t="s">
        <v>120</v>
      </c>
      <c r="X73" s="1109"/>
      <c r="Y73" s="1109"/>
      <c r="Z73" s="613"/>
      <c r="AA73" s="1108" t="s">
        <v>102</v>
      </c>
      <c r="AB73" s="1109"/>
      <c r="AC73" s="1109"/>
    </row>
    <row r="74" spans="1:223" ht="15.75" x14ac:dyDescent="0.2">
      <c r="A74" s="585"/>
      <c r="B74" s="585"/>
      <c r="C74" s="585"/>
      <c r="D74" s="614" t="s">
        <v>103</v>
      </c>
      <c r="E74" s="614" t="s">
        <v>121</v>
      </c>
      <c r="F74" s="614" t="s">
        <v>104</v>
      </c>
      <c r="G74" s="434"/>
      <c r="H74" s="434"/>
      <c r="I74" s="434"/>
      <c r="J74" s="427"/>
      <c r="K74" s="528"/>
      <c r="L74" s="470"/>
      <c r="M74" s="470"/>
      <c r="N74" s="470"/>
      <c r="O74" s="470"/>
      <c r="P74" s="470"/>
      <c r="Q74" s="470"/>
      <c r="R74" s="470"/>
      <c r="S74" s="1110" t="s">
        <v>106</v>
      </c>
      <c r="T74" s="1110"/>
      <c r="U74" s="1110"/>
      <c r="V74" s="1110"/>
      <c r="W74" s="614" t="s">
        <v>103</v>
      </c>
      <c r="X74" s="614" t="s">
        <v>121</v>
      </c>
      <c r="Y74" s="614" t="s">
        <v>104</v>
      </c>
      <c r="Z74" s="615"/>
      <c r="AA74" s="614" t="s">
        <v>103</v>
      </c>
      <c r="AB74" s="614" t="s">
        <v>121</v>
      </c>
      <c r="AC74" s="614" t="s">
        <v>104</v>
      </c>
    </row>
    <row r="75" spans="1:223" ht="15.75" x14ac:dyDescent="0.2">
      <c r="A75" s="585"/>
      <c r="B75" s="585"/>
      <c r="C75" s="616" t="s">
        <v>122</v>
      </c>
      <c r="D75" s="585"/>
      <c r="E75" s="585"/>
      <c r="F75" s="585"/>
      <c r="G75" s="434"/>
      <c r="H75" s="434"/>
      <c r="I75" s="434"/>
      <c r="J75" s="427"/>
      <c r="K75" s="528"/>
      <c r="L75" s="470"/>
      <c r="M75" s="470"/>
      <c r="N75" s="470"/>
      <c r="O75" s="470"/>
      <c r="P75" s="470"/>
      <c r="Q75" s="470"/>
      <c r="R75" s="470"/>
      <c r="S75" s="585"/>
      <c r="T75" s="616" t="s">
        <v>122</v>
      </c>
      <c r="U75" s="585"/>
      <c r="V75" s="1108"/>
      <c r="W75" s="1109"/>
      <c r="X75" s="585"/>
      <c r="Y75" s="585"/>
      <c r="Z75" s="585"/>
      <c r="AA75" s="585"/>
      <c r="AB75" s="585"/>
      <c r="AC75" s="470"/>
    </row>
    <row r="76" spans="1:223" ht="15.75" x14ac:dyDescent="0.2">
      <c r="A76" s="585"/>
      <c r="B76" s="585"/>
      <c r="C76" s="617" t="s">
        <v>123</v>
      </c>
      <c r="D76" s="586">
        <f>SUM(D9)</f>
        <v>815857</v>
      </c>
      <c r="E76" s="586">
        <f>SUM(E9)</f>
        <v>3665098</v>
      </c>
      <c r="F76" s="586">
        <f>SUM(D76:E76)</f>
        <v>4480955</v>
      </c>
      <c r="G76" s="434"/>
      <c r="H76" s="434"/>
      <c r="I76" s="434"/>
      <c r="J76" s="427"/>
      <c r="K76" s="528"/>
      <c r="L76" s="470"/>
      <c r="M76" s="470"/>
      <c r="N76" s="470"/>
      <c r="O76" s="470"/>
      <c r="P76" s="470"/>
      <c r="Q76" s="470"/>
      <c r="R76" s="470"/>
      <c r="S76" s="585"/>
      <c r="T76" s="617" t="s">
        <v>123</v>
      </c>
      <c r="U76" s="585"/>
      <c r="V76" s="617"/>
      <c r="W76" s="586">
        <f>SUM(X12)</f>
        <v>933699</v>
      </c>
      <c r="X76" s="586">
        <f>Y12</f>
        <v>3850603</v>
      </c>
      <c r="Y76" s="586">
        <f>SUM(W76:X76)</f>
        <v>4784302</v>
      </c>
      <c r="Z76" s="560"/>
      <c r="AA76" s="586">
        <f t="shared" ref="AA76:AB78" si="0">W76-D76</f>
        <v>117842</v>
      </c>
      <c r="AB76" s="586">
        <f t="shared" si="0"/>
        <v>185505</v>
      </c>
      <c r="AC76" s="560">
        <f>SUM(AA76:AB76)</f>
        <v>303347</v>
      </c>
    </row>
    <row r="77" spans="1:223" ht="15.75" x14ac:dyDescent="0.2">
      <c r="A77" s="585"/>
      <c r="B77" s="585"/>
      <c r="C77" s="617" t="s">
        <v>615</v>
      </c>
      <c r="D77" s="586">
        <f>SUM(D46)</f>
        <v>314055</v>
      </c>
      <c r="E77" s="586">
        <f>SUM(E46)</f>
        <v>254</v>
      </c>
      <c r="F77" s="586">
        <f>SUM(D77:E77)</f>
        <v>314309</v>
      </c>
      <c r="G77" s="434"/>
      <c r="H77" s="434"/>
      <c r="I77" s="434"/>
      <c r="J77" s="618"/>
      <c r="K77" s="528"/>
      <c r="L77" s="470"/>
      <c r="M77" s="470"/>
      <c r="N77" s="470"/>
      <c r="O77" s="470"/>
      <c r="P77" s="470"/>
      <c r="Q77" s="470"/>
      <c r="R77" s="470"/>
      <c r="S77" s="585"/>
      <c r="T77" s="617" t="s">
        <v>615</v>
      </c>
      <c r="U77" s="585"/>
      <c r="V77" s="617"/>
      <c r="W77" s="586">
        <f>SUM(X46)</f>
        <v>295075</v>
      </c>
      <c r="X77" s="586">
        <f>Y46</f>
        <v>0</v>
      </c>
      <c r="Y77" s="586">
        <f>SUM(W77:X77)</f>
        <v>295075</v>
      </c>
      <c r="Z77" s="560"/>
      <c r="AA77" s="586">
        <f t="shared" si="0"/>
        <v>-18980</v>
      </c>
      <c r="AB77" s="586">
        <f t="shared" si="0"/>
        <v>-254</v>
      </c>
      <c r="AC77" s="560">
        <f>SUM(AA77:AB77)</f>
        <v>-19234</v>
      </c>
    </row>
    <row r="78" spans="1:223" x14ac:dyDescent="0.2">
      <c r="A78" s="585"/>
      <c r="B78" s="585"/>
      <c r="C78" s="619" t="s">
        <v>124</v>
      </c>
      <c r="D78" s="620">
        <f>SUM(D63)</f>
        <v>201442</v>
      </c>
      <c r="E78" s="620">
        <f>SUM(E63)</f>
        <v>670</v>
      </c>
      <c r="F78" s="620">
        <f>SUM(D78:E78)</f>
        <v>202112</v>
      </c>
      <c r="G78" s="585"/>
      <c r="H78" s="585"/>
      <c r="I78" s="585"/>
      <c r="J78" s="585"/>
      <c r="K78" s="470"/>
      <c r="L78" s="470"/>
      <c r="M78" s="470"/>
      <c r="N78" s="470"/>
      <c r="O78" s="470"/>
      <c r="P78" s="470"/>
      <c r="Q78" s="470"/>
      <c r="R78" s="470"/>
      <c r="S78" s="585"/>
      <c r="T78" s="619" t="s">
        <v>124</v>
      </c>
      <c r="U78" s="621"/>
      <c r="V78" s="622"/>
      <c r="W78" s="620">
        <f>SUM(X63)</f>
        <v>175335</v>
      </c>
      <c r="X78" s="620">
        <f>Y63</f>
        <v>0</v>
      </c>
      <c r="Y78" s="620">
        <f>SUM(W78:X78)</f>
        <v>175335</v>
      </c>
      <c r="Z78" s="560"/>
      <c r="AA78" s="620">
        <f t="shared" si="0"/>
        <v>-26107</v>
      </c>
      <c r="AB78" s="620">
        <f t="shared" si="0"/>
        <v>-670</v>
      </c>
      <c r="AC78" s="620">
        <f>SUM(AA78:AB78)</f>
        <v>-26777</v>
      </c>
    </row>
    <row r="79" spans="1:223" x14ac:dyDescent="0.2">
      <c r="A79" s="585"/>
      <c r="B79" s="585"/>
      <c r="C79" s="623" t="s">
        <v>605</v>
      </c>
      <c r="D79" s="586">
        <f>SUM(D76:D78)</f>
        <v>1331354</v>
      </c>
      <c r="E79" s="586">
        <f>SUM(E76:E78)</f>
        <v>3666022</v>
      </c>
      <c r="F79" s="586">
        <f>SUM(F76:F78)</f>
        <v>4997376</v>
      </c>
      <c r="G79" s="585"/>
      <c r="H79" s="585"/>
      <c r="I79" s="585"/>
      <c r="J79" s="585"/>
      <c r="K79" s="470"/>
      <c r="L79" s="470"/>
      <c r="M79" s="470"/>
      <c r="N79" s="470"/>
      <c r="O79" s="470"/>
      <c r="P79" s="470"/>
      <c r="Q79" s="470"/>
      <c r="R79" s="470"/>
      <c r="S79" s="585"/>
      <c r="T79" s="623" t="s">
        <v>605</v>
      </c>
      <c r="U79" s="585"/>
      <c r="V79" s="623"/>
      <c r="W79" s="586">
        <f>SUM(W76:W78)</f>
        <v>1404109</v>
      </c>
      <c r="X79" s="586">
        <f>SUM(X76:X78)</f>
        <v>3850603</v>
      </c>
      <c r="Y79" s="586">
        <f>SUM(Y76:Y78)</f>
        <v>5254712</v>
      </c>
      <c r="Z79" s="560"/>
      <c r="AA79" s="586">
        <f>SUM(AA76:AA78)</f>
        <v>72755</v>
      </c>
      <c r="AB79" s="586">
        <f>SUM(AB76:AB78)</f>
        <v>184581</v>
      </c>
      <c r="AC79" s="586">
        <f>SUM(AC76:AC78)</f>
        <v>257336</v>
      </c>
    </row>
    <row r="80" spans="1:223" x14ac:dyDescent="0.2">
      <c r="A80" s="585"/>
      <c r="B80" s="585"/>
      <c r="C80" s="585"/>
      <c r="D80" s="586"/>
      <c r="E80" s="586"/>
      <c r="F80" s="586"/>
      <c r="G80" s="585"/>
      <c r="H80" s="585"/>
      <c r="I80" s="585"/>
      <c r="J80" s="585"/>
      <c r="K80" s="585"/>
      <c r="L80" s="470"/>
      <c r="M80" s="470"/>
      <c r="N80" s="470"/>
      <c r="O80" s="470"/>
      <c r="P80" s="470"/>
      <c r="Q80" s="470"/>
      <c r="R80" s="470"/>
      <c r="S80" s="585"/>
      <c r="T80" s="585"/>
      <c r="U80" s="585"/>
      <c r="V80" s="585"/>
      <c r="W80" s="585"/>
      <c r="X80" s="585"/>
      <c r="Y80" s="585"/>
      <c r="Z80" s="585"/>
      <c r="AA80" s="585"/>
      <c r="AB80" s="585"/>
      <c r="AC80" s="470"/>
    </row>
    <row r="81" spans="1:29" x14ac:dyDescent="0.2">
      <c r="A81" s="585"/>
      <c r="B81" s="585"/>
      <c r="C81" s="616" t="s">
        <v>125</v>
      </c>
      <c r="D81" s="586"/>
      <c r="E81" s="586"/>
      <c r="F81" s="586"/>
      <c r="G81" s="585"/>
      <c r="H81" s="585"/>
      <c r="I81" s="585"/>
      <c r="J81" s="585"/>
      <c r="K81" s="585"/>
      <c r="L81" s="470"/>
      <c r="M81" s="470"/>
      <c r="N81" s="470"/>
      <c r="O81" s="470"/>
      <c r="P81" s="470"/>
      <c r="Q81" s="470"/>
      <c r="R81" s="470"/>
      <c r="S81" s="585"/>
      <c r="T81" s="616" t="s">
        <v>125</v>
      </c>
      <c r="U81" s="624"/>
      <c r="V81" s="616"/>
      <c r="W81" s="625"/>
      <c r="X81" s="625"/>
      <c r="Y81" s="585"/>
      <c r="Z81" s="585"/>
      <c r="AA81" s="585"/>
      <c r="AB81" s="585"/>
      <c r="AC81" s="470"/>
    </row>
    <row r="82" spans="1:29" x14ac:dyDescent="0.2">
      <c r="A82" s="585"/>
      <c r="B82" s="585"/>
      <c r="C82" s="617" t="s">
        <v>123</v>
      </c>
      <c r="D82" s="586">
        <f>SUM(D36)</f>
        <v>96435</v>
      </c>
      <c r="E82" s="586">
        <f>SUM(E36)</f>
        <v>688013</v>
      </c>
      <c r="F82" s="586">
        <f>SUM(D82:E82)</f>
        <v>784448</v>
      </c>
      <c r="G82" s="585"/>
      <c r="H82" s="585"/>
      <c r="I82" s="585"/>
      <c r="J82" s="585"/>
      <c r="K82" s="585"/>
      <c r="L82" s="470"/>
      <c r="M82" s="470"/>
      <c r="N82" s="470"/>
      <c r="O82" s="470"/>
      <c r="P82" s="470"/>
      <c r="Q82" s="470"/>
      <c r="R82" s="470"/>
      <c r="S82" s="585"/>
      <c r="T82" s="617" t="s">
        <v>123</v>
      </c>
      <c r="U82" s="585"/>
      <c r="V82" s="617"/>
      <c r="W82" s="586">
        <f>SUM(X35)</f>
        <v>44765</v>
      </c>
      <c r="X82" s="586">
        <f>Y35</f>
        <v>490639</v>
      </c>
      <c r="Y82" s="586">
        <f>SUM(W82:X82)</f>
        <v>535404</v>
      </c>
      <c r="Z82" s="560"/>
      <c r="AA82" s="586">
        <f t="shared" ref="AA82:AB84" si="1">W82-D82</f>
        <v>-51670</v>
      </c>
      <c r="AB82" s="586">
        <f t="shared" si="1"/>
        <v>-197374</v>
      </c>
      <c r="AC82" s="560">
        <f>SUM(AA82:AB82)</f>
        <v>-249044</v>
      </c>
    </row>
    <row r="83" spans="1:29" x14ac:dyDescent="0.2">
      <c r="A83" s="585"/>
      <c r="B83" s="585"/>
      <c r="C83" s="617" t="s">
        <v>615</v>
      </c>
      <c r="D83" s="586">
        <v>0</v>
      </c>
      <c r="E83" s="586">
        <v>0</v>
      </c>
      <c r="F83" s="586">
        <f>SUM(D83:E83)</f>
        <v>0</v>
      </c>
      <c r="G83" s="585"/>
      <c r="H83" s="585"/>
      <c r="I83" s="585"/>
      <c r="J83" s="585"/>
      <c r="K83" s="585"/>
      <c r="L83" s="470"/>
      <c r="M83" s="470"/>
      <c r="N83" s="470"/>
      <c r="O83" s="470"/>
      <c r="P83" s="470"/>
      <c r="Q83" s="470"/>
      <c r="R83" s="470"/>
      <c r="S83" s="585"/>
      <c r="T83" s="617" t="s">
        <v>615</v>
      </c>
      <c r="U83" s="585"/>
      <c r="V83" s="617"/>
      <c r="W83" s="586">
        <v>0</v>
      </c>
      <c r="X83" s="586">
        <v>0</v>
      </c>
      <c r="Y83" s="586">
        <f>SUM(W83:X83)</f>
        <v>0</v>
      </c>
      <c r="Z83" s="560"/>
      <c r="AA83" s="586">
        <f t="shared" si="1"/>
        <v>0</v>
      </c>
      <c r="AB83" s="586">
        <f t="shared" si="1"/>
        <v>0</v>
      </c>
      <c r="AC83" s="560">
        <f>SUM(AA83:AB83)</f>
        <v>0</v>
      </c>
    </row>
    <row r="84" spans="1:29" x14ac:dyDescent="0.2">
      <c r="A84" s="585"/>
      <c r="B84" s="585"/>
      <c r="C84" s="619" t="s">
        <v>124</v>
      </c>
      <c r="D84" s="620">
        <f>SUM(D68)</f>
        <v>5816</v>
      </c>
      <c r="E84" s="620">
        <v>0</v>
      </c>
      <c r="F84" s="620">
        <f>SUM(D84:E84)</f>
        <v>5816</v>
      </c>
      <c r="G84" s="585"/>
      <c r="H84" s="585"/>
      <c r="I84" s="585"/>
      <c r="J84" s="585"/>
      <c r="K84" s="585"/>
      <c r="L84" s="470"/>
      <c r="M84" s="470"/>
      <c r="N84" s="470"/>
      <c r="O84" s="470"/>
      <c r="P84" s="470"/>
      <c r="Q84" s="470"/>
      <c r="R84" s="470"/>
      <c r="S84" s="585"/>
      <c r="T84" s="619" t="s">
        <v>124</v>
      </c>
      <c r="U84" s="621"/>
      <c r="V84" s="622"/>
      <c r="W84" s="620">
        <f>SUM(X68)</f>
        <v>5679</v>
      </c>
      <c r="X84" s="620">
        <v>0</v>
      </c>
      <c r="Y84" s="620">
        <f>SUM(W84:X84)</f>
        <v>5679</v>
      </c>
      <c r="Z84" s="560"/>
      <c r="AA84" s="620">
        <f t="shared" si="1"/>
        <v>-137</v>
      </c>
      <c r="AB84" s="620">
        <f t="shared" si="1"/>
        <v>0</v>
      </c>
      <c r="AC84" s="620">
        <f>SUM(AA84:AB84)</f>
        <v>-137</v>
      </c>
    </row>
    <row r="85" spans="1:29" x14ac:dyDescent="0.2">
      <c r="A85" s="585"/>
      <c r="B85" s="585"/>
      <c r="C85" s="623" t="s">
        <v>605</v>
      </c>
      <c r="D85" s="586">
        <f>SUM(D82:D84)</f>
        <v>102251</v>
      </c>
      <c r="E85" s="586">
        <f>SUM(E82:E84)</f>
        <v>688013</v>
      </c>
      <c r="F85" s="586">
        <f>SUM(F82:F84)</f>
        <v>790264</v>
      </c>
      <c r="G85" s="585"/>
      <c r="H85" s="585"/>
      <c r="I85" s="585"/>
      <c r="J85" s="585"/>
      <c r="K85" s="585"/>
      <c r="L85" s="470"/>
      <c r="M85" s="470"/>
      <c r="N85" s="470"/>
      <c r="O85" s="470"/>
      <c r="P85" s="470"/>
      <c r="Q85" s="470"/>
      <c r="R85" s="470"/>
      <c r="S85" s="585"/>
      <c r="T85" s="623" t="s">
        <v>605</v>
      </c>
      <c r="U85" s="585"/>
      <c r="V85" s="623"/>
      <c r="W85" s="586">
        <f>SUM(W82:W84)</f>
        <v>50444</v>
      </c>
      <c r="X85" s="586">
        <f>SUM(X82:X84)</f>
        <v>490639</v>
      </c>
      <c r="Y85" s="586">
        <f>SUM(Y82:Y84)</f>
        <v>541083</v>
      </c>
      <c r="Z85" s="560"/>
      <c r="AA85" s="586">
        <f>SUM(AA82:AA84)</f>
        <v>-51807</v>
      </c>
      <c r="AB85" s="586">
        <f>SUM(AB82:AB84)</f>
        <v>-197374</v>
      </c>
      <c r="AC85" s="586">
        <f>SUM(AC82:AC84)</f>
        <v>-249181</v>
      </c>
    </row>
    <row r="86" spans="1:29" x14ac:dyDescent="0.2">
      <c r="A86" s="585"/>
      <c r="B86" s="585"/>
      <c r="C86" s="585"/>
      <c r="D86" s="586"/>
      <c r="E86" s="586"/>
      <c r="F86" s="586"/>
      <c r="G86" s="585"/>
      <c r="H86" s="585"/>
      <c r="I86" s="585"/>
      <c r="J86" s="585"/>
      <c r="K86" s="585"/>
      <c r="L86" s="585"/>
      <c r="M86" s="585"/>
      <c r="N86" s="585"/>
      <c r="O86" s="585"/>
      <c r="P86" s="585"/>
      <c r="Q86" s="585"/>
      <c r="R86" s="585"/>
      <c r="S86" s="585"/>
      <c r="T86" s="585"/>
      <c r="U86" s="585"/>
      <c r="V86" s="585"/>
      <c r="W86" s="585"/>
      <c r="X86" s="585"/>
      <c r="Y86" s="585"/>
      <c r="Z86" s="470"/>
      <c r="AA86" s="586"/>
      <c r="AB86" s="586"/>
      <c r="AC86" s="470"/>
    </row>
    <row r="87" spans="1:29" x14ac:dyDescent="0.2">
      <c r="A87" s="585"/>
      <c r="B87" s="585"/>
      <c r="C87" s="616" t="s">
        <v>126</v>
      </c>
      <c r="D87" s="586"/>
      <c r="E87" s="586"/>
      <c r="F87" s="586"/>
      <c r="G87" s="585"/>
      <c r="H87" s="585"/>
      <c r="I87" s="585"/>
      <c r="J87" s="585"/>
      <c r="K87" s="585"/>
      <c r="L87" s="585"/>
      <c r="M87" s="585"/>
      <c r="N87" s="585"/>
      <c r="O87" s="585"/>
      <c r="P87" s="585"/>
      <c r="Q87" s="585"/>
      <c r="R87" s="585"/>
      <c r="S87" s="585"/>
      <c r="T87" s="616" t="s">
        <v>126</v>
      </c>
      <c r="U87" s="585"/>
      <c r="V87" s="616"/>
      <c r="W87" s="585"/>
      <c r="X87" s="585"/>
      <c r="Y87" s="585"/>
      <c r="Z87" s="470"/>
      <c r="AA87" s="586"/>
      <c r="AB87" s="586"/>
      <c r="AC87" s="470"/>
    </row>
    <row r="88" spans="1:29" x14ac:dyDescent="0.2">
      <c r="A88" s="585"/>
      <c r="B88" s="585"/>
      <c r="C88" s="617" t="s">
        <v>123</v>
      </c>
      <c r="D88" s="586">
        <f>SUM(D32)</f>
        <v>37188</v>
      </c>
      <c r="E88" s="586">
        <f>SUM(E32)</f>
        <v>669</v>
      </c>
      <c r="F88" s="586">
        <f>SUM(D88:E88)</f>
        <v>37857</v>
      </c>
      <c r="G88" s="585"/>
      <c r="H88" s="585"/>
      <c r="I88" s="585"/>
      <c r="J88" s="585"/>
      <c r="K88" s="585"/>
      <c r="L88" s="585"/>
      <c r="M88" s="585"/>
      <c r="N88" s="585"/>
      <c r="O88" s="585"/>
      <c r="P88" s="585"/>
      <c r="Q88" s="585"/>
      <c r="R88" s="585"/>
      <c r="S88" s="585"/>
      <c r="T88" s="617" t="s">
        <v>123</v>
      </c>
      <c r="U88" s="585"/>
      <c r="V88" s="617"/>
      <c r="W88" s="586">
        <f>SUM(X32)</f>
        <v>29702</v>
      </c>
      <c r="X88" s="586">
        <v>0</v>
      </c>
      <c r="Y88" s="586">
        <f>SUM(W88:X88)</f>
        <v>29702</v>
      </c>
      <c r="Z88" s="560"/>
      <c r="AA88" s="586">
        <f t="shared" ref="AA88:AB90" si="2">W88-D88</f>
        <v>-7486</v>
      </c>
      <c r="AB88" s="586">
        <f t="shared" si="2"/>
        <v>-669</v>
      </c>
      <c r="AC88" s="560">
        <f>SUM(AA88:AB88)</f>
        <v>-8155</v>
      </c>
    </row>
    <row r="89" spans="1:29" x14ac:dyDescent="0.2">
      <c r="A89" s="585"/>
      <c r="B89" s="585"/>
      <c r="C89" s="617" t="s">
        <v>615</v>
      </c>
      <c r="D89" s="586">
        <f>SUM(D55)</f>
        <v>15</v>
      </c>
      <c r="E89" s="586">
        <f>SUM(E55)</f>
        <v>0</v>
      </c>
      <c r="F89" s="586">
        <f>SUM(D89:E89)</f>
        <v>15</v>
      </c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5"/>
      <c r="R89" s="585"/>
      <c r="S89" s="585"/>
      <c r="T89" s="617" t="s">
        <v>615</v>
      </c>
      <c r="U89" s="585"/>
      <c r="V89" s="617"/>
      <c r="W89" s="586">
        <f>SUM(X55)</f>
        <v>15</v>
      </c>
      <c r="X89" s="586">
        <v>0</v>
      </c>
      <c r="Y89" s="586">
        <f>SUM(W89:X89)</f>
        <v>15</v>
      </c>
      <c r="Z89" s="560"/>
      <c r="AA89" s="586">
        <f t="shared" si="2"/>
        <v>0</v>
      </c>
      <c r="AB89" s="586">
        <f t="shared" si="2"/>
        <v>0</v>
      </c>
      <c r="AC89" s="560">
        <f>SUM(AA89:AB89)</f>
        <v>0</v>
      </c>
    </row>
    <row r="90" spans="1:29" x14ac:dyDescent="0.2">
      <c r="A90" s="585"/>
      <c r="B90" s="585"/>
      <c r="C90" s="619" t="s">
        <v>124</v>
      </c>
      <c r="D90" s="620">
        <v>0</v>
      </c>
      <c r="E90" s="620">
        <v>0</v>
      </c>
      <c r="F90" s="620">
        <f>SUM(D90:E90)</f>
        <v>0</v>
      </c>
      <c r="G90" s="585"/>
      <c r="H90" s="585"/>
      <c r="I90" s="585"/>
      <c r="J90" s="585"/>
      <c r="K90" s="585"/>
      <c r="L90" s="585"/>
      <c r="M90" s="585"/>
      <c r="N90" s="585"/>
      <c r="O90" s="585"/>
      <c r="P90" s="585"/>
      <c r="Q90" s="585"/>
      <c r="R90" s="585"/>
      <c r="S90" s="585"/>
      <c r="T90" s="619" t="s">
        <v>124</v>
      </c>
      <c r="U90" s="621"/>
      <c r="V90" s="622"/>
      <c r="W90" s="620">
        <v>0</v>
      </c>
      <c r="X90" s="620">
        <v>0</v>
      </c>
      <c r="Y90" s="620">
        <f>SUM(W90:X90)</f>
        <v>0</v>
      </c>
      <c r="Z90" s="560"/>
      <c r="AA90" s="620">
        <f t="shared" si="2"/>
        <v>0</v>
      </c>
      <c r="AB90" s="620">
        <f t="shared" si="2"/>
        <v>0</v>
      </c>
      <c r="AC90" s="620">
        <f>SUM(AA90:AB90)</f>
        <v>0</v>
      </c>
    </row>
    <row r="91" spans="1:29" x14ac:dyDescent="0.2">
      <c r="A91" s="585"/>
      <c r="B91" s="585"/>
      <c r="C91" s="623" t="s">
        <v>605</v>
      </c>
      <c r="D91" s="586">
        <f>SUM(D88:D90)</f>
        <v>37203</v>
      </c>
      <c r="E91" s="586">
        <f>SUM(E88:E90)</f>
        <v>669</v>
      </c>
      <c r="F91" s="586">
        <f>SUM(F88:F90)</f>
        <v>37872</v>
      </c>
      <c r="G91" s="585"/>
      <c r="H91" s="585"/>
      <c r="I91" s="585"/>
      <c r="J91" s="585"/>
      <c r="K91" s="585"/>
      <c r="L91" s="585"/>
      <c r="M91" s="585"/>
      <c r="N91" s="585"/>
      <c r="O91" s="585"/>
      <c r="P91" s="585"/>
      <c r="Q91" s="585"/>
      <c r="R91" s="585"/>
      <c r="S91" s="585"/>
      <c r="T91" s="623" t="s">
        <v>605</v>
      </c>
      <c r="U91" s="585"/>
      <c r="V91" s="623"/>
      <c r="W91" s="586">
        <f>SUM(W88:W90)</f>
        <v>29717</v>
      </c>
      <c r="X91" s="586">
        <f>SUM(X88:X90)</f>
        <v>0</v>
      </c>
      <c r="Y91" s="586">
        <f>SUM(Y88:Y90)</f>
        <v>29717</v>
      </c>
      <c r="Z91" s="560"/>
      <c r="AA91" s="586">
        <f>SUM(AA88:AA90)</f>
        <v>-7486</v>
      </c>
      <c r="AB91" s="586">
        <f>SUM(AB88:AB90)</f>
        <v>-669</v>
      </c>
      <c r="AC91" s="586">
        <f>SUM(AC88:AC90)</f>
        <v>-8155</v>
      </c>
    </row>
    <row r="92" spans="1:29" x14ac:dyDescent="0.2">
      <c r="A92" s="585"/>
      <c r="B92" s="585"/>
      <c r="C92" s="585"/>
      <c r="D92" s="585"/>
      <c r="E92" s="585"/>
      <c r="F92" s="585"/>
      <c r="G92" s="585"/>
      <c r="H92" s="585"/>
      <c r="I92" s="585"/>
      <c r="J92" s="585"/>
      <c r="K92" s="585"/>
      <c r="L92" s="585"/>
      <c r="M92" s="585"/>
      <c r="N92" s="585"/>
      <c r="O92" s="585"/>
      <c r="P92" s="585"/>
      <c r="Q92" s="585"/>
      <c r="R92" s="585"/>
      <c r="S92" s="585"/>
      <c r="T92" s="585"/>
      <c r="U92" s="585"/>
      <c r="V92" s="585"/>
      <c r="W92" s="585"/>
      <c r="X92" s="585"/>
      <c r="Y92" s="585"/>
      <c r="Z92" s="470"/>
      <c r="AA92" s="586"/>
      <c r="AB92" s="586"/>
      <c r="AC92" s="470"/>
    </row>
    <row r="93" spans="1:29" x14ac:dyDescent="0.2">
      <c r="A93" s="626"/>
      <c r="B93" s="626"/>
      <c r="C93" s="626" t="s">
        <v>127</v>
      </c>
      <c r="D93" s="627">
        <f>SUM(D91,D85,D79)</f>
        <v>1470808</v>
      </c>
      <c r="E93" s="627">
        <f>SUM(E91,E85,E79)</f>
        <v>4354704</v>
      </c>
      <c r="F93" s="627">
        <f>SUM(F91,F85,F79)</f>
        <v>5825512</v>
      </c>
      <c r="G93" s="626"/>
      <c r="H93" s="626"/>
      <c r="I93" s="626"/>
      <c r="J93" s="626"/>
      <c r="K93" s="626"/>
      <c r="L93" s="626"/>
      <c r="M93" s="626"/>
      <c r="N93" s="626"/>
      <c r="O93" s="626"/>
      <c r="P93" s="626"/>
      <c r="Q93" s="626"/>
      <c r="R93" s="626"/>
      <c r="S93" s="626"/>
      <c r="T93" s="626" t="s">
        <v>127</v>
      </c>
      <c r="U93" s="626"/>
      <c r="V93" s="626"/>
      <c r="W93" s="627">
        <f>SUM(W91,W85,W79)</f>
        <v>1484270</v>
      </c>
      <c r="X93" s="627">
        <f>SUM(X91,X85,X79)</f>
        <v>4341242</v>
      </c>
      <c r="Y93" s="627">
        <f>SUM(Y91,Y85,Y79)</f>
        <v>5825512</v>
      </c>
      <c r="Z93" s="451"/>
      <c r="AA93" s="627">
        <f>SUM(AA91,AA85,AA79)</f>
        <v>13462</v>
      </c>
      <c r="AB93" s="627">
        <f>SUM(AB91,AB85,AB79)</f>
        <v>-13462</v>
      </c>
      <c r="AC93" s="627">
        <f>SUM(AC91,AC85,AC79)</f>
        <v>0</v>
      </c>
    </row>
    <row r="94" spans="1:29" x14ac:dyDescent="0.2">
      <c r="A94" s="585"/>
      <c r="B94" s="585"/>
      <c r="C94" s="585"/>
      <c r="D94" s="585"/>
      <c r="E94" s="585"/>
      <c r="F94" s="585"/>
      <c r="G94" s="585"/>
      <c r="H94" s="585"/>
      <c r="I94" s="585"/>
      <c r="J94" s="585"/>
      <c r="K94" s="585"/>
      <c r="L94" s="585"/>
      <c r="M94" s="585"/>
      <c r="N94" s="585"/>
      <c r="O94" s="585"/>
      <c r="P94" s="585"/>
      <c r="Q94" s="585"/>
      <c r="R94" s="585"/>
      <c r="S94" s="585"/>
      <c r="T94" s="585"/>
      <c r="U94" s="585"/>
      <c r="V94" s="585"/>
      <c r="W94" s="585"/>
      <c r="X94" s="585"/>
      <c r="Y94" s="585"/>
      <c r="Z94" s="585"/>
      <c r="AA94" s="585"/>
      <c r="AB94" s="585"/>
      <c r="AC94" s="470"/>
    </row>
    <row r="95" spans="1:29" x14ac:dyDescent="0.2">
      <c r="A95" s="621"/>
      <c r="B95" s="621"/>
      <c r="C95" s="621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585"/>
      <c r="P95" s="585"/>
      <c r="Q95" s="585"/>
      <c r="R95" s="585"/>
      <c r="S95" s="585"/>
      <c r="T95" s="585"/>
      <c r="U95" s="585"/>
      <c r="V95" s="585"/>
      <c r="W95" s="585"/>
      <c r="X95" s="585"/>
      <c r="Y95" s="585"/>
      <c r="Z95" s="585"/>
      <c r="AA95" s="585"/>
      <c r="AB95" s="585"/>
      <c r="AC95" s="470"/>
    </row>
    <row r="96" spans="1:29" x14ac:dyDescent="0.2">
      <c r="A96" s="1009">
        <v>16</v>
      </c>
      <c r="B96" s="1007" t="s">
        <v>1148</v>
      </c>
      <c r="C96" s="1007"/>
    </row>
    <row r="97" spans="1:3" x14ac:dyDescent="0.2">
      <c r="A97" s="1009">
        <v>17</v>
      </c>
      <c r="B97" s="1007" t="s">
        <v>1146</v>
      </c>
      <c r="C97" s="1007"/>
    </row>
    <row r="98" spans="1:3" x14ac:dyDescent="0.2">
      <c r="A98" s="1010">
        <v>18</v>
      </c>
      <c r="B98" s="1007" t="s">
        <v>1147</v>
      </c>
      <c r="C98" s="1007"/>
    </row>
  </sheetData>
  <mergeCells count="183">
    <mergeCell ref="L18:O18"/>
    <mergeCell ref="L19:O19"/>
    <mergeCell ref="R23:U23"/>
    <mergeCell ref="L20:O20"/>
    <mergeCell ref="R22:U22"/>
    <mergeCell ref="G18:I18"/>
    <mergeCell ref="L61:O61"/>
    <mergeCell ref="G16:I16"/>
    <mergeCell ref="G49:I49"/>
    <mergeCell ref="G50:I50"/>
    <mergeCell ref="L38:O38"/>
    <mergeCell ref="L34:O34"/>
    <mergeCell ref="L42:Q43"/>
    <mergeCell ref="Q36:Q40"/>
    <mergeCell ref="Q33:Q35"/>
    <mergeCell ref="S41:V41"/>
    <mergeCell ref="Q26:Q31"/>
    <mergeCell ref="R25:U25"/>
    <mergeCell ref="R21:U21"/>
    <mergeCell ref="L35:O35"/>
    <mergeCell ref="K7:K25"/>
    <mergeCell ref="R44:U44"/>
    <mergeCell ref="R45:U45"/>
    <mergeCell ref="Q61:Q66"/>
    <mergeCell ref="A42:C43"/>
    <mergeCell ref="D42:F42"/>
    <mergeCell ref="G42:K43"/>
    <mergeCell ref="L48:O49"/>
    <mergeCell ref="B46:C46"/>
    <mergeCell ref="G48:I48"/>
    <mergeCell ref="G44:I44"/>
    <mergeCell ref="G45:I45"/>
    <mergeCell ref="K44:K54"/>
    <mergeCell ref="L44:O45"/>
    <mergeCell ref="L15:O15"/>
    <mergeCell ref="G19:I19"/>
    <mergeCell ref="A41:C41"/>
    <mergeCell ref="H41:J41"/>
    <mergeCell ref="K36:K40"/>
    <mergeCell ref="L40:O40"/>
    <mergeCell ref="M41:P41"/>
    <mergeCell ref="A36:C36"/>
    <mergeCell ref="G28:I28"/>
    <mergeCell ref="L16:O16"/>
    <mergeCell ref="G15:I15"/>
    <mergeCell ref="G26:I26"/>
    <mergeCell ref="K26:K31"/>
    <mergeCell ref="L30:O30"/>
    <mergeCell ref="L26:O26"/>
    <mergeCell ref="G17:I17"/>
    <mergeCell ref="L17:O17"/>
    <mergeCell ref="B32:C32"/>
    <mergeCell ref="G32:I32"/>
    <mergeCell ref="K33:K35"/>
    <mergeCell ref="L32:O32"/>
    <mergeCell ref="L28:O28"/>
    <mergeCell ref="L27:O27"/>
    <mergeCell ref="L33:O33"/>
    <mergeCell ref="L13:O13"/>
    <mergeCell ref="G13:I13"/>
    <mergeCell ref="R17:U17"/>
    <mergeCell ref="R20:U20"/>
    <mergeCell ref="R14:U14"/>
    <mergeCell ref="G8:I8"/>
    <mergeCell ref="T1:AB1"/>
    <mergeCell ref="X5:Z5"/>
    <mergeCell ref="AA5:AC5"/>
    <mergeCell ref="A3:X4"/>
    <mergeCell ref="A5:C6"/>
    <mergeCell ref="L5:Q6"/>
    <mergeCell ref="R5:W6"/>
    <mergeCell ref="D5:F5"/>
    <mergeCell ref="G5:K6"/>
    <mergeCell ref="R10:U10"/>
    <mergeCell ref="L12:O12"/>
    <mergeCell ref="L10:O10"/>
    <mergeCell ref="L9:O9"/>
    <mergeCell ref="L8:O8"/>
    <mergeCell ref="L11:O11"/>
    <mergeCell ref="R9:U9"/>
    <mergeCell ref="R12:U12"/>
    <mergeCell ref="G9:I9"/>
    <mergeCell ref="G7:I7"/>
    <mergeCell ref="G11:I11"/>
    <mergeCell ref="G10:I10"/>
    <mergeCell ref="G12:I12"/>
    <mergeCell ref="AA42:AC42"/>
    <mergeCell ref="R42:W43"/>
    <mergeCell ref="X42:Z42"/>
    <mergeCell ref="W7:W25"/>
    <mergeCell ref="R15:U15"/>
    <mergeCell ref="L14:O14"/>
    <mergeCell ref="R16:U16"/>
    <mergeCell ref="R13:U13"/>
    <mergeCell ref="Q7:Q25"/>
    <mergeCell ref="R18:U18"/>
    <mergeCell ref="R19:U19"/>
    <mergeCell ref="R7:U7"/>
    <mergeCell ref="L7:O7"/>
    <mergeCell ref="R8:U8"/>
    <mergeCell ref="R11:U11"/>
    <mergeCell ref="G14:I14"/>
    <mergeCell ref="G27:I27"/>
    <mergeCell ref="L29:O29"/>
    <mergeCell ref="L37:O37"/>
    <mergeCell ref="L36:O36"/>
    <mergeCell ref="W26:W31"/>
    <mergeCell ref="R36:U36"/>
    <mergeCell ref="R26:U26"/>
    <mergeCell ref="R29:U29"/>
    <mergeCell ref="R32:U32"/>
    <mergeCell ref="W33:W35"/>
    <mergeCell ref="R35:U35"/>
    <mergeCell ref="R33:U33"/>
    <mergeCell ref="W36:W40"/>
    <mergeCell ref="R37:U37"/>
    <mergeCell ref="A59:C60"/>
    <mergeCell ref="D59:F59"/>
    <mergeCell ref="G59:K60"/>
    <mergeCell ref="L59:Q60"/>
    <mergeCell ref="A57:C57"/>
    <mergeCell ref="H57:J57"/>
    <mergeCell ref="B55:C55"/>
    <mergeCell ref="G55:I55"/>
    <mergeCell ref="S57:V57"/>
    <mergeCell ref="M57:P57"/>
    <mergeCell ref="P48:P49"/>
    <mergeCell ref="L50:O51"/>
    <mergeCell ref="P50:P51"/>
    <mergeCell ref="L46:O47"/>
    <mergeCell ref="P44:P45"/>
    <mergeCell ref="Q67:Q69"/>
    <mergeCell ref="G64:I64"/>
    <mergeCell ref="K61:K66"/>
    <mergeCell ref="Q44:Q54"/>
    <mergeCell ref="A71:C71"/>
    <mergeCell ref="H71:J71"/>
    <mergeCell ref="M71:P71"/>
    <mergeCell ref="S71:V71"/>
    <mergeCell ref="D73:F73"/>
    <mergeCell ref="W73:Y73"/>
    <mergeCell ref="G20:I20"/>
    <mergeCell ref="R24:U24"/>
    <mergeCell ref="L39:O39"/>
    <mergeCell ref="G34:I34"/>
    <mergeCell ref="A68:C68"/>
    <mergeCell ref="G63:I63"/>
    <mergeCell ref="L68:O68"/>
    <mergeCell ref="G65:I65"/>
    <mergeCell ref="A70:C70"/>
    <mergeCell ref="H70:J70"/>
    <mergeCell ref="M70:P70"/>
    <mergeCell ref="X59:Z59"/>
    <mergeCell ref="R63:U63"/>
    <mergeCell ref="S70:V70"/>
    <mergeCell ref="L67:O67"/>
    <mergeCell ref="G61:I61"/>
    <mergeCell ref="R68:U68"/>
    <mergeCell ref="A63:C63"/>
    <mergeCell ref="AA73:AC73"/>
    <mergeCell ref="S74:V74"/>
    <mergeCell ref="AA59:AC59"/>
    <mergeCell ref="G62:I62"/>
    <mergeCell ref="L62:O62"/>
    <mergeCell ref="R62:U62"/>
    <mergeCell ref="L52:O52"/>
    <mergeCell ref="L53:O53"/>
    <mergeCell ref="V75:W75"/>
    <mergeCell ref="R59:W60"/>
    <mergeCell ref="W62:W66"/>
    <mergeCell ref="R64:U64"/>
    <mergeCell ref="R66:U66"/>
    <mergeCell ref="G66:I66"/>
    <mergeCell ref="R65:U65"/>
    <mergeCell ref="W44:W54"/>
    <mergeCell ref="R47:U47"/>
    <mergeCell ref="R49:U49"/>
    <mergeCell ref="R50:U50"/>
    <mergeCell ref="R48:U48"/>
    <mergeCell ref="R51:U51"/>
    <mergeCell ref="R52:U52"/>
    <mergeCell ref="R46:U46"/>
    <mergeCell ref="P46:P47"/>
  </mergeCells>
  <phoneticPr fontId="2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01"/>
  <sheetViews>
    <sheetView zoomScaleNormal="100" workbookViewId="0">
      <pane xSplit="1" ySplit="6" topLeftCell="B94" activePane="bottomRight" state="frozen"/>
      <selection pane="topRight" activeCell="B1" sqref="B1"/>
      <selection pane="bottomLeft" activeCell="A6" sqref="A6"/>
      <selection pane="bottomRight" activeCell="L99" sqref="L99"/>
    </sheetView>
  </sheetViews>
  <sheetFormatPr defaultRowHeight="12.75" x14ac:dyDescent="0.2"/>
  <cols>
    <col min="1" max="1" width="26.28515625" customWidth="1"/>
  </cols>
  <sheetData>
    <row r="1" spans="1:13" ht="18" x14ac:dyDescent="0.2">
      <c r="A1" s="1044" t="s">
        <v>1155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</row>
    <row r="2" spans="1:13" x14ac:dyDescent="0.2">
      <c r="H2" s="4"/>
      <c r="I2" s="4"/>
      <c r="J2" s="4"/>
      <c r="K2" s="4"/>
      <c r="L2" s="4"/>
      <c r="M2" s="5"/>
    </row>
    <row r="3" spans="1:13" s="120" customFormat="1" ht="14.25" customHeight="1" x14ac:dyDescent="0.25">
      <c r="A3" s="1275" t="s">
        <v>867</v>
      </c>
      <c r="B3" s="1275"/>
      <c r="C3" s="1275"/>
      <c r="D3" s="1275"/>
      <c r="E3" s="1275"/>
      <c r="F3" s="1275"/>
      <c r="G3" s="1275"/>
      <c r="H3" s="1275"/>
      <c r="I3" s="1275"/>
      <c r="J3" s="1275"/>
      <c r="K3" s="1275"/>
      <c r="L3" s="1275"/>
      <c r="M3" s="1275"/>
    </row>
    <row r="4" spans="1:13" s="120" customFormat="1" ht="14.25" customHeight="1" x14ac:dyDescent="0.25">
      <c r="A4" s="1275" t="s">
        <v>708</v>
      </c>
      <c r="B4" s="1275"/>
      <c r="C4" s="1275"/>
      <c r="D4" s="1275"/>
      <c r="E4" s="1275"/>
      <c r="F4" s="1275"/>
      <c r="G4" s="1275"/>
      <c r="H4" s="1275"/>
      <c r="I4" s="1275"/>
      <c r="J4" s="1275"/>
      <c r="K4" s="1275"/>
      <c r="L4" s="1275"/>
      <c r="M4" s="1275"/>
    </row>
    <row r="5" spans="1:13" s="120" customFormat="1" ht="18" customHeight="1" x14ac:dyDescent="0.25">
      <c r="A5" s="1275"/>
      <c r="B5" s="1275"/>
      <c r="C5" s="1275"/>
      <c r="D5" s="1275"/>
      <c r="E5" s="1275"/>
      <c r="F5" s="1275"/>
      <c r="G5" s="1275"/>
      <c r="H5" s="1275"/>
      <c r="I5" s="1275"/>
      <c r="J5" s="1275"/>
      <c r="K5" s="1275"/>
      <c r="L5" s="1275"/>
      <c r="M5" s="1275"/>
    </row>
    <row r="6" spans="1:13" s="119" customFormat="1" x14ac:dyDescent="0.2">
      <c r="A6" s="673" t="s">
        <v>602</v>
      </c>
      <c r="B6" s="177" t="s">
        <v>565</v>
      </c>
      <c r="C6" s="177" t="s">
        <v>566</v>
      </c>
      <c r="D6" s="177" t="s">
        <v>567</v>
      </c>
      <c r="E6" s="177" t="s">
        <v>568</v>
      </c>
      <c r="F6" s="177" t="s">
        <v>569</v>
      </c>
      <c r="G6" s="177" t="s">
        <v>570</v>
      </c>
      <c r="H6" s="177" t="s">
        <v>571</v>
      </c>
      <c r="I6" s="177" t="s">
        <v>572</v>
      </c>
      <c r="J6" s="177" t="s">
        <v>573</v>
      </c>
      <c r="K6" s="177" t="s">
        <v>574</v>
      </c>
      <c r="L6" s="177" t="s">
        <v>575</v>
      </c>
      <c r="M6" s="177" t="s">
        <v>576</v>
      </c>
    </row>
    <row r="7" spans="1:13" s="123" customFormat="1" x14ac:dyDescent="0.2">
      <c r="A7" s="674" t="s">
        <v>873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s="121" customFormat="1" x14ac:dyDescent="0.2">
      <c r="A8" s="675" t="s">
        <v>577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3" s="122" customFormat="1" x14ac:dyDescent="0.2">
      <c r="A9" s="676" t="s">
        <v>675</v>
      </c>
      <c r="B9" s="180">
        <f>18</f>
        <v>18</v>
      </c>
      <c r="C9" s="180">
        <v>18</v>
      </c>
      <c r="D9" s="180">
        <v>18</v>
      </c>
      <c r="E9" s="180">
        <v>18</v>
      </c>
      <c r="F9" s="180">
        <v>18</v>
      </c>
      <c r="G9" s="180">
        <v>18</v>
      </c>
      <c r="H9" s="180">
        <v>18</v>
      </c>
      <c r="I9" s="180">
        <v>18</v>
      </c>
      <c r="J9" s="180">
        <f>18+1</f>
        <v>19</v>
      </c>
      <c r="K9" s="180">
        <f>18+1</f>
        <v>19</v>
      </c>
      <c r="L9" s="180">
        <f>18+1</f>
        <v>19</v>
      </c>
      <c r="M9" s="180">
        <f>18+1</f>
        <v>19</v>
      </c>
    </row>
    <row r="10" spans="1:13" s="122" customFormat="1" ht="15" customHeight="1" x14ac:dyDescent="0.2">
      <c r="A10" s="676" t="s">
        <v>185</v>
      </c>
      <c r="B10" s="180">
        <v>1</v>
      </c>
      <c r="C10" s="180">
        <v>1</v>
      </c>
      <c r="D10" s="180">
        <v>1</v>
      </c>
      <c r="E10" s="180">
        <v>1</v>
      </c>
      <c r="F10" s="180">
        <v>1</v>
      </c>
      <c r="G10" s="180">
        <v>0</v>
      </c>
      <c r="H10" s="180">
        <v>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</row>
    <row r="11" spans="1:13" s="122" customFormat="1" ht="12.75" customHeight="1" x14ac:dyDescent="0.2">
      <c r="A11" s="676" t="s">
        <v>578</v>
      </c>
      <c r="B11" s="180">
        <v>1</v>
      </c>
      <c r="C11" s="180">
        <v>1</v>
      </c>
      <c r="D11" s="180">
        <v>1</v>
      </c>
      <c r="E11" s="180">
        <v>1</v>
      </c>
      <c r="F11" s="180">
        <v>1</v>
      </c>
      <c r="G11" s="180">
        <v>1</v>
      </c>
      <c r="H11" s="180">
        <v>1</v>
      </c>
      <c r="I11" s="180">
        <v>1</v>
      </c>
      <c r="J11" s="180">
        <v>0</v>
      </c>
      <c r="K11" s="180">
        <v>0</v>
      </c>
      <c r="L11" s="180">
        <v>0</v>
      </c>
      <c r="M11" s="180">
        <v>0</v>
      </c>
    </row>
    <row r="12" spans="1:13" s="122" customFormat="1" ht="12.75" customHeight="1" x14ac:dyDescent="0.2">
      <c r="A12" s="676" t="s">
        <v>994</v>
      </c>
      <c r="B12" s="180">
        <v>4</v>
      </c>
      <c r="C12" s="180">
        <v>4</v>
      </c>
      <c r="D12" s="180">
        <v>4</v>
      </c>
      <c r="E12" s="180">
        <v>4</v>
      </c>
      <c r="F12" s="180">
        <v>4</v>
      </c>
      <c r="G12" s="180">
        <v>4</v>
      </c>
      <c r="H12" s="180">
        <v>4</v>
      </c>
      <c r="I12" s="180">
        <v>4</v>
      </c>
      <c r="J12" s="180">
        <v>4</v>
      </c>
      <c r="K12" s="180">
        <v>4</v>
      </c>
      <c r="L12" s="180">
        <v>4</v>
      </c>
      <c r="M12" s="180">
        <v>4</v>
      </c>
    </row>
    <row r="13" spans="1:13" s="122" customFormat="1" x14ac:dyDescent="0.2">
      <c r="A13" s="677" t="s">
        <v>676</v>
      </c>
      <c r="B13" s="180">
        <v>10</v>
      </c>
      <c r="C13" s="180">
        <v>10</v>
      </c>
      <c r="D13" s="180">
        <v>10</v>
      </c>
      <c r="E13" s="180">
        <v>10</v>
      </c>
      <c r="F13" s="180">
        <v>10</v>
      </c>
      <c r="G13" s="180">
        <v>10</v>
      </c>
      <c r="H13" s="180">
        <v>10</v>
      </c>
      <c r="I13" s="180">
        <v>10</v>
      </c>
      <c r="J13" s="180">
        <v>10</v>
      </c>
      <c r="K13" s="180">
        <v>10</v>
      </c>
      <c r="L13" s="180">
        <v>10</v>
      </c>
      <c r="M13" s="180">
        <v>10</v>
      </c>
    </row>
    <row r="14" spans="1:13" s="122" customFormat="1" x14ac:dyDescent="0.2">
      <c r="A14" s="676" t="s">
        <v>579</v>
      </c>
      <c r="B14" s="180">
        <v>1</v>
      </c>
      <c r="C14" s="180">
        <v>1</v>
      </c>
      <c r="D14" s="180">
        <v>1</v>
      </c>
      <c r="E14" s="180">
        <v>1</v>
      </c>
      <c r="F14" s="180">
        <v>1</v>
      </c>
      <c r="G14" s="180">
        <v>1</v>
      </c>
      <c r="H14" s="180">
        <v>1</v>
      </c>
      <c r="I14" s="180">
        <v>1</v>
      </c>
      <c r="J14" s="180">
        <v>1</v>
      </c>
      <c r="K14" s="180">
        <v>1</v>
      </c>
      <c r="L14" s="180">
        <v>1</v>
      </c>
      <c r="M14" s="180">
        <v>1</v>
      </c>
    </row>
    <row r="15" spans="1:13" s="122" customFormat="1" x14ac:dyDescent="0.2">
      <c r="A15" s="676" t="s">
        <v>677</v>
      </c>
      <c r="B15" s="180">
        <v>1</v>
      </c>
      <c r="C15" s="180">
        <v>1</v>
      </c>
      <c r="D15" s="180">
        <v>1</v>
      </c>
      <c r="E15" s="180">
        <v>1</v>
      </c>
      <c r="F15" s="180">
        <v>1</v>
      </c>
      <c r="G15" s="180">
        <v>1</v>
      </c>
      <c r="H15" s="180">
        <v>1</v>
      </c>
      <c r="I15" s="180">
        <v>1</v>
      </c>
      <c r="J15" s="180">
        <v>1</v>
      </c>
      <c r="K15" s="180">
        <v>1</v>
      </c>
      <c r="L15" s="180">
        <v>1</v>
      </c>
      <c r="M15" s="180">
        <v>1</v>
      </c>
    </row>
    <row r="16" spans="1:13" s="121" customFormat="1" x14ac:dyDescent="0.2">
      <c r="A16" s="675" t="s">
        <v>995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13" s="122" customFormat="1" x14ac:dyDescent="0.2">
      <c r="A17" s="676" t="s">
        <v>582</v>
      </c>
      <c r="B17" s="180">
        <v>2</v>
      </c>
      <c r="C17" s="180">
        <v>2</v>
      </c>
      <c r="D17" s="180">
        <v>2</v>
      </c>
      <c r="E17" s="180">
        <v>2</v>
      </c>
      <c r="F17" s="180">
        <v>2</v>
      </c>
      <c r="G17" s="180">
        <v>2</v>
      </c>
      <c r="H17" s="180">
        <v>2</v>
      </c>
      <c r="I17" s="180">
        <v>2</v>
      </c>
      <c r="J17" s="180">
        <v>2</v>
      </c>
      <c r="K17" s="180">
        <v>2</v>
      </c>
      <c r="L17" s="180">
        <v>2</v>
      </c>
      <c r="M17" s="180">
        <v>2</v>
      </c>
    </row>
    <row r="18" spans="1:13" s="122" customFormat="1" x14ac:dyDescent="0.2">
      <c r="A18" s="676" t="s">
        <v>580</v>
      </c>
      <c r="B18" s="180">
        <v>1</v>
      </c>
      <c r="C18" s="180">
        <v>1</v>
      </c>
      <c r="D18" s="180">
        <v>1</v>
      </c>
      <c r="E18" s="180">
        <v>1</v>
      </c>
      <c r="F18" s="180">
        <v>1</v>
      </c>
      <c r="G18" s="180">
        <v>1</v>
      </c>
      <c r="H18" s="180">
        <v>1</v>
      </c>
      <c r="I18" s="180">
        <v>1</v>
      </c>
      <c r="J18" s="180">
        <v>1</v>
      </c>
      <c r="K18" s="180">
        <v>1</v>
      </c>
      <c r="L18" s="180">
        <v>1</v>
      </c>
      <c r="M18" s="180">
        <v>1</v>
      </c>
    </row>
    <row r="19" spans="1:13" s="121" customFormat="1" ht="12.75" customHeight="1" x14ac:dyDescent="0.2">
      <c r="A19" s="675" t="s">
        <v>581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1:13" s="122" customFormat="1" x14ac:dyDescent="0.2">
      <c r="A20" s="676" t="s">
        <v>582</v>
      </c>
      <c r="B20" s="180">
        <v>2</v>
      </c>
      <c r="C20" s="180">
        <v>2</v>
      </c>
      <c r="D20" s="180">
        <v>2</v>
      </c>
      <c r="E20" s="180">
        <v>2</v>
      </c>
      <c r="F20" s="180">
        <v>2</v>
      </c>
      <c r="G20" s="180">
        <v>2</v>
      </c>
      <c r="H20" s="180">
        <v>2</v>
      </c>
      <c r="I20" s="180">
        <v>2</v>
      </c>
      <c r="J20" s="180">
        <v>2</v>
      </c>
      <c r="K20" s="180">
        <v>2</v>
      </c>
      <c r="L20" s="180">
        <v>2</v>
      </c>
      <c r="M20" s="180">
        <v>2</v>
      </c>
    </row>
    <row r="21" spans="1:13" s="122" customFormat="1" x14ac:dyDescent="0.2">
      <c r="A21" s="676" t="s">
        <v>583</v>
      </c>
      <c r="B21" s="180">
        <v>1</v>
      </c>
      <c r="C21" s="180">
        <v>1</v>
      </c>
      <c r="D21" s="180">
        <v>1</v>
      </c>
      <c r="E21" s="180">
        <v>1</v>
      </c>
      <c r="F21" s="180">
        <v>1</v>
      </c>
      <c r="G21" s="180">
        <v>1</v>
      </c>
      <c r="H21" s="180">
        <v>1</v>
      </c>
      <c r="I21" s="180">
        <v>1</v>
      </c>
      <c r="J21" s="180">
        <v>1</v>
      </c>
      <c r="K21" s="180">
        <v>1</v>
      </c>
      <c r="L21" s="180">
        <v>1</v>
      </c>
      <c r="M21" s="180">
        <v>1</v>
      </c>
    </row>
    <row r="22" spans="1:13" s="254" customFormat="1" ht="38.25" x14ac:dyDescent="0.2">
      <c r="A22" s="678" t="s">
        <v>877</v>
      </c>
      <c r="B22" s="253">
        <f t="shared" ref="B22:M22" si="0">SUM(B9:B21)</f>
        <v>42</v>
      </c>
      <c r="C22" s="253">
        <f t="shared" si="0"/>
        <v>42</v>
      </c>
      <c r="D22" s="253">
        <f t="shared" si="0"/>
        <v>42</v>
      </c>
      <c r="E22" s="253">
        <f t="shared" si="0"/>
        <v>42</v>
      </c>
      <c r="F22" s="253">
        <f t="shared" si="0"/>
        <v>42</v>
      </c>
      <c r="G22" s="253">
        <f t="shared" si="0"/>
        <v>41</v>
      </c>
      <c r="H22" s="253">
        <f t="shared" si="0"/>
        <v>41</v>
      </c>
      <c r="I22" s="253">
        <f t="shared" si="0"/>
        <v>41</v>
      </c>
      <c r="J22" s="253">
        <f t="shared" si="0"/>
        <v>41</v>
      </c>
      <c r="K22" s="253">
        <f t="shared" si="0"/>
        <v>41</v>
      </c>
      <c r="L22" s="253">
        <f t="shared" si="0"/>
        <v>41</v>
      </c>
      <c r="M22" s="253">
        <f t="shared" si="0"/>
        <v>41</v>
      </c>
    </row>
    <row r="23" spans="1:13" s="122" customFormat="1" ht="14.25" customHeight="1" x14ac:dyDescent="0.2">
      <c r="A23" s="676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</row>
    <row r="24" spans="1:13" s="123" customFormat="1" x14ac:dyDescent="0.2">
      <c r="A24" s="674" t="s">
        <v>615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s="122" customFormat="1" x14ac:dyDescent="0.2">
      <c r="A25" s="679" t="s">
        <v>594</v>
      </c>
      <c r="B25" s="180">
        <v>1</v>
      </c>
      <c r="C25" s="180">
        <v>1</v>
      </c>
      <c r="D25" s="180">
        <v>1</v>
      </c>
      <c r="E25" s="180">
        <v>1</v>
      </c>
      <c r="F25" s="180">
        <v>1</v>
      </c>
      <c r="G25" s="180">
        <v>1</v>
      </c>
      <c r="H25" s="180">
        <v>1</v>
      </c>
      <c r="I25" s="180">
        <v>1</v>
      </c>
      <c r="J25" s="180">
        <v>1</v>
      </c>
      <c r="K25" s="180">
        <v>1</v>
      </c>
      <c r="L25" s="180">
        <v>1</v>
      </c>
      <c r="M25" s="180">
        <v>1</v>
      </c>
    </row>
    <row r="26" spans="1:13" s="122" customFormat="1" x14ac:dyDescent="0.2">
      <c r="A26" s="679" t="s">
        <v>595</v>
      </c>
      <c r="B26" s="180">
        <v>1</v>
      </c>
      <c r="C26" s="180">
        <v>1</v>
      </c>
      <c r="D26" s="180">
        <v>1</v>
      </c>
      <c r="E26" s="180">
        <v>1</v>
      </c>
      <c r="F26" s="180">
        <v>1</v>
      </c>
      <c r="G26" s="180">
        <v>1</v>
      </c>
      <c r="H26" s="180">
        <v>1</v>
      </c>
      <c r="I26" s="180">
        <v>1</v>
      </c>
      <c r="J26" s="180">
        <v>1</v>
      </c>
      <c r="K26" s="180">
        <v>1</v>
      </c>
      <c r="L26" s="180">
        <v>1</v>
      </c>
      <c r="M26" s="180">
        <v>1</v>
      </c>
    </row>
    <row r="27" spans="1:13" s="122" customFormat="1" x14ac:dyDescent="0.2">
      <c r="A27" s="680" t="s">
        <v>678</v>
      </c>
      <c r="B27" s="180">
        <v>25</v>
      </c>
      <c r="C27" s="180">
        <v>25</v>
      </c>
      <c r="D27" s="180">
        <v>25</v>
      </c>
      <c r="E27" s="180">
        <f>25+1</f>
        <v>26</v>
      </c>
      <c r="F27" s="180">
        <f>25+1+1</f>
        <v>27</v>
      </c>
      <c r="G27" s="180">
        <f>25+1</f>
        <v>26</v>
      </c>
      <c r="H27" s="180">
        <v>25.75</v>
      </c>
      <c r="I27" s="180">
        <f>25.75</f>
        <v>25.75</v>
      </c>
      <c r="J27" s="180">
        <v>25.75</v>
      </c>
      <c r="K27" s="180">
        <v>25.75</v>
      </c>
      <c r="L27" s="180">
        <v>25.75</v>
      </c>
      <c r="M27" s="180">
        <v>25.75</v>
      </c>
    </row>
    <row r="28" spans="1:13" s="122" customFormat="1" ht="25.5" x14ac:dyDescent="0.2">
      <c r="A28" s="680" t="s">
        <v>186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1</v>
      </c>
      <c r="H28" s="180">
        <f>1+1</f>
        <v>2</v>
      </c>
      <c r="I28" s="180">
        <v>1</v>
      </c>
      <c r="J28" s="180">
        <v>0</v>
      </c>
      <c r="K28" s="180">
        <v>0</v>
      </c>
      <c r="L28" s="180">
        <v>0</v>
      </c>
      <c r="M28" s="180">
        <v>0</v>
      </c>
    </row>
    <row r="29" spans="1:13" s="122" customFormat="1" ht="25.5" x14ac:dyDescent="0.2">
      <c r="A29" s="680" t="s">
        <v>764</v>
      </c>
      <c r="B29" s="180">
        <v>2</v>
      </c>
      <c r="C29" s="180">
        <v>2</v>
      </c>
      <c r="D29" s="180">
        <v>2</v>
      </c>
      <c r="E29" s="180">
        <v>2</v>
      </c>
      <c r="F29" s="180">
        <v>2</v>
      </c>
      <c r="G29" s="180">
        <v>2</v>
      </c>
      <c r="H29" s="180">
        <v>2</v>
      </c>
      <c r="I29" s="180">
        <v>2</v>
      </c>
      <c r="J29" s="180">
        <v>2</v>
      </c>
      <c r="K29" s="180">
        <v>2</v>
      </c>
      <c r="L29" s="180">
        <v>2</v>
      </c>
      <c r="M29" s="180">
        <v>2</v>
      </c>
    </row>
    <row r="30" spans="1:13" s="123" customFormat="1" x14ac:dyDescent="0.2">
      <c r="A30" s="674" t="s">
        <v>679</v>
      </c>
      <c r="B30" s="178">
        <f t="shared" ref="B30:M30" si="1">SUM(B25:B29)</f>
        <v>29</v>
      </c>
      <c r="C30" s="178">
        <f t="shared" si="1"/>
        <v>29</v>
      </c>
      <c r="D30" s="178">
        <f t="shared" si="1"/>
        <v>29</v>
      </c>
      <c r="E30" s="178">
        <f t="shared" si="1"/>
        <v>30</v>
      </c>
      <c r="F30" s="178">
        <f t="shared" si="1"/>
        <v>31</v>
      </c>
      <c r="G30" s="178">
        <f t="shared" si="1"/>
        <v>31</v>
      </c>
      <c r="H30" s="178">
        <f t="shared" si="1"/>
        <v>31.75</v>
      </c>
      <c r="I30" s="178">
        <f t="shared" si="1"/>
        <v>30.75</v>
      </c>
      <c r="J30" s="178">
        <f t="shared" si="1"/>
        <v>29.75</v>
      </c>
      <c r="K30" s="178">
        <f t="shared" si="1"/>
        <v>29.75</v>
      </c>
      <c r="L30" s="178">
        <f t="shared" si="1"/>
        <v>29.75</v>
      </c>
      <c r="M30" s="178">
        <f t="shared" si="1"/>
        <v>29.75</v>
      </c>
    </row>
    <row r="31" spans="1:13" s="182" customFormat="1" ht="14.25" customHeight="1" x14ac:dyDescent="0.2">
      <c r="A31" s="6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s="123" customFormat="1" x14ac:dyDescent="0.2">
      <c r="A32" s="674" t="s">
        <v>707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s="121" customFormat="1" ht="12.75" customHeight="1" x14ac:dyDescent="0.2">
      <c r="A33" s="675" t="s">
        <v>680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</row>
    <row r="34" spans="1:13" s="122" customFormat="1" x14ac:dyDescent="0.2">
      <c r="A34" s="682" t="s">
        <v>592</v>
      </c>
      <c r="B34" s="180">
        <v>12</v>
      </c>
      <c r="C34" s="180">
        <v>12</v>
      </c>
      <c r="D34" s="180">
        <v>12</v>
      </c>
      <c r="E34" s="180">
        <v>12</v>
      </c>
      <c r="F34" s="180">
        <v>12</v>
      </c>
      <c r="G34" s="180">
        <v>12</v>
      </c>
      <c r="H34" s="180">
        <v>12</v>
      </c>
      <c r="I34" s="180">
        <v>12</v>
      </c>
      <c r="J34" s="180">
        <v>12</v>
      </c>
      <c r="K34" s="180">
        <v>12</v>
      </c>
      <c r="L34" s="180">
        <v>12</v>
      </c>
      <c r="M34" s="180">
        <v>12</v>
      </c>
    </row>
    <row r="35" spans="1:13" s="121" customFormat="1" ht="12.75" customHeight="1" x14ac:dyDescent="0.2">
      <c r="A35" s="675" t="s">
        <v>559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</row>
    <row r="36" spans="1:13" s="122" customFormat="1" x14ac:dyDescent="0.2">
      <c r="A36" s="680" t="s">
        <v>560</v>
      </c>
      <c r="B36" s="180">
        <v>2.5</v>
      </c>
      <c r="C36" s="180">
        <v>2.5</v>
      </c>
      <c r="D36" s="180">
        <v>2.5</v>
      </c>
      <c r="E36" s="180">
        <v>2.5</v>
      </c>
      <c r="F36" s="180">
        <v>2.5</v>
      </c>
      <c r="G36" s="180">
        <v>3</v>
      </c>
      <c r="H36" s="180">
        <v>3</v>
      </c>
      <c r="I36" s="180">
        <v>3</v>
      </c>
      <c r="J36" s="180">
        <v>3</v>
      </c>
      <c r="K36" s="180">
        <v>3</v>
      </c>
      <c r="L36" s="180">
        <v>3</v>
      </c>
      <c r="M36" s="180">
        <v>3</v>
      </c>
    </row>
    <row r="37" spans="1:13" s="122" customFormat="1" x14ac:dyDescent="0.2">
      <c r="A37" s="679" t="s">
        <v>589</v>
      </c>
      <c r="B37" s="180">
        <v>5.75</v>
      </c>
      <c r="C37" s="180">
        <v>5.75</v>
      </c>
      <c r="D37" s="180">
        <v>5.75</v>
      </c>
      <c r="E37" s="180">
        <v>5.75</v>
      </c>
      <c r="F37" s="180">
        <v>5.75</v>
      </c>
      <c r="G37" s="180">
        <v>5.75</v>
      </c>
      <c r="H37" s="180">
        <v>5.75</v>
      </c>
      <c r="I37" s="180">
        <v>5.75</v>
      </c>
      <c r="J37" s="180">
        <v>5.75</v>
      </c>
      <c r="K37" s="180">
        <v>5.75</v>
      </c>
      <c r="L37" s="180">
        <v>5.75</v>
      </c>
      <c r="M37" s="180">
        <v>5.75</v>
      </c>
    </row>
    <row r="38" spans="1:13" s="122" customFormat="1" x14ac:dyDescent="0.2">
      <c r="A38" s="679" t="s">
        <v>590</v>
      </c>
      <c r="B38" s="180">
        <v>2</v>
      </c>
      <c r="C38" s="180">
        <v>2</v>
      </c>
      <c r="D38" s="180">
        <v>2</v>
      </c>
      <c r="E38" s="180">
        <v>2</v>
      </c>
      <c r="F38" s="180">
        <v>2</v>
      </c>
      <c r="G38" s="180">
        <v>2</v>
      </c>
      <c r="H38" s="180">
        <v>2</v>
      </c>
      <c r="I38" s="180">
        <v>2</v>
      </c>
      <c r="J38" s="180">
        <v>2</v>
      </c>
      <c r="K38" s="180">
        <v>2</v>
      </c>
      <c r="L38" s="180">
        <v>2</v>
      </c>
      <c r="M38" s="180">
        <v>2</v>
      </c>
    </row>
    <row r="39" spans="1:13" s="122" customFormat="1" x14ac:dyDescent="0.2">
      <c r="A39" s="679" t="s">
        <v>591</v>
      </c>
      <c r="B39" s="180">
        <v>1</v>
      </c>
      <c r="C39" s="180">
        <v>1</v>
      </c>
      <c r="D39" s="180">
        <v>1</v>
      </c>
      <c r="E39" s="180">
        <v>1</v>
      </c>
      <c r="F39" s="180">
        <v>1</v>
      </c>
      <c r="G39" s="180">
        <v>1</v>
      </c>
      <c r="H39" s="180">
        <v>1</v>
      </c>
      <c r="I39" s="180">
        <v>1</v>
      </c>
      <c r="J39" s="180">
        <v>1</v>
      </c>
      <c r="K39" s="180">
        <v>1</v>
      </c>
      <c r="L39" s="180">
        <v>1</v>
      </c>
      <c r="M39" s="180">
        <v>1</v>
      </c>
    </row>
    <row r="40" spans="1:13" s="121" customFormat="1" ht="12.75" customHeight="1" x14ac:dyDescent="0.2">
      <c r="A40" s="675" t="s">
        <v>596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</row>
    <row r="41" spans="1:13" s="122" customFormat="1" x14ac:dyDescent="0.2">
      <c r="A41" s="679" t="s">
        <v>597</v>
      </c>
      <c r="B41" s="180">
        <v>3</v>
      </c>
      <c r="C41" s="180">
        <v>3</v>
      </c>
      <c r="D41" s="180">
        <v>3</v>
      </c>
      <c r="E41" s="180">
        <v>3</v>
      </c>
      <c r="F41" s="180">
        <v>3</v>
      </c>
      <c r="G41" s="180">
        <v>3</v>
      </c>
      <c r="H41" s="180">
        <v>3</v>
      </c>
      <c r="I41" s="180">
        <v>3</v>
      </c>
      <c r="J41" s="180">
        <v>3</v>
      </c>
      <c r="K41" s="180">
        <v>3</v>
      </c>
      <c r="L41" s="180">
        <v>3</v>
      </c>
      <c r="M41" s="180">
        <v>3</v>
      </c>
    </row>
    <row r="42" spans="1:13" s="122" customFormat="1" x14ac:dyDescent="0.2">
      <c r="A42" s="679" t="s">
        <v>598</v>
      </c>
      <c r="B42" s="180">
        <v>3</v>
      </c>
      <c r="C42" s="180">
        <v>3</v>
      </c>
      <c r="D42" s="180">
        <v>3</v>
      </c>
      <c r="E42" s="180">
        <v>3</v>
      </c>
      <c r="F42" s="180">
        <v>3</v>
      </c>
      <c r="G42" s="180">
        <v>3</v>
      </c>
      <c r="H42" s="180">
        <v>3</v>
      </c>
      <c r="I42" s="180">
        <v>3</v>
      </c>
      <c r="J42" s="180">
        <v>3</v>
      </c>
      <c r="K42" s="180">
        <v>3</v>
      </c>
      <c r="L42" s="180">
        <v>3</v>
      </c>
      <c r="M42" s="180">
        <v>3</v>
      </c>
    </row>
    <row r="43" spans="1:13" s="121" customFormat="1" ht="12.75" customHeight="1" x14ac:dyDescent="0.2">
      <c r="A43" s="675" t="s">
        <v>599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</row>
    <row r="44" spans="1:13" s="122" customFormat="1" x14ac:dyDescent="0.2">
      <c r="A44" s="679" t="s">
        <v>600</v>
      </c>
      <c r="B44" s="180">
        <v>4</v>
      </c>
      <c r="C44" s="180">
        <v>4</v>
      </c>
      <c r="D44" s="180">
        <v>4</v>
      </c>
      <c r="E44" s="180">
        <v>4</v>
      </c>
      <c r="F44" s="180">
        <v>4</v>
      </c>
      <c r="G44" s="180">
        <v>4</v>
      </c>
      <c r="H44" s="180">
        <v>4</v>
      </c>
      <c r="I44" s="180">
        <v>4</v>
      </c>
      <c r="J44" s="180">
        <v>4</v>
      </c>
      <c r="K44" s="180">
        <v>4</v>
      </c>
      <c r="L44" s="180">
        <v>4</v>
      </c>
      <c r="M44" s="180">
        <v>4</v>
      </c>
    </row>
    <row r="45" spans="1:13" s="121" customFormat="1" ht="12.75" customHeight="1" x14ac:dyDescent="0.2">
      <c r="A45" s="675" t="s">
        <v>584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</row>
    <row r="46" spans="1:13" s="122" customFormat="1" x14ac:dyDescent="0.2">
      <c r="A46" s="679" t="s">
        <v>585</v>
      </c>
      <c r="B46" s="180">
        <v>1</v>
      </c>
      <c r="C46" s="180">
        <v>1</v>
      </c>
      <c r="D46" s="180">
        <v>1</v>
      </c>
      <c r="E46" s="180">
        <v>1</v>
      </c>
      <c r="F46" s="180">
        <v>1</v>
      </c>
      <c r="G46" s="180">
        <v>1</v>
      </c>
      <c r="H46" s="180">
        <v>1</v>
      </c>
      <c r="I46" s="180">
        <v>1</v>
      </c>
      <c r="J46" s="180">
        <v>1</v>
      </c>
      <c r="K46" s="180">
        <v>1</v>
      </c>
      <c r="L46" s="180">
        <v>1</v>
      </c>
      <c r="M46" s="180">
        <v>1</v>
      </c>
    </row>
    <row r="47" spans="1:13" s="122" customFormat="1" x14ac:dyDescent="0.2">
      <c r="A47" s="679" t="s">
        <v>586</v>
      </c>
      <c r="B47" s="180">
        <v>6</v>
      </c>
      <c r="C47" s="180">
        <v>6</v>
      </c>
      <c r="D47" s="180">
        <v>6</v>
      </c>
      <c r="E47" s="180">
        <v>6</v>
      </c>
      <c r="F47" s="180">
        <v>6</v>
      </c>
      <c r="G47" s="180">
        <v>6</v>
      </c>
      <c r="H47" s="180">
        <v>6</v>
      </c>
      <c r="I47" s="180">
        <v>6</v>
      </c>
      <c r="J47" s="180">
        <v>6</v>
      </c>
      <c r="K47" s="180">
        <v>6</v>
      </c>
      <c r="L47" s="180">
        <v>6</v>
      </c>
      <c r="M47" s="180">
        <v>6</v>
      </c>
    </row>
    <row r="48" spans="1:13" s="122" customFormat="1" x14ac:dyDescent="0.2">
      <c r="A48" s="679" t="s">
        <v>765</v>
      </c>
      <c r="B48" s="180">
        <v>1</v>
      </c>
      <c r="C48" s="180">
        <v>1</v>
      </c>
      <c r="D48" s="180">
        <v>1</v>
      </c>
      <c r="E48" s="180">
        <v>1</v>
      </c>
      <c r="F48" s="180">
        <v>1</v>
      </c>
      <c r="G48" s="180">
        <v>1</v>
      </c>
      <c r="H48" s="180">
        <v>1</v>
      </c>
      <c r="I48" s="180">
        <v>1</v>
      </c>
      <c r="J48" s="180">
        <v>1</v>
      </c>
      <c r="K48" s="180">
        <v>1</v>
      </c>
      <c r="L48" s="180">
        <v>1</v>
      </c>
      <c r="M48" s="180">
        <v>1</v>
      </c>
    </row>
    <row r="49" spans="1:13" s="122" customFormat="1" x14ac:dyDescent="0.2">
      <c r="A49" s="679" t="s">
        <v>587</v>
      </c>
      <c r="B49" s="180">
        <v>4</v>
      </c>
      <c r="C49" s="180">
        <v>4</v>
      </c>
      <c r="D49" s="180">
        <v>4</v>
      </c>
      <c r="E49" s="180">
        <v>4</v>
      </c>
      <c r="F49" s="180">
        <v>4</v>
      </c>
      <c r="G49" s="180">
        <v>4</v>
      </c>
      <c r="H49" s="180">
        <v>4</v>
      </c>
      <c r="I49" s="180">
        <v>4</v>
      </c>
      <c r="J49" s="180">
        <v>4</v>
      </c>
      <c r="K49" s="180">
        <v>4</v>
      </c>
      <c r="L49" s="180">
        <v>4</v>
      </c>
      <c r="M49" s="180">
        <v>4</v>
      </c>
    </row>
    <row r="50" spans="1:13" s="122" customFormat="1" x14ac:dyDescent="0.2">
      <c r="A50" s="679" t="s">
        <v>588</v>
      </c>
      <c r="B50" s="180">
        <v>2</v>
      </c>
      <c r="C50" s="180">
        <v>2</v>
      </c>
      <c r="D50" s="180">
        <v>2</v>
      </c>
      <c r="E50" s="180">
        <v>2</v>
      </c>
      <c r="F50" s="180">
        <v>2</v>
      </c>
      <c r="G50" s="180">
        <v>2</v>
      </c>
      <c r="H50" s="180">
        <v>2</v>
      </c>
      <c r="I50" s="180">
        <v>2</v>
      </c>
      <c r="J50" s="180">
        <v>2</v>
      </c>
      <c r="K50" s="180">
        <v>2</v>
      </c>
      <c r="L50" s="180">
        <v>2</v>
      </c>
      <c r="M50" s="180">
        <v>2</v>
      </c>
    </row>
    <row r="51" spans="1:13" s="123" customFormat="1" x14ac:dyDescent="0.2">
      <c r="A51" s="674" t="s">
        <v>674</v>
      </c>
      <c r="B51" s="178">
        <f t="shared" ref="B51:M51" si="2">SUM(B33:B50)</f>
        <v>47.25</v>
      </c>
      <c r="C51" s="178">
        <f t="shared" si="2"/>
        <v>47.25</v>
      </c>
      <c r="D51" s="178">
        <f t="shared" si="2"/>
        <v>47.25</v>
      </c>
      <c r="E51" s="178">
        <f t="shared" si="2"/>
        <v>47.25</v>
      </c>
      <c r="F51" s="178">
        <f t="shared" si="2"/>
        <v>47.25</v>
      </c>
      <c r="G51" s="178">
        <f t="shared" si="2"/>
        <v>47.75</v>
      </c>
      <c r="H51" s="178">
        <f t="shared" si="2"/>
        <v>47.75</v>
      </c>
      <c r="I51" s="178">
        <f t="shared" si="2"/>
        <v>47.75</v>
      </c>
      <c r="J51" s="178">
        <f t="shared" si="2"/>
        <v>47.75</v>
      </c>
      <c r="K51" s="178">
        <f t="shared" si="2"/>
        <v>47.75</v>
      </c>
      <c r="L51" s="178">
        <f t="shared" si="2"/>
        <v>47.75</v>
      </c>
      <c r="M51" s="178">
        <f t="shared" si="2"/>
        <v>47.75</v>
      </c>
    </row>
    <row r="52" spans="1:13" s="123" customFormat="1" ht="30.75" customHeight="1" x14ac:dyDescent="0.2">
      <c r="A52" s="683" t="s">
        <v>681</v>
      </c>
      <c r="B52" s="183">
        <f t="shared" ref="B52:M52" si="3">SUM(B51,B30,B22)</f>
        <v>118.25</v>
      </c>
      <c r="C52" s="183">
        <f t="shared" si="3"/>
        <v>118.25</v>
      </c>
      <c r="D52" s="183">
        <f t="shared" si="3"/>
        <v>118.25</v>
      </c>
      <c r="E52" s="183">
        <f t="shared" si="3"/>
        <v>119.25</v>
      </c>
      <c r="F52" s="183">
        <f t="shared" si="3"/>
        <v>120.25</v>
      </c>
      <c r="G52" s="183">
        <f t="shared" si="3"/>
        <v>119.75</v>
      </c>
      <c r="H52" s="183">
        <f t="shared" si="3"/>
        <v>120.5</v>
      </c>
      <c r="I52" s="183">
        <f t="shared" si="3"/>
        <v>119.5</v>
      </c>
      <c r="J52" s="183">
        <f t="shared" si="3"/>
        <v>118.5</v>
      </c>
      <c r="K52" s="183">
        <f t="shared" si="3"/>
        <v>118.5</v>
      </c>
      <c r="L52" s="183">
        <f t="shared" si="3"/>
        <v>118.5</v>
      </c>
      <c r="M52" s="183">
        <f t="shared" si="3"/>
        <v>118.5</v>
      </c>
    </row>
    <row r="53" spans="1:13" s="122" customFormat="1" ht="14.25" customHeight="1" x14ac:dyDescent="0.2">
      <c r="A53" s="676"/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</row>
    <row r="54" spans="1:13" s="123" customFormat="1" x14ac:dyDescent="0.2">
      <c r="A54" s="674" t="s">
        <v>593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</row>
    <row r="55" spans="1:13" s="121" customFormat="1" ht="12.75" customHeight="1" x14ac:dyDescent="0.2">
      <c r="A55" s="675" t="s">
        <v>731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13" s="671" customFormat="1" ht="6" customHeight="1" x14ac:dyDescent="0.2">
      <c r="A56" s="684"/>
      <c r="B56" s="670"/>
      <c r="C56" s="670"/>
      <c r="D56" s="670"/>
      <c r="E56" s="670"/>
      <c r="F56" s="670"/>
      <c r="G56" s="670"/>
      <c r="H56" s="670"/>
      <c r="I56" s="670"/>
      <c r="J56" s="670"/>
      <c r="K56" s="670"/>
      <c r="L56" s="670"/>
      <c r="M56" s="670"/>
    </row>
    <row r="57" spans="1:13" s="121" customFormat="1" ht="12.75" customHeight="1" x14ac:dyDescent="0.2">
      <c r="A57" s="685" t="s">
        <v>76</v>
      </c>
      <c r="B57" s="672"/>
      <c r="C57" s="672"/>
      <c r="D57" s="672"/>
      <c r="E57" s="672"/>
      <c r="F57" s="672"/>
      <c r="G57" s="672"/>
      <c r="H57" s="672"/>
      <c r="I57" s="672"/>
      <c r="J57" s="672"/>
      <c r="K57" s="672"/>
      <c r="L57" s="672"/>
      <c r="M57" s="672"/>
    </row>
    <row r="58" spans="1:13" s="122" customFormat="1" ht="25.5" x14ac:dyDescent="0.2">
      <c r="A58" s="680" t="s">
        <v>174</v>
      </c>
      <c r="B58" s="180">
        <v>49</v>
      </c>
      <c r="C58" s="180">
        <v>49</v>
      </c>
      <c r="D58" s="180">
        <v>49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  <row r="59" spans="1:13" s="122" customFormat="1" ht="25.5" x14ac:dyDescent="0.2">
      <c r="A59" s="680" t="s">
        <v>175</v>
      </c>
      <c r="B59" s="180">
        <v>35</v>
      </c>
      <c r="C59" s="180">
        <v>35</v>
      </c>
      <c r="D59" s="180">
        <v>35</v>
      </c>
      <c r="E59" s="180">
        <v>35</v>
      </c>
      <c r="F59" s="180">
        <v>0</v>
      </c>
      <c r="G59" s="180">
        <v>0</v>
      </c>
      <c r="H59" s="180">
        <v>0</v>
      </c>
      <c r="I59" s="180">
        <v>0</v>
      </c>
      <c r="J59" s="180">
        <v>0</v>
      </c>
      <c r="K59" s="180">
        <v>0</v>
      </c>
      <c r="L59" s="180">
        <v>0</v>
      </c>
      <c r="M59" s="180">
        <v>0</v>
      </c>
    </row>
    <row r="60" spans="1:13" s="122" customFormat="1" ht="25.5" x14ac:dyDescent="0.2">
      <c r="A60" s="680" t="s">
        <v>176</v>
      </c>
      <c r="B60" s="180">
        <v>28</v>
      </c>
      <c r="C60" s="180">
        <v>28</v>
      </c>
      <c r="D60" s="180">
        <v>28</v>
      </c>
      <c r="E60" s="180">
        <v>28</v>
      </c>
      <c r="F60" s="180">
        <v>28</v>
      </c>
      <c r="G60" s="180">
        <v>28</v>
      </c>
      <c r="H60" s="180">
        <v>0</v>
      </c>
      <c r="I60" s="180">
        <v>0</v>
      </c>
      <c r="J60" s="180">
        <v>0</v>
      </c>
      <c r="K60" s="180">
        <v>0</v>
      </c>
      <c r="L60" s="180">
        <v>0</v>
      </c>
      <c r="M60" s="180">
        <v>0</v>
      </c>
    </row>
    <row r="61" spans="1:13" s="121" customFormat="1" ht="12.75" customHeight="1" x14ac:dyDescent="0.2">
      <c r="A61" s="685" t="s">
        <v>718</v>
      </c>
      <c r="B61" s="672"/>
      <c r="C61" s="672"/>
      <c r="D61" s="672"/>
      <c r="E61" s="672"/>
      <c r="F61" s="672"/>
      <c r="G61" s="672"/>
      <c r="H61" s="672"/>
      <c r="I61" s="672"/>
      <c r="J61" s="672"/>
      <c r="K61" s="672"/>
      <c r="L61" s="672"/>
      <c r="M61" s="672"/>
    </row>
    <row r="62" spans="1:13" s="671" customFormat="1" ht="38.25" customHeight="1" x14ac:dyDescent="0.2">
      <c r="A62" s="680" t="s">
        <v>177</v>
      </c>
      <c r="B62" s="180">
        <v>3</v>
      </c>
      <c r="C62" s="180">
        <v>3</v>
      </c>
      <c r="D62" s="180">
        <v>0</v>
      </c>
      <c r="E62" s="180">
        <v>0</v>
      </c>
      <c r="F62" s="180">
        <v>0</v>
      </c>
      <c r="G62" s="180">
        <v>0</v>
      </c>
      <c r="H62" s="180">
        <v>0</v>
      </c>
      <c r="I62" s="180">
        <v>0</v>
      </c>
      <c r="J62" s="180">
        <v>0</v>
      </c>
      <c r="K62" s="180">
        <v>0</v>
      </c>
      <c r="L62" s="180">
        <v>0</v>
      </c>
      <c r="M62" s="180">
        <v>0</v>
      </c>
    </row>
    <row r="63" spans="1:13" s="671" customFormat="1" ht="41.25" customHeight="1" x14ac:dyDescent="0.2">
      <c r="A63" s="680" t="s">
        <v>178</v>
      </c>
      <c r="B63" s="180">
        <v>3</v>
      </c>
      <c r="C63" s="180">
        <v>3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0</v>
      </c>
      <c r="K63" s="180">
        <v>0</v>
      </c>
      <c r="L63" s="180">
        <v>0</v>
      </c>
      <c r="M63" s="180">
        <v>0</v>
      </c>
    </row>
    <row r="64" spans="1:13" s="671" customFormat="1" ht="28.5" customHeight="1" x14ac:dyDescent="0.2">
      <c r="A64" s="685" t="s">
        <v>179</v>
      </c>
      <c r="B64" s="672"/>
      <c r="C64" s="672"/>
      <c r="D64" s="672"/>
      <c r="E64" s="672"/>
      <c r="F64" s="672"/>
      <c r="G64" s="672"/>
      <c r="H64" s="672"/>
      <c r="I64" s="672"/>
      <c r="J64" s="672"/>
      <c r="K64" s="672"/>
      <c r="L64" s="672"/>
      <c r="M64" s="672"/>
    </row>
    <row r="65" spans="1:13" s="122" customFormat="1" ht="25.5" x14ac:dyDescent="0.2">
      <c r="A65" s="680" t="s">
        <v>180</v>
      </c>
      <c r="B65" s="180">
        <v>12</v>
      </c>
      <c r="C65" s="180">
        <v>12</v>
      </c>
      <c r="D65" s="180">
        <v>12</v>
      </c>
      <c r="E65" s="180">
        <v>12</v>
      </c>
      <c r="F65" s="180">
        <v>0</v>
      </c>
      <c r="G65" s="180">
        <v>0</v>
      </c>
      <c r="H65" s="180">
        <v>0</v>
      </c>
      <c r="I65" s="180">
        <v>0</v>
      </c>
      <c r="J65" s="180">
        <v>0</v>
      </c>
      <c r="K65" s="180">
        <v>0</v>
      </c>
      <c r="L65" s="180">
        <v>0</v>
      </c>
      <c r="M65" s="180">
        <v>0</v>
      </c>
    </row>
    <row r="66" spans="1:13" s="122" customFormat="1" ht="25.5" x14ac:dyDescent="0.2">
      <c r="A66" s="680" t="s">
        <v>181</v>
      </c>
      <c r="B66" s="180">
        <v>1</v>
      </c>
      <c r="C66" s="180">
        <v>0</v>
      </c>
      <c r="D66" s="180">
        <v>0</v>
      </c>
      <c r="E66" s="180">
        <v>0</v>
      </c>
      <c r="F66" s="180">
        <v>0</v>
      </c>
      <c r="G66" s="180">
        <v>0</v>
      </c>
      <c r="H66" s="180">
        <v>0</v>
      </c>
      <c r="I66" s="180">
        <v>0</v>
      </c>
      <c r="J66" s="180">
        <v>0</v>
      </c>
      <c r="K66" s="180">
        <v>0</v>
      </c>
      <c r="L66" s="180">
        <v>0</v>
      </c>
      <c r="M66" s="180">
        <v>0</v>
      </c>
    </row>
    <row r="67" spans="1:13" s="122" customFormat="1" ht="25.5" x14ac:dyDescent="0.2">
      <c r="A67" s="680" t="s">
        <v>182</v>
      </c>
      <c r="B67" s="180">
        <v>17</v>
      </c>
      <c r="C67" s="180">
        <v>17</v>
      </c>
      <c r="D67" s="180">
        <v>0</v>
      </c>
      <c r="E67" s="180">
        <v>0</v>
      </c>
      <c r="F67" s="180">
        <v>0</v>
      </c>
      <c r="G67" s="180">
        <v>0</v>
      </c>
      <c r="H67" s="180">
        <v>0</v>
      </c>
      <c r="I67" s="180">
        <v>0</v>
      </c>
      <c r="J67" s="180">
        <v>0</v>
      </c>
      <c r="K67" s="180">
        <v>0</v>
      </c>
      <c r="L67" s="180">
        <v>0</v>
      </c>
      <c r="M67" s="180">
        <v>0</v>
      </c>
    </row>
    <row r="68" spans="1:13" s="122" customFormat="1" ht="25.5" x14ac:dyDescent="0.2">
      <c r="A68" s="680" t="s">
        <v>183</v>
      </c>
      <c r="B68" s="180">
        <v>79</v>
      </c>
      <c r="C68" s="180">
        <v>79</v>
      </c>
      <c r="D68" s="180">
        <v>79</v>
      </c>
      <c r="E68" s="180">
        <v>79</v>
      </c>
      <c r="F68" s="180">
        <v>0</v>
      </c>
      <c r="G68" s="180">
        <v>0</v>
      </c>
      <c r="H68" s="180">
        <v>0</v>
      </c>
      <c r="I68" s="180">
        <v>0</v>
      </c>
      <c r="J68" s="180">
        <v>0</v>
      </c>
      <c r="K68" s="180">
        <v>0</v>
      </c>
      <c r="L68" s="180">
        <v>0</v>
      </c>
      <c r="M68" s="180">
        <v>0</v>
      </c>
    </row>
    <row r="69" spans="1:13" s="122" customFormat="1" ht="28.5" customHeight="1" x14ac:dyDescent="0.2">
      <c r="A69" s="680" t="s">
        <v>988</v>
      </c>
      <c r="B69" s="180">
        <v>0</v>
      </c>
      <c r="C69" s="180">
        <v>0</v>
      </c>
      <c r="D69" s="180">
        <v>34</v>
      </c>
      <c r="E69" s="180">
        <v>34</v>
      </c>
      <c r="F69" s="180">
        <v>34</v>
      </c>
      <c r="G69" s="180">
        <v>34</v>
      </c>
      <c r="H69" s="180">
        <v>34</v>
      </c>
      <c r="I69" s="180">
        <v>34</v>
      </c>
      <c r="J69" s="180">
        <v>34</v>
      </c>
      <c r="K69" s="180">
        <v>34</v>
      </c>
      <c r="L69" s="180">
        <v>34</v>
      </c>
      <c r="M69" s="180">
        <v>34</v>
      </c>
    </row>
    <row r="70" spans="1:13" s="122" customFormat="1" ht="51" x14ac:dyDescent="0.2">
      <c r="A70" s="680" t="s">
        <v>1140</v>
      </c>
      <c r="B70" s="180">
        <v>0</v>
      </c>
      <c r="C70" s="180">
        <v>0</v>
      </c>
      <c r="D70" s="180">
        <v>0</v>
      </c>
      <c r="E70" s="180">
        <v>0</v>
      </c>
      <c r="F70" s="180">
        <v>46</v>
      </c>
      <c r="G70" s="180">
        <v>46</v>
      </c>
      <c r="H70" s="180">
        <v>46</v>
      </c>
      <c r="I70" s="180">
        <v>46</v>
      </c>
      <c r="J70" s="180">
        <v>46</v>
      </c>
      <c r="K70" s="180">
        <v>46</v>
      </c>
      <c r="L70" s="180">
        <v>46</v>
      </c>
      <c r="M70" s="180">
        <v>46</v>
      </c>
    </row>
    <row r="71" spans="1:13" s="122" customFormat="1" ht="42" customHeight="1" x14ac:dyDescent="0.2">
      <c r="A71" s="680" t="s">
        <v>1095</v>
      </c>
      <c r="B71" s="180">
        <v>0</v>
      </c>
      <c r="C71" s="180">
        <v>0</v>
      </c>
      <c r="D71" s="180">
        <v>0</v>
      </c>
      <c r="E71" s="180">
        <v>0</v>
      </c>
      <c r="F71" s="180">
        <v>0</v>
      </c>
      <c r="G71" s="180">
        <v>0</v>
      </c>
      <c r="H71" s="180">
        <v>0</v>
      </c>
      <c r="I71" s="180">
        <v>22</v>
      </c>
      <c r="J71" s="180">
        <v>22</v>
      </c>
      <c r="K71" s="180">
        <v>22</v>
      </c>
      <c r="L71" s="180">
        <v>22</v>
      </c>
      <c r="M71" s="180">
        <v>22</v>
      </c>
    </row>
    <row r="72" spans="1:13" s="122" customFormat="1" ht="28.5" customHeight="1" x14ac:dyDescent="0.2">
      <c r="A72" s="680" t="s">
        <v>1096</v>
      </c>
      <c r="B72" s="180">
        <v>0</v>
      </c>
      <c r="C72" s="180">
        <v>0</v>
      </c>
      <c r="D72" s="180">
        <v>0</v>
      </c>
      <c r="E72" s="180">
        <v>0</v>
      </c>
      <c r="F72" s="180">
        <v>0</v>
      </c>
      <c r="G72" s="180">
        <v>0</v>
      </c>
      <c r="H72" s="180">
        <v>0</v>
      </c>
      <c r="I72" s="180">
        <v>22</v>
      </c>
      <c r="J72" s="180">
        <v>22</v>
      </c>
      <c r="K72" s="180">
        <v>22</v>
      </c>
      <c r="L72" s="180">
        <v>22</v>
      </c>
      <c r="M72" s="180">
        <v>22</v>
      </c>
    </row>
    <row r="73" spans="1:13" s="122" customFormat="1" ht="39.75" customHeight="1" x14ac:dyDescent="0.2">
      <c r="A73" s="680" t="s">
        <v>1097</v>
      </c>
      <c r="B73" s="180">
        <v>0</v>
      </c>
      <c r="C73" s="180">
        <v>0</v>
      </c>
      <c r="D73" s="180">
        <v>0</v>
      </c>
      <c r="E73" s="180">
        <v>0</v>
      </c>
      <c r="F73" s="180">
        <v>0</v>
      </c>
      <c r="G73" s="180">
        <v>0</v>
      </c>
      <c r="H73" s="180">
        <v>0</v>
      </c>
      <c r="I73" s="180">
        <v>22</v>
      </c>
      <c r="J73" s="180">
        <v>22</v>
      </c>
      <c r="K73" s="180">
        <v>22</v>
      </c>
      <c r="L73" s="180">
        <v>22</v>
      </c>
      <c r="M73" s="180">
        <v>22</v>
      </c>
    </row>
    <row r="74" spans="1:13" s="122" customFormat="1" ht="38.25" x14ac:dyDescent="0.2">
      <c r="A74" s="680" t="s">
        <v>1098</v>
      </c>
      <c r="B74" s="180">
        <v>0</v>
      </c>
      <c r="C74" s="180">
        <v>0</v>
      </c>
      <c r="D74" s="180">
        <v>0</v>
      </c>
      <c r="E74" s="180">
        <v>0</v>
      </c>
      <c r="F74" s="180">
        <v>0</v>
      </c>
      <c r="G74" s="180">
        <v>0</v>
      </c>
      <c r="H74" s="180">
        <v>0</v>
      </c>
      <c r="I74" s="180">
        <v>22</v>
      </c>
      <c r="J74" s="180">
        <v>22</v>
      </c>
      <c r="K74" s="180">
        <v>22</v>
      </c>
      <c r="L74" s="180">
        <v>22</v>
      </c>
      <c r="M74" s="180">
        <v>22</v>
      </c>
    </row>
    <row r="75" spans="1:13" s="122" customFormat="1" ht="25.5" x14ac:dyDescent="0.2">
      <c r="A75" s="685" t="s">
        <v>908</v>
      </c>
      <c r="B75" s="672"/>
      <c r="C75" s="672"/>
      <c r="D75" s="672"/>
      <c r="E75" s="672"/>
      <c r="F75" s="672"/>
      <c r="G75" s="672"/>
      <c r="H75" s="672"/>
      <c r="I75" s="672"/>
      <c r="J75" s="672"/>
      <c r="K75" s="672"/>
      <c r="L75" s="672"/>
      <c r="M75" s="672"/>
    </row>
    <row r="76" spans="1:13" s="122" customFormat="1" ht="51" x14ac:dyDescent="0.2">
      <c r="A76" s="680" t="s">
        <v>909</v>
      </c>
      <c r="B76" s="180">
        <v>0</v>
      </c>
      <c r="C76" s="180">
        <v>0</v>
      </c>
      <c r="D76" s="180">
        <v>0</v>
      </c>
      <c r="E76" s="180">
        <v>0</v>
      </c>
      <c r="F76" s="180">
        <v>0</v>
      </c>
      <c r="G76" s="180">
        <v>27</v>
      </c>
      <c r="H76" s="180">
        <v>27</v>
      </c>
      <c r="I76" s="180">
        <v>27</v>
      </c>
      <c r="J76" s="180">
        <v>27</v>
      </c>
      <c r="K76" s="180">
        <v>0</v>
      </c>
      <c r="L76" s="180">
        <v>0</v>
      </c>
      <c r="M76" s="180">
        <v>0</v>
      </c>
    </row>
    <row r="77" spans="1:13" s="122" customFormat="1" ht="25.5" x14ac:dyDescent="0.2">
      <c r="A77" s="680" t="s">
        <v>910</v>
      </c>
      <c r="B77" s="180">
        <v>0</v>
      </c>
      <c r="C77" s="180">
        <v>0</v>
      </c>
      <c r="D77" s="180">
        <v>0</v>
      </c>
      <c r="E77" s="180">
        <v>0</v>
      </c>
      <c r="F77" s="180">
        <v>0</v>
      </c>
      <c r="G77" s="180">
        <v>24</v>
      </c>
      <c r="H77" s="180">
        <v>24</v>
      </c>
      <c r="I77" s="180">
        <v>24</v>
      </c>
      <c r="J77" s="180">
        <v>24</v>
      </c>
      <c r="K77" s="180">
        <v>0</v>
      </c>
      <c r="L77" s="180">
        <v>0</v>
      </c>
      <c r="M77" s="180">
        <v>0</v>
      </c>
    </row>
    <row r="78" spans="1:13" s="122" customFormat="1" ht="25.5" x14ac:dyDescent="0.2">
      <c r="A78" s="680" t="s">
        <v>989</v>
      </c>
      <c r="B78" s="180">
        <v>0</v>
      </c>
      <c r="C78" s="180">
        <v>0</v>
      </c>
      <c r="D78" s="180">
        <v>0</v>
      </c>
      <c r="E78" s="180">
        <v>0</v>
      </c>
      <c r="F78" s="180">
        <v>0</v>
      </c>
      <c r="G78" s="180">
        <v>15</v>
      </c>
      <c r="H78" s="180">
        <v>15</v>
      </c>
      <c r="I78" s="180">
        <v>15</v>
      </c>
      <c r="J78" s="180">
        <v>15</v>
      </c>
      <c r="K78" s="180">
        <v>0</v>
      </c>
      <c r="L78" s="180">
        <v>0</v>
      </c>
      <c r="M78" s="180">
        <v>0</v>
      </c>
    </row>
    <row r="79" spans="1:13" s="122" customFormat="1" ht="25.5" x14ac:dyDescent="0.2">
      <c r="A79" s="680" t="s">
        <v>990</v>
      </c>
      <c r="B79" s="180">
        <v>0</v>
      </c>
      <c r="C79" s="180">
        <v>0</v>
      </c>
      <c r="D79" s="180">
        <v>0</v>
      </c>
      <c r="E79" s="180">
        <v>0</v>
      </c>
      <c r="F79" s="180">
        <v>0</v>
      </c>
      <c r="G79" s="180">
        <v>12</v>
      </c>
      <c r="H79" s="180">
        <v>12</v>
      </c>
      <c r="I79" s="180">
        <v>0</v>
      </c>
      <c r="J79" s="180">
        <v>0</v>
      </c>
      <c r="K79" s="180">
        <v>0</v>
      </c>
      <c r="L79" s="180">
        <v>0</v>
      </c>
      <c r="M79" s="180">
        <v>0</v>
      </c>
    </row>
    <row r="80" spans="1:13" s="122" customFormat="1" ht="25.5" x14ac:dyDescent="0.2">
      <c r="A80" s="680" t="s">
        <v>991</v>
      </c>
      <c r="B80" s="180">
        <v>0</v>
      </c>
      <c r="C80" s="180">
        <v>0</v>
      </c>
      <c r="D80" s="180">
        <v>0</v>
      </c>
      <c r="E80" s="180">
        <v>0</v>
      </c>
      <c r="F80" s="180">
        <v>0</v>
      </c>
      <c r="G80" s="180">
        <v>15</v>
      </c>
      <c r="H80" s="180">
        <v>15</v>
      </c>
      <c r="I80" s="180">
        <v>15</v>
      </c>
      <c r="J80" s="180">
        <v>15</v>
      </c>
      <c r="K80" s="180">
        <v>0</v>
      </c>
      <c r="L80" s="180">
        <v>0</v>
      </c>
      <c r="M80" s="180">
        <v>0</v>
      </c>
    </row>
    <row r="81" spans="1:13" s="122" customFormat="1" ht="25.5" x14ac:dyDescent="0.2">
      <c r="A81" s="680" t="s">
        <v>992</v>
      </c>
      <c r="B81" s="180">
        <v>0</v>
      </c>
      <c r="C81" s="180">
        <v>0</v>
      </c>
      <c r="D81" s="180">
        <v>14</v>
      </c>
      <c r="E81" s="180">
        <v>14</v>
      </c>
      <c r="F81" s="180">
        <v>0</v>
      </c>
      <c r="G81" s="180">
        <v>0</v>
      </c>
      <c r="H81" s="180">
        <v>0</v>
      </c>
      <c r="I81" s="180">
        <v>0</v>
      </c>
      <c r="J81" s="180">
        <v>0</v>
      </c>
      <c r="K81" s="180">
        <v>0</v>
      </c>
      <c r="L81" s="180">
        <v>0</v>
      </c>
      <c r="M81" s="180">
        <v>0</v>
      </c>
    </row>
    <row r="82" spans="1:13" s="122" customFormat="1" ht="25.5" x14ac:dyDescent="0.2">
      <c r="A82" s="680" t="s">
        <v>1092</v>
      </c>
      <c r="B82" s="180">
        <v>0</v>
      </c>
      <c r="C82" s="180">
        <v>0</v>
      </c>
      <c r="D82" s="180">
        <v>0</v>
      </c>
      <c r="E82" s="180">
        <v>0</v>
      </c>
      <c r="F82" s="180">
        <v>0</v>
      </c>
      <c r="G82" s="180">
        <v>0</v>
      </c>
      <c r="H82" s="180">
        <v>14</v>
      </c>
      <c r="I82" s="180">
        <v>14</v>
      </c>
      <c r="J82" s="180">
        <v>0</v>
      </c>
      <c r="K82" s="180">
        <v>0</v>
      </c>
      <c r="L82" s="180">
        <v>0</v>
      </c>
      <c r="M82" s="180">
        <v>0</v>
      </c>
    </row>
    <row r="83" spans="1:13" s="122" customFormat="1" ht="25.5" x14ac:dyDescent="0.2">
      <c r="A83" s="680" t="s">
        <v>1093</v>
      </c>
      <c r="B83" s="180">
        <v>0</v>
      </c>
      <c r="C83" s="180">
        <v>0</v>
      </c>
      <c r="D83" s="180">
        <v>0</v>
      </c>
      <c r="E83" s="180">
        <v>0</v>
      </c>
      <c r="F83" s="180">
        <v>0</v>
      </c>
      <c r="G83" s="180">
        <v>0</v>
      </c>
      <c r="H83" s="180">
        <v>0</v>
      </c>
      <c r="I83" s="180">
        <v>45</v>
      </c>
      <c r="J83" s="180">
        <v>45</v>
      </c>
      <c r="K83" s="180">
        <v>45</v>
      </c>
      <c r="L83" s="180">
        <v>0</v>
      </c>
      <c r="M83" s="180">
        <v>0</v>
      </c>
    </row>
    <row r="84" spans="1:13" s="122" customFormat="1" ht="25.5" x14ac:dyDescent="0.2">
      <c r="A84" s="680" t="s">
        <v>1094</v>
      </c>
      <c r="B84" s="180">
        <v>0</v>
      </c>
      <c r="C84" s="180">
        <v>0</v>
      </c>
      <c r="D84" s="180">
        <v>0</v>
      </c>
      <c r="E84" s="180">
        <v>0</v>
      </c>
      <c r="F84" s="180">
        <v>0</v>
      </c>
      <c r="G84" s="180">
        <v>0</v>
      </c>
      <c r="H84" s="180">
        <v>16</v>
      </c>
      <c r="I84" s="180">
        <v>16</v>
      </c>
      <c r="J84" s="180">
        <v>16</v>
      </c>
      <c r="K84" s="180">
        <v>16</v>
      </c>
      <c r="L84" s="180">
        <v>0</v>
      </c>
      <c r="M84" s="180">
        <v>0</v>
      </c>
    </row>
    <row r="85" spans="1:13" s="122" customFormat="1" ht="25.5" x14ac:dyDescent="0.2">
      <c r="A85" s="680" t="s">
        <v>1138</v>
      </c>
      <c r="B85" s="180">
        <v>0</v>
      </c>
      <c r="C85" s="180">
        <v>0</v>
      </c>
      <c r="D85" s="180">
        <v>0</v>
      </c>
      <c r="E85" s="180">
        <v>0</v>
      </c>
      <c r="F85" s="180">
        <v>0</v>
      </c>
      <c r="G85" s="180">
        <v>0</v>
      </c>
      <c r="H85" s="180">
        <v>0</v>
      </c>
      <c r="I85" s="180">
        <v>0</v>
      </c>
      <c r="J85" s="180">
        <v>0</v>
      </c>
      <c r="K85" s="180">
        <v>1</v>
      </c>
      <c r="L85" s="180">
        <v>1</v>
      </c>
      <c r="M85" s="180">
        <v>0</v>
      </c>
    </row>
    <row r="86" spans="1:13" s="122" customFormat="1" ht="25.5" x14ac:dyDescent="0.2">
      <c r="A86" s="680" t="s">
        <v>1139</v>
      </c>
      <c r="B86" s="180">
        <v>0</v>
      </c>
      <c r="C86" s="180">
        <v>0</v>
      </c>
      <c r="D86" s="180">
        <v>0</v>
      </c>
      <c r="E86" s="180">
        <v>0</v>
      </c>
      <c r="F86" s="180">
        <v>0</v>
      </c>
      <c r="G86" s="180">
        <v>0</v>
      </c>
      <c r="H86" s="180">
        <v>0</v>
      </c>
      <c r="I86" s="180">
        <v>0</v>
      </c>
      <c r="J86" s="180">
        <v>0</v>
      </c>
      <c r="K86" s="180">
        <v>0</v>
      </c>
      <c r="L86" s="180">
        <v>38</v>
      </c>
      <c r="M86" s="180">
        <v>38</v>
      </c>
    </row>
    <row r="87" spans="1:13" s="686" customFormat="1" ht="25.5" x14ac:dyDescent="0.2">
      <c r="A87" s="684" t="s">
        <v>1137</v>
      </c>
      <c r="B87" s="670">
        <v>0</v>
      </c>
      <c r="C87" s="670">
        <v>0</v>
      </c>
      <c r="D87" s="670">
        <v>0</v>
      </c>
      <c r="E87" s="670">
        <v>0</v>
      </c>
      <c r="F87" s="670">
        <v>0</v>
      </c>
      <c r="G87" s="670">
        <v>0</v>
      </c>
      <c r="H87" s="670">
        <v>0</v>
      </c>
      <c r="I87" s="670">
        <v>0</v>
      </c>
      <c r="J87" s="670">
        <v>0</v>
      </c>
      <c r="K87" s="670">
        <v>1</v>
      </c>
      <c r="L87" s="670">
        <v>1</v>
      </c>
      <c r="M87" s="670">
        <v>1</v>
      </c>
    </row>
    <row r="88" spans="1:13" s="122" customFormat="1" x14ac:dyDescent="0.2">
      <c r="A88" s="6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</row>
    <row r="89" spans="1:13" s="689" customFormat="1" x14ac:dyDescent="0.2">
      <c r="A89" s="687" t="s">
        <v>184</v>
      </c>
      <c r="B89" s="688">
        <f>SUM(B58:B88)</f>
        <v>227</v>
      </c>
      <c r="C89" s="688">
        <f t="shared" ref="C89:M89" si="4">SUM(C58:C88)</f>
        <v>226</v>
      </c>
      <c r="D89" s="688">
        <f t="shared" si="4"/>
        <v>251</v>
      </c>
      <c r="E89" s="688">
        <f t="shared" si="4"/>
        <v>202</v>
      </c>
      <c r="F89" s="688">
        <f t="shared" si="4"/>
        <v>108</v>
      </c>
      <c r="G89" s="688">
        <f t="shared" si="4"/>
        <v>201</v>
      </c>
      <c r="H89" s="688">
        <f t="shared" si="4"/>
        <v>203</v>
      </c>
      <c r="I89" s="688">
        <f t="shared" si="4"/>
        <v>324</v>
      </c>
      <c r="J89" s="688">
        <f t="shared" si="4"/>
        <v>310</v>
      </c>
      <c r="K89" s="688">
        <f t="shared" si="4"/>
        <v>231</v>
      </c>
      <c r="L89" s="688">
        <f t="shared" si="4"/>
        <v>208</v>
      </c>
      <c r="M89" s="688">
        <f t="shared" si="4"/>
        <v>207</v>
      </c>
    </row>
    <row r="90" spans="1:13" s="686" customFormat="1" ht="8.25" customHeight="1" x14ac:dyDescent="0.2">
      <c r="A90" s="684"/>
      <c r="B90" s="670"/>
      <c r="C90" s="670"/>
      <c r="D90" s="670"/>
      <c r="E90" s="670"/>
      <c r="F90" s="670"/>
      <c r="G90" s="670"/>
      <c r="H90" s="670"/>
      <c r="I90" s="670"/>
      <c r="J90" s="670"/>
      <c r="K90" s="670"/>
      <c r="L90" s="670"/>
      <c r="M90" s="670"/>
    </row>
    <row r="91" spans="1:13" s="121" customFormat="1" ht="12.75" customHeight="1" x14ac:dyDescent="0.2">
      <c r="A91" s="675" t="s">
        <v>615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</row>
    <row r="92" spans="1:13" s="122" customFormat="1" x14ac:dyDescent="0.2">
      <c r="A92" s="680" t="s">
        <v>865</v>
      </c>
      <c r="B92" s="180">
        <v>0</v>
      </c>
      <c r="C92" s="180">
        <v>0</v>
      </c>
      <c r="D92" s="180">
        <v>0</v>
      </c>
      <c r="E92" s="180">
        <v>0</v>
      </c>
      <c r="F92" s="180">
        <v>0</v>
      </c>
      <c r="G92" s="180">
        <v>0</v>
      </c>
      <c r="H92" s="180">
        <v>0</v>
      </c>
      <c r="I92" s="180">
        <v>0</v>
      </c>
      <c r="J92" s="180">
        <v>0</v>
      </c>
      <c r="K92" s="180">
        <v>0</v>
      </c>
      <c r="L92" s="180">
        <v>0</v>
      </c>
      <c r="M92" s="180">
        <v>0</v>
      </c>
    </row>
    <row r="93" spans="1:13" s="121" customFormat="1" ht="24.75" customHeight="1" x14ac:dyDescent="0.2">
      <c r="A93" s="1276" t="s">
        <v>873</v>
      </c>
      <c r="B93" s="1277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</row>
    <row r="94" spans="1:13" s="122" customFormat="1" x14ac:dyDescent="0.2">
      <c r="A94" s="680" t="s">
        <v>865</v>
      </c>
      <c r="B94" s="180">
        <v>0</v>
      </c>
      <c r="C94" s="180">
        <v>0</v>
      </c>
      <c r="D94" s="180">
        <v>0</v>
      </c>
      <c r="E94" s="180">
        <v>0</v>
      </c>
      <c r="F94" s="180">
        <v>0</v>
      </c>
      <c r="G94" s="180">
        <v>0</v>
      </c>
      <c r="H94" s="180">
        <v>0</v>
      </c>
      <c r="I94" s="180">
        <v>0</v>
      </c>
      <c r="J94" s="180">
        <v>0</v>
      </c>
      <c r="K94" s="180">
        <v>0</v>
      </c>
      <c r="L94" s="180">
        <v>0</v>
      </c>
      <c r="M94" s="180">
        <v>0</v>
      </c>
    </row>
    <row r="95" spans="1:13" s="123" customFormat="1" ht="32.25" customHeight="1" x14ac:dyDescent="0.2">
      <c r="A95" s="683" t="s">
        <v>866</v>
      </c>
      <c r="B95" s="183">
        <f>SUM(B89+B92+B94)</f>
        <v>227</v>
      </c>
      <c r="C95" s="183">
        <f t="shared" ref="C95:M95" si="5">SUM(C89+C92+C94)</f>
        <v>226</v>
      </c>
      <c r="D95" s="183">
        <f t="shared" si="5"/>
        <v>251</v>
      </c>
      <c r="E95" s="183">
        <f t="shared" si="5"/>
        <v>202</v>
      </c>
      <c r="F95" s="183">
        <f t="shared" si="5"/>
        <v>108</v>
      </c>
      <c r="G95" s="183">
        <f t="shared" si="5"/>
        <v>201</v>
      </c>
      <c r="H95" s="183">
        <f t="shared" si="5"/>
        <v>203</v>
      </c>
      <c r="I95" s="183">
        <f t="shared" si="5"/>
        <v>324</v>
      </c>
      <c r="J95" s="183">
        <f t="shared" si="5"/>
        <v>310</v>
      </c>
      <c r="K95" s="183">
        <f t="shared" si="5"/>
        <v>231</v>
      </c>
      <c r="L95" s="183">
        <f t="shared" si="5"/>
        <v>208</v>
      </c>
      <c r="M95" s="183">
        <f t="shared" si="5"/>
        <v>207</v>
      </c>
    </row>
    <row r="98" spans="1:4" x14ac:dyDescent="0.2">
      <c r="A98" s="621"/>
      <c r="B98" s="621"/>
      <c r="C98" s="621"/>
      <c r="D98" s="585"/>
    </row>
    <row r="99" spans="1:4" x14ac:dyDescent="0.2">
      <c r="A99" s="1009">
        <v>19</v>
      </c>
      <c r="B99" s="1007" t="s">
        <v>1148</v>
      </c>
      <c r="C99" s="1007"/>
    </row>
    <row r="100" spans="1:4" x14ac:dyDescent="0.2">
      <c r="A100" s="1009">
        <v>20</v>
      </c>
      <c r="B100" s="1007" t="s">
        <v>1146</v>
      </c>
      <c r="C100" s="1007"/>
    </row>
    <row r="101" spans="1:4" x14ac:dyDescent="0.2">
      <c r="A101" s="1010">
        <v>21</v>
      </c>
      <c r="B101" s="1007" t="s">
        <v>1147</v>
      </c>
      <c r="C101" s="1007"/>
    </row>
  </sheetData>
  <mergeCells count="5">
    <mergeCell ref="A3:M3"/>
    <mergeCell ref="A4:M4"/>
    <mergeCell ref="A5:M5"/>
    <mergeCell ref="A93:B93"/>
    <mergeCell ref="A1:M1"/>
  </mergeCells>
  <phoneticPr fontId="0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1" orientation="landscape" r:id="rId1"/>
  <headerFooter alignWithMargins="0"/>
  <rowBreaks count="1" manualBreakCount="1">
    <brk id="70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76"/>
  <sheetViews>
    <sheetView zoomScaleNormal="100" zoomScaleSheetLayoutView="100" workbookViewId="0">
      <selection activeCell="C1" sqref="C1:D1"/>
    </sheetView>
  </sheetViews>
  <sheetFormatPr defaultColWidth="8.85546875" defaultRowHeight="15" x14ac:dyDescent="0.2"/>
  <cols>
    <col min="1" max="1" width="4.140625" style="125" bestFit="1" customWidth="1"/>
    <col min="2" max="2" width="2.42578125" style="6" customWidth="1"/>
    <col min="3" max="3" width="93" style="6" bestFit="1" customWidth="1"/>
    <col min="4" max="4" width="12.5703125" style="6" customWidth="1"/>
    <col min="5" max="16384" width="8.85546875" style="6"/>
  </cols>
  <sheetData>
    <row r="1" spans="1:5" ht="18" x14ac:dyDescent="0.2">
      <c r="C1" s="1044" t="s">
        <v>1156</v>
      </c>
      <c r="D1" s="1227"/>
      <c r="E1" s="124"/>
    </row>
    <row r="2" spans="1:5" x14ac:dyDescent="0.2">
      <c r="B2" s="1278" t="s">
        <v>528</v>
      </c>
      <c r="C2" s="1278"/>
      <c r="D2" s="1278"/>
    </row>
    <row r="3" spans="1:5" ht="6" customHeight="1" x14ac:dyDescent="0.2">
      <c r="B3" s="1278"/>
      <c r="C3" s="1278"/>
      <c r="D3" s="1278"/>
    </row>
    <row r="4" spans="1:5" ht="15.75" thickBot="1" x14ac:dyDescent="0.25">
      <c r="D4" s="9" t="s">
        <v>608</v>
      </c>
    </row>
    <row r="5" spans="1:5" s="7" customFormat="1" ht="14.25" x14ac:dyDescent="0.2">
      <c r="A5" s="1287" t="s">
        <v>693</v>
      </c>
      <c r="B5" s="1281" t="s">
        <v>602</v>
      </c>
      <c r="C5" s="1282"/>
      <c r="D5" s="10" t="s">
        <v>617</v>
      </c>
    </row>
    <row r="6" spans="1:5" s="151" customFormat="1" ht="12" x14ac:dyDescent="0.2">
      <c r="A6" s="1288"/>
      <c r="B6" s="1283" t="s">
        <v>687</v>
      </c>
      <c r="C6" s="1283"/>
      <c r="D6" s="150" t="s">
        <v>688</v>
      </c>
    </row>
    <row r="7" spans="1:5" s="7" customFormat="1" ht="14.25" x14ac:dyDescent="0.2">
      <c r="A7" s="876">
        <v>1</v>
      </c>
      <c r="B7" s="152" t="s">
        <v>609</v>
      </c>
      <c r="C7" s="21"/>
      <c r="D7" s="11"/>
    </row>
    <row r="8" spans="1:5" s="23" customFormat="1" x14ac:dyDescent="0.2">
      <c r="A8" s="876">
        <v>2</v>
      </c>
      <c r="B8" s="153" t="s">
        <v>707</v>
      </c>
      <c r="C8" s="22"/>
      <c r="D8" s="20"/>
    </row>
    <row r="9" spans="1:5" ht="30" x14ac:dyDescent="0.2">
      <c r="A9" s="876">
        <v>3</v>
      </c>
      <c r="B9" s="128" t="s">
        <v>618</v>
      </c>
      <c r="C9" s="725" t="s">
        <v>198</v>
      </c>
      <c r="D9" s="145">
        <f>2300+96</f>
        <v>2396</v>
      </c>
    </row>
    <row r="10" spans="1:5" ht="30" x14ac:dyDescent="0.2">
      <c r="A10" s="876">
        <v>4</v>
      </c>
      <c r="B10" s="128" t="s">
        <v>618</v>
      </c>
      <c r="C10" s="725" t="s">
        <v>197</v>
      </c>
      <c r="D10" s="12">
        <v>70</v>
      </c>
    </row>
    <row r="11" spans="1:5" ht="30" x14ac:dyDescent="0.2">
      <c r="A11" s="876">
        <v>5</v>
      </c>
      <c r="B11" s="128" t="s">
        <v>618</v>
      </c>
      <c r="C11" s="725" t="s">
        <v>199</v>
      </c>
      <c r="D11" s="12">
        <v>2000</v>
      </c>
    </row>
    <row r="12" spans="1:5" ht="30" x14ac:dyDescent="0.2">
      <c r="A12" s="876">
        <v>6</v>
      </c>
      <c r="B12" s="128" t="s">
        <v>618</v>
      </c>
      <c r="C12" s="726" t="s">
        <v>1107</v>
      </c>
      <c r="D12" s="12">
        <v>439000</v>
      </c>
    </row>
    <row r="13" spans="1:5" x14ac:dyDescent="0.2">
      <c r="A13" s="876">
        <v>7</v>
      </c>
      <c r="B13" s="128" t="s">
        <v>618</v>
      </c>
      <c r="C13" s="726" t="s">
        <v>538</v>
      </c>
      <c r="D13" s="12">
        <f>3619190+532</f>
        <v>3619722</v>
      </c>
    </row>
    <row r="14" spans="1:5" x14ac:dyDescent="0.2">
      <c r="A14" s="876">
        <v>8</v>
      </c>
      <c r="B14" s="128" t="s">
        <v>618</v>
      </c>
      <c r="C14" s="726" t="s">
        <v>481</v>
      </c>
      <c r="D14" s="12">
        <v>1568</v>
      </c>
    </row>
    <row r="15" spans="1:5" x14ac:dyDescent="0.25">
      <c r="A15" s="876">
        <v>9</v>
      </c>
      <c r="B15" s="128" t="s">
        <v>618</v>
      </c>
      <c r="C15" s="727" t="s">
        <v>200</v>
      </c>
      <c r="D15" s="12">
        <v>127</v>
      </c>
    </row>
    <row r="16" spans="1:5" x14ac:dyDescent="0.2">
      <c r="A16" s="876">
        <v>10</v>
      </c>
      <c r="B16" s="128" t="s">
        <v>618</v>
      </c>
      <c r="C16" s="725" t="s">
        <v>196</v>
      </c>
      <c r="D16" s="12">
        <f>10323-317</f>
        <v>10006</v>
      </c>
    </row>
    <row r="17" spans="1:4" ht="16.5" customHeight="1" x14ac:dyDescent="0.2">
      <c r="A17" s="876">
        <v>11</v>
      </c>
      <c r="B17" s="128" t="s">
        <v>618</v>
      </c>
      <c r="C17" s="725" t="s">
        <v>934</v>
      </c>
      <c r="D17" s="12">
        <f>188+481</f>
        <v>669</v>
      </c>
    </row>
    <row r="18" spans="1:4" x14ac:dyDescent="0.2">
      <c r="A18" s="876">
        <v>12</v>
      </c>
      <c r="B18" s="128" t="s">
        <v>618</v>
      </c>
      <c r="C18" s="725" t="s">
        <v>673</v>
      </c>
      <c r="D18" s="12">
        <v>635</v>
      </c>
    </row>
    <row r="19" spans="1:4" x14ac:dyDescent="0.2">
      <c r="A19" s="876">
        <v>13</v>
      </c>
      <c r="B19" s="128" t="s">
        <v>618</v>
      </c>
      <c r="C19" s="725" t="s">
        <v>201</v>
      </c>
      <c r="D19" s="12">
        <v>216</v>
      </c>
    </row>
    <row r="20" spans="1:4" x14ac:dyDescent="0.2">
      <c r="A20" s="876">
        <v>14</v>
      </c>
      <c r="B20" s="128" t="s">
        <v>618</v>
      </c>
      <c r="C20" s="725" t="s">
        <v>202</v>
      </c>
      <c r="D20" s="12">
        <v>13</v>
      </c>
    </row>
    <row r="21" spans="1:4" x14ac:dyDescent="0.2">
      <c r="A21" s="876">
        <v>15</v>
      </c>
      <c r="B21" s="128" t="s">
        <v>618</v>
      </c>
      <c r="C21" s="725" t="s">
        <v>935</v>
      </c>
      <c r="D21" s="12">
        <f>9718+2695+2507+1766</f>
        <v>16686</v>
      </c>
    </row>
    <row r="22" spans="1:4" ht="30" x14ac:dyDescent="0.2">
      <c r="A22" s="876">
        <v>16</v>
      </c>
      <c r="B22" s="128" t="s">
        <v>618</v>
      </c>
      <c r="C22" s="725" t="s">
        <v>203</v>
      </c>
      <c r="D22" s="12">
        <v>13171</v>
      </c>
    </row>
    <row r="23" spans="1:4" ht="31.5" customHeight="1" x14ac:dyDescent="0.2">
      <c r="A23" s="876">
        <v>17</v>
      </c>
      <c r="B23" s="128" t="s">
        <v>618</v>
      </c>
      <c r="C23" s="725" t="s">
        <v>204</v>
      </c>
      <c r="D23" s="12">
        <v>300</v>
      </c>
    </row>
    <row r="24" spans="1:4" ht="16.5" customHeight="1" x14ac:dyDescent="0.2">
      <c r="A24" s="876">
        <v>18</v>
      </c>
      <c r="B24" s="128" t="s">
        <v>618</v>
      </c>
      <c r="C24" s="654" t="s">
        <v>148</v>
      </c>
      <c r="D24" s="12">
        <v>1000</v>
      </c>
    </row>
    <row r="25" spans="1:4" ht="15.75" customHeight="1" x14ac:dyDescent="0.2">
      <c r="A25" s="876">
        <v>19</v>
      </c>
      <c r="B25" s="128" t="s">
        <v>618</v>
      </c>
      <c r="C25" s="654" t="s">
        <v>933</v>
      </c>
      <c r="D25" s="12">
        <v>1528</v>
      </c>
    </row>
    <row r="26" spans="1:4" ht="15.75" customHeight="1" x14ac:dyDescent="0.2">
      <c r="A26" s="873">
        <v>20</v>
      </c>
      <c r="B26" s="868" t="s">
        <v>618</v>
      </c>
      <c r="C26" s="869" t="s">
        <v>1090</v>
      </c>
      <c r="D26" s="870">
        <v>80</v>
      </c>
    </row>
    <row r="27" spans="1:4" ht="15.75" customHeight="1" x14ac:dyDescent="0.2">
      <c r="A27" s="873">
        <v>21</v>
      </c>
      <c r="B27" s="875" t="s">
        <v>618</v>
      </c>
      <c r="C27" s="875" t="s">
        <v>1122</v>
      </c>
      <c r="D27" s="875">
        <v>290</v>
      </c>
    </row>
    <row r="28" spans="1:4" ht="15.75" customHeight="1" x14ac:dyDescent="0.2">
      <c r="A28" s="873">
        <v>22</v>
      </c>
      <c r="B28" s="875" t="s">
        <v>618</v>
      </c>
      <c r="C28" s="875" t="s">
        <v>1124</v>
      </c>
      <c r="D28" s="875">
        <v>395</v>
      </c>
    </row>
    <row r="29" spans="1:4" ht="15.75" customHeight="1" x14ac:dyDescent="0.2">
      <c r="A29" s="876">
        <v>23</v>
      </c>
      <c r="B29" s="875" t="s">
        <v>618</v>
      </c>
      <c r="C29" s="875" t="s">
        <v>1121</v>
      </c>
      <c r="D29" s="875">
        <v>400</v>
      </c>
    </row>
    <row r="30" spans="1:4" s="71" customFormat="1" x14ac:dyDescent="0.2">
      <c r="A30" s="874">
        <v>24</v>
      </c>
      <c r="B30" s="867"/>
      <c r="C30" s="871" t="s">
        <v>635</v>
      </c>
      <c r="D30" s="872">
        <f>SUM(D9:D29)</f>
        <v>4110272</v>
      </c>
    </row>
    <row r="31" spans="1:4" s="71" customFormat="1" x14ac:dyDescent="0.2">
      <c r="A31" s="874">
        <v>25</v>
      </c>
      <c r="B31" s="1284" t="s">
        <v>615</v>
      </c>
      <c r="C31" s="1285"/>
      <c r="D31" s="1286"/>
    </row>
    <row r="32" spans="1:4" s="71" customFormat="1" x14ac:dyDescent="0.2">
      <c r="A32" s="874">
        <v>26</v>
      </c>
      <c r="B32" s="128" t="s">
        <v>618</v>
      </c>
      <c r="C32" s="655" t="s">
        <v>195</v>
      </c>
      <c r="D32" s="653">
        <v>254</v>
      </c>
    </row>
    <row r="33" spans="1:4" s="71" customFormat="1" x14ac:dyDescent="0.2">
      <c r="A33" s="874">
        <v>27</v>
      </c>
      <c r="B33" s="652"/>
      <c r="C33" s="25" t="s">
        <v>812</v>
      </c>
      <c r="D33" s="147">
        <f>SUM(D32)</f>
        <v>254</v>
      </c>
    </row>
    <row r="34" spans="1:4" s="71" customFormat="1" x14ac:dyDescent="0.2">
      <c r="A34" s="876">
        <v>28</v>
      </c>
      <c r="B34" s="1284" t="s">
        <v>873</v>
      </c>
      <c r="C34" s="1285"/>
      <c r="D34" s="1286"/>
    </row>
    <row r="35" spans="1:4" s="71" customFormat="1" x14ac:dyDescent="0.2">
      <c r="A35" s="876">
        <v>29</v>
      </c>
      <c r="B35" s="128" t="s">
        <v>618</v>
      </c>
      <c r="C35" s="875" t="s">
        <v>1125</v>
      </c>
      <c r="D35" s="653">
        <v>220</v>
      </c>
    </row>
    <row r="36" spans="1:4" s="71" customFormat="1" x14ac:dyDescent="0.2">
      <c r="A36" s="996">
        <v>30</v>
      </c>
      <c r="B36" s="128" t="s">
        <v>618</v>
      </c>
      <c r="C36" s="875" t="s">
        <v>1141</v>
      </c>
      <c r="D36" s="653">
        <v>450</v>
      </c>
    </row>
    <row r="37" spans="1:4" s="71" customFormat="1" x14ac:dyDescent="0.2">
      <c r="A37" s="874">
        <v>31</v>
      </c>
      <c r="B37" s="652"/>
      <c r="C37" s="871" t="s">
        <v>873</v>
      </c>
      <c r="D37" s="147">
        <f>SUM(D35:D36)</f>
        <v>670</v>
      </c>
    </row>
    <row r="38" spans="1:4" s="7" customFormat="1" thickBot="1" x14ac:dyDescent="0.25">
      <c r="A38" s="876">
        <v>32</v>
      </c>
      <c r="B38" s="26" t="s">
        <v>605</v>
      </c>
      <c r="C38" s="26"/>
      <c r="D38" s="15">
        <f>SUM(D30+D37+D33)</f>
        <v>4111196</v>
      </c>
    </row>
    <row r="39" spans="1:4" x14ac:dyDescent="0.2">
      <c r="A39" s="876">
        <v>33</v>
      </c>
      <c r="B39" s="1279" t="s">
        <v>616</v>
      </c>
      <c r="C39" s="1279"/>
      <c r="D39" s="1280"/>
    </row>
    <row r="40" spans="1:4" s="23" customFormat="1" x14ac:dyDescent="0.2">
      <c r="A40" s="876">
        <v>34</v>
      </c>
      <c r="B40" s="185" t="s">
        <v>707</v>
      </c>
      <c r="C40" s="24"/>
      <c r="D40" s="13"/>
    </row>
    <row r="41" spans="1:4" s="23" customFormat="1" x14ac:dyDescent="0.2">
      <c r="A41" s="876">
        <v>35</v>
      </c>
      <c r="B41" s="128" t="s">
        <v>618</v>
      </c>
      <c r="C41" s="726" t="s">
        <v>482</v>
      </c>
      <c r="D41" s="12">
        <f>15731+7487</f>
        <v>23218</v>
      </c>
    </row>
    <row r="42" spans="1:4" s="23" customFormat="1" x14ac:dyDescent="0.2">
      <c r="A42" s="876">
        <v>36</v>
      </c>
      <c r="B42" s="128" t="s">
        <v>618</v>
      </c>
      <c r="C42" s="654" t="s">
        <v>1123</v>
      </c>
      <c r="D42" s="12">
        <v>1219</v>
      </c>
    </row>
    <row r="43" spans="1:4" s="23" customFormat="1" x14ac:dyDescent="0.2">
      <c r="A43" s="876">
        <v>37</v>
      </c>
      <c r="B43" s="128" t="s">
        <v>618</v>
      </c>
      <c r="C43" s="654" t="s">
        <v>1120</v>
      </c>
      <c r="D43" s="12">
        <v>4509</v>
      </c>
    </row>
    <row r="44" spans="1:4" s="23" customFormat="1" x14ac:dyDescent="0.2">
      <c r="A44" s="876">
        <v>38</v>
      </c>
      <c r="B44" s="155"/>
      <c r="C44" s="8" t="s">
        <v>635</v>
      </c>
      <c r="D44" s="43">
        <f>SUM(D41:D43)</f>
        <v>28946</v>
      </c>
    </row>
    <row r="45" spans="1:4" ht="15.75" thickBot="1" x14ac:dyDescent="0.25">
      <c r="A45" s="876">
        <v>39</v>
      </c>
      <c r="B45" s="154" t="s">
        <v>605</v>
      </c>
      <c r="C45" s="26"/>
      <c r="D45" s="17">
        <f>SUM(D44)</f>
        <v>28946</v>
      </c>
    </row>
    <row r="46" spans="1:4" x14ac:dyDescent="0.2">
      <c r="A46" s="876">
        <v>40</v>
      </c>
      <c r="B46" s="1279" t="s">
        <v>146</v>
      </c>
      <c r="C46" s="1279"/>
      <c r="D46" s="1280"/>
    </row>
    <row r="47" spans="1:4" s="23" customFormat="1" x14ac:dyDescent="0.2">
      <c r="A47" s="876">
        <v>41</v>
      </c>
      <c r="B47" s="27" t="s">
        <v>707</v>
      </c>
      <c r="C47" s="24"/>
      <c r="D47" s="16"/>
    </row>
    <row r="48" spans="1:4" s="23" customFormat="1" x14ac:dyDescent="0.2">
      <c r="A48" s="876">
        <v>42</v>
      </c>
      <c r="B48" s="128" t="s">
        <v>618</v>
      </c>
      <c r="C48" s="655" t="s">
        <v>683</v>
      </c>
      <c r="D48" s="14">
        <v>475</v>
      </c>
    </row>
    <row r="49" spans="1:4" s="23" customFormat="1" x14ac:dyDescent="0.2">
      <c r="A49" s="876">
        <v>43</v>
      </c>
      <c r="B49" s="128" t="s">
        <v>618</v>
      </c>
      <c r="C49" s="655" t="s">
        <v>936</v>
      </c>
      <c r="D49" s="44">
        <v>278</v>
      </c>
    </row>
    <row r="50" spans="1:4" s="23" customFormat="1" ht="30" x14ac:dyDescent="0.2">
      <c r="A50" s="876">
        <v>44</v>
      </c>
      <c r="B50" s="128" t="s">
        <v>618</v>
      </c>
      <c r="C50" s="726" t="s">
        <v>1126</v>
      </c>
      <c r="D50" s="44">
        <v>20019</v>
      </c>
    </row>
    <row r="51" spans="1:4" s="23" customFormat="1" x14ac:dyDescent="0.2">
      <c r="A51" s="876">
        <v>45</v>
      </c>
      <c r="B51" s="128" t="s">
        <v>618</v>
      </c>
      <c r="C51" s="655" t="s">
        <v>937</v>
      </c>
      <c r="D51" s="44">
        <v>45</v>
      </c>
    </row>
    <row r="52" spans="1:4" s="23" customFormat="1" x14ac:dyDescent="0.2">
      <c r="A52" s="876">
        <v>46</v>
      </c>
      <c r="B52" s="128" t="s">
        <v>618</v>
      </c>
      <c r="C52" s="655" t="s">
        <v>938</v>
      </c>
      <c r="D52" s="44">
        <f>156+500</f>
        <v>656</v>
      </c>
    </row>
    <row r="53" spans="1:4" s="7" customFormat="1" thickBot="1" x14ac:dyDescent="0.25">
      <c r="A53" s="876">
        <v>47</v>
      </c>
      <c r="B53" s="28" t="s">
        <v>605</v>
      </c>
      <c r="C53" s="26"/>
      <c r="D53" s="19">
        <f>SUM(D48:D52)</f>
        <v>21473</v>
      </c>
    </row>
    <row r="54" spans="1:4" hidden="1" x14ac:dyDescent="0.2">
      <c r="A54" s="876">
        <v>39</v>
      </c>
      <c r="B54" s="1279" t="s">
        <v>684</v>
      </c>
      <c r="C54" s="1279"/>
      <c r="D54" s="1280"/>
    </row>
    <row r="55" spans="1:4" s="23" customFormat="1" hidden="1" x14ac:dyDescent="0.2">
      <c r="A55" s="876">
        <v>40</v>
      </c>
      <c r="B55" s="128"/>
      <c r="C55" s="45"/>
      <c r="D55" s="44"/>
    </row>
    <row r="56" spans="1:4" s="7" customFormat="1" hidden="1" thickBot="1" x14ac:dyDescent="0.25">
      <c r="A56" s="876">
        <v>41</v>
      </c>
      <c r="B56" s="28" t="s">
        <v>605</v>
      </c>
      <c r="C56" s="26"/>
      <c r="D56" s="19">
        <f>SUM(D55:D55)</f>
        <v>0</v>
      </c>
    </row>
    <row r="57" spans="1:4" x14ac:dyDescent="0.2">
      <c r="A57" s="876">
        <v>48</v>
      </c>
      <c r="B57" s="1279" t="s">
        <v>601</v>
      </c>
      <c r="C57" s="1279"/>
      <c r="D57" s="1280"/>
    </row>
    <row r="58" spans="1:4" s="23" customFormat="1" x14ac:dyDescent="0.2">
      <c r="A58" s="876">
        <v>49</v>
      </c>
      <c r="B58" s="27" t="s">
        <v>707</v>
      </c>
      <c r="C58" s="27"/>
      <c r="D58" s="18"/>
    </row>
    <row r="59" spans="1:4" s="23" customFormat="1" x14ac:dyDescent="0.2">
      <c r="A59" s="876">
        <v>50</v>
      </c>
      <c r="B59" s="128" t="s">
        <v>618</v>
      </c>
      <c r="C59" s="784" t="s">
        <v>940</v>
      </c>
      <c r="D59" s="861">
        <v>1034</v>
      </c>
    </row>
    <row r="60" spans="1:4" s="23" customFormat="1" x14ac:dyDescent="0.2">
      <c r="A60" s="876">
        <v>51</v>
      </c>
      <c r="B60" s="128" t="s">
        <v>618</v>
      </c>
      <c r="C60" s="784" t="s">
        <v>941</v>
      </c>
      <c r="D60" s="862">
        <v>187176</v>
      </c>
    </row>
    <row r="61" spans="1:4" s="7" customFormat="1" thickBot="1" x14ac:dyDescent="0.25">
      <c r="A61" s="876">
        <v>52</v>
      </c>
      <c r="B61" s="28" t="s">
        <v>605</v>
      </c>
      <c r="C61" s="26"/>
      <c r="D61" s="19">
        <f>SUM(D59:D60)</f>
        <v>188210</v>
      </c>
    </row>
    <row r="62" spans="1:4" x14ac:dyDescent="0.2">
      <c r="A62" s="876">
        <v>53</v>
      </c>
      <c r="B62" s="1279" t="s">
        <v>147</v>
      </c>
      <c r="C62" s="1279"/>
      <c r="D62" s="1280"/>
    </row>
    <row r="63" spans="1:4" s="23" customFormat="1" x14ac:dyDescent="0.2">
      <c r="A63" s="876">
        <v>54</v>
      </c>
      <c r="B63" s="27" t="s">
        <v>707</v>
      </c>
      <c r="C63" s="27"/>
      <c r="D63" s="18"/>
    </row>
    <row r="64" spans="1:4" s="23" customFormat="1" x14ac:dyDescent="0.2">
      <c r="A64" s="876">
        <v>55</v>
      </c>
      <c r="B64" s="128" t="s">
        <v>618</v>
      </c>
      <c r="C64" s="785" t="s">
        <v>939</v>
      </c>
      <c r="D64" s="863">
        <v>379</v>
      </c>
    </row>
    <row r="65" spans="1:6" s="7" customFormat="1" thickBot="1" x14ac:dyDescent="0.25">
      <c r="A65" s="876">
        <v>56</v>
      </c>
      <c r="B65" s="28" t="s">
        <v>605</v>
      </c>
      <c r="C65" s="26"/>
      <c r="D65" s="19">
        <f>SUM(D64)</f>
        <v>379</v>
      </c>
    </row>
    <row r="66" spans="1:6" x14ac:dyDescent="0.2">
      <c r="A66" s="876">
        <v>57</v>
      </c>
      <c r="B66" s="1279" t="s">
        <v>685</v>
      </c>
      <c r="C66" s="1279"/>
      <c r="D66" s="1280"/>
    </row>
    <row r="67" spans="1:6" x14ac:dyDescent="0.2">
      <c r="A67" s="876">
        <v>58</v>
      </c>
      <c r="B67" s="27" t="s">
        <v>707</v>
      </c>
      <c r="C67" s="146"/>
      <c r="D67" s="144"/>
    </row>
    <row r="68" spans="1:6" x14ac:dyDescent="0.2">
      <c r="A68" s="876">
        <v>59</v>
      </c>
      <c r="B68" s="128" t="s">
        <v>618</v>
      </c>
      <c r="C68" s="129" t="s">
        <v>1091</v>
      </c>
      <c r="D68" s="778">
        <f>6000+3000-4500</f>
        <v>4500</v>
      </c>
    </row>
    <row r="69" spans="1:6" s="7" customFormat="1" thickBot="1" x14ac:dyDescent="0.25">
      <c r="A69" s="876">
        <v>60</v>
      </c>
      <c r="B69" s="28" t="s">
        <v>605</v>
      </c>
      <c r="C69" s="26"/>
      <c r="D69" s="19">
        <f>SUM(D68)</f>
        <v>4500</v>
      </c>
    </row>
    <row r="70" spans="1:6" ht="21" customHeight="1" thickBot="1" x14ac:dyDescent="0.25">
      <c r="A70" s="876">
        <v>61</v>
      </c>
      <c r="B70" s="156" t="s">
        <v>606</v>
      </c>
      <c r="C70" s="28"/>
      <c r="D70" s="19">
        <f>SUM(D38+D45+D53+D61+D65+D69)</f>
        <v>4354704</v>
      </c>
    </row>
    <row r="72" spans="1:6" ht="21" customHeight="1" x14ac:dyDescent="0.2">
      <c r="A72" s="621"/>
      <c r="B72" s="621"/>
      <c r="C72" s="621"/>
      <c r="D72" s="585"/>
      <c r="E72"/>
      <c r="F72"/>
    </row>
    <row r="73" spans="1:6" x14ac:dyDescent="0.2">
      <c r="A73" s="1009">
        <v>22</v>
      </c>
      <c r="B73" s="1007" t="s">
        <v>1148</v>
      </c>
      <c r="C73" s="1007"/>
      <c r="D73"/>
      <c r="E73"/>
      <c r="F73"/>
    </row>
    <row r="74" spans="1:6" x14ac:dyDescent="0.2">
      <c r="A74" s="1009">
        <v>23</v>
      </c>
      <c r="B74" s="1007" t="s">
        <v>1146</v>
      </c>
      <c r="C74" s="1007"/>
      <c r="D74"/>
      <c r="E74"/>
      <c r="F74"/>
    </row>
    <row r="75" spans="1:6" x14ac:dyDescent="0.2">
      <c r="A75" s="1010">
        <v>24</v>
      </c>
      <c r="B75" s="1007" t="s">
        <v>1147</v>
      </c>
      <c r="C75" s="1007"/>
      <c r="D75"/>
      <c r="E75"/>
      <c r="F75"/>
    </row>
    <row r="76" spans="1:6" x14ac:dyDescent="0.2">
      <c r="A76"/>
      <c r="B76"/>
      <c r="C76"/>
      <c r="D76"/>
      <c r="E76"/>
      <c r="F76"/>
    </row>
  </sheetData>
  <mergeCells count="14">
    <mergeCell ref="B57:D57"/>
    <mergeCell ref="A5:A6"/>
    <mergeCell ref="B54:D54"/>
    <mergeCell ref="B66:D66"/>
    <mergeCell ref="B62:D62"/>
    <mergeCell ref="B31:D31"/>
    <mergeCell ref="C1:D1"/>
    <mergeCell ref="B3:D3"/>
    <mergeCell ref="B46:D46"/>
    <mergeCell ref="B2:D2"/>
    <mergeCell ref="B5:C5"/>
    <mergeCell ref="B39:D39"/>
    <mergeCell ref="B6:C6"/>
    <mergeCell ref="B34:D3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F0"/>
  </sheetPr>
  <dimension ref="A1:E70"/>
  <sheetViews>
    <sheetView zoomScaleNormal="100" workbookViewId="0">
      <selection activeCell="F12" sqref="F12"/>
    </sheetView>
  </sheetViews>
  <sheetFormatPr defaultColWidth="8.85546875" defaultRowHeight="15" x14ac:dyDescent="0.2"/>
  <cols>
    <col min="1" max="1" width="4.140625" style="131" bestFit="1" customWidth="1"/>
    <col min="2" max="2" width="2.42578125" style="787" customWidth="1"/>
    <col min="3" max="3" width="87.5703125" style="85" customWidth="1"/>
    <col min="4" max="4" width="13.7109375" style="85" customWidth="1"/>
    <col min="5" max="16384" width="8.85546875" style="85"/>
  </cols>
  <sheetData>
    <row r="1" spans="1:5" ht="18" x14ac:dyDescent="0.2">
      <c r="C1" s="1044" t="s">
        <v>1157</v>
      </c>
      <c r="D1" s="1227"/>
      <c r="E1" s="124"/>
    </row>
    <row r="2" spans="1:5" x14ac:dyDescent="0.2">
      <c r="C2" s="5"/>
      <c r="D2" s="124"/>
      <c r="E2" s="124"/>
    </row>
    <row r="3" spans="1:5" x14ac:dyDescent="0.2">
      <c r="B3" s="1292" t="s">
        <v>619</v>
      </c>
      <c r="C3" s="1292"/>
      <c r="D3" s="1292"/>
    </row>
    <row r="4" spans="1:5" x14ac:dyDescent="0.2">
      <c r="B4" s="1292" t="s">
        <v>708</v>
      </c>
      <c r="C4" s="1292"/>
      <c r="D4" s="1292"/>
    </row>
    <row r="5" spans="1:5" x14ac:dyDescent="0.2">
      <c r="B5" s="788"/>
      <c r="C5" s="87"/>
      <c r="D5" s="87"/>
    </row>
    <row r="6" spans="1:5" x14ac:dyDescent="0.2">
      <c r="D6" s="86" t="s">
        <v>608</v>
      </c>
    </row>
    <row r="7" spans="1:5" s="88" customFormat="1" ht="21.6" customHeight="1" x14ac:dyDescent="0.2">
      <c r="A7" s="1289" t="s">
        <v>693</v>
      </c>
      <c r="B7" s="1293" t="s">
        <v>602</v>
      </c>
      <c r="C7" s="1293"/>
      <c r="D7" s="133" t="s">
        <v>617</v>
      </c>
    </row>
    <row r="8" spans="1:5" s="130" customFormat="1" ht="12" x14ac:dyDescent="0.2">
      <c r="A8" s="1290"/>
      <c r="B8" s="1294" t="s">
        <v>687</v>
      </c>
      <c r="C8" s="1295"/>
      <c r="D8" s="132" t="s">
        <v>688</v>
      </c>
    </row>
    <row r="9" spans="1:5" s="88" customFormat="1" ht="25.5" customHeight="1" x14ac:dyDescent="0.2">
      <c r="A9" s="132">
        <v>1</v>
      </c>
      <c r="B9" s="789" t="s">
        <v>631</v>
      </c>
      <c r="C9" s="89"/>
      <c r="D9" s="138"/>
    </row>
    <row r="10" spans="1:5" s="88" customFormat="1" ht="15" customHeight="1" x14ac:dyDescent="0.2">
      <c r="A10" s="864">
        <v>2</v>
      </c>
      <c r="B10" s="790" t="s">
        <v>704</v>
      </c>
      <c r="C10" s="129" t="s">
        <v>694</v>
      </c>
      <c r="D10" s="134">
        <v>1000</v>
      </c>
    </row>
    <row r="11" spans="1:5" x14ac:dyDescent="0.2">
      <c r="A11" s="132">
        <v>3</v>
      </c>
      <c r="B11" s="790" t="s">
        <v>704</v>
      </c>
      <c r="C11" s="875" t="s">
        <v>1122</v>
      </c>
      <c r="D11" s="786">
        <v>-290</v>
      </c>
    </row>
    <row r="12" spans="1:5" s="88" customFormat="1" ht="16.149999999999999" customHeight="1" x14ac:dyDescent="0.2">
      <c r="A12" s="132">
        <v>4</v>
      </c>
      <c r="B12" s="789" t="s">
        <v>605</v>
      </c>
      <c r="C12" s="90"/>
      <c r="D12" s="135">
        <f>SUM(D10:D11)</f>
        <v>710</v>
      </c>
    </row>
    <row r="13" spans="1:5" s="88" customFormat="1" ht="6" customHeight="1" x14ac:dyDescent="0.2">
      <c r="A13" s="137"/>
      <c r="B13" s="791"/>
      <c r="C13" s="136"/>
      <c r="D13" s="138"/>
    </row>
    <row r="14" spans="1:5" s="88" customFormat="1" ht="25.5" customHeight="1" x14ac:dyDescent="0.2">
      <c r="A14" s="132">
        <v>5</v>
      </c>
      <c r="B14" s="1291" t="s">
        <v>630</v>
      </c>
      <c r="C14" s="1291"/>
      <c r="D14" s="1291"/>
    </row>
    <row r="15" spans="1:5" s="88" customFormat="1" x14ac:dyDescent="0.2">
      <c r="A15" s="132">
        <v>6</v>
      </c>
      <c r="B15" s="790" t="s">
        <v>704</v>
      </c>
      <c r="C15" s="129" t="s">
        <v>672</v>
      </c>
      <c r="D15" s="134">
        <v>1596</v>
      </c>
    </row>
    <row r="16" spans="1:5" s="88" customFormat="1" x14ac:dyDescent="0.2">
      <c r="A16" s="132">
        <v>7</v>
      </c>
      <c r="B16" s="790" t="s">
        <v>704</v>
      </c>
      <c r="C16" s="129" t="s">
        <v>947</v>
      </c>
      <c r="D16" s="134">
        <v>3134</v>
      </c>
    </row>
    <row r="17" spans="1:4" s="88" customFormat="1" x14ac:dyDescent="0.2">
      <c r="A17" s="132">
        <v>8</v>
      </c>
      <c r="B17" s="790" t="s">
        <v>704</v>
      </c>
      <c r="C17" s="129" t="s">
        <v>948</v>
      </c>
      <c r="D17" s="786">
        <v>-1830</v>
      </c>
    </row>
    <row r="18" spans="1:4" s="88" customFormat="1" ht="14.25" x14ac:dyDescent="0.2">
      <c r="A18" s="132">
        <v>9</v>
      </c>
      <c r="B18" s="789" t="s">
        <v>605</v>
      </c>
      <c r="C18" s="90"/>
      <c r="D18" s="135">
        <f>SUM(D15:D17)</f>
        <v>2900</v>
      </c>
    </row>
    <row r="19" spans="1:4" s="88" customFormat="1" ht="7.5" customHeight="1" x14ac:dyDescent="0.2">
      <c r="A19" s="132"/>
      <c r="B19" s="789"/>
      <c r="C19" s="90"/>
      <c r="D19" s="135"/>
    </row>
    <row r="20" spans="1:4" s="88" customFormat="1" ht="14.25" x14ac:dyDescent="0.2">
      <c r="A20" s="132">
        <v>10</v>
      </c>
      <c r="B20" s="1291" t="s">
        <v>630</v>
      </c>
      <c r="C20" s="1291"/>
      <c r="D20" s="1291"/>
    </row>
    <row r="21" spans="1:4" s="88" customFormat="1" ht="17.25" customHeight="1" x14ac:dyDescent="0.2">
      <c r="A21" s="132">
        <v>11</v>
      </c>
      <c r="B21" s="790" t="s">
        <v>704</v>
      </c>
      <c r="C21" s="129" t="s">
        <v>529</v>
      </c>
      <c r="D21" s="134">
        <v>500</v>
      </c>
    </row>
    <row r="22" spans="1:4" s="88" customFormat="1" x14ac:dyDescent="0.2">
      <c r="A22" s="132">
        <v>12</v>
      </c>
      <c r="B22" s="790" t="s">
        <v>704</v>
      </c>
      <c r="C22" s="129" t="s">
        <v>953</v>
      </c>
      <c r="D22" s="134">
        <v>2111</v>
      </c>
    </row>
    <row r="23" spans="1:4" ht="16.149999999999999" customHeight="1" x14ac:dyDescent="0.2">
      <c r="A23" s="132">
        <v>13</v>
      </c>
      <c r="B23" s="789" t="s">
        <v>605</v>
      </c>
      <c r="C23" s="90"/>
      <c r="D23" s="135">
        <f>SUM(D21:D22)</f>
        <v>2611</v>
      </c>
    </row>
    <row r="24" spans="1:4" s="88" customFormat="1" ht="7.5" customHeight="1" x14ac:dyDescent="0.2">
      <c r="A24" s="137"/>
      <c r="B24" s="791"/>
      <c r="C24" s="136"/>
      <c r="D24" s="138"/>
    </row>
    <row r="25" spans="1:4" s="88" customFormat="1" ht="25.5" customHeight="1" x14ac:dyDescent="0.2">
      <c r="A25" s="132">
        <v>14</v>
      </c>
      <c r="B25" s="789" t="s">
        <v>728</v>
      </c>
      <c r="C25" s="89"/>
      <c r="D25" s="138"/>
    </row>
    <row r="26" spans="1:4" s="88" customFormat="1" ht="16.5" customHeight="1" x14ac:dyDescent="0.2">
      <c r="A26" s="132">
        <v>15</v>
      </c>
      <c r="B26" s="790" t="s">
        <v>704</v>
      </c>
      <c r="C26" s="129" t="s">
        <v>729</v>
      </c>
      <c r="D26" s="134">
        <v>1000</v>
      </c>
    </row>
    <row r="27" spans="1:4" s="88" customFormat="1" ht="19.5" customHeight="1" x14ac:dyDescent="0.2">
      <c r="A27" s="132">
        <v>16</v>
      </c>
      <c r="B27" s="790" t="s">
        <v>704</v>
      </c>
      <c r="C27" s="129" t="s">
        <v>942</v>
      </c>
      <c r="D27" s="786">
        <v>-278</v>
      </c>
    </row>
    <row r="28" spans="1:4" s="88" customFormat="1" ht="16.5" customHeight="1" x14ac:dyDescent="0.2">
      <c r="A28" s="132">
        <v>17</v>
      </c>
      <c r="B28" s="790" t="s">
        <v>704</v>
      </c>
      <c r="C28" s="129" t="s">
        <v>943</v>
      </c>
      <c r="D28" s="786">
        <v>-114</v>
      </c>
    </row>
    <row r="29" spans="1:4" s="88" customFormat="1" ht="17.25" customHeight="1" x14ac:dyDescent="0.2">
      <c r="A29" s="132">
        <v>18</v>
      </c>
      <c r="B29" s="790" t="s">
        <v>704</v>
      </c>
      <c r="C29" s="129" t="s">
        <v>944</v>
      </c>
      <c r="D29" s="786">
        <v>-92</v>
      </c>
    </row>
    <row r="30" spans="1:4" s="88" customFormat="1" ht="30" x14ac:dyDescent="0.2">
      <c r="A30" s="132">
        <v>19</v>
      </c>
      <c r="B30" s="790" t="s">
        <v>704</v>
      </c>
      <c r="C30" s="129" t="s">
        <v>945</v>
      </c>
      <c r="D30" s="786">
        <v>-1112</v>
      </c>
    </row>
    <row r="31" spans="1:4" s="88" customFormat="1" ht="18" customHeight="1" x14ac:dyDescent="0.2">
      <c r="A31" s="132">
        <v>20</v>
      </c>
      <c r="B31" s="790" t="s">
        <v>704</v>
      </c>
      <c r="C31" s="129" t="s">
        <v>946</v>
      </c>
      <c r="D31" s="786">
        <v>-4500</v>
      </c>
    </row>
    <row r="32" spans="1:4" s="88" customFormat="1" ht="18.75" customHeight="1" x14ac:dyDescent="0.2">
      <c r="A32" s="132">
        <v>21</v>
      </c>
      <c r="B32" s="790" t="s">
        <v>704</v>
      </c>
      <c r="C32" s="129" t="s">
        <v>955</v>
      </c>
      <c r="D32" s="134">
        <v>13365</v>
      </c>
    </row>
    <row r="33" spans="1:4" s="88" customFormat="1" ht="16.5" customHeight="1" x14ac:dyDescent="0.2">
      <c r="A33" s="132">
        <v>22</v>
      </c>
      <c r="B33" s="790" t="s">
        <v>704</v>
      </c>
      <c r="C33" s="129" t="s">
        <v>956</v>
      </c>
      <c r="D33" s="134">
        <v>120</v>
      </c>
    </row>
    <row r="34" spans="1:4" s="88" customFormat="1" ht="30" x14ac:dyDescent="0.2">
      <c r="A34" s="132">
        <v>23</v>
      </c>
      <c r="B34" s="790" t="s">
        <v>704</v>
      </c>
      <c r="C34" s="129" t="s">
        <v>957</v>
      </c>
      <c r="D34" s="786">
        <v>-307</v>
      </c>
    </row>
    <row r="35" spans="1:4" s="88" customFormat="1" ht="16.5" customHeight="1" x14ac:dyDescent="0.2">
      <c r="A35" s="132">
        <v>24</v>
      </c>
      <c r="B35" s="790" t="s">
        <v>704</v>
      </c>
      <c r="C35" s="129" t="s">
        <v>958</v>
      </c>
      <c r="D35" s="786">
        <v>-96</v>
      </c>
    </row>
    <row r="36" spans="1:4" s="88" customFormat="1" ht="16.5" customHeight="1" x14ac:dyDescent="0.2">
      <c r="A36" s="132">
        <v>25</v>
      </c>
      <c r="B36" s="790" t="s">
        <v>704</v>
      </c>
      <c r="C36" s="129" t="s">
        <v>959</v>
      </c>
      <c r="D36" s="786">
        <v>-451</v>
      </c>
    </row>
    <row r="37" spans="1:4" s="88" customFormat="1" ht="16.5" customHeight="1" x14ac:dyDescent="0.2">
      <c r="A37" s="132">
        <v>26</v>
      </c>
      <c r="B37" s="790" t="s">
        <v>704</v>
      </c>
      <c r="C37" s="129" t="s">
        <v>1086</v>
      </c>
      <c r="D37" s="786">
        <v>-680</v>
      </c>
    </row>
    <row r="38" spans="1:4" s="88" customFormat="1" ht="16.5" customHeight="1" x14ac:dyDescent="0.2">
      <c r="A38" s="132">
        <v>27</v>
      </c>
      <c r="B38" s="790" t="s">
        <v>704</v>
      </c>
      <c r="C38" s="129" t="s">
        <v>1087</v>
      </c>
      <c r="D38" s="786">
        <v>-3000</v>
      </c>
    </row>
    <row r="39" spans="1:4" s="88" customFormat="1" ht="16.5" customHeight="1" x14ac:dyDescent="0.2">
      <c r="A39" s="864">
        <v>28</v>
      </c>
      <c r="B39" s="790" t="s">
        <v>704</v>
      </c>
      <c r="C39" s="129" t="s">
        <v>1088</v>
      </c>
      <c r="D39" s="786">
        <v>-3855</v>
      </c>
    </row>
    <row r="40" spans="1:4" s="88" customFormat="1" ht="16.5" customHeight="1" x14ac:dyDescent="0.2">
      <c r="A40" s="864">
        <v>29</v>
      </c>
      <c r="B40" s="790" t="s">
        <v>704</v>
      </c>
      <c r="C40" s="129" t="s">
        <v>1127</v>
      </c>
      <c r="D40" s="786">
        <v>-5</v>
      </c>
    </row>
    <row r="41" spans="1:4" s="88" customFormat="1" ht="14.25" customHeight="1" x14ac:dyDescent="0.2">
      <c r="A41" s="864">
        <v>30</v>
      </c>
      <c r="B41" s="790" t="s">
        <v>704</v>
      </c>
      <c r="C41" s="129" t="s">
        <v>1117</v>
      </c>
      <c r="D41" s="134">
        <v>874</v>
      </c>
    </row>
    <row r="42" spans="1:4" s="88" customFormat="1" ht="13.5" customHeight="1" x14ac:dyDescent="0.2">
      <c r="A42" s="864">
        <v>31</v>
      </c>
      <c r="B42" s="790" t="s">
        <v>704</v>
      </c>
      <c r="C42" s="129" t="s">
        <v>1129</v>
      </c>
      <c r="D42" s="786">
        <v>-529</v>
      </c>
    </row>
    <row r="43" spans="1:4" s="88" customFormat="1" ht="13.5" customHeight="1" x14ac:dyDescent="0.2">
      <c r="A43" s="132">
        <v>32</v>
      </c>
      <c r="B43" s="790" t="s">
        <v>704</v>
      </c>
      <c r="C43" s="129" t="s">
        <v>1128</v>
      </c>
      <c r="D43" s="786">
        <v>-340</v>
      </c>
    </row>
    <row r="44" spans="1:4" s="88" customFormat="1" ht="16.149999999999999" customHeight="1" x14ac:dyDescent="0.2">
      <c r="A44" s="132">
        <v>33</v>
      </c>
      <c r="B44" s="789" t="s">
        <v>605</v>
      </c>
      <c r="C44" s="90"/>
      <c r="D44" s="135">
        <f>SUM(D26:D43)</f>
        <v>0</v>
      </c>
    </row>
    <row r="45" spans="1:4" s="88" customFormat="1" ht="7.5" customHeight="1" x14ac:dyDescent="0.2">
      <c r="A45" s="137"/>
      <c r="B45" s="791"/>
      <c r="C45" s="136"/>
      <c r="D45" s="792"/>
    </row>
    <row r="46" spans="1:4" s="88" customFormat="1" ht="16.149999999999999" customHeight="1" x14ac:dyDescent="0.2">
      <c r="A46" s="137">
        <v>34</v>
      </c>
      <c r="B46" s="789" t="s">
        <v>879</v>
      </c>
      <c r="C46" s="89"/>
      <c r="D46" s="792"/>
    </row>
    <row r="47" spans="1:4" s="88" customFormat="1" ht="16.149999999999999" customHeight="1" x14ac:dyDescent="0.2">
      <c r="A47" s="137">
        <v>35</v>
      </c>
      <c r="B47" s="790" t="s">
        <v>704</v>
      </c>
      <c r="C47" s="129" t="s">
        <v>949</v>
      </c>
      <c r="D47" s="793">
        <v>105238</v>
      </c>
    </row>
    <row r="48" spans="1:4" s="88" customFormat="1" ht="16.149999999999999" customHeight="1" x14ac:dyDescent="0.2">
      <c r="A48" s="137">
        <v>36</v>
      </c>
      <c r="B48" s="790" t="s">
        <v>704</v>
      </c>
      <c r="C48" s="794" t="s">
        <v>951</v>
      </c>
      <c r="D48" s="786">
        <v>-20513</v>
      </c>
    </row>
    <row r="49" spans="1:4" s="88" customFormat="1" ht="16.149999999999999" customHeight="1" x14ac:dyDescent="0.2">
      <c r="A49" s="137">
        <v>37</v>
      </c>
      <c r="B49" s="790" t="s">
        <v>704</v>
      </c>
      <c r="C49" s="794" t="s">
        <v>952</v>
      </c>
      <c r="D49" s="786">
        <v>-283</v>
      </c>
    </row>
    <row r="50" spans="1:4" s="88" customFormat="1" ht="16.149999999999999" customHeight="1" x14ac:dyDescent="0.2">
      <c r="A50" s="137">
        <v>38</v>
      </c>
      <c r="B50" s="790" t="s">
        <v>704</v>
      </c>
      <c r="C50" s="794" t="s">
        <v>950</v>
      </c>
      <c r="D50" s="786">
        <v>-47991</v>
      </c>
    </row>
    <row r="51" spans="1:4" s="88" customFormat="1" ht="16.149999999999999" customHeight="1" x14ac:dyDescent="0.2">
      <c r="A51" s="137">
        <v>39</v>
      </c>
      <c r="B51" s="790" t="s">
        <v>704</v>
      </c>
      <c r="C51" s="794" t="s">
        <v>1089</v>
      </c>
      <c r="D51" s="786">
        <v>-35509</v>
      </c>
    </row>
    <row r="52" spans="1:4" s="88" customFormat="1" ht="16.149999999999999" customHeight="1" x14ac:dyDescent="0.2">
      <c r="A52" s="137">
        <v>40</v>
      </c>
      <c r="B52" s="790" t="s">
        <v>704</v>
      </c>
      <c r="C52" s="129" t="s">
        <v>1088</v>
      </c>
      <c r="D52" s="786">
        <v>-942</v>
      </c>
    </row>
    <row r="53" spans="1:4" s="88" customFormat="1" ht="16.149999999999999" customHeight="1" x14ac:dyDescent="0.2">
      <c r="A53" s="137">
        <v>41</v>
      </c>
      <c r="B53" s="789" t="s">
        <v>605</v>
      </c>
      <c r="C53" s="90"/>
      <c r="D53" s="135">
        <f>SUM(D47:D52)</f>
        <v>0</v>
      </c>
    </row>
    <row r="54" spans="1:4" s="88" customFormat="1" ht="7.5" customHeight="1" x14ac:dyDescent="0.2">
      <c r="A54" s="137"/>
      <c r="B54" s="791"/>
      <c r="C54" s="136"/>
      <c r="D54" s="138"/>
    </row>
    <row r="55" spans="1:4" ht="16.149999999999999" customHeight="1" x14ac:dyDescent="0.2">
      <c r="A55" s="132">
        <v>42</v>
      </c>
      <c r="B55" s="798" t="s">
        <v>633</v>
      </c>
      <c r="C55" s="799"/>
      <c r="D55" s="800">
        <f>SUM(D53+D44+D23+D18+D12)</f>
        <v>6221</v>
      </c>
    </row>
    <row r="56" spans="1:4" s="88" customFormat="1" ht="8.25" customHeight="1" x14ac:dyDescent="0.2">
      <c r="A56" s="137"/>
      <c r="B56" s="791"/>
      <c r="C56" s="136"/>
      <c r="D56" s="138"/>
    </row>
    <row r="57" spans="1:4" s="88" customFormat="1" ht="25.5" customHeight="1" x14ac:dyDescent="0.2">
      <c r="A57" s="132">
        <v>43</v>
      </c>
      <c r="B57" s="1291" t="s">
        <v>613</v>
      </c>
      <c r="C57" s="1291"/>
      <c r="D57" s="1291"/>
    </row>
    <row r="58" spans="1:4" s="88" customFormat="1" ht="16.5" customHeight="1" x14ac:dyDescent="0.2">
      <c r="A58" s="132">
        <v>44</v>
      </c>
      <c r="B58" s="790" t="s">
        <v>704</v>
      </c>
      <c r="C58" s="129" t="s">
        <v>1085</v>
      </c>
      <c r="D58" s="134">
        <f>6000-4500</f>
        <v>1500</v>
      </c>
    </row>
    <row r="59" spans="1:4" s="88" customFormat="1" ht="16.5" customHeight="1" x14ac:dyDescent="0.2">
      <c r="A59" s="132">
        <v>45</v>
      </c>
      <c r="B59" s="790" t="s">
        <v>704</v>
      </c>
      <c r="C59" s="129" t="s">
        <v>954</v>
      </c>
      <c r="D59" s="134">
        <v>3000</v>
      </c>
    </row>
    <row r="60" spans="1:4" s="88" customFormat="1" ht="12.75" customHeight="1" x14ac:dyDescent="0.2">
      <c r="A60" s="132">
        <v>46</v>
      </c>
      <c r="B60" s="789" t="s">
        <v>605</v>
      </c>
      <c r="C60" s="90"/>
      <c r="D60" s="135">
        <f>SUM(D58:D59)</f>
        <v>4500</v>
      </c>
    </row>
    <row r="61" spans="1:4" s="88" customFormat="1" ht="6.75" customHeight="1" x14ac:dyDescent="0.2">
      <c r="A61" s="132"/>
      <c r="B61" s="790"/>
      <c r="C61" s="129"/>
      <c r="D61" s="134"/>
    </row>
    <row r="62" spans="1:4" ht="16.149999999999999" customHeight="1" x14ac:dyDescent="0.2">
      <c r="A62" s="132">
        <v>47</v>
      </c>
      <c r="B62" s="798" t="s">
        <v>634</v>
      </c>
      <c r="C62" s="799"/>
      <c r="D62" s="800">
        <f>SUM(D60)</f>
        <v>4500</v>
      </c>
    </row>
    <row r="63" spans="1:4" s="88" customFormat="1" ht="6.75" customHeight="1" x14ac:dyDescent="0.2">
      <c r="A63" s="137"/>
      <c r="B63" s="791"/>
      <c r="C63" s="136"/>
      <c r="D63" s="138"/>
    </row>
    <row r="64" spans="1:4" ht="16.149999999999999" customHeight="1" x14ac:dyDescent="0.2">
      <c r="A64" s="132">
        <v>48</v>
      </c>
      <c r="B64" s="795" t="s">
        <v>632</v>
      </c>
      <c r="C64" s="796"/>
      <c r="D64" s="797">
        <f>SUM(D62,D55)</f>
        <v>10721</v>
      </c>
    </row>
    <row r="67" spans="1:3" x14ac:dyDescent="0.2">
      <c r="A67" s="621"/>
      <c r="B67" s="621"/>
      <c r="C67" s="621"/>
    </row>
    <row r="68" spans="1:3" x14ac:dyDescent="0.2">
      <c r="A68" s="1009">
        <v>25</v>
      </c>
      <c r="B68" s="1007" t="s">
        <v>1148</v>
      </c>
      <c r="C68" s="1007"/>
    </row>
    <row r="69" spans="1:3" x14ac:dyDescent="0.2">
      <c r="A69" s="1009">
        <v>26</v>
      </c>
      <c r="B69" s="1007" t="s">
        <v>1146</v>
      </c>
      <c r="C69" s="1007"/>
    </row>
    <row r="70" spans="1:3" x14ac:dyDescent="0.2">
      <c r="A70" s="1010">
        <v>27</v>
      </c>
      <c r="B70" s="1007" t="s">
        <v>1147</v>
      </c>
      <c r="C70" s="1007"/>
    </row>
  </sheetData>
  <mergeCells count="9">
    <mergeCell ref="A7:A8"/>
    <mergeCell ref="B57:D57"/>
    <mergeCell ref="B14:D14"/>
    <mergeCell ref="C1:D1"/>
    <mergeCell ref="B3:D3"/>
    <mergeCell ref="B7:C7"/>
    <mergeCell ref="B4:D4"/>
    <mergeCell ref="B8:C8"/>
    <mergeCell ref="B20:D20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19</vt:i4>
      </vt:variant>
    </vt:vector>
  </HeadingPairs>
  <TitlesOfParts>
    <vt:vector size="32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7.létszám</vt:lpstr>
      <vt:lpstr>8.felhki</vt:lpstr>
      <vt:lpstr>9.tart</vt:lpstr>
      <vt:lpstr>10.Stab. tv. saját bev.</vt:lpstr>
      <vt:lpstr>11. adósságot keletk. ügyletek</vt:lpstr>
      <vt:lpstr>12.normatívák</vt:lpstr>
      <vt:lpstr>13.EU-projektek</vt:lpstr>
      <vt:lpstr>'1. bevételek'!Nyomtatási_cím</vt:lpstr>
      <vt:lpstr>'12.normatívák'!Nyomtatási_cím</vt:lpstr>
      <vt:lpstr>'13.EU-projektek'!Nyomtatási_cím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'7.létszám'!Nyomtatási_cím</vt:lpstr>
      <vt:lpstr>'9.tart'!Nyomtatási_cím</vt:lpstr>
      <vt:lpstr>'1. bevételek'!Nyomtatási_terület</vt:lpstr>
      <vt:lpstr>'12.normatívák'!Nyomtatási_terület</vt:lpstr>
      <vt:lpstr>'13.EU-projektek'!Nyomtatási_terület</vt:lpstr>
      <vt:lpstr>'2. kiadások'!Nyomtatási_terület</vt:lpstr>
      <vt:lpstr>'3.műk.-felh.'!Nyomtatási_terület</vt:lpstr>
      <vt:lpstr>'4.önkorm.szakf. '!Nyomtatási_terület</vt:lpstr>
      <vt:lpstr>'5. kiadások megbontása'!Nyomtatási_terület</vt:lpstr>
      <vt:lpstr>'6. források sz. bontás'!Nyomtatási_terület</vt:lpstr>
      <vt:lpstr>'7.létszám'!Nyomtatási_terület</vt:lpstr>
      <vt:lpstr>'8.felhki'!Nyomtatási_terület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Juhász Anikó</cp:lastModifiedBy>
  <cp:lastPrinted>2014-12-16T15:36:24Z</cp:lastPrinted>
  <dcterms:created xsi:type="dcterms:W3CDTF">2001-11-30T10:27:10Z</dcterms:created>
  <dcterms:modified xsi:type="dcterms:W3CDTF">2014-12-17T17:32:41Z</dcterms:modified>
</cp:coreProperties>
</file>