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D:\Dokumentumok\jegyzőkönyvek\2017\Sármellék\testületi anyag\2017.08.30\költségvetés módosítása\"/>
    </mc:Choice>
  </mc:AlternateContent>
  <bookViews>
    <workbookView xWindow="0" yWindow="0" windowWidth="23040" windowHeight="9048" tabRatio="706" activeTab="16"/>
  </bookViews>
  <sheets>
    <sheet name="1" sheetId="7" r:id="rId1"/>
    <sheet name="3" sheetId="42" r:id="rId2"/>
    <sheet name="15" sheetId="9" r:id="rId3"/>
    <sheet name="5" sheetId="12" r:id="rId4"/>
    <sheet name="6" sheetId="13" r:id="rId5"/>
    <sheet name="7" sheetId="29" r:id="rId6"/>
    <sheet name="4" sheetId="30" r:id="rId7"/>
    <sheet name="8" sheetId="28" r:id="rId8"/>
    <sheet name="9" sheetId="26" r:id="rId9"/>
    <sheet name="14" sheetId="49" r:id="rId10"/>
    <sheet name="18" sheetId="52" r:id="rId11"/>
    <sheet name="13" sheetId="48" r:id="rId12"/>
    <sheet name="12" sheetId="47" r:id="rId13"/>
    <sheet name="11" sheetId="46" r:id="rId14"/>
    <sheet name="10" sheetId="25" r:id="rId15"/>
    <sheet name="2" sheetId="45" r:id="rId16"/>
    <sheet name="16" sheetId="22" r:id="rId17"/>
    <sheet name="17" sheetId="51" r:id="rId18"/>
  </sheets>
  <definedNames>
    <definedName name="_xlnm.Print_Titles" localSheetId="3">'5'!$1:$6</definedName>
    <definedName name="_xlnm.Print_Titles" localSheetId="4">'6'!$3:$10</definedName>
    <definedName name="_xlnm.Print_Area" localSheetId="2">'15'!$A$1:$K$86</definedName>
    <definedName name="_xlnm.Print_Area" localSheetId="16">'16'!$A$1:$N$28</definedName>
    <definedName name="_xlnm.Print_Area" localSheetId="3">'5'!$A$1:$AI$18</definedName>
    <definedName name="_xlnm.Print_Area" localSheetId="4">'6'!$B$3:$AH$33</definedName>
  </definedNames>
  <calcPr calcId="162913"/>
</workbook>
</file>

<file path=xl/calcChain.xml><?xml version="1.0" encoding="utf-8"?>
<calcChain xmlns="http://schemas.openxmlformats.org/spreadsheetml/2006/main">
  <c r="B21" i="29" l="1"/>
  <c r="E21" i="29" s="1"/>
  <c r="B13" i="29"/>
  <c r="B22" i="29" l="1"/>
  <c r="E22" i="29" s="1"/>
  <c r="M28" i="22"/>
  <c r="G25" i="22"/>
  <c r="H22" i="22"/>
  <c r="G22" i="22"/>
  <c r="G23" i="22"/>
  <c r="H14" i="22" l="1"/>
  <c r="I13" i="22"/>
  <c r="H10" i="22"/>
  <c r="H18" i="22" s="1"/>
  <c r="I9" i="22"/>
  <c r="H8" i="22"/>
  <c r="H7" i="22"/>
  <c r="J16" i="45"/>
  <c r="I11" i="45"/>
  <c r="I10" i="45"/>
  <c r="I10" i="9"/>
  <c r="J10" i="42" s="1"/>
  <c r="I11" i="9"/>
  <c r="J11" i="42" s="1"/>
  <c r="I12" i="45"/>
  <c r="I24" i="45"/>
  <c r="I23" i="45"/>
  <c r="I39" i="45"/>
  <c r="I43" i="45"/>
  <c r="I76" i="9"/>
  <c r="I12" i="9"/>
  <c r="J12" i="42" s="1"/>
  <c r="I22" i="9"/>
  <c r="I21" i="45" s="1"/>
  <c r="I25" i="9"/>
  <c r="I24" i="9"/>
  <c r="B12" i="30"/>
  <c r="B24" i="30"/>
  <c r="F22" i="30"/>
  <c r="F14" i="30"/>
  <c r="F10" i="30"/>
  <c r="F8" i="30" s="1"/>
  <c r="F25" i="30" s="1"/>
  <c r="I56" i="9"/>
  <c r="I44" i="9"/>
  <c r="I40" i="9"/>
  <c r="Z22" i="13"/>
  <c r="J16" i="9"/>
  <c r="C28" i="22" l="1"/>
  <c r="D28" i="22"/>
  <c r="E28" i="22"/>
  <c r="F28" i="22"/>
  <c r="G28" i="22"/>
  <c r="H28" i="22"/>
  <c r="I28" i="22"/>
  <c r="J28" i="22"/>
  <c r="K28" i="22"/>
  <c r="L28" i="22"/>
  <c r="M7" i="22"/>
  <c r="O16" i="22"/>
  <c r="C19" i="25"/>
  <c r="I81" i="45"/>
  <c r="H81" i="45"/>
  <c r="J80" i="45"/>
  <c r="H77" i="45"/>
  <c r="I82" i="45"/>
  <c r="H76" i="45"/>
  <c r="J71" i="45"/>
  <c r="H69" i="45"/>
  <c r="J68" i="45"/>
  <c r="I67" i="45"/>
  <c r="I75" i="45" s="1"/>
  <c r="J65" i="45"/>
  <c r="H65" i="45" s="1"/>
  <c r="I64" i="45"/>
  <c r="H64" i="45" s="1"/>
  <c r="J64" i="45"/>
  <c r="J67" i="45" s="1"/>
  <c r="J63" i="45"/>
  <c r="H63" i="45"/>
  <c r="K58" i="45"/>
  <c r="I57" i="45"/>
  <c r="J56" i="45"/>
  <c r="I56" i="45"/>
  <c r="J55" i="45"/>
  <c r="I55" i="45"/>
  <c r="I54" i="45" s="1"/>
  <c r="H55" i="45"/>
  <c r="H54" i="45" s="1"/>
  <c r="I53" i="45"/>
  <c r="I52" i="45"/>
  <c r="I51" i="45" s="1"/>
  <c r="H51" i="45"/>
  <c r="J51" i="45" s="1"/>
  <c r="J50" i="45"/>
  <c r="I50" i="45"/>
  <c r="H50" i="45" s="1"/>
  <c r="J49" i="45"/>
  <c r="I49" i="45"/>
  <c r="H49" i="45" s="1"/>
  <c r="K47" i="45"/>
  <c r="K61" i="45" s="1"/>
  <c r="K84" i="45" s="1"/>
  <c r="I46" i="45"/>
  <c r="J45" i="45"/>
  <c r="I45" i="45"/>
  <c r="H45" i="45" s="1"/>
  <c r="J44" i="45"/>
  <c r="I44" i="45"/>
  <c r="J43" i="45"/>
  <c r="J41" i="45"/>
  <c r="I41" i="45"/>
  <c r="H41" i="45"/>
  <c r="J40" i="45"/>
  <c r="I40" i="45"/>
  <c r="J39" i="45"/>
  <c r="H39" i="45"/>
  <c r="J37" i="45"/>
  <c r="I37" i="45"/>
  <c r="H37" i="45" s="1"/>
  <c r="J36" i="45"/>
  <c r="H36" i="45" s="1"/>
  <c r="I36" i="45"/>
  <c r="J35" i="45"/>
  <c r="I35" i="45"/>
  <c r="J33" i="45"/>
  <c r="H33" i="45" s="1"/>
  <c r="K30" i="45"/>
  <c r="J29" i="45"/>
  <c r="J28" i="45"/>
  <c r="J25" i="45"/>
  <c r="H25" i="45"/>
  <c r="J24" i="45"/>
  <c r="H24" i="45"/>
  <c r="J23" i="45"/>
  <c r="I26" i="45"/>
  <c r="H23" i="45"/>
  <c r="J21" i="45"/>
  <c r="H21" i="45" s="1"/>
  <c r="I20" i="45"/>
  <c r="H20" i="45"/>
  <c r="J19" i="45"/>
  <c r="I19" i="45"/>
  <c r="H19" i="45" s="1"/>
  <c r="J18" i="45"/>
  <c r="H18" i="45" s="1"/>
  <c r="I18" i="45"/>
  <c r="J17" i="45"/>
  <c r="I17" i="45"/>
  <c r="I16" i="45"/>
  <c r="H16" i="45" s="1"/>
  <c r="J15" i="45"/>
  <c r="H15" i="45" s="1"/>
  <c r="I15" i="45"/>
  <c r="J13" i="45"/>
  <c r="I13" i="45"/>
  <c r="J12" i="45"/>
  <c r="H12" i="45" s="1"/>
  <c r="J11" i="45"/>
  <c r="H11" i="45" s="1"/>
  <c r="J10" i="45"/>
  <c r="J16" i="42"/>
  <c r="J17" i="42"/>
  <c r="E28" i="42"/>
  <c r="E10" i="42"/>
  <c r="J14" i="9"/>
  <c r="J23" i="9" s="1"/>
  <c r="H12" i="9"/>
  <c r="O9" i="22" s="1"/>
  <c r="Z33" i="13"/>
  <c r="Z29" i="13"/>
  <c r="Z15" i="13"/>
  <c r="Z16" i="13"/>
  <c r="Z18" i="13" s="1"/>
  <c r="H81" i="9"/>
  <c r="O15" i="22" s="1"/>
  <c r="I78" i="9"/>
  <c r="H77" i="9"/>
  <c r="J72" i="9"/>
  <c r="H70" i="9"/>
  <c r="J69" i="9"/>
  <c r="I67" i="9"/>
  <c r="H67" i="9" s="1"/>
  <c r="I66" i="9"/>
  <c r="H66" i="9" s="1"/>
  <c r="J65" i="9"/>
  <c r="J68" i="9" s="1"/>
  <c r="K59" i="9"/>
  <c r="J58" i="9"/>
  <c r="J57" i="45" s="1"/>
  <c r="J57" i="9"/>
  <c r="H56" i="9"/>
  <c r="H55" i="9" s="1"/>
  <c r="O25" i="22" s="1"/>
  <c r="J55" i="9"/>
  <c r="I55" i="9"/>
  <c r="E24" i="42" s="1"/>
  <c r="J54" i="9"/>
  <c r="J53" i="45" s="1"/>
  <c r="J53" i="9"/>
  <c r="J52" i="45" s="1"/>
  <c r="I52" i="9"/>
  <c r="H52" i="9"/>
  <c r="J52" i="9" s="1"/>
  <c r="H51" i="9"/>
  <c r="H49" i="9" s="1"/>
  <c r="O24" i="22" s="1"/>
  <c r="I49" i="9"/>
  <c r="K48" i="9"/>
  <c r="K62" i="9" s="1"/>
  <c r="K84" i="9" s="1"/>
  <c r="K86" i="9" s="1"/>
  <c r="J47" i="9"/>
  <c r="J46" i="45" s="1"/>
  <c r="H46" i="9"/>
  <c r="H44" i="9"/>
  <c r="J43" i="9"/>
  <c r="I43" i="9"/>
  <c r="E13" i="42" s="1"/>
  <c r="H42" i="9"/>
  <c r="H41" i="9"/>
  <c r="H40" i="9"/>
  <c r="J39" i="9"/>
  <c r="I39" i="9"/>
  <c r="E12" i="42" s="1"/>
  <c r="H38" i="9"/>
  <c r="H37" i="9"/>
  <c r="H36" i="9"/>
  <c r="J35" i="9"/>
  <c r="I35" i="9"/>
  <c r="H35" i="9"/>
  <c r="H34" i="9"/>
  <c r="K31" i="9"/>
  <c r="K83" i="9" s="1"/>
  <c r="J30" i="9"/>
  <c r="J29" i="9"/>
  <c r="J27" i="9"/>
  <c r="H26" i="9"/>
  <c r="H25" i="9"/>
  <c r="J23" i="42" s="1"/>
  <c r="I27" i="9"/>
  <c r="H24" i="9"/>
  <c r="H22" i="9"/>
  <c r="H21" i="9"/>
  <c r="H20" i="9"/>
  <c r="H19" i="9"/>
  <c r="I14" i="9"/>
  <c r="H17" i="9"/>
  <c r="H16" i="9"/>
  <c r="J15" i="42" s="1"/>
  <c r="H15" i="9"/>
  <c r="H13" i="9"/>
  <c r="H11" i="9"/>
  <c r="O8" i="22" s="1"/>
  <c r="H10" i="9"/>
  <c r="O7" i="22" s="1"/>
  <c r="J42" i="45" l="1"/>
  <c r="H43" i="9"/>
  <c r="O23" i="22" s="1"/>
  <c r="I59" i="9"/>
  <c r="H65" i="9"/>
  <c r="O26" i="22" s="1"/>
  <c r="B26" i="22" s="1"/>
  <c r="Z30" i="13"/>
  <c r="J31" i="9"/>
  <c r="J14" i="45"/>
  <c r="H14" i="45" s="1"/>
  <c r="H35" i="45"/>
  <c r="J38" i="45"/>
  <c r="O10" i="22"/>
  <c r="J34" i="45"/>
  <c r="J47" i="45" s="1"/>
  <c r="I48" i="45"/>
  <c r="J54" i="45"/>
  <c r="H75" i="9"/>
  <c r="E30" i="42"/>
  <c r="E31" i="42" s="1"/>
  <c r="O14" i="22"/>
  <c r="J19" i="42"/>
  <c r="H27" i="9"/>
  <c r="O13" i="22" s="1"/>
  <c r="J22" i="42"/>
  <c r="J59" i="9"/>
  <c r="H13" i="45"/>
  <c r="I14" i="45"/>
  <c r="I22" i="45" s="1"/>
  <c r="I30" i="45" s="1"/>
  <c r="I83" i="45" s="1"/>
  <c r="H17" i="45"/>
  <c r="J26" i="45"/>
  <c r="H40" i="45"/>
  <c r="H43" i="45"/>
  <c r="H42" i="45" s="1"/>
  <c r="J48" i="45"/>
  <c r="H82" i="45"/>
  <c r="H59" i="9"/>
  <c r="I58" i="45"/>
  <c r="J82" i="9"/>
  <c r="J83" i="9" s="1"/>
  <c r="H67" i="45"/>
  <c r="J58" i="45"/>
  <c r="H26" i="45"/>
  <c r="K62" i="45"/>
  <c r="H48" i="45"/>
  <c r="H58" i="45" s="1"/>
  <c r="H74" i="45"/>
  <c r="K83" i="45"/>
  <c r="K86" i="45" s="1"/>
  <c r="I34" i="45"/>
  <c r="H34" i="45" s="1"/>
  <c r="I38" i="45"/>
  <c r="H38" i="45" s="1"/>
  <c r="I42" i="45"/>
  <c r="H10" i="45"/>
  <c r="H39" i="9"/>
  <c r="O22" i="22" s="1"/>
  <c r="I48" i="9"/>
  <c r="I62" i="9" s="1"/>
  <c r="I84" i="9" s="1"/>
  <c r="H68" i="9"/>
  <c r="H76" i="9" s="1"/>
  <c r="H14" i="9"/>
  <c r="H23" i="9" s="1"/>
  <c r="H31" i="9" s="1"/>
  <c r="I23" i="9"/>
  <c r="I31" i="9" s="1"/>
  <c r="J48" i="9"/>
  <c r="J62" i="9" s="1"/>
  <c r="H18" i="9"/>
  <c r="O11" i="22" s="1"/>
  <c r="I82" i="9"/>
  <c r="K63" i="9"/>
  <c r="F16" i="9"/>
  <c r="J22" i="45" l="1"/>
  <c r="J30" i="45" s="1"/>
  <c r="J83" i="45" s="1"/>
  <c r="H22" i="45"/>
  <c r="H48" i="9"/>
  <c r="H62" i="9" s="1"/>
  <c r="H84" i="9" s="1"/>
  <c r="B28" i="22"/>
  <c r="H75" i="45"/>
  <c r="H78" i="9"/>
  <c r="H82" i="9" s="1"/>
  <c r="H47" i="45"/>
  <c r="H61" i="45" s="1"/>
  <c r="H84" i="45" s="1"/>
  <c r="H30" i="45"/>
  <c r="J62" i="45"/>
  <c r="I47" i="45"/>
  <c r="I61" i="45" s="1"/>
  <c r="J61" i="45"/>
  <c r="J84" i="45" s="1"/>
  <c r="I83" i="9"/>
  <c r="I86" i="9" s="1"/>
  <c r="I63" i="9"/>
  <c r="J84" i="9"/>
  <c r="J86" i="9" s="1"/>
  <c r="J63" i="9"/>
  <c r="U22" i="13"/>
  <c r="U29" i="13" s="1"/>
  <c r="V12" i="12"/>
  <c r="V14" i="12"/>
  <c r="V13" i="12"/>
  <c r="H83" i="9" l="1"/>
  <c r="J31" i="42"/>
  <c r="H63" i="9"/>
  <c r="H86" i="9"/>
  <c r="J86" i="45"/>
  <c r="H62" i="45"/>
  <c r="H83" i="45"/>
  <c r="H86" i="45" s="1"/>
  <c r="I84" i="45"/>
  <c r="I86" i="45" s="1"/>
  <c r="I62" i="45"/>
  <c r="E21" i="51" l="1"/>
  <c r="D66" i="51"/>
  <c r="E49" i="51"/>
  <c r="E50" i="51"/>
  <c r="E43" i="51"/>
  <c r="E39" i="51"/>
  <c r="E41" i="51"/>
  <c r="E35" i="51"/>
  <c r="E36" i="51"/>
  <c r="E37" i="51"/>
  <c r="N25" i="22" l="1"/>
  <c r="B16" i="22"/>
  <c r="D31" i="52" l="1"/>
  <c r="B31" i="52"/>
  <c r="E29" i="52"/>
  <c r="E20" i="52"/>
  <c r="E11" i="52" s="1"/>
  <c r="E31" i="52" s="1"/>
  <c r="F10" i="52"/>
  <c r="F9" i="52"/>
  <c r="F8" i="52"/>
  <c r="F31" i="52" l="1"/>
  <c r="C18" i="49"/>
  <c r="O21" i="49"/>
  <c r="O18" i="49"/>
  <c r="B18" i="49" s="1"/>
  <c r="O9" i="49"/>
  <c r="B9" i="49" s="1"/>
  <c r="O8" i="49"/>
  <c r="B8" i="49" s="1"/>
  <c r="O7" i="49"/>
  <c r="O14" i="49" s="1"/>
  <c r="F18" i="47"/>
  <c r="C18" i="47"/>
  <c r="B18" i="47"/>
  <c r="C14" i="47"/>
  <c r="D14" i="47"/>
  <c r="E14" i="47"/>
  <c r="F14" i="47"/>
  <c r="G14" i="47"/>
  <c r="H14" i="47"/>
  <c r="I14" i="47"/>
  <c r="J14" i="47"/>
  <c r="K14" i="47"/>
  <c r="L14" i="47"/>
  <c r="M14" i="47"/>
  <c r="B7" i="49" l="1"/>
  <c r="I23" i="42"/>
  <c r="E62" i="46" l="1"/>
  <c r="U37" i="13"/>
  <c r="U15" i="13" l="1"/>
  <c r="E92" i="48" l="1"/>
  <c r="D92" i="48"/>
  <c r="F92" i="48"/>
  <c r="H92" i="48" l="1"/>
  <c r="G92" i="48"/>
  <c r="D86" i="48" l="1"/>
  <c r="F87" i="46"/>
  <c r="F86" i="46"/>
  <c r="E12" i="45" l="1"/>
  <c r="E12" i="51" s="1"/>
  <c r="E11" i="45"/>
  <c r="E11" i="51" s="1"/>
  <c r="E10" i="45"/>
  <c r="E10" i="51" s="1"/>
  <c r="E19" i="45"/>
  <c r="E20" i="45"/>
  <c r="E24" i="45"/>
  <c r="E66" i="48" l="1"/>
  <c r="D66" i="48"/>
  <c r="E63" i="46"/>
  <c r="D67" i="9" l="1"/>
  <c r="E66" i="9"/>
  <c r="E67" i="9"/>
  <c r="E22" i="30" l="1"/>
  <c r="E14" i="30" s="1"/>
  <c r="E24" i="9" s="1"/>
  <c r="E27" i="9" l="1"/>
  <c r="F27" i="9"/>
  <c r="D21" i="9"/>
  <c r="F14" i="9"/>
  <c r="D16" i="28"/>
  <c r="U16" i="13"/>
  <c r="V16" i="12"/>
  <c r="V11" i="12"/>
  <c r="V17" i="12" l="1"/>
  <c r="V20" i="12" s="1"/>
  <c r="E18" i="9" s="1"/>
  <c r="J18" i="42" s="1"/>
  <c r="J13" i="42" s="1"/>
  <c r="J20" i="42" s="1"/>
  <c r="E10" i="30"/>
  <c r="E8" i="30" s="1"/>
  <c r="B10" i="30"/>
  <c r="B9" i="30"/>
  <c r="B25" i="30" s="1"/>
  <c r="F40" i="51" l="1"/>
  <c r="E40" i="51" s="1"/>
  <c r="E38" i="51" s="1"/>
  <c r="F34" i="51"/>
  <c r="E34" i="51"/>
  <c r="E42" i="51"/>
  <c r="F42" i="51"/>
  <c r="F46" i="51"/>
  <c r="D54" i="51"/>
  <c r="E54" i="51"/>
  <c r="E14" i="51"/>
  <c r="F14" i="51"/>
  <c r="F22" i="51" s="1"/>
  <c r="E26" i="51"/>
  <c r="F26" i="51"/>
  <c r="D26" i="51"/>
  <c r="F79" i="51"/>
  <c r="F78" i="51"/>
  <c r="E77" i="51"/>
  <c r="F71" i="51"/>
  <c r="F70" i="51"/>
  <c r="F69" i="51"/>
  <c r="D69" i="51"/>
  <c r="D74" i="51" s="1"/>
  <c r="F74" i="51" s="1"/>
  <c r="F68" i="51"/>
  <c r="F64" i="51"/>
  <c r="F67" i="51" s="1"/>
  <c r="F57" i="51"/>
  <c r="F56" i="51"/>
  <c r="F54" i="51" s="1"/>
  <c r="F53" i="51"/>
  <c r="F52" i="51"/>
  <c r="E51" i="51"/>
  <c r="E48" i="51" s="1"/>
  <c r="D51" i="51"/>
  <c r="F51" i="51" s="1"/>
  <c r="F48" i="51" s="1"/>
  <c r="F25" i="45"/>
  <c r="F23" i="45"/>
  <c r="E23" i="45"/>
  <c r="F38" i="51" l="1"/>
  <c r="F77" i="51"/>
  <c r="F81" i="51" s="1"/>
  <c r="D77" i="51"/>
  <c r="F30" i="51"/>
  <c r="F82" i="51" s="1"/>
  <c r="F47" i="51"/>
  <c r="D40" i="51"/>
  <c r="E58" i="51"/>
  <c r="F58" i="51"/>
  <c r="F75" i="51"/>
  <c r="E64" i="51"/>
  <c r="E67" i="51" s="1"/>
  <c r="F61" i="51" l="1"/>
  <c r="F83" i="51" s="1"/>
  <c r="E75" i="51"/>
  <c r="F62" i="51" l="1"/>
  <c r="F85" i="51"/>
  <c r="E81" i="45" l="1"/>
  <c r="N16" i="47"/>
  <c r="N12" i="47"/>
  <c r="E80" i="51" l="1"/>
  <c r="D81" i="45"/>
  <c r="D80" i="51" s="1"/>
  <c r="E25" i="30"/>
  <c r="E78" i="9"/>
  <c r="E82" i="9" s="1"/>
  <c r="D77" i="9" l="1"/>
  <c r="F63" i="45"/>
  <c r="F12" i="45"/>
  <c r="D15" i="9"/>
  <c r="U33" i="13"/>
  <c r="M18" i="22"/>
  <c r="N22" i="22"/>
  <c r="D19" i="9"/>
  <c r="D10" i="9"/>
  <c r="D56" i="9"/>
  <c r="D55" i="9" s="1"/>
  <c r="D12" i="9"/>
  <c r="I20" i="26"/>
  <c r="D20" i="9"/>
  <c r="D11" i="9"/>
  <c r="F24" i="45"/>
  <c r="J18" i="22"/>
  <c r="L18" i="22"/>
  <c r="C18" i="22"/>
  <c r="D18" i="22"/>
  <c r="E18" i="22"/>
  <c r="F18" i="22"/>
  <c r="G18" i="22"/>
  <c r="I18" i="22"/>
  <c r="K18" i="22"/>
  <c r="N16" i="22"/>
  <c r="N7" i="22"/>
  <c r="N8" i="22"/>
  <c r="N9" i="22"/>
  <c r="N15" i="22"/>
  <c r="B43" i="29"/>
  <c r="C43" i="29"/>
  <c r="D43" i="29"/>
  <c r="E42" i="29"/>
  <c r="B36" i="29"/>
  <c r="C36" i="29"/>
  <c r="D36" i="29"/>
  <c r="E35" i="29"/>
  <c r="E34" i="29"/>
  <c r="E33" i="29"/>
  <c r="E32" i="29"/>
  <c r="E31" i="29"/>
  <c r="E30" i="29"/>
  <c r="C26" i="28"/>
  <c r="E49" i="45"/>
  <c r="F21" i="45"/>
  <c r="D49" i="51"/>
  <c r="D20" i="45"/>
  <c r="U18" i="13"/>
  <c r="E63" i="45"/>
  <c r="E63" i="51" s="1"/>
  <c r="Q14" i="25"/>
  <c r="J14" i="25"/>
  <c r="E35" i="9"/>
  <c r="E11" i="42" s="1"/>
  <c r="E20" i="42" s="1"/>
  <c r="E21" i="42" s="1"/>
  <c r="E36" i="45"/>
  <c r="E37" i="45"/>
  <c r="E39" i="45"/>
  <c r="E40" i="45"/>
  <c r="E41" i="45"/>
  <c r="E43" i="45"/>
  <c r="E44" i="45"/>
  <c r="E45" i="45"/>
  <c r="E46" i="45"/>
  <c r="E50" i="45"/>
  <c r="E52" i="45"/>
  <c r="E53" i="45"/>
  <c r="E55" i="45"/>
  <c r="E56" i="45"/>
  <c r="E57" i="45"/>
  <c r="E65" i="45"/>
  <c r="E67" i="45" s="1"/>
  <c r="F33" i="45"/>
  <c r="F35" i="45"/>
  <c r="F36" i="45"/>
  <c r="F37" i="45"/>
  <c r="F39" i="45"/>
  <c r="F39" i="46"/>
  <c r="F40" i="45" s="1"/>
  <c r="F39" i="48"/>
  <c r="F41" i="45"/>
  <c r="F43" i="45"/>
  <c r="F43" i="46"/>
  <c r="F44" i="45" s="1"/>
  <c r="F43" i="48"/>
  <c r="F44" i="46"/>
  <c r="F45" i="45" s="1"/>
  <c r="F44" i="48"/>
  <c r="F45" i="46"/>
  <c r="F45" i="48"/>
  <c r="F47" i="9"/>
  <c r="F43" i="9" s="1"/>
  <c r="F48" i="46"/>
  <c r="F47" i="46" s="1"/>
  <c r="F48" i="48"/>
  <c r="F47" i="48" s="1"/>
  <c r="F50" i="45"/>
  <c r="D51" i="45"/>
  <c r="F51" i="45"/>
  <c r="F55" i="45"/>
  <c r="F55" i="46"/>
  <c r="F53" i="46" s="1"/>
  <c r="F55" i="48"/>
  <c r="F57" i="9"/>
  <c r="F55" i="9" s="1"/>
  <c r="F56" i="46"/>
  <c r="F56" i="48"/>
  <c r="F53" i="48" s="1"/>
  <c r="F58" i="9"/>
  <c r="F65" i="45"/>
  <c r="D69" i="45"/>
  <c r="D74" i="45" s="1"/>
  <c r="F74" i="45" s="1"/>
  <c r="F69" i="45"/>
  <c r="F52" i="46"/>
  <c r="F52" i="48"/>
  <c r="F54" i="9"/>
  <c r="F51" i="46"/>
  <c r="F51" i="48"/>
  <c r="F53" i="9"/>
  <c r="F25" i="46"/>
  <c r="F19" i="45"/>
  <c r="D19" i="45" s="1"/>
  <c r="F18" i="45"/>
  <c r="F17" i="45"/>
  <c r="F16" i="45"/>
  <c r="F13" i="45"/>
  <c r="E18" i="45"/>
  <c r="E17" i="45"/>
  <c r="E16" i="45"/>
  <c r="E15" i="45"/>
  <c r="E13" i="45"/>
  <c r="F11" i="45"/>
  <c r="F10" i="45"/>
  <c r="G47" i="45"/>
  <c r="G58" i="45"/>
  <c r="G30" i="45"/>
  <c r="G83" i="45" s="1"/>
  <c r="F28" i="45"/>
  <c r="F29" i="45"/>
  <c r="D77" i="45"/>
  <c r="F77" i="45" s="1"/>
  <c r="F82" i="45" s="1"/>
  <c r="F80" i="45"/>
  <c r="F79" i="45"/>
  <c r="F78" i="45"/>
  <c r="F71" i="45"/>
  <c r="F70" i="45"/>
  <c r="F68" i="45"/>
  <c r="B16" i="49"/>
  <c r="N16" i="49" s="1"/>
  <c r="B17" i="49"/>
  <c r="N17" i="49" s="1"/>
  <c r="B20" i="49"/>
  <c r="N20" i="49" s="1"/>
  <c r="C22" i="49"/>
  <c r="D22" i="49"/>
  <c r="E22" i="49"/>
  <c r="F22" i="49"/>
  <c r="G22" i="49"/>
  <c r="H22" i="49"/>
  <c r="I22" i="49"/>
  <c r="J22" i="49"/>
  <c r="K22" i="49"/>
  <c r="L22" i="49"/>
  <c r="M22" i="49"/>
  <c r="N21" i="49"/>
  <c r="N19" i="49"/>
  <c r="N18" i="49"/>
  <c r="N7" i="49"/>
  <c r="N8" i="49"/>
  <c r="N9" i="49"/>
  <c r="B11" i="49"/>
  <c r="N11" i="49" s="1"/>
  <c r="B12" i="49"/>
  <c r="N12" i="49" s="1"/>
  <c r="L14" i="49"/>
  <c r="K14" i="49"/>
  <c r="J14" i="49"/>
  <c r="I14" i="49"/>
  <c r="H14" i="49"/>
  <c r="G14" i="49"/>
  <c r="F14" i="49"/>
  <c r="E14" i="49"/>
  <c r="D14" i="49"/>
  <c r="C14" i="49"/>
  <c r="N18" i="47"/>
  <c r="C22" i="47"/>
  <c r="D22" i="47"/>
  <c r="E22" i="47"/>
  <c r="F22" i="47"/>
  <c r="G22" i="47"/>
  <c r="H22" i="47"/>
  <c r="I22" i="47"/>
  <c r="J22" i="47"/>
  <c r="K22" i="47"/>
  <c r="L22" i="47"/>
  <c r="M22" i="47"/>
  <c r="N21" i="47"/>
  <c r="N20" i="47"/>
  <c r="N19" i="47"/>
  <c r="N10" i="47"/>
  <c r="N11" i="47"/>
  <c r="G46" i="48"/>
  <c r="G57" i="48"/>
  <c r="G29" i="48"/>
  <c r="G81" i="48" s="1"/>
  <c r="F27" i="48"/>
  <c r="F28" i="48"/>
  <c r="D76" i="48"/>
  <c r="F76" i="48" s="1"/>
  <c r="E80" i="48"/>
  <c r="F33" i="48"/>
  <c r="F37" i="48"/>
  <c r="D50" i="48"/>
  <c r="F50" i="48"/>
  <c r="F66" i="48"/>
  <c r="D68" i="48"/>
  <c r="D73" i="48"/>
  <c r="F73" i="48" s="1"/>
  <c r="F74" i="48" s="1"/>
  <c r="E33" i="48"/>
  <c r="E41" i="48"/>
  <c r="E47" i="48"/>
  <c r="E50" i="48"/>
  <c r="E57" i="48" s="1"/>
  <c r="E53" i="48"/>
  <c r="E74" i="48"/>
  <c r="E21" i="48"/>
  <c r="E29" i="48" s="1"/>
  <c r="D33" i="48"/>
  <c r="D46" i="48" s="1"/>
  <c r="D37" i="48"/>
  <c r="D41" i="48"/>
  <c r="D47" i="48"/>
  <c r="D53" i="48"/>
  <c r="D14" i="48"/>
  <c r="D21" i="48"/>
  <c r="D25" i="48"/>
  <c r="F79" i="48"/>
  <c r="F78" i="48"/>
  <c r="F77" i="48"/>
  <c r="F75" i="48"/>
  <c r="F70" i="48"/>
  <c r="F69" i="48"/>
  <c r="F67" i="48"/>
  <c r="G46" i="46"/>
  <c r="G57" i="46"/>
  <c r="G29" i="46"/>
  <c r="G81" i="46"/>
  <c r="F33" i="46"/>
  <c r="D50" i="46"/>
  <c r="F50" i="46" s="1"/>
  <c r="F66" i="46"/>
  <c r="D68" i="46"/>
  <c r="D73" i="46" s="1"/>
  <c r="F73" i="46" s="1"/>
  <c r="F21" i="46"/>
  <c r="F27" i="46"/>
  <c r="F28" i="46"/>
  <c r="D76" i="46"/>
  <c r="D80" i="46" s="1"/>
  <c r="E80" i="46"/>
  <c r="E33" i="46"/>
  <c r="E41" i="46"/>
  <c r="E47" i="46"/>
  <c r="E50" i="46"/>
  <c r="E53" i="46"/>
  <c r="E66" i="46"/>
  <c r="E74" i="46" s="1"/>
  <c r="D32" i="46"/>
  <c r="O16" i="47" s="1"/>
  <c r="D33" i="46"/>
  <c r="D37" i="46"/>
  <c r="D47" i="46"/>
  <c r="D53" i="46"/>
  <c r="D57" i="46"/>
  <c r="D63" i="46"/>
  <c r="D10" i="46"/>
  <c r="O7" i="47" s="1"/>
  <c r="B7" i="47" s="1"/>
  <c r="D11" i="46"/>
  <c r="O8" i="47" s="1"/>
  <c r="B8" i="47" s="1"/>
  <c r="N8" i="47" s="1"/>
  <c r="D14" i="46"/>
  <c r="D22" i="46"/>
  <c r="D25" i="46" s="1"/>
  <c r="O12" i="47" s="1"/>
  <c r="F79" i="46"/>
  <c r="F78" i="46"/>
  <c r="F77" i="46"/>
  <c r="F75" i="46"/>
  <c r="F70" i="46"/>
  <c r="F69" i="46"/>
  <c r="F68" i="46"/>
  <c r="F67" i="46"/>
  <c r="D42" i="46"/>
  <c r="C14" i="25"/>
  <c r="C20" i="25" s="1"/>
  <c r="D13" i="9"/>
  <c r="E14" i="9"/>
  <c r="E23" i="9" s="1"/>
  <c r="F65" i="9"/>
  <c r="D65" i="9"/>
  <c r="D51" i="9"/>
  <c r="D50" i="51" s="1"/>
  <c r="D52" i="9"/>
  <c r="F52" i="9" s="1"/>
  <c r="D66" i="9"/>
  <c r="F68" i="9"/>
  <c r="E76" i="9"/>
  <c r="D24" i="9"/>
  <c r="I22" i="42" s="1"/>
  <c r="E39" i="9"/>
  <c r="F39" i="9"/>
  <c r="F48" i="9" s="1"/>
  <c r="F35" i="9"/>
  <c r="D44" i="9"/>
  <c r="D43" i="51" s="1"/>
  <c r="D42" i="51" s="1"/>
  <c r="D16" i="9"/>
  <c r="D17" i="9"/>
  <c r="I17" i="42" s="1"/>
  <c r="D18" i="9"/>
  <c r="D18" i="51" s="1"/>
  <c r="D14" i="51" s="1"/>
  <c r="D70" i="9"/>
  <c r="D75" i="9" s="1"/>
  <c r="D25" i="9"/>
  <c r="D26" i="9"/>
  <c r="D37" i="9"/>
  <c r="D36" i="51" s="1"/>
  <c r="D38" i="9"/>
  <c r="D37" i="51" s="1"/>
  <c r="D40" i="9"/>
  <c r="D39" i="51" s="1"/>
  <c r="D38" i="51" s="1"/>
  <c r="D42" i="9"/>
  <c r="D41" i="51" s="1"/>
  <c r="N26" i="22"/>
  <c r="N21" i="22"/>
  <c r="F29" i="9"/>
  <c r="F30" i="9"/>
  <c r="F75" i="9"/>
  <c r="E43" i="9"/>
  <c r="E49" i="9"/>
  <c r="E22" i="42" s="1"/>
  <c r="E25" i="42" s="1"/>
  <c r="E52" i="9"/>
  <c r="E55" i="9"/>
  <c r="G31" i="9"/>
  <c r="G48" i="9"/>
  <c r="G59" i="9"/>
  <c r="F69" i="9"/>
  <c r="F70" i="9"/>
  <c r="F71" i="9"/>
  <c r="F72" i="9"/>
  <c r="F79" i="9"/>
  <c r="F80" i="9"/>
  <c r="N20" i="22"/>
  <c r="N29" i="22" s="1"/>
  <c r="N23" i="22"/>
  <c r="N24" i="22"/>
  <c r="Q55" i="22"/>
  <c r="D9" i="26"/>
  <c r="I10" i="26"/>
  <c r="I11" i="26"/>
  <c r="D12" i="26"/>
  <c r="E12" i="26"/>
  <c r="E21" i="26" s="1"/>
  <c r="F12" i="26"/>
  <c r="G12" i="26"/>
  <c r="H12" i="26"/>
  <c r="I13" i="26"/>
  <c r="I14" i="26"/>
  <c r="D15" i="26"/>
  <c r="I15" i="26" s="1"/>
  <c r="H15" i="26"/>
  <c r="I16" i="26"/>
  <c r="D17" i="26"/>
  <c r="E17" i="26"/>
  <c r="F17" i="26"/>
  <c r="G17" i="26"/>
  <c r="H17" i="26"/>
  <c r="I18" i="26"/>
  <c r="D19" i="26"/>
  <c r="E19" i="26"/>
  <c r="D26" i="28"/>
  <c r="E11" i="29"/>
  <c r="E12" i="29"/>
  <c r="E13" i="29"/>
  <c r="E14" i="29"/>
  <c r="E15" i="29"/>
  <c r="E16" i="29"/>
  <c r="B17" i="29"/>
  <c r="C17" i="29"/>
  <c r="D17" i="29"/>
  <c r="E23" i="29"/>
  <c r="B24" i="29"/>
  <c r="C24" i="29"/>
  <c r="D24" i="29"/>
  <c r="G13" i="30"/>
  <c r="D25" i="30"/>
  <c r="D41" i="9"/>
  <c r="D46" i="9"/>
  <c r="D36" i="9"/>
  <c r="D35" i="51" s="1"/>
  <c r="F64" i="45"/>
  <c r="F67" i="45" s="1"/>
  <c r="F37" i="46"/>
  <c r="F15" i="45"/>
  <c r="F23" i="9"/>
  <c r="F68" i="48"/>
  <c r="M14" i="49"/>
  <c r="E35" i="45"/>
  <c r="D21" i="26" l="1"/>
  <c r="F74" i="46"/>
  <c r="E81" i="48"/>
  <c r="D80" i="48"/>
  <c r="F46" i="45"/>
  <c r="E36" i="29"/>
  <c r="D48" i="51"/>
  <c r="D58" i="51" s="1"/>
  <c r="E33" i="42"/>
  <c r="I17" i="26"/>
  <c r="G21" i="26"/>
  <c r="I24" i="42"/>
  <c r="J24" i="42"/>
  <c r="J25" i="42" s="1"/>
  <c r="J33" i="42" s="1"/>
  <c r="E34" i="42" s="1"/>
  <c r="F76" i="46"/>
  <c r="D66" i="46"/>
  <c r="O21" i="47"/>
  <c r="N7" i="47"/>
  <c r="G61" i="45"/>
  <c r="G84" i="45" s="1"/>
  <c r="G86" i="45" s="1"/>
  <c r="F53" i="45"/>
  <c r="D36" i="45"/>
  <c r="D24" i="42"/>
  <c r="D34" i="51"/>
  <c r="J29" i="22"/>
  <c r="D16" i="45"/>
  <c r="E14" i="45"/>
  <c r="G62" i="45"/>
  <c r="D29" i="48"/>
  <c r="D81" i="48" s="1"/>
  <c r="G60" i="48"/>
  <c r="F75" i="45"/>
  <c r="G62" i="9"/>
  <c r="G84" i="9" s="1"/>
  <c r="D57" i="48"/>
  <c r="D60" i="48" s="1"/>
  <c r="F80" i="48"/>
  <c r="D35" i="9"/>
  <c r="D11" i="42" s="1"/>
  <c r="I16" i="42"/>
  <c r="O12" i="22"/>
  <c r="O18" i="22" s="1"/>
  <c r="F78" i="9"/>
  <c r="D78" i="9" s="1"/>
  <c r="F76" i="9"/>
  <c r="F57" i="48"/>
  <c r="F57" i="45"/>
  <c r="E59" i="9"/>
  <c r="E57" i="46"/>
  <c r="E46" i="48"/>
  <c r="E60" i="48" s="1"/>
  <c r="F41" i="48"/>
  <c r="D11" i="45"/>
  <c r="D11" i="51" s="1"/>
  <c r="N10" i="22"/>
  <c r="I15" i="42"/>
  <c r="I10" i="42"/>
  <c r="I11" i="42"/>
  <c r="D13" i="45"/>
  <c r="L29" i="22"/>
  <c r="D28" i="42"/>
  <c r="D31" i="42" s="1"/>
  <c r="C29" i="22"/>
  <c r="D43" i="45"/>
  <c r="I12" i="42"/>
  <c r="E43" i="29"/>
  <c r="I18" i="42"/>
  <c r="B11" i="22"/>
  <c r="N11" i="22" s="1"/>
  <c r="K29" i="22"/>
  <c r="M29" i="22"/>
  <c r="F29" i="22"/>
  <c r="I29" i="22"/>
  <c r="E29" i="22"/>
  <c r="D29" i="22"/>
  <c r="E54" i="45"/>
  <c r="D41" i="45"/>
  <c r="D23" i="45"/>
  <c r="E26" i="45"/>
  <c r="D40" i="45"/>
  <c r="D50" i="45"/>
  <c r="D63" i="45"/>
  <c r="D63" i="51" s="1"/>
  <c r="F42" i="45"/>
  <c r="D24" i="45"/>
  <c r="G25" i="30"/>
  <c r="U30" i="13"/>
  <c r="D15" i="45"/>
  <c r="D45" i="45"/>
  <c r="D10" i="45"/>
  <c r="D10" i="51" s="1"/>
  <c r="E51" i="45"/>
  <c r="E38" i="45"/>
  <c r="D17" i="45"/>
  <c r="F34" i="45"/>
  <c r="E48" i="45"/>
  <c r="E42" i="45"/>
  <c r="F31" i="9"/>
  <c r="I25" i="42"/>
  <c r="D14" i="9"/>
  <c r="E64" i="45"/>
  <c r="D64" i="45" s="1"/>
  <c r="D65" i="45"/>
  <c r="D65" i="51" s="1"/>
  <c r="D64" i="51" s="1"/>
  <c r="D67" i="51" s="1"/>
  <c r="D75" i="51" s="1"/>
  <c r="D49" i="9"/>
  <c r="D59" i="9" s="1"/>
  <c r="G82" i="48"/>
  <c r="G84" i="48" s="1"/>
  <c r="G61" i="48"/>
  <c r="E61" i="48"/>
  <c r="E82" i="48"/>
  <c r="E84" i="48" s="1"/>
  <c r="F57" i="46"/>
  <c r="G83" i="9"/>
  <c r="G86" i="9" s="1"/>
  <c r="G63" i="9"/>
  <c r="F49" i="45"/>
  <c r="D49" i="45" s="1"/>
  <c r="I19" i="26"/>
  <c r="H21" i="26"/>
  <c r="F80" i="46"/>
  <c r="F29" i="46"/>
  <c r="F46" i="48"/>
  <c r="B22" i="47"/>
  <c r="N22" i="47" s="1"/>
  <c r="N10" i="49"/>
  <c r="N14" i="49" s="1"/>
  <c r="B14" i="49"/>
  <c r="F56" i="45"/>
  <c r="H29" i="22"/>
  <c r="D22" i="9"/>
  <c r="E21" i="45"/>
  <c r="F14" i="45"/>
  <c r="F22" i="45" s="1"/>
  <c r="D27" i="9"/>
  <c r="N13" i="22" s="1"/>
  <c r="D55" i="45"/>
  <c r="D54" i="45" s="1"/>
  <c r="I12" i="26"/>
  <c r="D43" i="9"/>
  <c r="D23" i="42"/>
  <c r="E46" i="46"/>
  <c r="G60" i="46"/>
  <c r="D12" i="46"/>
  <c r="G29" i="22"/>
  <c r="D39" i="45"/>
  <c r="B22" i="49"/>
  <c r="N22" i="49" s="1"/>
  <c r="D74" i="48"/>
  <c r="E24" i="29"/>
  <c r="E17" i="29"/>
  <c r="N28" i="22"/>
  <c r="E31" i="9"/>
  <c r="E83" i="9" s="1"/>
  <c r="D62" i="46"/>
  <c r="O18" i="47" s="1"/>
  <c r="O22" i="47" s="1"/>
  <c r="E21" i="46"/>
  <c r="E29" i="46" s="1"/>
  <c r="F29" i="48"/>
  <c r="N17" i="47"/>
  <c r="D18" i="45"/>
  <c r="F52" i="45"/>
  <c r="F41" i="46"/>
  <c r="F38" i="45"/>
  <c r="D25" i="45"/>
  <c r="D39" i="9"/>
  <c r="D68" i="9"/>
  <c r="D76" i="9" s="1"/>
  <c r="D37" i="45"/>
  <c r="E75" i="45"/>
  <c r="D67" i="45"/>
  <c r="D75" i="45" s="1"/>
  <c r="F59" i="9"/>
  <c r="F62" i="9" s="1"/>
  <c r="E34" i="45"/>
  <c r="D35" i="45"/>
  <c r="E26" i="42" l="1"/>
  <c r="D21" i="46"/>
  <c r="D29" i="46" s="1"/>
  <c r="O9" i="47"/>
  <c r="B9" i="47" s="1"/>
  <c r="B12" i="22"/>
  <c r="N12" i="22" s="1"/>
  <c r="O21" i="22"/>
  <c r="I19" i="42"/>
  <c r="D42" i="45"/>
  <c r="D74" i="46"/>
  <c r="E76" i="45"/>
  <c r="E76" i="51" s="1"/>
  <c r="E81" i="51" s="1"/>
  <c r="D21" i="45"/>
  <c r="E22" i="45"/>
  <c r="E30" i="45" s="1"/>
  <c r="D61" i="48"/>
  <c r="E60" i="46"/>
  <c r="E82" i="46" s="1"/>
  <c r="D23" i="9"/>
  <c r="D31" i="9" s="1"/>
  <c r="F54" i="45"/>
  <c r="F60" i="48"/>
  <c r="F82" i="48" s="1"/>
  <c r="D82" i="48"/>
  <c r="D84" i="48" s="1"/>
  <c r="I13" i="42"/>
  <c r="D48" i="45"/>
  <c r="D58" i="45" s="1"/>
  <c r="D22" i="42"/>
  <c r="D25" i="42" s="1"/>
  <c r="D26" i="42" s="1"/>
  <c r="D12" i="42"/>
  <c r="D13" i="42"/>
  <c r="D26" i="45"/>
  <c r="E58" i="45"/>
  <c r="F63" i="9"/>
  <c r="F47" i="45"/>
  <c r="F26" i="45"/>
  <c r="F30" i="45" s="1"/>
  <c r="F83" i="45" s="1"/>
  <c r="D34" i="45"/>
  <c r="F84" i="9"/>
  <c r="D81" i="46"/>
  <c r="G82" i="46"/>
  <c r="G84" i="46" s="1"/>
  <c r="G61" i="46"/>
  <c r="F81" i="46"/>
  <c r="F46" i="46"/>
  <c r="F60" i="46" s="1"/>
  <c r="F82" i="46" s="1"/>
  <c r="D41" i="46"/>
  <c r="D46" i="46" s="1"/>
  <c r="D60" i="46" s="1"/>
  <c r="D82" i="46" s="1"/>
  <c r="F81" i="48"/>
  <c r="D38" i="45"/>
  <c r="F21" i="26"/>
  <c r="I21" i="26" s="1"/>
  <c r="F48" i="45"/>
  <c r="E81" i="46"/>
  <c r="E84" i="46" s="1"/>
  <c r="E61" i="46"/>
  <c r="D12" i="45"/>
  <c r="D12" i="51" s="1"/>
  <c r="D22" i="51" s="1"/>
  <c r="D30" i="51" s="1"/>
  <c r="D14" i="45"/>
  <c r="N9" i="47" l="1"/>
  <c r="N14" i="47" s="1"/>
  <c r="B14" i="47"/>
  <c r="O14" i="47" s="1"/>
  <c r="B18" i="22"/>
  <c r="B29" i="22" s="1"/>
  <c r="N14" i="22"/>
  <c r="N18" i="22" s="1"/>
  <c r="D22" i="45"/>
  <c r="D30" i="45" s="1"/>
  <c r="E82" i="45"/>
  <c r="E83" i="45" s="1"/>
  <c r="D76" i="45"/>
  <c r="I20" i="42"/>
  <c r="F58" i="45"/>
  <c r="F61" i="45" s="1"/>
  <c r="F84" i="45" s="1"/>
  <c r="F86" i="45" s="1"/>
  <c r="F84" i="48"/>
  <c r="F61" i="48"/>
  <c r="E33" i="45"/>
  <c r="E33" i="51" s="1"/>
  <c r="E47" i="51" s="1"/>
  <c r="E61" i="51" s="1"/>
  <c r="E83" i="51" s="1"/>
  <c r="D34" i="9"/>
  <c r="E48" i="9"/>
  <c r="E62" i="9" s="1"/>
  <c r="F61" i="46"/>
  <c r="D61" i="46"/>
  <c r="D84" i="46"/>
  <c r="F84" i="46"/>
  <c r="D81" i="9"/>
  <c r="D82" i="9" s="1"/>
  <c r="F82" i="9"/>
  <c r="F83" i="9" s="1"/>
  <c r="F86" i="9" s="1"/>
  <c r="D82" i="45" l="1"/>
  <c r="D76" i="51"/>
  <c r="D81" i="51" s="1"/>
  <c r="D82" i="51" s="1"/>
  <c r="D83" i="45"/>
  <c r="E63" i="9"/>
  <c r="E84" i="9"/>
  <c r="E86" i="9" s="1"/>
  <c r="O20" i="22"/>
  <c r="D10" i="42"/>
  <c r="D20" i="42" s="1"/>
  <c r="D21" i="42" s="1"/>
  <c r="D48" i="9"/>
  <c r="D62" i="9" s="1"/>
  <c r="D33" i="45"/>
  <c r="E47" i="45"/>
  <c r="E61" i="45" s="1"/>
  <c r="F62" i="45"/>
  <c r="I31" i="42"/>
  <c r="I33" i="42" s="1"/>
  <c r="D83" i="9"/>
  <c r="O28" i="22" l="1"/>
  <c r="O29" i="22" s="1"/>
  <c r="D47" i="45"/>
  <c r="D61" i="45" s="1"/>
  <c r="D84" i="45" s="1"/>
  <c r="D86" i="45" s="1"/>
  <c r="D33" i="51"/>
  <c r="D47" i="51" s="1"/>
  <c r="D61" i="51" s="1"/>
  <c r="E84" i="45"/>
  <c r="E86" i="45" s="1"/>
  <c r="E62" i="45"/>
  <c r="D33" i="42"/>
  <c r="D34" i="42" s="1"/>
  <c r="D84" i="9"/>
  <c r="D86" i="9" s="1"/>
  <c r="D63" i="9"/>
  <c r="E22" i="51"/>
  <c r="E30" i="51" s="1"/>
  <c r="E82" i="51" s="1"/>
  <c r="E85" i="51" s="1"/>
  <c r="D62" i="45" l="1"/>
  <c r="D83" i="51"/>
  <c r="D85" i="51" s="1"/>
  <c r="D62" i="51"/>
  <c r="E62" i="51"/>
</calcChain>
</file>

<file path=xl/sharedStrings.xml><?xml version="1.0" encoding="utf-8"?>
<sst xmlns="http://schemas.openxmlformats.org/spreadsheetml/2006/main" count="1211" uniqueCount="401">
  <si>
    <t xml:space="preserve"> Ezer forintban </t>
  </si>
  <si>
    <t>Önkormányzatok sajátos felhalmozási és tőke bevételei</t>
  </si>
  <si>
    <t>Felhalmozási célú pénzeszközátvétel államháztartáson kívülről</t>
  </si>
  <si>
    <t>ezer ft-ban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</si>
  <si>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</si>
  <si>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</si>
  <si>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</si>
  <si>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</si>
  <si>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</si>
  <si>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</si>
  <si>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</si>
  <si>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</si>
  <si>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</si>
  <si>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</si>
  <si>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</si>
  <si>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</si>
  <si>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</si>
  <si>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Munkaadót terhelő járulékok</t>
  </si>
  <si>
    <t>Végleges pénzeszközátadás, egyéb támogatás</t>
  </si>
  <si>
    <t>Társadalom és szoc.pol. Ellátások</t>
  </si>
  <si>
    <t xml:space="preserve">Kiadások összesen </t>
  </si>
  <si>
    <t>Intézményi müködési bevételek</t>
  </si>
  <si>
    <t>Pénzforgalom nélküli bevételek</t>
  </si>
  <si>
    <t xml:space="preserve">Bevételek összesen </t>
  </si>
  <si>
    <t>Működési célú pénzeszköz átadás ÁHT-n belül</t>
  </si>
  <si>
    <t>Működési célú pénzeszköz átadás ÁHT-n belül összesen</t>
  </si>
  <si>
    <t>Működési célú pénzeszköz átadás ÁHT-n kívül</t>
  </si>
  <si>
    <t>Működési célú pénzeszköz átadás ÁHT-n kívül összesen</t>
  </si>
  <si>
    <t>Finanszírozási kiadások</t>
  </si>
  <si>
    <t>Támogatásértékű bevételek, átvett pénzeszközök</t>
  </si>
  <si>
    <t>1.</t>
  </si>
  <si>
    <t>10.</t>
  </si>
  <si>
    <t xml:space="preserve">Egyéb forrás </t>
  </si>
  <si>
    <t>Szakfeladat száma</t>
  </si>
  <si>
    <t>Szakfeladat megnevezése</t>
  </si>
  <si>
    <t>Éves létszám-előirányzat (fő)</t>
  </si>
  <si>
    <t>Önkormányzat összesen</t>
  </si>
  <si>
    <t>Sor-
szám</t>
  </si>
  <si>
    <t>Kötelezettség jogcíme</t>
  </si>
  <si>
    <t>Köt. váll.
 éve</t>
  </si>
  <si>
    <t>Kiadás vonzata évenként</t>
  </si>
  <si>
    <t>Összesen</t>
  </si>
  <si>
    <t>9=(4+5+6+7+8)</t>
  </si>
  <si>
    <t>2.</t>
  </si>
  <si>
    <t>3.</t>
  </si>
  <si>
    <t>4.</t>
  </si>
  <si>
    <t>Felhalmozási célú hiteltörlesztés (tőke+kamat)</t>
  </si>
  <si>
    <t>5.</t>
  </si>
  <si>
    <t>6.</t>
  </si>
  <si>
    <t>7.</t>
  </si>
  <si>
    <t>Beruházás feladatonként</t>
  </si>
  <si>
    <t>8.</t>
  </si>
  <si>
    <t>9.</t>
  </si>
  <si>
    <t>Felújítás célonként</t>
  </si>
  <si>
    <t>............................</t>
  </si>
  <si>
    <t>11.</t>
  </si>
  <si>
    <t xml:space="preserve">Egyéb </t>
  </si>
  <si>
    <t>12.</t>
  </si>
  <si>
    <t>Összesen (1+4+7+9+11)</t>
  </si>
  <si>
    <t>Összesen:</t>
  </si>
  <si>
    <t>Bevételi jogcím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</si>
  <si>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</si>
  <si>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</si>
  <si>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</si>
  <si>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</si>
  <si>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</si>
  <si>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</si>
  <si>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</si>
  <si>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</si>
  <si>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</si>
  <si>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</si>
  <si>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</si>
  <si>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</si>
  <si>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>d.</t>
  </si>
  <si>
    <t>Előző évi működési célú előirányzat-maradvány, pénzmaradvány átadás</t>
  </si>
  <si>
    <t>2.1.</t>
  </si>
  <si>
    <t>2.2.</t>
  </si>
  <si>
    <t>2.3.</t>
  </si>
  <si>
    <t>3.1.</t>
  </si>
  <si>
    <t>3.2.</t>
  </si>
  <si>
    <t>3.3.</t>
  </si>
  <si>
    <t>Központosított előirányzatokból a működési célúak</t>
  </si>
  <si>
    <t>4.1.</t>
  </si>
  <si>
    <t>4.2.</t>
  </si>
  <si>
    <t>4.3.</t>
  </si>
  <si>
    <t>4.4.</t>
  </si>
  <si>
    <t>Támogatásértékű működési bevételek összesen</t>
  </si>
  <si>
    <t>Működési célú pénzeszköz átvétel államháztartáson kívülről</t>
  </si>
  <si>
    <t>Előző évi költségvetési kiegészítések, visszatérülések</t>
  </si>
  <si>
    <t>Működési bevételek (1+2+3+4)</t>
  </si>
  <si>
    <t>5.1.</t>
  </si>
  <si>
    <t>5.2.</t>
  </si>
  <si>
    <t>Tárgyi eszközök, immateriális javak értékesítése</t>
  </si>
  <si>
    <t>6.1.</t>
  </si>
  <si>
    <t>6.2.</t>
  </si>
  <si>
    <t>Köpontosított előirányzatokból fejlesztési célúak</t>
  </si>
  <si>
    <t>Fejlesztési célú támogatások</t>
  </si>
  <si>
    <t>7.1.</t>
  </si>
  <si>
    <t>7.2.</t>
  </si>
  <si>
    <t>7.3.</t>
  </si>
  <si>
    <t>Támogatásértékű felhalmozási bevételek összesen</t>
  </si>
  <si>
    <t>előző évi felhalmozási célú előirányzat-maradvány</t>
  </si>
  <si>
    <t>Működési célra</t>
  </si>
  <si>
    <t>Felhalmozási célra</t>
  </si>
  <si>
    <t xml:space="preserve">Működési célú hitel felvétele </t>
  </si>
  <si>
    <t>Felhalmozási célú hitel felvétele</t>
  </si>
  <si>
    <t>Felhalmozási célú hitel törlesztése</t>
  </si>
  <si>
    <t xml:space="preserve">Működési bevételek és működési kiadások különbözete: </t>
  </si>
  <si>
    <t>Éves létszám-előirányzat  (fő)</t>
  </si>
  <si>
    <t xml:space="preserve">Idegenforgalmi adó épület után </t>
  </si>
  <si>
    <t xml:space="preserve">Iparűzési adó állandó jelleggel végzett iparűzési tevékenység után </t>
  </si>
  <si>
    <t>13.</t>
  </si>
  <si>
    <t>Gépjárműadóból biztosított kedvezmény, mentesség</t>
  </si>
  <si>
    <t>14.</t>
  </si>
  <si>
    <t>Helyiségek hasznosítása utáni kedvezmény, menteség</t>
  </si>
  <si>
    <t>15.</t>
  </si>
  <si>
    <t>Eszközök hasznosítása utáni kedvezmény, menteség</t>
  </si>
  <si>
    <t>16.</t>
  </si>
  <si>
    <t>Egyéb kedvezmény</t>
  </si>
  <si>
    <t>17.</t>
  </si>
  <si>
    <t>Egyéb kölcsön elengedése</t>
  </si>
  <si>
    <t>18.</t>
  </si>
  <si>
    <t>19.</t>
  </si>
  <si>
    <t>Európai Uniós támogatással megvalósuló projektek bevételei, kiadásai, hozzájárulások</t>
  </si>
  <si>
    <t>EU-s projekt azonosítója:</t>
  </si>
  <si>
    <t>Források</t>
  </si>
  <si>
    <t>Saját erő</t>
  </si>
  <si>
    <t>saját erőből központi támogatás</t>
  </si>
  <si>
    <t>EU-s forrás</t>
  </si>
  <si>
    <t>Társfinanszírozás</t>
  </si>
  <si>
    <t>Hitel</t>
  </si>
  <si>
    <t>Források összesen</t>
  </si>
  <si>
    <t>Kiadások, költségek</t>
  </si>
  <si>
    <t>Személyi jellegű</t>
  </si>
  <si>
    <t>Beruházások, beszerzések</t>
  </si>
  <si>
    <t>Szolgáltatások igénybevétele</t>
  </si>
  <si>
    <t>Felhalmozási kiadás  megnevezése</t>
  </si>
  <si>
    <t>Teljes költség</t>
  </si>
  <si>
    <t>Kivitelezés kezdési és befejezési éve</t>
  </si>
  <si>
    <t>Felújítási kiadások célonként</t>
  </si>
  <si>
    <t>Beruházási kiadások feladatonként</t>
  </si>
  <si>
    <t>ÖSSZESEN:</t>
  </si>
  <si>
    <t>Tárgyévi kiadások és bevételek egyenlege</t>
  </si>
  <si>
    <t>Működési támogatások</t>
  </si>
  <si>
    <t>Egyéb működési bevételek</t>
  </si>
  <si>
    <t>Működési bevételek</t>
  </si>
  <si>
    <t>Felhalmozási támogatások</t>
  </si>
  <si>
    <t>Egyéb felhalmozási bevételek</t>
  </si>
  <si>
    <t>Támogatási kölcsönök visszatérülése</t>
  </si>
  <si>
    <t>B.</t>
  </si>
  <si>
    <t>Költségvetési bevételek összesen (I+II+III+IV)</t>
  </si>
  <si>
    <t>A.Költségvetési kiadások és B.költségvetési bevételek egyenlege (A-B)</t>
  </si>
  <si>
    <t>Pénzmaradvány igénybevétele</t>
  </si>
  <si>
    <t>C.</t>
  </si>
  <si>
    <t>Értékpapír értékesítésének bevétele</t>
  </si>
  <si>
    <t>Hitelek felvétele</t>
  </si>
  <si>
    <t>D.</t>
  </si>
  <si>
    <t>Költségvetési hiány belső finanszírozására szolgáló pénzforgalom nélküli bevételek (V)</t>
  </si>
  <si>
    <t>Költségvetési hiány belső finanszírozását meghaladó összegének külső finanszírozására szolgáló bevételek  (VI+VII)</t>
  </si>
  <si>
    <t>E.</t>
  </si>
  <si>
    <t>Finanszírozási bevételek (C+D)</t>
  </si>
  <si>
    <t>Hitelek törlesztése</t>
  </si>
  <si>
    <t>F.</t>
  </si>
  <si>
    <t>Finanszírozási kiadások összesen (VIII+IX)</t>
  </si>
  <si>
    <t>Működési kiadások (1+….+5)</t>
  </si>
  <si>
    <t>a.</t>
  </si>
  <si>
    <t>b.</t>
  </si>
  <si>
    <t>c.</t>
  </si>
  <si>
    <t>Támogatásértékű működési kiadások</t>
  </si>
  <si>
    <t>Társadalom-, szociálpolitikai és egyéb juttatás, Önormányzat által folyósított ellátások</t>
  </si>
  <si>
    <t>Egyéb felhalmozási kiadások</t>
  </si>
  <si>
    <t>A.</t>
  </si>
  <si>
    <r>
      <t xml:space="preserve">Költségvetési kiadások összesen </t>
    </r>
    <r>
      <rPr>
        <sz val="12"/>
        <rFont val="Times New Roman"/>
        <family val="1"/>
        <charset val="238"/>
      </rPr>
      <t>(I+II+III+IV+V)</t>
    </r>
  </si>
  <si>
    <t>Egyéb működési kiadások (a+b+c+d)</t>
  </si>
  <si>
    <t>Irányítószerv alá tartozó költségvetési szervnek folyósított támogatás</t>
  </si>
  <si>
    <t>Helyi adók</t>
  </si>
  <si>
    <t>Átengedett központi adók</t>
  </si>
  <si>
    <t>Bírságok, egyéb bevételek</t>
  </si>
  <si>
    <t>Közfoglalkoztatás éves létszám-előirányzata</t>
  </si>
  <si>
    <t>Ellátottak pénzbeli juttatásai</t>
  </si>
  <si>
    <t>IV.</t>
  </si>
  <si>
    <t>V.</t>
  </si>
  <si>
    <t>VI.</t>
  </si>
  <si>
    <t>VII.</t>
  </si>
  <si>
    <t>VIII.</t>
  </si>
  <si>
    <t>IX.</t>
  </si>
  <si>
    <t>Megnevezés</t>
  </si>
  <si>
    <t>Személyi juttatások</t>
  </si>
  <si>
    <t>Felújítás</t>
  </si>
  <si>
    <t>Beruházás</t>
  </si>
  <si>
    <t>Felhalmozási és tőkejellegű bevételek</t>
  </si>
  <si>
    <t>Felhalmozási kiadások</t>
  </si>
  <si>
    <t>CÍMREND</t>
  </si>
  <si>
    <t>I.</t>
  </si>
  <si>
    <t>II.</t>
  </si>
  <si>
    <t>III.</t>
  </si>
  <si>
    <t xml:space="preserve">Munkaadókat terhelő járulékok </t>
  </si>
  <si>
    <t>Dologi és egyéb folyó kiadások</t>
  </si>
  <si>
    <t>Önkormányzatok sajátos működési bevételei</t>
  </si>
  <si>
    <t>Kiadásainak és bevételeinek fő összesítője</t>
  </si>
  <si>
    <t>Sor-szám</t>
  </si>
  <si>
    <t>KIADÁSOK</t>
  </si>
  <si>
    <t>BEVÉTELEK</t>
  </si>
  <si>
    <t>ezer forintban</t>
  </si>
  <si>
    <t>G.</t>
  </si>
  <si>
    <t>H.</t>
  </si>
  <si>
    <t>Tárgyévi kiadások  össsesen (A+F)</t>
  </si>
  <si>
    <t>Tárgyévi bevételek összesen (B+E)</t>
  </si>
  <si>
    <t>Önkormányzatok által folyósított ellátások részletezése</t>
  </si>
  <si>
    <t>Eredeti előirányzat</t>
  </si>
  <si>
    <t>Működési célú pénzeszköz-átadások részletezése</t>
  </si>
  <si>
    <t>Bursa Hungarica ösztöndíj-támogatás</t>
  </si>
  <si>
    <t>Beruházási kiadások</t>
  </si>
  <si>
    <t>Működési bevételek (1+2+3+49)</t>
  </si>
  <si>
    <t>Felhalmozási bevételek (5+6+7)</t>
  </si>
  <si>
    <t>Finanszírozási bevételek (8+9+10+11)</t>
  </si>
  <si>
    <t>Költségvetési Bevételek Összesen (A+B+C)</t>
  </si>
  <si>
    <t>Felhalmozási kiadások (6+….+8)</t>
  </si>
  <si>
    <r>
      <t xml:space="preserve">Költségvetési kiadások összesen </t>
    </r>
    <r>
      <rPr>
        <sz val="12"/>
        <rFont val="Times New Roman"/>
        <family val="1"/>
        <charset val="238"/>
      </rPr>
      <t>(A+B+C+D)</t>
    </r>
  </si>
  <si>
    <t>Felhalmozási bevételek és kiadások különbözete:</t>
  </si>
  <si>
    <t xml:space="preserve"> működési és felhalmozási célú bevételi éskiadási előirányzatok bemutatása tájékoztató jelleggel</t>
  </si>
  <si>
    <t>Felhalmozási kiadások feladatonként</t>
  </si>
  <si>
    <t xml:space="preserve">Adott, közvetett támogatások  </t>
  </si>
  <si>
    <t>Többéves kihatással járó kötelezettségvállalások listája</t>
  </si>
  <si>
    <t>Működési célú hitel törlesztése (éven túli)</t>
  </si>
  <si>
    <t>Működési célú hitel törlesztése (folyószámlahitel)</t>
  </si>
  <si>
    <t>Tartalék</t>
  </si>
  <si>
    <t>Működési célú hiteltörlesztés tőke</t>
  </si>
  <si>
    <t>Bérhitel</t>
  </si>
  <si>
    <t>Folyószámlahitel</t>
  </si>
  <si>
    <t>Intézményi Működési bevételek</t>
  </si>
  <si>
    <t>Általános és céltartalék</t>
  </si>
  <si>
    <t>Felhalmozási kiadások (6+7+8)</t>
  </si>
  <si>
    <t>Helyi Önkormányzatok általános működésének támogatása</t>
  </si>
  <si>
    <t>Helyi önkormányzatok kiegészítő támogatása</t>
  </si>
  <si>
    <t>Működési célú pénzeszközátadás AHT-n kívülre és belül</t>
  </si>
  <si>
    <t>Kötelező feladat</t>
  </si>
  <si>
    <t>Önként vállalt feladat</t>
  </si>
  <si>
    <t>Állami feladat</t>
  </si>
  <si>
    <t>2.melléklet</t>
  </si>
  <si>
    <t>3 melléklet</t>
  </si>
  <si>
    <t>4.melléklet</t>
  </si>
  <si>
    <t>6.melléklet</t>
  </si>
  <si>
    <t>7.melléklet</t>
  </si>
  <si>
    <t>Sármelléki Közös Önkormányzati Hivatal</t>
  </si>
  <si>
    <t>Közös Önk.Hiv.</t>
  </si>
  <si>
    <t>Sármellék Község Önkormányzata</t>
  </si>
  <si>
    <t>Keszthelyi Kistérségi támogatás ( belső ellenőr)</t>
  </si>
  <si>
    <t>Sármelléki Sportegyesület</t>
  </si>
  <si>
    <t>RNÖ</t>
  </si>
  <si>
    <t>Erdős Bt (Iskola e.ü.)</t>
  </si>
  <si>
    <t>Felügyeleti szervi támogatás</t>
  </si>
  <si>
    <t>Sármelléki Polgárőrség</t>
  </si>
  <si>
    <t>5.melléklet</t>
  </si>
  <si>
    <t>8.melléklet</t>
  </si>
  <si>
    <t>9.melléklet</t>
  </si>
  <si>
    <t>066020</t>
  </si>
  <si>
    <t>Községgazdálkodás</t>
  </si>
  <si>
    <t>041233</t>
  </si>
  <si>
    <t>Közfoglalkoztatás</t>
  </si>
  <si>
    <t>011130</t>
  </si>
  <si>
    <t>Önkormányzati jogalkotás</t>
  </si>
  <si>
    <t>ÁFA visszaigénylés</t>
  </si>
  <si>
    <t>család és nővédelem</t>
  </si>
  <si>
    <t>074031</t>
  </si>
  <si>
    <t>Előző évi működési célú előirányzat-maradvány, pénzmaradvány átvétel</t>
  </si>
  <si>
    <t>Sármelléki Óvoda Általános Művelődési Központ</t>
  </si>
  <si>
    <t>Felügyeleti szervtől kapott támogatás</t>
  </si>
  <si>
    <t>Értékpapír vásárlásainak kiadása</t>
  </si>
  <si>
    <t>11.melléklet</t>
  </si>
  <si>
    <r>
      <t xml:space="preserve">Költségvetési kiadások összesen </t>
    </r>
    <r>
      <rPr>
        <i/>
        <sz val="16"/>
        <rFont val="Times New Roman"/>
        <family val="1"/>
        <charset val="238"/>
      </rPr>
      <t>(I+II+III+IV+V)</t>
    </r>
  </si>
  <si>
    <t>Önkormányzatok igazgatási tevékenysége</t>
  </si>
  <si>
    <t>011131</t>
  </si>
  <si>
    <t>Önkományzati jogalkotás</t>
  </si>
  <si>
    <t>011220</t>
  </si>
  <si>
    <t>Sármelléki Óvoda Művelődési Központ</t>
  </si>
  <si>
    <t>091110</t>
  </si>
  <si>
    <t>Óvodai nevelés szakmai feladatai</t>
  </si>
  <si>
    <t>082092</t>
  </si>
  <si>
    <t>Közművelődés</t>
  </si>
  <si>
    <t>10. melléklet</t>
  </si>
  <si>
    <t>Óvoda működtetés</t>
  </si>
  <si>
    <t>Éves létszám-előirányzat</t>
  </si>
  <si>
    <t>Sármelléki Önkormányzat</t>
  </si>
  <si>
    <t>Működési célú pénzeszköz átadás ÁHT-n belűl és kívül összesen</t>
  </si>
  <si>
    <t>Felhalmozási célúcélú pénzeszköz átadás  összesen</t>
  </si>
  <si>
    <t>Sármellék összesen</t>
  </si>
  <si>
    <t>Sármellék Önkorm.</t>
  </si>
  <si>
    <t>Intézmény finanszírozás</t>
  </si>
  <si>
    <t>Előző évi állami támogatás visszafizetés</t>
  </si>
  <si>
    <t>Felhalmozási célú támogatásérétkű kiadás</t>
  </si>
  <si>
    <t>Előző évi állami visszafiz.</t>
  </si>
  <si>
    <t>12.melléklet</t>
  </si>
  <si>
    <t>13.melléklet</t>
  </si>
  <si>
    <t>14.melléklet</t>
  </si>
  <si>
    <t>15.melléklet</t>
  </si>
  <si>
    <t>K506-08</t>
  </si>
  <si>
    <t>K512-02</t>
  </si>
  <si>
    <t>K512-03</t>
  </si>
  <si>
    <t>K506-09</t>
  </si>
  <si>
    <t>K512-08</t>
  </si>
  <si>
    <t>K506-04</t>
  </si>
  <si>
    <t>K89-01</t>
  </si>
  <si>
    <t>K89-02</t>
  </si>
  <si>
    <t>216 évi állami előleg visszafizetése</t>
  </si>
  <si>
    <t>X.</t>
  </si>
  <si>
    <t>Sármellék Zalavár Kármentesítő Társulás</t>
  </si>
  <si>
    <t>Buszmegálló (vasútállomás)</t>
  </si>
  <si>
    <t>adatok eFt</t>
  </si>
  <si>
    <t>096015</t>
  </si>
  <si>
    <t>Finanszírozási kiadások összesen (VIII+IX+X)</t>
  </si>
  <si>
    <t>Általánostartalék</t>
  </si>
  <si>
    <t>Közvilágítás tovább fejlesztése</t>
  </si>
  <si>
    <t xml:space="preserve">Működési célú pénzeszközátadás </t>
  </si>
  <si>
    <t>16.melléklet</t>
  </si>
  <si>
    <t>Kiadásainak és bevételeinek fő összesítője költségvetési évet követő három év</t>
  </si>
  <si>
    <t>Felhasználás
2016. XII.31-ig</t>
  </si>
  <si>
    <t>2017. évi előirányzat</t>
  </si>
  <si>
    <t>2017. év utáni szükséglet
(6=2 - 4 - 5)</t>
  </si>
  <si>
    <t>Emlékhely kialakítása a Szovjetúnióba hucolt politikai és kényszermunkások emlékére GUL-16-D-201600031</t>
  </si>
  <si>
    <t>Vagyonvill térfigyelő rendszer</t>
  </si>
  <si>
    <t>Repülőtés rendezési terv terület rend. Hatósági eljárás</t>
  </si>
  <si>
    <t>településszabályozási terv</t>
  </si>
  <si>
    <t>563/3 hrsz DE-HU Bt</t>
  </si>
  <si>
    <t>186 hrsz Füle János</t>
  </si>
  <si>
    <t>SM D.Gy. -Ízek ú.-Zalf. Tölt. Hatósági d.</t>
  </si>
  <si>
    <t xml:space="preserve">Lakásfenntartási támogatás  </t>
  </si>
  <si>
    <t>Gyógyszer támogatás</t>
  </si>
  <si>
    <t>Iskolakezdési támogatás</t>
  </si>
  <si>
    <t>Települési támogatás</t>
  </si>
  <si>
    <t>Egyéb rendkívüli települési támogatás</t>
  </si>
  <si>
    <t>Rendkívüli települési támogatás</t>
  </si>
  <si>
    <t>Települési + rendkívüli települési támogatás</t>
  </si>
  <si>
    <t>Rendszeres gyerekvédelmi támogatás</t>
  </si>
  <si>
    <t>Szociális célú tüzifa</t>
  </si>
  <si>
    <t>Mindösszesen</t>
  </si>
  <si>
    <t>Babakötvény</t>
  </si>
  <si>
    <t>Keszthelyi és Környéke többcélú Kistérségi Társulás 2015 tagdíj</t>
  </si>
  <si>
    <t>2017 ÉVI KÖLTSÉGVETÉS</t>
  </si>
  <si>
    <t xml:space="preserve">2017 ÉVI KÖLTSÉGVETÉS  </t>
  </si>
  <si>
    <t>2017 Évi költségvetés</t>
  </si>
  <si>
    <t xml:space="preserve"> 2017 évi költségevetés</t>
  </si>
  <si>
    <t xml:space="preserve">2017 év Költségvetés </t>
  </si>
  <si>
    <t>2017 ÉVI ELŐIRÁNYZAT-FELHASZNÁLÁSI TERV</t>
  </si>
  <si>
    <t>2017. előtti kifizetés</t>
  </si>
  <si>
    <t>2017.</t>
  </si>
  <si>
    <t>2018.</t>
  </si>
  <si>
    <t>2019.</t>
  </si>
  <si>
    <t>2019. után</t>
  </si>
  <si>
    <t>2017 évi állami előleg visszafizetése</t>
  </si>
  <si>
    <t>2017 évi eredeti előirányzat (eFt)</t>
  </si>
  <si>
    <t>Tanyafejlesztés</t>
  </si>
  <si>
    <t>"56-os " emlékmű</t>
  </si>
  <si>
    <t>költség</t>
  </si>
  <si>
    <t>állami támogatás</t>
  </si>
  <si>
    <t>önkormányzati támogatás</t>
  </si>
  <si>
    <t xml:space="preserve">Óvoda </t>
  </si>
  <si>
    <t>2017-2016</t>
  </si>
  <si>
    <t>2017-2015</t>
  </si>
  <si>
    <t>Személyi</t>
  </si>
  <si>
    <t>Járulék</t>
  </si>
  <si>
    <t>Dologi</t>
  </si>
  <si>
    <t>Keszthelyi és Környéke tcélú Kist. T. 2015 házi segítségnyújtás, család és gyermekjóléti szolg.</t>
  </si>
  <si>
    <t>Zala Megyei Polgári Védelmi Szövetség</t>
  </si>
  <si>
    <t>Zalaegerszeg Mentőállomás Alapítvány</t>
  </si>
  <si>
    <t>Magyar Máltai Szeretetszolgálat</t>
  </si>
  <si>
    <t>ÉFOÉSZ Zala Megyei Közhasznú Egyesülete</t>
  </si>
  <si>
    <t>Iskolai Intézményi étkeztetés</t>
  </si>
  <si>
    <t>Intézményfinanszírozás</t>
  </si>
  <si>
    <t>ÁMK 2db beltéri + 1db kültéri pingpong asztal</t>
  </si>
  <si>
    <t>ÁMK porszívó</t>
  </si>
  <si>
    <t>ÁMK fogas 10db, kuka 4db,</t>
  </si>
  <si>
    <t>ÁMK 2db elemtöltő+ 8 db akku (ceruza elem)</t>
  </si>
  <si>
    <t>ÁMK zárható szekrény hangtechnikai eszközök részére</t>
  </si>
  <si>
    <t>ÁMK pénzes kazetta</t>
  </si>
  <si>
    <t>ÁMK beltéri ajtó, polcok</t>
  </si>
  <si>
    <t>ÁMK összesen:</t>
  </si>
  <si>
    <t>Óvoda</t>
  </si>
  <si>
    <t>Óvoda összesen:</t>
  </si>
  <si>
    <t>18.melléklet</t>
  </si>
  <si>
    <t>K46</t>
  </si>
  <si>
    <t>K48</t>
  </si>
  <si>
    <t>K42</t>
  </si>
  <si>
    <t>17.melléklet</t>
  </si>
  <si>
    <t>Pannon Írók Társasága</t>
  </si>
  <si>
    <t>Módosított előirányzat</t>
  </si>
  <si>
    <t>forintban</t>
  </si>
  <si>
    <t>Aknafedlap csere</t>
  </si>
  <si>
    <t>2017 évi módosított előirányzat (Ft)</t>
  </si>
  <si>
    <t>2017 évi eredeti előirányzat (Ft)</t>
  </si>
  <si>
    <t xml:space="preserve">Hitelek </t>
  </si>
  <si>
    <t>Működési célú hitel nyújtása (éven túli)</t>
  </si>
  <si>
    <t>Működési célú hitel nyújtása (éven belüli)</t>
  </si>
  <si>
    <t>ÁHT-n kívülre nyújtott működési célú hitel bevétele</t>
  </si>
  <si>
    <t>TOP-1.4.1-15-ZA15 Bölcső-Óvoda</t>
  </si>
  <si>
    <t xml:space="preserve">2017. évi eredeti előirányzat </t>
  </si>
  <si>
    <t xml:space="preserve">2017. évi módosított előirányzat </t>
  </si>
  <si>
    <t>Hitelek</t>
  </si>
  <si>
    <t>EU-s projekt azonosítója: TOP-1.4.1-15ZA1-2016-00010</t>
  </si>
  <si>
    <t>Gyerekek rendkívüli települési támogatás  5000/fő</t>
  </si>
  <si>
    <t>Idősek rendkívüli települési támogatás  5000/fő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</si>
</sst>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\ _F_t_-;\-* #,##0.00\ _F_t_-;_-* &quot;-&quot;??\ _F_t_-;_-@_-"/>
    <numFmt numFmtId="164" formatCode="_-* #,##0.00\ _€_-;\-* #,##0.00\ _€_-;_-* &quot;-&quot;??\ _€_-;_-@_-"/>
    <numFmt numFmtId="165" formatCode="#,##0\ _F_t"/>
    <numFmt numFmtId="166" formatCode="0__"/>
    <numFmt numFmtId="167" formatCode="#,###"/>
    <numFmt numFmtId="168" formatCode="#"/>
    <numFmt numFmtId="169" formatCode="_-* #,##0\ _F_t_-;\-* #,##0\ _F_t_-;_-* &quot;-&quot;??\ _F_t_-;_-@_-"/>
    <numFmt numFmtId="170" formatCode="#,##0.00\ _F_t"/>
  </numFmts>
  <fonts count="73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u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Arial"/>
      <family val="2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Times New Roman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i/>
      <sz val="12"/>
      <name val="Times New Roman"/>
      <family val="1"/>
      <charset val="238"/>
    </font>
    <font>
      <b/>
      <sz val="12"/>
      <name val="Times New Roman CE"/>
      <charset val="238"/>
    </font>
    <font>
      <sz val="9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b/>
      <sz val="12"/>
      <name val="Arial"/>
      <family val="2"/>
      <charset val="238"/>
    </font>
    <font>
      <b/>
      <sz val="14"/>
      <name val="Times New Roman CE"/>
      <charset val="238"/>
    </font>
    <font>
      <sz val="14"/>
      <name val="Times New Roman CE"/>
      <charset val="238"/>
    </font>
    <font>
      <sz val="14"/>
      <name val="Arial CE"/>
      <charset val="238"/>
    </font>
    <font>
      <b/>
      <sz val="10"/>
      <name val="Arial CE"/>
      <charset val="238"/>
    </font>
    <font>
      <b/>
      <sz val="13"/>
      <name val="Times New Roman"/>
      <family val="1"/>
      <charset val="238"/>
    </font>
    <font>
      <b/>
      <i/>
      <sz val="16"/>
      <name val="Times New Roman"/>
      <family val="1"/>
      <charset val="238"/>
    </font>
    <font>
      <i/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name val="Arial CE"/>
      <charset val="238"/>
    </font>
    <font>
      <sz val="12"/>
      <color rgb="FFFF0000"/>
      <name val="Times New Roman"/>
      <family val="1"/>
      <charset val="238"/>
    </font>
    <font>
      <sz val="9"/>
      <name val="Arial CE"/>
      <charset val="238"/>
    </font>
    <font>
      <sz val="10"/>
      <color rgb="FF0070C0"/>
      <name val="Arial"/>
      <family val="2"/>
      <charset val="238"/>
    </font>
    <font>
      <b/>
      <sz val="10"/>
      <color rgb="FF0070C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lightHorizontal"/>
    </fill>
    <fill>
      <patternFill patternType="solid">
        <fgColor indexed="65"/>
        <bgColor indexed="64"/>
      </patternFill>
    </fill>
    <fill>
      <patternFill patternType="gray0625">
        <bgColor indexed="43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lightHorizontal">
        <bgColor theme="9" tint="0.59996337778862885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7">
    <xf numFmtId="0" fontId="0" fillId="0" borderId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4" borderId="0" applyNumberFormat="0" applyBorder="0" applyAlignment="0" applyProtection="0"/>
    <xf numFmtId="0" fontId="21" fillId="7" borderId="0" applyNumberFormat="0" applyBorder="0" applyAlignment="0" applyProtection="0"/>
    <xf numFmtId="0" fontId="21" fillId="6" borderId="0" applyNumberFormat="0" applyBorder="0" applyAlignment="0" applyProtection="0"/>
    <xf numFmtId="0" fontId="21" fillId="9" borderId="0" applyNumberFormat="0" applyBorder="0" applyAlignment="0" applyProtection="0"/>
    <xf numFmtId="0" fontId="21" fillId="5" borderId="0" applyNumberFormat="0" applyBorder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/>
    <xf numFmtId="0" fontId="21" fillId="11" borderId="0" applyNumberFormat="0" applyBorder="0" applyAlignment="0" applyProtection="0"/>
    <xf numFmtId="0" fontId="21" fillId="10" borderId="0" applyNumberFormat="0" applyBorder="0" applyAlignment="0" applyProtection="0"/>
    <xf numFmtId="0" fontId="22" fillId="2" borderId="0" applyNumberFormat="0" applyBorder="0" applyAlignment="0" applyProtection="0"/>
    <xf numFmtId="0" fontId="22" fillId="5" borderId="0" applyNumberFormat="0" applyBorder="0" applyAlignment="0" applyProtection="0"/>
    <xf numFmtId="0" fontId="22" fillId="10" borderId="0" applyNumberFormat="0" applyBorder="0" applyAlignment="0" applyProtection="0"/>
    <xf numFmtId="0" fontId="22" fillId="9" borderId="0" applyNumberFormat="0" applyBorder="0" applyAlignment="0" applyProtection="0"/>
    <xf numFmtId="0" fontId="22" fillId="2" borderId="0" applyNumberFormat="0" applyBorder="0" applyAlignment="0" applyProtection="0"/>
    <xf numFmtId="0" fontId="22" fillId="5" borderId="0" applyNumberFormat="0" applyBorder="0" applyAlignment="0" applyProtection="0"/>
    <xf numFmtId="0" fontId="23" fillId="10" borderId="1" applyNumberFormat="0" applyAlignment="0" applyProtection="0"/>
    <xf numFmtId="0" fontId="24" fillId="0" borderId="0" applyNumberFormat="0" applyFill="0" applyBorder="0" applyAlignment="0" applyProtection="0"/>
    <xf numFmtId="0" fontId="25" fillId="0" borderId="2" applyNumberFormat="0" applyFill="0" applyAlignment="0" applyProtection="0"/>
    <xf numFmtId="0" fontId="26" fillId="0" borderId="3" applyNumberFormat="0" applyFill="0" applyAlignment="0" applyProtection="0"/>
    <xf numFmtId="0" fontId="27" fillId="0" borderId="4" applyNumberFormat="0" applyFill="0" applyAlignment="0" applyProtection="0"/>
    <xf numFmtId="0" fontId="27" fillId="0" borderId="0" applyNumberFormat="0" applyFill="0" applyBorder="0" applyAlignment="0" applyProtection="0"/>
    <xf numFmtId="0" fontId="28" fillId="8" borderId="5" applyNumberFormat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6" borderId="7" applyNumberFormat="0" applyFont="0" applyAlignment="0" applyProtection="0"/>
    <xf numFmtId="0" fontId="22" fillId="2" borderId="0" applyNumberFormat="0" applyBorder="0" applyAlignment="0" applyProtection="0"/>
    <xf numFmtId="0" fontId="22" fillId="13" borderId="0" applyNumberFormat="0" applyBorder="0" applyAlignment="0" applyProtection="0"/>
    <xf numFmtId="0" fontId="22" fillId="12" borderId="0" applyNumberFormat="0" applyBorder="0" applyAlignment="0" applyProtection="0"/>
    <xf numFmtId="0" fontId="22" fillId="14" borderId="0" applyNumberFormat="0" applyBorder="0" applyAlignment="0" applyProtection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32" fillId="15" borderId="0" applyNumberFormat="0" applyBorder="0" applyAlignment="0" applyProtection="0"/>
    <xf numFmtId="0" fontId="33" fillId="16" borderId="8" applyNumberFormat="0" applyAlignment="0" applyProtection="0"/>
    <xf numFmtId="0" fontId="34" fillId="0" borderId="0" applyNumberFormat="0" applyFill="0" applyBorder="0" applyAlignment="0" applyProtection="0"/>
    <xf numFmtId="0" fontId="2" fillId="0" borderId="0"/>
    <xf numFmtId="0" fontId="31" fillId="0" borderId="0"/>
    <xf numFmtId="0" fontId="2" fillId="0" borderId="0"/>
    <xf numFmtId="0" fontId="35" fillId="0" borderId="9" applyNumberFormat="0" applyFill="0" applyAlignment="0" applyProtection="0"/>
    <xf numFmtId="0" fontId="36" fillId="17" borderId="0" applyNumberFormat="0" applyBorder="0" applyAlignment="0" applyProtection="0"/>
    <xf numFmtId="0" fontId="37" fillId="10" borderId="0" applyNumberFormat="0" applyBorder="0" applyAlignment="0" applyProtection="0"/>
    <xf numFmtId="0" fontId="38" fillId="16" borderId="1" applyNumberFormat="0" applyAlignment="0" applyProtection="0"/>
  </cellStyleXfs>
  <cellXfs count="627">
    <xf numFmtId="0" fontId="0" fillId="0" borderId="0" xfId="0"/>
    <xf numFmtId="0" fontId="5" fillId="0" borderId="0" xfId="40" applyFont="1" applyAlignment="1">
      <alignment vertical="center"/>
    </xf>
    <xf numFmtId="0" fontId="5" fillId="0" borderId="0" xfId="40" applyFont="1" applyAlignment="1">
      <alignment horizontal="center" vertical="center"/>
    </xf>
    <xf numFmtId="0" fontId="6" fillId="0" borderId="0" xfId="40" applyFont="1" applyAlignment="1">
      <alignment horizontal="center" vertical="center"/>
    </xf>
    <xf numFmtId="0" fontId="7" fillId="0" borderId="0" xfId="40" applyFont="1" applyAlignment="1">
      <alignment horizontal="center" vertical="center"/>
    </xf>
    <xf numFmtId="0" fontId="7" fillId="0" borderId="0" xfId="40" applyFont="1" applyAlignment="1">
      <alignment vertical="center"/>
    </xf>
    <xf numFmtId="0" fontId="7" fillId="0" borderId="0" xfId="40" applyFont="1" applyAlignment="1">
      <alignment horizontal="left" vertical="center"/>
    </xf>
    <xf numFmtId="0" fontId="8" fillId="0" borderId="0" xfId="40" applyFont="1" applyAlignment="1">
      <alignment horizontal="left" vertical="center"/>
    </xf>
    <xf numFmtId="0" fontId="9" fillId="0" borderId="0" xfId="40" applyFont="1" applyAlignment="1">
      <alignment horizontal="center" vertical="center"/>
    </xf>
    <xf numFmtId="0" fontId="5" fillId="0" borderId="10" xfId="40" applyFont="1" applyBorder="1" applyAlignment="1">
      <alignment horizontal="center" vertical="center"/>
    </xf>
    <xf numFmtId="0" fontId="10" fillId="0" borderId="0" xfId="40" applyFont="1" applyAlignment="1">
      <alignment horizontal="center" vertical="center"/>
    </xf>
    <xf numFmtId="0" fontId="6" fillId="0" borderId="0" xfId="40" applyFont="1" applyAlignment="1">
      <alignment vertical="center"/>
    </xf>
    <xf numFmtId="165" fontId="4" fillId="0" borderId="11" xfId="27" applyNumberFormat="1" applyFont="1" applyFill="1" applyBorder="1" applyAlignment="1">
      <alignment horizontal="center"/>
    </xf>
    <xf numFmtId="165" fontId="5" fillId="0" borderId="12" xfId="40" applyNumberFormat="1" applyFont="1" applyBorder="1" applyAlignment="1">
      <alignment horizontal="center" vertical="center"/>
    </xf>
    <xf numFmtId="165" fontId="5" fillId="0" borderId="11" xfId="27" applyNumberFormat="1" applyFont="1" applyFill="1" applyBorder="1" applyAlignment="1">
      <alignment horizontal="center"/>
    </xf>
    <xf numFmtId="0" fontId="5" fillId="0" borderId="0" xfId="40" applyFont="1" applyAlignment="1">
      <alignment vertical="center" wrapText="1"/>
    </xf>
    <xf numFmtId="0" fontId="5" fillId="0" borderId="0" xfId="40" applyFont="1" applyAlignment="1">
      <alignment horizontal="center" vertical="center" wrapText="1"/>
    </xf>
    <xf numFmtId="165" fontId="7" fillId="0" borderId="11" xfId="27" applyNumberFormat="1" applyFont="1" applyFill="1" applyBorder="1" applyAlignment="1">
      <alignment horizontal="center"/>
    </xf>
    <xf numFmtId="0" fontId="5" fillId="18" borderId="10" xfId="40" applyFont="1" applyFill="1" applyBorder="1" applyAlignment="1">
      <alignment horizontal="center" vertical="center"/>
    </xf>
    <xf numFmtId="165" fontId="5" fillId="18" borderId="12" xfId="27" applyNumberFormat="1" applyFont="1" applyFill="1" applyBorder="1" applyAlignment="1">
      <alignment horizontal="center"/>
    </xf>
    <xf numFmtId="165" fontId="5" fillId="18" borderId="11" xfId="27" applyNumberFormat="1" applyFont="1" applyFill="1" applyBorder="1" applyAlignment="1">
      <alignment horizontal="center"/>
    </xf>
    <xf numFmtId="0" fontId="14" fillId="0" borderId="0" xfId="0" applyFont="1"/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166" fontId="14" fillId="0" borderId="0" xfId="0" applyNumberFormat="1" applyFont="1"/>
    <xf numFmtId="0" fontId="14" fillId="0" borderId="0" xfId="0" applyFont="1" applyAlignment="1"/>
    <xf numFmtId="0" fontId="16" fillId="0" borderId="0" xfId="0" applyFont="1" applyAlignment="1">
      <alignment horizontal="center"/>
    </xf>
    <xf numFmtId="0" fontId="7" fillId="0" borderId="0" xfId="42" applyFont="1" applyBorder="1" applyAlignment="1">
      <alignment horizontal="center" vertical="center"/>
    </xf>
    <xf numFmtId="0" fontId="3" fillId="0" borderId="0" xfId="42" applyFont="1" applyAlignment="1">
      <alignment vertical="center"/>
    </xf>
    <xf numFmtId="0" fontId="7" fillId="0" borderId="12" xfId="42" applyFont="1" applyBorder="1" applyAlignment="1">
      <alignment horizontal="center" vertical="center"/>
    </xf>
    <xf numFmtId="0" fontId="11" fillId="0" borderId="12" xfId="42" applyFont="1" applyBorder="1" applyAlignment="1">
      <alignment horizontal="center" vertical="center"/>
    </xf>
    <xf numFmtId="0" fontId="13" fillId="0" borderId="12" xfId="42" applyFont="1" applyBorder="1" applyAlignment="1">
      <alignment vertical="center"/>
    </xf>
    <xf numFmtId="0" fontId="19" fillId="18" borderId="12" xfId="42" applyFont="1" applyFill="1" applyBorder="1" applyAlignment="1">
      <alignment vertical="center"/>
    </xf>
    <xf numFmtId="0" fontId="5" fillId="0" borderId="0" xfId="42" applyFont="1" applyAlignment="1">
      <alignment vertical="center"/>
    </xf>
    <xf numFmtId="165" fontId="4" fillId="0" borderId="19" xfId="40" applyNumberFormat="1" applyFont="1" applyBorder="1" applyAlignment="1">
      <alignment horizontal="center"/>
    </xf>
    <xf numFmtId="165" fontId="11" fillId="0" borderId="12" xfId="42" applyNumberFormat="1" applyFont="1" applyBorder="1" applyAlignment="1">
      <alignment vertical="center"/>
    </xf>
    <xf numFmtId="165" fontId="12" fillId="0" borderId="12" xfId="42" applyNumberFormat="1" applyFont="1" applyBorder="1" applyAlignment="1">
      <alignment horizontal="center" vertical="center"/>
    </xf>
    <xf numFmtId="165" fontId="11" fillId="18" borderId="12" xfId="42" applyNumberFormat="1" applyFont="1" applyFill="1" applyBorder="1" applyAlignment="1">
      <alignment vertical="center"/>
    </xf>
    <xf numFmtId="165" fontId="12" fillId="18" borderId="12" xfId="42" applyNumberFormat="1" applyFont="1" applyFill="1" applyBorder="1" applyAlignment="1">
      <alignment horizontal="center" vertical="center"/>
    </xf>
    <xf numFmtId="165" fontId="12" fillId="0" borderId="12" xfId="42" applyNumberFormat="1" applyFont="1" applyBorder="1" applyAlignment="1">
      <alignment vertical="center"/>
    </xf>
    <xf numFmtId="0" fontId="11" fillId="0" borderId="12" xfId="42" applyFont="1" applyBorder="1" applyAlignment="1">
      <alignment vertical="center"/>
    </xf>
    <xf numFmtId="0" fontId="12" fillId="0" borderId="12" xfId="42" applyFont="1" applyBorder="1" applyAlignment="1">
      <alignment vertical="center"/>
    </xf>
    <xf numFmtId="0" fontId="11" fillId="0" borderId="0" xfId="0" applyFont="1"/>
    <xf numFmtId="0" fontId="5" fillId="0" borderId="0" xfId="0" applyFont="1"/>
    <xf numFmtId="0" fontId="7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4" fillId="0" borderId="12" xfId="0" applyFont="1" applyBorder="1"/>
    <xf numFmtId="167" fontId="31" fillId="0" borderId="0" xfId="41" applyNumberFormat="1" applyFill="1" applyAlignment="1">
      <alignment horizontal="center" vertical="center" wrapText="1"/>
    </xf>
    <xf numFmtId="167" fontId="31" fillId="0" borderId="0" xfId="41" applyNumberFormat="1" applyFill="1" applyAlignment="1">
      <alignment vertical="center" wrapText="1"/>
    </xf>
    <xf numFmtId="167" fontId="40" fillId="0" borderId="20" xfId="41" applyNumberFormat="1" applyFont="1" applyFill="1" applyBorder="1" applyAlignment="1">
      <alignment horizontal="center" vertical="center"/>
    </xf>
    <xf numFmtId="167" fontId="40" fillId="0" borderId="22" xfId="41" applyNumberFormat="1" applyFont="1" applyFill="1" applyBorder="1" applyAlignment="1">
      <alignment horizontal="center" vertical="center" wrapText="1"/>
    </xf>
    <xf numFmtId="167" fontId="41" fillId="0" borderId="23" xfId="41" applyNumberFormat="1" applyFont="1" applyFill="1" applyBorder="1" applyAlignment="1">
      <alignment horizontal="center" vertical="center" wrapText="1"/>
    </xf>
    <xf numFmtId="167" fontId="41" fillId="0" borderId="24" xfId="41" applyNumberFormat="1" applyFont="1" applyFill="1" applyBorder="1" applyAlignment="1">
      <alignment horizontal="center" vertical="center" wrapText="1"/>
    </xf>
    <xf numFmtId="167" fontId="41" fillId="0" borderId="25" xfId="41" applyNumberFormat="1" applyFont="1" applyFill="1" applyBorder="1" applyAlignment="1">
      <alignment horizontal="center" vertical="center" wrapText="1"/>
    </xf>
    <xf numFmtId="167" fontId="41" fillId="0" borderId="26" xfId="41" applyNumberFormat="1" applyFont="1" applyFill="1" applyBorder="1" applyAlignment="1">
      <alignment horizontal="center" vertical="center" wrapText="1"/>
    </xf>
    <xf numFmtId="167" fontId="41" fillId="0" borderId="27" xfId="41" applyNumberFormat="1" applyFont="1" applyFill="1" applyBorder="1" applyAlignment="1">
      <alignment horizontal="center" vertical="center" wrapText="1"/>
    </xf>
    <xf numFmtId="167" fontId="41" fillId="0" borderId="28" xfId="41" applyNumberFormat="1" applyFont="1" applyFill="1" applyBorder="1" applyAlignment="1">
      <alignment horizontal="center" vertical="center" wrapText="1"/>
    </xf>
    <xf numFmtId="167" fontId="41" fillId="0" borderId="24" xfId="41" applyNumberFormat="1" applyFont="1" applyFill="1" applyBorder="1" applyAlignment="1">
      <alignment horizontal="left" vertical="center" wrapText="1" indent="1"/>
    </xf>
    <xf numFmtId="167" fontId="42" fillId="0" borderId="29" xfId="41" applyNumberFormat="1" applyFont="1" applyFill="1" applyBorder="1" applyAlignment="1" applyProtection="1">
      <alignment horizontal="left" vertical="center" wrapText="1" indent="2"/>
    </xf>
    <xf numFmtId="167" fontId="42" fillId="0" borderId="24" xfId="41" applyNumberFormat="1" applyFont="1" applyFill="1" applyBorder="1" applyAlignment="1" applyProtection="1">
      <alignment vertical="center" wrapText="1"/>
    </xf>
    <xf numFmtId="167" fontId="42" fillId="0" borderId="28" xfId="41" applyNumberFormat="1" applyFont="1" applyFill="1" applyBorder="1" applyAlignment="1" applyProtection="1">
      <alignment vertical="center" wrapText="1"/>
    </xf>
    <xf numFmtId="167" fontId="42" fillId="0" borderId="29" xfId="41" applyNumberFormat="1" applyFont="1" applyFill="1" applyBorder="1" applyAlignment="1" applyProtection="1">
      <alignment vertical="center" wrapText="1"/>
    </xf>
    <xf numFmtId="167" fontId="42" fillId="0" borderId="26" xfId="41" applyNumberFormat="1" applyFont="1" applyFill="1" applyBorder="1" applyAlignment="1" applyProtection="1">
      <alignment vertical="center" wrapText="1"/>
    </xf>
    <xf numFmtId="167" fontId="42" fillId="0" borderId="24" xfId="41" applyNumberFormat="1" applyFont="1" applyFill="1" applyBorder="1" applyAlignment="1">
      <alignment vertical="center" wrapText="1"/>
    </xf>
    <xf numFmtId="167" fontId="41" fillId="0" borderId="10" xfId="41" applyNumberFormat="1" applyFont="1" applyFill="1" applyBorder="1" applyAlignment="1">
      <alignment horizontal="center" vertical="center" wrapText="1"/>
    </xf>
    <xf numFmtId="167" fontId="42" fillId="0" borderId="30" xfId="41" applyNumberFormat="1" applyFont="1" applyFill="1" applyBorder="1" applyAlignment="1" applyProtection="1">
      <alignment horizontal="left" vertical="center" wrapText="1" indent="1"/>
      <protection locked="0"/>
    </xf>
    <xf numFmtId="168" fontId="43" fillId="0" borderId="12" xfId="41" applyNumberFormat="1" applyFont="1" applyFill="1" applyBorder="1" applyAlignment="1" applyProtection="1">
      <alignment horizontal="left" vertical="center" wrapText="1" indent="2"/>
      <protection locked="0"/>
    </xf>
    <xf numFmtId="167" fontId="42" fillId="0" borderId="30" xfId="41" applyNumberFormat="1" applyFont="1" applyFill="1" applyBorder="1" applyAlignment="1" applyProtection="1">
      <alignment vertical="center" wrapText="1"/>
      <protection locked="0"/>
    </xf>
    <xf numFmtId="167" fontId="42" fillId="0" borderId="10" xfId="41" applyNumberFormat="1" applyFont="1" applyFill="1" applyBorder="1" applyAlignment="1" applyProtection="1">
      <alignment vertical="center" wrapText="1"/>
      <protection locked="0"/>
    </xf>
    <xf numFmtId="167" fontId="42" fillId="0" borderId="12" xfId="41" applyNumberFormat="1" applyFont="1" applyFill="1" applyBorder="1" applyAlignment="1" applyProtection="1">
      <alignment vertical="center" wrapText="1"/>
      <protection locked="0"/>
    </xf>
    <xf numFmtId="167" fontId="42" fillId="0" borderId="11" xfId="41" applyNumberFormat="1" applyFont="1" applyFill="1" applyBorder="1" applyAlignment="1" applyProtection="1">
      <alignment vertical="center" wrapText="1"/>
      <protection locked="0"/>
    </xf>
    <xf numFmtId="167" fontId="42" fillId="0" borderId="30" xfId="41" applyNumberFormat="1" applyFont="1" applyFill="1" applyBorder="1" applyAlignment="1">
      <alignment vertical="center" wrapText="1"/>
    </xf>
    <xf numFmtId="167" fontId="41" fillId="0" borderId="24" xfId="41" applyNumberFormat="1" applyFont="1" applyFill="1" applyBorder="1" applyAlignment="1" applyProtection="1">
      <alignment horizontal="left" vertical="center" wrapText="1" indent="1"/>
      <protection locked="0"/>
    </xf>
    <xf numFmtId="167" fontId="43" fillId="0" borderId="29" xfId="41" applyNumberFormat="1" applyFont="1" applyFill="1" applyBorder="1" applyAlignment="1" applyProtection="1">
      <alignment horizontal="left" vertical="center" wrapText="1" indent="2"/>
    </xf>
    <xf numFmtId="167" fontId="41" fillId="0" borderId="31" xfId="41" applyNumberFormat="1" applyFont="1" applyFill="1" applyBorder="1" applyAlignment="1">
      <alignment horizontal="center" vertical="center" wrapText="1"/>
    </xf>
    <xf numFmtId="167" fontId="42" fillId="0" borderId="32" xfId="41" applyNumberFormat="1" applyFont="1" applyFill="1" applyBorder="1" applyAlignment="1" applyProtection="1">
      <alignment horizontal="left" vertical="center" wrapText="1" indent="1"/>
      <protection locked="0"/>
    </xf>
    <xf numFmtId="168" fontId="43" fillId="0" borderId="33" xfId="41" applyNumberFormat="1" applyFont="1" applyFill="1" applyBorder="1" applyAlignment="1" applyProtection="1">
      <alignment horizontal="left" vertical="center" wrapText="1" indent="2"/>
      <protection locked="0"/>
    </xf>
    <xf numFmtId="167" fontId="42" fillId="0" borderId="32" xfId="41" applyNumberFormat="1" applyFont="1" applyFill="1" applyBorder="1" applyAlignment="1" applyProtection="1">
      <alignment vertical="center" wrapText="1"/>
      <protection locked="0"/>
    </xf>
    <xf numFmtId="167" fontId="42" fillId="0" borderId="31" xfId="41" applyNumberFormat="1" applyFont="1" applyFill="1" applyBorder="1" applyAlignment="1" applyProtection="1">
      <alignment vertical="center" wrapText="1"/>
      <protection locked="0"/>
    </xf>
    <xf numFmtId="167" fontId="42" fillId="0" borderId="33" xfId="41" applyNumberFormat="1" applyFont="1" applyFill="1" applyBorder="1" applyAlignment="1" applyProtection="1">
      <alignment vertical="center" wrapText="1"/>
      <protection locked="0"/>
    </xf>
    <xf numFmtId="167" fontId="42" fillId="0" borderId="34" xfId="41" applyNumberFormat="1" applyFont="1" applyFill="1" applyBorder="1" applyAlignment="1" applyProtection="1">
      <alignment vertical="center" wrapText="1"/>
      <protection locked="0"/>
    </xf>
    <xf numFmtId="167" fontId="42" fillId="0" borderId="32" xfId="41" applyNumberFormat="1" applyFont="1" applyFill="1" applyBorder="1" applyAlignment="1">
      <alignment vertical="center" wrapText="1"/>
    </xf>
    <xf numFmtId="167" fontId="44" fillId="0" borderId="24" xfId="41" applyNumberFormat="1" applyFont="1" applyFill="1" applyBorder="1" applyAlignment="1" applyProtection="1">
      <alignment horizontal="left" vertical="center" wrapText="1" indent="1"/>
      <protection locked="0"/>
    </xf>
    <xf numFmtId="167" fontId="42" fillId="0" borderId="24" xfId="41" applyNumberFormat="1" applyFont="1" applyFill="1" applyBorder="1" applyAlignment="1" applyProtection="1">
      <alignment vertical="center" wrapText="1"/>
      <protection locked="0"/>
    </xf>
    <xf numFmtId="167" fontId="42" fillId="0" borderId="28" xfId="41" applyNumberFormat="1" applyFont="1" applyFill="1" applyBorder="1" applyAlignment="1" applyProtection="1">
      <alignment vertical="center" wrapText="1"/>
      <protection locked="0"/>
    </xf>
    <xf numFmtId="167" fontId="42" fillId="0" borderId="29" xfId="41" applyNumberFormat="1" applyFont="1" applyFill="1" applyBorder="1" applyAlignment="1" applyProtection="1">
      <alignment vertical="center" wrapText="1"/>
      <protection locked="0"/>
    </xf>
    <xf numFmtId="167" fontId="42" fillId="0" borderId="26" xfId="41" applyNumberFormat="1" applyFont="1" applyFill="1" applyBorder="1" applyAlignment="1" applyProtection="1">
      <alignment vertical="center" wrapText="1"/>
      <protection locked="0"/>
    </xf>
    <xf numFmtId="167" fontId="41" fillId="0" borderId="35" xfId="41" applyNumberFormat="1" applyFont="1" applyFill="1" applyBorder="1" applyAlignment="1">
      <alignment horizontal="center" vertical="center" wrapText="1"/>
    </xf>
    <xf numFmtId="167" fontId="42" fillId="0" borderId="36" xfId="41" applyNumberFormat="1" applyFont="1" applyFill="1" applyBorder="1" applyAlignment="1" applyProtection="1">
      <alignment horizontal="left" vertical="center" wrapText="1" indent="1"/>
      <protection locked="0"/>
    </xf>
    <xf numFmtId="168" fontId="43" fillId="0" borderId="14" xfId="41" applyNumberFormat="1" applyFont="1" applyFill="1" applyBorder="1" applyAlignment="1" applyProtection="1">
      <alignment horizontal="left" vertical="center" wrapText="1" indent="2"/>
      <protection locked="0"/>
    </xf>
    <xf numFmtId="167" fontId="42" fillId="0" borderId="27" xfId="41" applyNumberFormat="1" applyFont="1" applyFill="1" applyBorder="1" applyAlignment="1" applyProtection="1">
      <alignment vertical="center" wrapText="1"/>
      <protection locked="0"/>
    </xf>
    <xf numFmtId="167" fontId="42" fillId="0" borderId="35" xfId="41" applyNumberFormat="1" applyFont="1" applyFill="1" applyBorder="1" applyAlignment="1" applyProtection="1">
      <alignment vertical="center" wrapText="1"/>
      <protection locked="0"/>
    </xf>
    <xf numFmtId="167" fontId="42" fillId="0" borderId="37" xfId="41" applyNumberFormat="1" applyFont="1" applyFill="1" applyBorder="1" applyAlignment="1" applyProtection="1">
      <alignment vertical="center" wrapText="1"/>
      <protection locked="0"/>
    </xf>
    <xf numFmtId="167" fontId="42" fillId="0" borderId="38" xfId="41" applyNumberFormat="1" applyFont="1" applyFill="1" applyBorder="1" applyAlignment="1" applyProtection="1">
      <alignment vertical="center" wrapText="1"/>
      <protection locked="0"/>
    </xf>
    <xf numFmtId="167" fontId="42" fillId="0" borderId="27" xfId="41" applyNumberFormat="1" applyFont="1" applyFill="1" applyBorder="1" applyAlignment="1">
      <alignment vertical="center" wrapText="1"/>
    </xf>
    <xf numFmtId="167" fontId="43" fillId="18" borderId="25" xfId="41" applyNumberFormat="1" applyFont="1" applyFill="1" applyBorder="1" applyAlignment="1" applyProtection="1">
      <alignment horizontal="left" vertical="center" wrapText="1" indent="2"/>
    </xf>
    <xf numFmtId="167" fontId="46" fillId="0" borderId="0" xfId="41" applyNumberFormat="1" applyFont="1" applyFill="1" applyAlignment="1">
      <alignment horizontal="center" vertical="center" wrapText="1"/>
    </xf>
    <xf numFmtId="167" fontId="46" fillId="0" borderId="0" xfId="41" applyNumberFormat="1" applyFont="1" applyFill="1" applyAlignment="1">
      <alignment vertical="center" wrapText="1"/>
    </xf>
    <xf numFmtId="0" fontId="40" fillId="0" borderId="28" xfId="41" applyFont="1" applyFill="1" applyBorder="1" applyAlignment="1">
      <alignment horizontal="center" vertical="center" wrapText="1"/>
    </xf>
    <xf numFmtId="0" fontId="40" fillId="0" borderId="29" xfId="41" applyFont="1" applyFill="1" applyBorder="1" applyAlignment="1">
      <alignment horizontal="center" vertical="center" wrapText="1"/>
    </xf>
    <xf numFmtId="0" fontId="40" fillId="0" borderId="26" xfId="41" applyFont="1" applyFill="1" applyBorder="1" applyAlignment="1">
      <alignment horizontal="center" vertical="center" wrapText="1"/>
    </xf>
    <xf numFmtId="0" fontId="47" fillId="0" borderId="0" xfId="41" applyFont="1" applyFill="1" applyAlignment="1">
      <alignment horizontal="center" vertical="center" wrapText="1"/>
    </xf>
    <xf numFmtId="0" fontId="41" fillId="0" borderId="28" xfId="41" applyFont="1" applyFill="1" applyBorder="1" applyAlignment="1">
      <alignment horizontal="center" vertical="center" wrapText="1"/>
    </xf>
    <xf numFmtId="0" fontId="41" fillId="0" borderId="29" xfId="41" applyFont="1" applyFill="1" applyBorder="1" applyAlignment="1">
      <alignment horizontal="center" vertical="center" wrapText="1"/>
    </xf>
    <xf numFmtId="0" fontId="41" fillId="0" borderId="26" xfId="41" applyFont="1" applyFill="1" applyBorder="1" applyAlignment="1">
      <alignment horizontal="center" vertical="center" wrapText="1"/>
    </xf>
    <xf numFmtId="0" fontId="48" fillId="0" borderId="39" xfId="41" applyFont="1" applyFill="1" applyBorder="1" applyAlignment="1">
      <alignment horizontal="center" vertical="center" wrapText="1"/>
    </xf>
    <xf numFmtId="0" fontId="45" fillId="0" borderId="18" xfId="41" applyFont="1" applyFill="1" applyBorder="1" applyAlignment="1" applyProtection="1">
      <alignment horizontal="left" vertical="center" wrapText="1" indent="1"/>
      <protection locked="0"/>
    </xf>
    <xf numFmtId="167" fontId="48" fillId="0" borderId="18" xfId="41" applyNumberFormat="1" applyFont="1" applyFill="1" applyBorder="1" applyAlignment="1" applyProtection="1">
      <alignment horizontal="right" vertical="center" wrapText="1" indent="1"/>
      <protection locked="0"/>
    </xf>
    <xf numFmtId="167" fontId="48" fillId="0" borderId="40" xfId="41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0" xfId="41" applyFill="1" applyAlignment="1">
      <alignment vertical="center" wrapText="1"/>
    </xf>
    <xf numFmtId="0" fontId="48" fillId="0" borderId="10" xfId="41" applyFont="1" applyFill="1" applyBorder="1" applyAlignment="1">
      <alignment horizontal="center" vertical="center" wrapText="1"/>
    </xf>
    <xf numFmtId="0" fontId="45" fillId="0" borderId="17" xfId="41" applyFont="1" applyFill="1" applyBorder="1" applyAlignment="1" applyProtection="1">
      <alignment horizontal="left" vertical="center" wrapText="1" indent="1"/>
      <protection locked="0"/>
    </xf>
    <xf numFmtId="167" fontId="48" fillId="0" borderId="17" xfId="41" applyNumberFormat="1" applyFont="1" applyFill="1" applyBorder="1" applyAlignment="1" applyProtection="1">
      <alignment horizontal="right" vertical="center" wrapText="1" indent="1"/>
      <protection locked="0"/>
    </xf>
    <xf numFmtId="167" fontId="48" fillId="0" borderId="11" xfId="41" applyNumberFormat="1" applyFont="1" applyFill="1" applyBorder="1" applyAlignment="1" applyProtection="1">
      <alignment horizontal="right" vertical="center" wrapText="1" indent="1"/>
      <protection locked="0"/>
    </xf>
    <xf numFmtId="0" fontId="45" fillId="0" borderId="17" xfId="41" applyFont="1" applyFill="1" applyBorder="1" applyAlignment="1" applyProtection="1">
      <alignment horizontal="left" vertical="center" wrapText="1" indent="8"/>
      <protection locked="0"/>
    </xf>
    <xf numFmtId="0" fontId="48" fillId="0" borderId="41" xfId="41" applyFont="1" applyFill="1" applyBorder="1" applyAlignment="1" applyProtection="1">
      <alignment vertical="center" wrapText="1"/>
      <protection locked="0"/>
    </xf>
    <xf numFmtId="167" fontId="48" fillId="0" borderId="12" xfId="41" applyNumberFormat="1" applyFont="1" applyFill="1" applyBorder="1" applyAlignment="1" applyProtection="1">
      <alignment horizontal="right" vertical="center" wrapText="1" indent="1"/>
      <protection locked="0"/>
    </xf>
    <xf numFmtId="0" fontId="44" fillId="0" borderId="28" xfId="41" applyFont="1" applyFill="1" applyBorder="1" applyAlignment="1">
      <alignment horizontal="center" vertical="center" wrapText="1"/>
    </xf>
    <xf numFmtId="0" fontId="49" fillId="0" borderId="42" xfId="41" applyFont="1" applyFill="1" applyBorder="1" applyAlignment="1">
      <alignment vertical="center" wrapText="1"/>
    </xf>
    <xf numFmtId="167" fontId="44" fillId="0" borderId="42" xfId="41" applyNumberFormat="1" applyFont="1" applyFill="1" applyBorder="1" applyAlignment="1">
      <alignment vertical="center" wrapText="1"/>
    </xf>
    <xf numFmtId="167" fontId="44" fillId="0" borderId="43" xfId="41" applyNumberFormat="1" applyFont="1" applyFill="1" applyBorder="1" applyAlignment="1">
      <alignment vertical="center" wrapText="1"/>
    </xf>
    <xf numFmtId="0" fontId="31" fillId="0" borderId="0" xfId="41" applyFill="1" applyAlignment="1">
      <alignment horizontal="right" vertical="center" wrapText="1"/>
    </xf>
    <xf numFmtId="0" fontId="31" fillId="0" borderId="0" xfId="4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28" xfId="0" applyFont="1" applyBorder="1"/>
    <xf numFmtId="0" fontId="5" fillId="0" borderId="44" xfId="0" applyFont="1" applyBorder="1"/>
    <xf numFmtId="0" fontId="50" fillId="0" borderId="10" xfId="0" applyFont="1" applyBorder="1" applyAlignment="1">
      <alignment horizontal="right"/>
    </xf>
    <xf numFmtId="0" fontId="5" fillId="0" borderId="12" xfId="0" applyFont="1" applyBorder="1"/>
    <xf numFmtId="0" fontId="5" fillId="0" borderId="10" xfId="0" applyFont="1" applyBorder="1"/>
    <xf numFmtId="0" fontId="5" fillId="0" borderId="31" xfId="0" applyFont="1" applyBorder="1"/>
    <xf numFmtId="167" fontId="39" fillId="0" borderId="0" xfId="41" applyNumberFormat="1" applyFont="1" applyFill="1" applyAlignment="1">
      <alignment horizontal="right" wrapText="1"/>
    </xf>
    <xf numFmtId="167" fontId="40" fillId="0" borderId="28" xfId="41" applyNumberFormat="1" applyFont="1" applyFill="1" applyBorder="1" applyAlignment="1">
      <alignment horizontal="center" vertical="center" wrapText="1"/>
    </xf>
    <xf numFmtId="167" fontId="40" fillId="0" borderId="29" xfId="41" applyNumberFormat="1" applyFont="1" applyFill="1" applyBorder="1" applyAlignment="1">
      <alignment horizontal="center" vertical="center" wrapText="1"/>
    </xf>
    <xf numFmtId="167" fontId="40" fillId="0" borderId="26" xfId="41" applyNumberFormat="1" applyFont="1" applyFill="1" applyBorder="1" applyAlignment="1" applyProtection="1">
      <alignment horizontal="center" vertical="center" wrapText="1"/>
    </xf>
    <xf numFmtId="167" fontId="41" fillId="0" borderId="45" xfId="41" applyNumberFormat="1" applyFont="1" applyFill="1" applyBorder="1" applyAlignment="1" applyProtection="1">
      <alignment horizontal="center" vertical="center" wrapText="1"/>
    </xf>
    <xf numFmtId="167" fontId="41" fillId="0" borderId="42" xfId="41" applyNumberFormat="1" applyFont="1" applyFill="1" applyBorder="1" applyAlignment="1" applyProtection="1">
      <alignment horizontal="center" vertical="center" wrapText="1"/>
    </xf>
    <xf numFmtId="167" fontId="41" fillId="0" borderId="43" xfId="41" applyNumberFormat="1" applyFont="1" applyFill="1" applyBorder="1" applyAlignment="1" applyProtection="1">
      <alignment horizontal="center" vertical="center" wrapText="1"/>
    </xf>
    <xf numFmtId="167" fontId="51" fillId="0" borderId="10" xfId="41" applyNumberFormat="1" applyFont="1" applyFill="1" applyBorder="1" applyAlignment="1" applyProtection="1">
      <alignment horizontal="left" vertical="center" wrapText="1" indent="1"/>
      <protection locked="0"/>
    </xf>
    <xf numFmtId="167" fontId="52" fillId="0" borderId="12" xfId="41" applyNumberFormat="1" applyFont="1" applyFill="1" applyBorder="1" applyAlignment="1" applyProtection="1">
      <alignment vertical="center" wrapText="1"/>
      <protection locked="0"/>
    </xf>
    <xf numFmtId="1" fontId="52" fillId="0" borderId="12" xfId="41" applyNumberFormat="1" applyFont="1" applyFill="1" applyBorder="1" applyAlignment="1" applyProtection="1">
      <alignment vertical="center" wrapText="1"/>
      <protection locked="0"/>
    </xf>
    <xf numFmtId="167" fontId="52" fillId="0" borderId="11" xfId="41" applyNumberFormat="1" applyFont="1" applyFill="1" applyBorder="1" applyAlignment="1" applyProtection="1">
      <alignment vertical="center" wrapText="1"/>
    </xf>
    <xf numFmtId="167" fontId="53" fillId="0" borderId="10" xfId="41" applyNumberFormat="1" applyFont="1" applyFill="1" applyBorder="1" applyAlignment="1" applyProtection="1">
      <alignment horizontal="left" vertical="center" wrapText="1" indent="1"/>
      <protection locked="0"/>
    </xf>
    <xf numFmtId="167" fontId="54" fillId="0" borderId="10" xfId="41" applyNumberFormat="1" applyFont="1" applyFill="1" applyBorder="1" applyAlignment="1" applyProtection="1">
      <alignment horizontal="left" vertical="center" wrapText="1" indent="1"/>
      <protection locked="0"/>
    </xf>
    <xf numFmtId="167" fontId="40" fillId="0" borderId="28" xfId="41" applyNumberFormat="1" applyFont="1" applyFill="1" applyBorder="1" applyAlignment="1">
      <alignment horizontal="left" vertical="center" wrapText="1"/>
    </xf>
    <xf numFmtId="167" fontId="40" fillId="0" borderId="29" xfId="41" applyNumberFormat="1" applyFont="1" applyFill="1" applyBorder="1" applyAlignment="1">
      <alignment vertical="center" wrapText="1"/>
    </xf>
    <xf numFmtId="167" fontId="40" fillId="18" borderId="29" xfId="41" applyNumberFormat="1" applyFont="1" applyFill="1" applyBorder="1" applyAlignment="1" applyProtection="1">
      <alignment vertical="center" wrapText="1"/>
    </xf>
    <xf numFmtId="167" fontId="40" fillId="0" borderId="26" xfId="41" applyNumberFormat="1" applyFont="1" applyFill="1" applyBorder="1" applyAlignment="1" applyProtection="1">
      <alignment vertical="center" wrapText="1"/>
    </xf>
    <xf numFmtId="0" fontId="0" fillId="0" borderId="12" xfId="0" applyBorder="1"/>
    <xf numFmtId="1" fontId="52" fillId="0" borderId="12" xfId="41" applyNumberFormat="1" applyFont="1" applyFill="1" applyBorder="1" applyAlignment="1" applyProtection="1">
      <alignment horizontal="right" vertical="center" wrapText="1"/>
      <protection locked="0"/>
    </xf>
    <xf numFmtId="0" fontId="4" fillId="0" borderId="10" xfId="40" applyFont="1" applyBorder="1" applyAlignment="1">
      <alignment horizontal="center" vertical="center"/>
    </xf>
    <xf numFmtId="0" fontId="55" fillId="0" borderId="0" xfId="40" applyFont="1" applyAlignment="1">
      <alignment vertical="center"/>
    </xf>
    <xf numFmtId="165" fontId="3" fillId="0" borderId="0" xfId="42" applyNumberFormat="1" applyFont="1" applyAlignment="1">
      <alignment vertical="center"/>
    </xf>
    <xf numFmtId="0" fontId="5" fillId="0" borderId="0" xfId="42" applyFont="1" applyAlignment="1">
      <alignment horizontal="right" vertical="center"/>
    </xf>
    <xf numFmtId="3" fontId="5" fillId="0" borderId="0" xfId="42" applyNumberFormat="1" applyFont="1" applyAlignment="1">
      <alignment vertical="center"/>
    </xf>
    <xf numFmtId="165" fontId="5" fillId="0" borderId="0" xfId="42" applyNumberFormat="1" applyFont="1" applyAlignment="1">
      <alignment vertical="center"/>
    </xf>
    <xf numFmtId="0" fontId="11" fillId="0" borderId="12" xfId="42" applyFont="1" applyBorder="1" applyAlignment="1">
      <alignment horizontal="left" vertical="center"/>
    </xf>
    <xf numFmtId="0" fontId="0" fillId="0" borderId="44" xfId="0" applyBorder="1"/>
    <xf numFmtId="0" fontId="0" fillId="0" borderId="31" xfId="0" applyBorder="1"/>
    <xf numFmtId="0" fontId="0" fillId="0" borderId="10" xfId="0" applyBorder="1"/>
    <xf numFmtId="0" fontId="0" fillId="0" borderId="46" xfId="0" applyBorder="1"/>
    <xf numFmtId="0" fontId="13" fillId="0" borderId="0" xfId="42" applyFont="1" applyBorder="1" applyAlignment="1">
      <alignment vertical="center"/>
    </xf>
    <xf numFmtId="165" fontId="12" fillId="0" borderId="0" xfId="42" applyNumberFormat="1" applyFont="1" applyBorder="1" applyAlignment="1">
      <alignment vertical="center"/>
    </xf>
    <xf numFmtId="165" fontId="12" fillId="0" borderId="0" xfId="42" applyNumberFormat="1" applyFont="1" applyBorder="1" applyAlignment="1">
      <alignment horizontal="center" vertical="center"/>
    </xf>
    <xf numFmtId="0" fontId="0" fillId="0" borderId="0" xfId="0" applyBorder="1"/>
    <xf numFmtId="0" fontId="0" fillId="0" borderId="39" xfId="0" applyBorder="1"/>
    <xf numFmtId="0" fontId="7" fillId="0" borderId="0" xfId="40" applyFont="1" applyBorder="1" applyAlignment="1">
      <alignment horizontal="right"/>
    </xf>
    <xf numFmtId="165" fontId="4" fillId="0" borderId="11" xfId="40" applyNumberFormat="1" applyFont="1" applyBorder="1" applyAlignment="1">
      <alignment horizontal="center"/>
    </xf>
    <xf numFmtId="0" fontId="4" fillId="0" borderId="46" xfId="40" applyFont="1" applyBorder="1" applyAlignment="1">
      <alignment horizontal="center" vertical="center"/>
    </xf>
    <xf numFmtId="0" fontId="4" fillId="0" borderId="19" xfId="40" applyFont="1" applyBorder="1" applyAlignment="1">
      <alignment vertical="center"/>
    </xf>
    <xf numFmtId="0" fontId="4" fillId="0" borderId="19" xfId="40" applyFont="1" applyBorder="1" applyAlignment="1">
      <alignment horizontal="center" vertical="center"/>
    </xf>
    <xf numFmtId="165" fontId="4" fillId="0" borderId="22" xfId="40" applyNumberFormat="1" applyFont="1" applyBorder="1" applyAlignment="1">
      <alignment horizontal="center"/>
    </xf>
    <xf numFmtId="14" fontId="43" fillId="0" borderId="12" xfId="41" applyNumberFormat="1" applyFont="1" applyFill="1" applyBorder="1" applyAlignment="1" applyProtection="1">
      <alignment horizontal="left" vertical="center" wrapText="1" indent="2"/>
      <protection locked="0"/>
    </xf>
    <xf numFmtId="0" fontId="12" fillId="0" borderId="11" xfId="40" applyFont="1" applyBorder="1" applyAlignment="1">
      <alignment horizontal="center" vertical="center" wrapText="1"/>
    </xf>
    <xf numFmtId="165" fontId="14" fillId="0" borderId="0" xfId="0" applyNumberFormat="1" applyFont="1"/>
    <xf numFmtId="165" fontId="5" fillId="0" borderId="0" xfId="40" applyNumberFormat="1" applyFont="1" applyAlignment="1">
      <alignment horizontal="center" vertical="center" wrapText="1"/>
    </xf>
    <xf numFmtId="0" fontId="5" fillId="0" borderId="0" xfId="40" applyFont="1" applyBorder="1" applyAlignment="1">
      <alignment horizontal="center" vertical="center"/>
    </xf>
    <xf numFmtId="165" fontId="5" fillId="0" borderId="0" xfId="27" applyNumberFormat="1" applyFont="1" applyFill="1" applyBorder="1" applyAlignment="1">
      <alignment horizontal="center"/>
    </xf>
    <xf numFmtId="165" fontId="4" fillId="0" borderId="0" xfId="27" applyNumberFormat="1" applyFont="1" applyFill="1" applyBorder="1" applyAlignment="1">
      <alignment horizontal="center"/>
    </xf>
    <xf numFmtId="0" fontId="4" fillId="0" borderId="0" xfId="40" applyFont="1" applyBorder="1" applyAlignment="1">
      <alignment horizontal="center" vertical="center"/>
    </xf>
    <xf numFmtId="165" fontId="4" fillId="0" borderId="0" xfId="40" applyNumberFormat="1" applyFont="1" applyBorder="1" applyAlignment="1">
      <alignment horizontal="center"/>
    </xf>
    <xf numFmtId="0" fontId="58" fillId="0" borderId="0" xfId="0" applyFont="1"/>
    <xf numFmtId="0" fontId="13" fillId="0" borderId="12" xfId="40" applyFont="1" applyBorder="1" applyAlignment="1">
      <alignment horizontal="center" vertical="center" wrapText="1"/>
    </xf>
    <xf numFmtId="0" fontId="7" fillId="0" borderId="12" xfId="40" applyFont="1" applyBorder="1" applyAlignment="1">
      <alignment horizontal="center" vertical="center"/>
    </xf>
    <xf numFmtId="165" fontId="5" fillId="0" borderId="12" xfId="27" applyNumberFormat="1" applyFont="1" applyFill="1" applyBorder="1" applyAlignment="1">
      <alignment horizontal="center"/>
    </xf>
    <xf numFmtId="0" fontId="5" fillId="0" borderId="12" xfId="40" applyFont="1" applyBorder="1" applyAlignment="1">
      <alignment horizontal="center" vertical="center"/>
    </xf>
    <xf numFmtId="165" fontId="13" fillId="0" borderId="12" xfId="27" applyNumberFormat="1" applyFont="1" applyFill="1" applyBorder="1" applyAlignment="1">
      <alignment horizontal="center"/>
    </xf>
    <xf numFmtId="0" fontId="4" fillId="0" borderId="12" xfId="40" applyFont="1" applyBorder="1" applyAlignment="1">
      <alignment horizontal="center" vertical="center"/>
    </xf>
    <xf numFmtId="165" fontId="4" fillId="0" borderId="12" xfId="27" applyNumberFormat="1" applyFont="1" applyFill="1" applyBorder="1" applyAlignment="1">
      <alignment horizontal="center"/>
    </xf>
    <xf numFmtId="0" fontId="5" fillId="18" borderId="12" xfId="40" applyFont="1" applyFill="1" applyBorder="1" applyAlignment="1">
      <alignment horizontal="center" vertical="center"/>
    </xf>
    <xf numFmtId="0" fontId="12" fillId="18" borderId="11" xfId="40" applyFont="1" applyFill="1" applyBorder="1" applyAlignment="1">
      <alignment horizontal="center" vertical="center" wrapText="1"/>
    </xf>
    <xf numFmtId="0" fontId="58" fillId="0" borderId="10" xfId="0" applyFont="1" applyBorder="1"/>
    <xf numFmtId="165" fontId="4" fillId="0" borderId="22" xfId="27" applyNumberFormat="1" applyFont="1" applyFill="1" applyBorder="1" applyAlignment="1">
      <alignment horizontal="center"/>
    </xf>
    <xf numFmtId="0" fontId="13" fillId="0" borderId="47" xfId="40" applyFont="1" applyBorder="1" applyAlignment="1">
      <alignment horizontal="center" vertical="center" wrapText="1"/>
    </xf>
    <xf numFmtId="0" fontId="0" fillId="18" borderId="10" xfId="0" applyFill="1" applyBorder="1"/>
    <xf numFmtId="165" fontId="7" fillId="18" borderId="11" xfId="27" applyNumberFormat="1" applyFont="1" applyFill="1" applyBorder="1" applyAlignment="1">
      <alignment horizontal="center"/>
    </xf>
    <xf numFmtId="0" fontId="0" fillId="18" borderId="31" xfId="0" applyFill="1" applyBorder="1"/>
    <xf numFmtId="165" fontId="5" fillId="18" borderId="33" xfId="27" applyNumberFormat="1" applyFont="1" applyFill="1" applyBorder="1" applyAlignment="1">
      <alignment horizontal="center"/>
    </xf>
    <xf numFmtId="0" fontId="5" fillId="0" borderId="33" xfId="40" applyFont="1" applyBorder="1" applyAlignment="1">
      <alignment horizontal="center" vertical="center"/>
    </xf>
    <xf numFmtId="165" fontId="5" fillId="0" borderId="34" xfId="27" applyNumberFormat="1" applyFont="1" applyFill="1" applyBorder="1" applyAlignment="1">
      <alignment horizontal="center"/>
    </xf>
    <xf numFmtId="165" fontId="5" fillId="0" borderId="41" xfId="27" applyNumberFormat="1" applyFont="1" applyFill="1" applyBorder="1" applyAlignment="1">
      <alignment horizontal="center"/>
    </xf>
    <xf numFmtId="0" fontId="5" fillId="0" borderId="41" xfId="40" applyFont="1" applyBorder="1" applyAlignment="1">
      <alignment horizontal="center" vertical="center"/>
    </xf>
    <xf numFmtId="165" fontId="5" fillId="0" borderId="40" xfId="27" applyNumberFormat="1" applyFont="1" applyFill="1" applyBorder="1" applyAlignment="1">
      <alignment horizontal="center"/>
    </xf>
    <xf numFmtId="0" fontId="58" fillId="0" borderId="28" xfId="0" applyFont="1" applyBorder="1"/>
    <xf numFmtId="165" fontId="13" fillId="0" borderId="29" xfId="27" applyNumberFormat="1" applyFont="1" applyFill="1" applyBorder="1" applyAlignment="1">
      <alignment horizontal="center"/>
    </xf>
    <xf numFmtId="0" fontId="13" fillId="0" borderId="29" xfId="40" applyFont="1" applyBorder="1" applyAlignment="1">
      <alignment horizontal="center" vertical="center"/>
    </xf>
    <xf numFmtId="0" fontId="13" fillId="0" borderId="29" xfId="40" applyFont="1" applyBorder="1" applyAlignment="1">
      <alignment horizontal="left" vertical="center"/>
    </xf>
    <xf numFmtId="0" fontId="58" fillId="0" borderId="29" xfId="0" applyFont="1" applyBorder="1"/>
    <xf numFmtId="165" fontId="13" fillId="0" borderId="26" xfId="27" applyNumberFormat="1" applyFont="1" applyFill="1" applyBorder="1" applyAlignment="1">
      <alignment horizontal="center"/>
    </xf>
    <xf numFmtId="165" fontId="5" fillId="0" borderId="33" xfId="27" applyNumberFormat="1" applyFont="1" applyFill="1" applyBorder="1" applyAlignment="1">
      <alignment horizontal="center"/>
    </xf>
    <xf numFmtId="165" fontId="13" fillId="0" borderId="26" xfId="27" applyNumberFormat="1" applyFont="1" applyBorder="1" applyAlignment="1">
      <alignment horizontal="center"/>
    </xf>
    <xf numFmtId="0" fontId="7" fillId="18" borderId="12" xfId="40" applyFont="1" applyFill="1" applyBorder="1" applyAlignment="1">
      <alignment horizontal="center" vertical="center"/>
    </xf>
    <xf numFmtId="0" fontId="0" fillId="18" borderId="35" xfId="0" applyFill="1" applyBorder="1"/>
    <xf numFmtId="0" fontId="5" fillId="18" borderId="37" xfId="40" applyFont="1" applyFill="1" applyBorder="1" applyAlignment="1">
      <alignment horizontal="left"/>
    </xf>
    <xf numFmtId="165" fontId="5" fillId="18" borderId="37" xfId="27" applyNumberFormat="1" applyFont="1" applyFill="1" applyBorder="1" applyAlignment="1">
      <alignment horizontal="center"/>
    </xf>
    <xf numFmtId="0" fontId="11" fillId="0" borderId="12" xfId="40" applyFont="1" applyBorder="1" applyAlignment="1">
      <alignment horizontal="center" vertical="center"/>
    </xf>
    <xf numFmtId="165" fontId="5" fillId="0" borderId="0" xfId="40" applyNumberFormat="1" applyFont="1" applyBorder="1" applyAlignment="1">
      <alignment horizontal="center" vertical="center"/>
    </xf>
    <xf numFmtId="0" fontId="5" fillId="0" borderId="12" xfId="40" applyFont="1" applyBorder="1" applyAlignment="1">
      <alignment horizontal="left"/>
    </xf>
    <xf numFmtId="49" fontId="5" fillId="0" borderId="12" xfId="0" applyNumberFormat="1" applyFont="1" applyBorder="1" applyAlignment="1">
      <alignment horizontal="center"/>
    </xf>
    <xf numFmtId="49" fontId="5" fillId="0" borderId="12" xfId="40" applyNumberFormat="1" applyFont="1" applyBorder="1" applyAlignment="1">
      <alignment horizontal="left"/>
    </xf>
    <xf numFmtId="0" fontId="7" fillId="0" borderId="10" xfId="40" applyFont="1" applyBorder="1" applyAlignment="1">
      <alignment horizontal="center" vertical="center"/>
    </xf>
    <xf numFmtId="0" fontId="59" fillId="0" borderId="0" xfId="40" applyFont="1" applyAlignment="1">
      <alignment vertical="center"/>
    </xf>
    <xf numFmtId="165" fontId="13" fillId="0" borderId="37" xfId="27" applyNumberFormat="1" applyFont="1" applyFill="1" applyBorder="1" applyAlignment="1">
      <alignment horizontal="center"/>
    </xf>
    <xf numFmtId="0" fontId="13" fillId="0" borderId="37" xfId="40" applyFont="1" applyBorder="1" applyAlignment="1">
      <alignment horizontal="center" vertical="center"/>
    </xf>
    <xf numFmtId="0" fontId="13" fillId="0" borderId="37" xfId="40" applyFont="1" applyBorder="1" applyAlignment="1">
      <alignment horizontal="left" vertical="center"/>
    </xf>
    <xf numFmtId="0" fontId="58" fillId="0" borderId="37" xfId="0" applyFont="1" applyBorder="1"/>
    <xf numFmtId="165" fontId="13" fillId="0" borderId="38" xfId="27" applyNumberFormat="1" applyFont="1" applyFill="1" applyBorder="1" applyAlignment="1">
      <alignment horizontal="center"/>
    </xf>
    <xf numFmtId="0" fontId="13" fillId="0" borderId="35" xfId="0" applyFont="1" applyBorder="1"/>
    <xf numFmtId="0" fontId="13" fillId="0" borderId="37" xfId="40" applyFont="1" applyBorder="1" applyAlignment="1">
      <alignment horizontal="left" vertical="center" wrapText="1"/>
    </xf>
    <xf numFmtId="165" fontId="13" fillId="0" borderId="38" xfId="27" applyNumberFormat="1" applyFont="1" applyBorder="1" applyAlignment="1">
      <alignment horizontal="center"/>
    </xf>
    <xf numFmtId="167" fontId="61" fillId="0" borderId="0" xfId="41" applyNumberFormat="1" applyFont="1" applyFill="1" applyAlignment="1">
      <alignment horizontal="center" vertical="center" wrapText="1"/>
    </xf>
    <xf numFmtId="167" fontId="61" fillId="0" borderId="0" xfId="41" applyNumberFormat="1" applyFont="1" applyFill="1" applyAlignment="1">
      <alignment vertical="center" wrapText="1"/>
    </xf>
    <xf numFmtId="167" fontId="18" fillId="0" borderId="0" xfId="41" applyNumberFormat="1" applyFont="1" applyFill="1" applyAlignment="1">
      <alignment horizontal="right" wrapText="1"/>
    </xf>
    <xf numFmtId="167" fontId="31" fillId="0" borderId="0" xfId="41" applyNumberFormat="1" applyFont="1" applyFill="1" applyAlignment="1">
      <alignment horizontal="right" vertical="center"/>
    </xf>
    <xf numFmtId="169" fontId="0" fillId="0" borderId="0" xfId="26" applyNumberFormat="1" applyFont="1"/>
    <xf numFmtId="167" fontId="39" fillId="0" borderId="0" xfId="41" applyNumberFormat="1" applyFont="1" applyFill="1" applyAlignment="1">
      <alignment horizontal="right"/>
    </xf>
    <xf numFmtId="167" fontId="31" fillId="0" borderId="0" xfId="41" applyNumberFormat="1" applyFont="1" applyFill="1" applyAlignment="1">
      <alignment horizontal="right" vertical="center" wrapText="1"/>
    </xf>
    <xf numFmtId="167" fontId="31" fillId="0" borderId="0" xfId="41" applyNumberFormat="1" applyFont="1" applyFill="1" applyAlignment="1">
      <alignment vertical="center" wrapText="1"/>
    </xf>
    <xf numFmtId="169" fontId="11" fillId="0" borderId="0" xfId="26" applyNumberFormat="1" applyFont="1"/>
    <xf numFmtId="169" fontId="5" fillId="0" borderId="29" xfId="26" applyNumberFormat="1" applyFont="1" applyBorder="1" applyAlignment="1">
      <alignment horizontal="center"/>
    </xf>
    <xf numFmtId="169" fontId="5" fillId="0" borderId="26" xfId="26" applyNumberFormat="1" applyFont="1" applyBorder="1" applyAlignment="1">
      <alignment horizontal="center"/>
    </xf>
    <xf numFmtId="169" fontId="5" fillId="0" borderId="41" xfId="26" applyNumberFormat="1" applyFont="1" applyBorder="1"/>
    <xf numFmtId="169" fontId="5" fillId="0" borderId="40" xfId="26" applyNumberFormat="1" applyFont="1" applyBorder="1"/>
    <xf numFmtId="169" fontId="5" fillId="0" borderId="12" xfId="26" applyNumberFormat="1" applyFont="1" applyBorder="1"/>
    <xf numFmtId="169" fontId="5" fillId="0" borderId="33" xfId="26" applyNumberFormat="1" applyFont="1" applyBorder="1"/>
    <xf numFmtId="169" fontId="5" fillId="0" borderId="38" xfId="26" applyNumberFormat="1" applyFont="1" applyBorder="1"/>
    <xf numFmtId="169" fontId="5" fillId="0" borderId="29" xfId="26" applyNumberFormat="1" applyFont="1" applyBorder="1"/>
    <xf numFmtId="169" fontId="5" fillId="0" borderId="26" xfId="26" applyNumberFormat="1" applyFont="1" applyBorder="1"/>
    <xf numFmtId="169" fontId="5" fillId="0" borderId="0" xfId="26" applyNumberFormat="1" applyFont="1"/>
    <xf numFmtId="167" fontId="31" fillId="0" borderId="0" xfId="41" applyNumberFormat="1" applyFont="1" applyFill="1" applyBorder="1" applyAlignment="1">
      <alignment vertical="center" wrapText="1"/>
    </xf>
    <xf numFmtId="167" fontId="53" fillId="0" borderId="0" xfId="41" applyNumberFormat="1" applyFont="1" applyFill="1" applyBorder="1" applyAlignment="1" applyProtection="1">
      <alignment horizontal="left" vertical="center" wrapText="1" indent="1"/>
      <protection locked="0"/>
    </xf>
    <xf numFmtId="167" fontId="31" fillId="0" borderId="0" xfId="41" applyNumberFormat="1" applyFill="1" applyBorder="1" applyAlignment="1">
      <alignment vertical="center" wrapText="1"/>
    </xf>
    <xf numFmtId="0" fontId="31" fillId="0" borderId="0" xfId="41" applyNumberFormat="1" applyFill="1" applyBorder="1" applyAlignment="1">
      <alignment horizontal="center" vertical="center" wrapText="1"/>
    </xf>
    <xf numFmtId="167" fontId="31" fillId="0" borderId="0" xfId="41" applyNumberFormat="1" applyFill="1" applyBorder="1" applyAlignment="1">
      <alignment horizontal="center" vertical="center" wrapText="1"/>
    </xf>
    <xf numFmtId="0" fontId="31" fillId="0" borderId="0" xfId="41" applyNumberFormat="1" applyFill="1" applyBorder="1" applyAlignment="1">
      <alignment vertical="center" wrapText="1"/>
    </xf>
    <xf numFmtId="0" fontId="31" fillId="0" borderId="0" xfId="41" applyNumberFormat="1" applyFont="1" applyFill="1" applyBorder="1" applyAlignment="1">
      <alignment horizontal="center" vertical="center" wrapText="1"/>
    </xf>
    <xf numFmtId="0" fontId="31" fillId="0" borderId="0" xfId="41" applyNumberFormat="1" applyFill="1" applyAlignment="1">
      <alignment horizontal="center" vertical="center" wrapText="1"/>
    </xf>
    <xf numFmtId="0" fontId="5" fillId="0" borderId="0" xfId="40" applyFont="1" applyBorder="1" applyAlignment="1">
      <alignment horizontal="left"/>
    </xf>
    <xf numFmtId="169" fontId="0" fillId="0" borderId="0" xfId="0" applyNumberFormat="1"/>
    <xf numFmtId="0" fontId="5" fillId="0" borderId="12" xfId="40" applyFont="1" applyBorder="1" applyAlignment="1">
      <alignment horizontal="left" vertical="center"/>
    </xf>
    <xf numFmtId="0" fontId="12" fillId="18" borderId="12" xfId="40" applyFont="1" applyFill="1" applyBorder="1" applyAlignment="1">
      <alignment horizontal="center" vertical="center" wrapText="1"/>
    </xf>
    <xf numFmtId="49" fontId="5" fillId="0" borderId="12" xfId="40" applyNumberFormat="1" applyFont="1" applyBorder="1" applyAlignment="1">
      <alignment horizontal="right"/>
    </xf>
    <xf numFmtId="165" fontId="9" fillId="0" borderId="12" xfId="27" applyNumberFormat="1" applyFont="1" applyFill="1" applyBorder="1" applyAlignment="1">
      <alignment horizontal="center"/>
    </xf>
    <xf numFmtId="0" fontId="13" fillId="0" borderId="39" xfId="40" applyFont="1" applyBorder="1" applyAlignment="1">
      <alignment horizontal="center" vertical="center" wrapText="1"/>
    </xf>
    <xf numFmtId="0" fontId="6" fillId="0" borderId="11" xfId="40" applyFont="1" applyBorder="1" applyAlignment="1">
      <alignment vertical="center"/>
    </xf>
    <xf numFmtId="169" fontId="6" fillId="0" borderId="11" xfId="26" applyNumberFormat="1" applyFont="1" applyBorder="1" applyAlignment="1">
      <alignment vertical="center"/>
    </xf>
    <xf numFmtId="169" fontId="55" fillId="0" borderId="11" xfId="26" applyNumberFormat="1" applyFont="1" applyBorder="1" applyAlignment="1">
      <alignment vertical="center"/>
    </xf>
    <xf numFmtId="0" fontId="12" fillId="18" borderId="17" xfId="40" applyFont="1" applyFill="1" applyBorder="1" applyAlignment="1">
      <alignment horizontal="center" vertical="center" wrapText="1"/>
    </xf>
    <xf numFmtId="165" fontId="5" fillId="0" borderId="17" xfId="40" applyNumberFormat="1" applyFont="1" applyBorder="1" applyAlignment="1">
      <alignment horizontal="center" vertical="center"/>
    </xf>
    <xf numFmtId="165" fontId="5" fillId="0" borderId="17" xfId="27" applyNumberFormat="1" applyFont="1" applyBorder="1" applyAlignment="1">
      <alignment horizontal="center"/>
    </xf>
    <xf numFmtId="165" fontId="7" fillId="0" borderId="17" xfId="27" applyNumberFormat="1" applyFont="1" applyBorder="1" applyAlignment="1">
      <alignment horizontal="center"/>
    </xf>
    <xf numFmtId="165" fontId="4" fillId="0" borderId="17" xfId="27" applyNumberFormat="1" applyFont="1" applyBorder="1" applyAlignment="1">
      <alignment horizontal="center"/>
    </xf>
    <xf numFmtId="165" fontId="5" fillId="18" borderId="17" xfId="27" applyNumberFormat="1" applyFont="1" applyFill="1" applyBorder="1" applyAlignment="1">
      <alignment horizontal="center"/>
    </xf>
    <xf numFmtId="165" fontId="9" fillId="0" borderId="17" xfId="27" applyNumberFormat="1" applyFont="1" applyBorder="1" applyAlignment="1">
      <alignment horizontal="center"/>
    </xf>
    <xf numFmtId="0" fontId="12" fillId="18" borderId="48" xfId="40" applyFont="1" applyFill="1" applyBorder="1" applyAlignment="1">
      <alignment horizontal="center" vertical="center" wrapText="1"/>
    </xf>
    <xf numFmtId="169" fontId="5" fillId="0" borderId="11" xfId="26" applyNumberFormat="1" applyFont="1" applyBorder="1" applyAlignment="1">
      <alignment horizontal="center" vertical="center"/>
    </xf>
    <xf numFmtId="0" fontId="11" fillId="0" borderId="37" xfId="40" applyFont="1" applyBorder="1" applyAlignment="1">
      <alignment horizontal="center" vertical="center"/>
    </xf>
    <xf numFmtId="165" fontId="5" fillId="0" borderId="38" xfId="27" applyNumberFormat="1" applyFont="1" applyFill="1" applyBorder="1" applyAlignment="1">
      <alignment horizontal="center"/>
    </xf>
    <xf numFmtId="17" fontId="11" fillId="0" borderId="0" xfId="0" applyNumberFormat="1" applyFont="1"/>
    <xf numFmtId="169" fontId="6" fillId="0" borderId="16" xfId="26" applyNumberFormat="1" applyFont="1" applyBorder="1" applyAlignment="1">
      <alignment vertical="center"/>
    </xf>
    <xf numFmtId="165" fontId="5" fillId="0" borderId="16" xfId="40" applyNumberFormat="1" applyFont="1" applyBorder="1" applyAlignment="1">
      <alignment horizontal="center" vertical="center"/>
    </xf>
    <xf numFmtId="165" fontId="5" fillId="0" borderId="15" xfId="40" applyNumberFormat="1" applyFont="1" applyBorder="1" applyAlignment="1">
      <alignment horizontal="center" vertical="center"/>
    </xf>
    <xf numFmtId="165" fontId="5" fillId="0" borderId="16" xfId="27" applyNumberFormat="1" applyFont="1" applyBorder="1" applyAlignment="1">
      <alignment horizontal="center"/>
    </xf>
    <xf numFmtId="169" fontId="6" fillId="0" borderId="49" xfId="26" applyNumberFormat="1" applyFont="1" applyBorder="1" applyAlignment="1">
      <alignment vertical="center"/>
    </xf>
    <xf numFmtId="165" fontId="4" fillId="0" borderId="16" xfId="27" applyNumberFormat="1" applyFont="1" applyBorder="1" applyAlignment="1">
      <alignment horizontal="center"/>
    </xf>
    <xf numFmtId="165" fontId="4" fillId="0" borderId="49" xfId="27" applyNumberFormat="1" applyFont="1" applyBorder="1" applyAlignment="1">
      <alignment horizontal="center"/>
    </xf>
    <xf numFmtId="169" fontId="55" fillId="0" borderId="49" xfId="26" applyNumberFormat="1" applyFont="1" applyBorder="1" applyAlignment="1">
      <alignment vertical="center"/>
    </xf>
    <xf numFmtId="165" fontId="7" fillId="0" borderId="12" xfId="27" applyNumberFormat="1" applyFont="1" applyBorder="1" applyAlignment="1">
      <alignment horizontal="center"/>
    </xf>
    <xf numFmtId="165" fontId="4" fillId="0" borderId="12" xfId="27" applyNumberFormat="1" applyFont="1" applyBorder="1" applyAlignment="1">
      <alignment horizontal="center"/>
    </xf>
    <xf numFmtId="165" fontId="5" fillId="0" borderId="12" xfId="27" applyNumberFormat="1" applyFont="1" applyBorder="1" applyAlignment="1">
      <alignment horizontal="center"/>
    </xf>
    <xf numFmtId="3" fontId="5" fillId="0" borderId="12" xfId="40" applyNumberFormat="1" applyFont="1" applyBorder="1" applyAlignment="1">
      <alignment horizontal="center" vertical="center"/>
    </xf>
    <xf numFmtId="3" fontId="5" fillId="0" borderId="17" xfId="27" applyNumberFormat="1" applyFont="1" applyBorder="1" applyAlignment="1">
      <alignment horizontal="center"/>
    </xf>
    <xf numFmtId="3" fontId="5" fillId="0" borderId="12" xfId="27" applyNumberFormat="1" applyFont="1" applyFill="1" applyBorder="1" applyAlignment="1">
      <alignment horizontal="center"/>
    </xf>
    <xf numFmtId="3" fontId="6" fillId="0" borderId="11" xfId="26" applyNumberFormat="1" applyFont="1" applyBorder="1" applyAlignment="1">
      <alignment vertical="center"/>
    </xf>
    <xf numFmtId="3" fontId="5" fillId="0" borderId="12" xfId="27" applyNumberFormat="1" applyFont="1" applyBorder="1" applyAlignment="1">
      <alignment horizontal="center"/>
    </xf>
    <xf numFmtId="3" fontId="5" fillId="0" borderId="49" xfId="27" applyNumberFormat="1" applyFont="1" applyBorder="1" applyAlignment="1">
      <alignment horizontal="center"/>
    </xf>
    <xf numFmtId="3" fontId="7" fillId="0" borderId="49" xfId="27" applyNumberFormat="1" applyFont="1" applyBorder="1" applyAlignment="1">
      <alignment horizontal="center"/>
    </xf>
    <xf numFmtId="3" fontId="7" fillId="0" borderId="16" xfId="27" applyNumberFormat="1" applyFont="1" applyBorder="1" applyAlignment="1">
      <alignment horizontal="center"/>
    </xf>
    <xf numFmtId="3" fontId="7" fillId="0" borderId="12" xfId="27" applyNumberFormat="1" applyFont="1" applyFill="1" applyBorder="1" applyAlignment="1">
      <alignment horizontal="center"/>
    </xf>
    <xf numFmtId="3" fontId="59" fillId="0" borderId="49" xfId="26" applyNumberFormat="1" applyFont="1" applyBorder="1" applyAlignment="1">
      <alignment vertical="center"/>
    </xf>
    <xf numFmtId="3" fontId="4" fillId="0" borderId="12" xfId="27" applyNumberFormat="1" applyFont="1" applyBorder="1" applyAlignment="1">
      <alignment horizontal="center"/>
    </xf>
    <xf numFmtId="3" fontId="4" fillId="0" borderId="49" xfId="27" applyNumberFormat="1" applyFont="1" applyBorder="1" applyAlignment="1">
      <alignment horizontal="center"/>
    </xf>
    <xf numFmtId="3" fontId="5" fillId="0" borderId="16" xfId="27" applyNumberFormat="1" applyFont="1" applyBorder="1" applyAlignment="1">
      <alignment horizontal="center"/>
    </xf>
    <xf numFmtId="3" fontId="4" fillId="0" borderId="16" xfId="27" applyNumberFormat="1" applyFont="1" applyBorder="1" applyAlignment="1">
      <alignment horizontal="center"/>
    </xf>
    <xf numFmtId="3" fontId="7" fillId="0" borderId="12" xfId="27" applyNumberFormat="1" applyFont="1" applyBorder="1" applyAlignment="1">
      <alignment horizontal="center"/>
    </xf>
    <xf numFmtId="165" fontId="9" fillId="0" borderId="12" xfId="27" applyNumberFormat="1" applyFont="1" applyBorder="1" applyAlignment="1">
      <alignment horizontal="center"/>
    </xf>
    <xf numFmtId="165" fontId="4" fillId="0" borderId="49" xfId="40" applyNumberFormat="1" applyFont="1" applyBorder="1" applyAlignment="1">
      <alignment horizontal="center"/>
    </xf>
    <xf numFmtId="165" fontId="4" fillId="0" borderId="12" xfId="40" applyNumberFormat="1" applyFont="1" applyBorder="1" applyAlignment="1">
      <alignment horizontal="center"/>
    </xf>
    <xf numFmtId="0" fontId="63" fillId="0" borderId="0" xfId="0" applyFont="1"/>
    <xf numFmtId="167" fontId="54" fillId="0" borderId="0" xfId="41" applyNumberFormat="1" applyFont="1" applyFill="1" applyBorder="1" applyAlignment="1" applyProtection="1">
      <alignment horizontal="left" vertical="center" wrapText="1" indent="1"/>
      <protection locked="0"/>
    </xf>
    <xf numFmtId="0" fontId="5" fillId="0" borderId="12" xfId="0" quotePrefix="1" applyFont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/>
    </xf>
    <xf numFmtId="165" fontId="4" fillId="0" borderId="15" xfId="27" applyNumberFormat="1" applyFont="1" applyBorder="1" applyAlignment="1">
      <alignment horizontal="center"/>
    </xf>
    <xf numFmtId="165" fontId="5" fillId="18" borderId="15" xfId="27" applyNumberFormat="1" applyFont="1" applyFill="1" applyBorder="1" applyAlignment="1">
      <alignment horizontal="center"/>
    </xf>
    <xf numFmtId="165" fontId="5" fillId="19" borderId="13" xfId="27" applyNumberFormat="1" applyFont="1" applyFill="1" applyBorder="1" applyAlignment="1">
      <alignment horizontal="center"/>
    </xf>
    <xf numFmtId="165" fontId="5" fillId="0" borderId="18" xfId="27" applyNumberFormat="1" applyFont="1" applyBorder="1" applyAlignment="1">
      <alignment horizontal="center"/>
    </xf>
    <xf numFmtId="0" fontId="0" fillId="0" borderId="0" xfId="0" applyFill="1" applyBorder="1" applyAlignment="1">
      <alignment horizontal="left" wrapText="1"/>
    </xf>
    <xf numFmtId="165" fontId="5" fillId="19" borderId="17" xfId="27" applyNumberFormat="1" applyFont="1" applyFill="1" applyBorder="1" applyAlignment="1">
      <alignment horizontal="center"/>
    </xf>
    <xf numFmtId="165" fontId="4" fillId="0" borderId="11" xfId="27" applyNumberFormat="1" applyFont="1" applyBorder="1" applyAlignment="1">
      <alignment horizontal="center"/>
    </xf>
    <xf numFmtId="165" fontId="7" fillId="0" borderId="12" xfId="27" applyNumberFormat="1" applyFont="1" applyFill="1" applyBorder="1" applyAlignment="1">
      <alignment horizontal="center"/>
    </xf>
    <xf numFmtId="165" fontId="5" fillId="0" borderId="11" xfId="40" applyNumberFormat="1" applyFont="1" applyBorder="1" applyAlignment="1">
      <alignment horizontal="center" vertical="center"/>
    </xf>
    <xf numFmtId="165" fontId="5" fillId="0" borderId="11" xfId="27" applyNumberFormat="1" applyFont="1" applyBorder="1" applyAlignment="1">
      <alignment horizontal="center"/>
    </xf>
    <xf numFmtId="165" fontId="5" fillId="0" borderId="13" xfId="27" applyNumberFormat="1" applyFont="1" applyFill="1" applyBorder="1" applyAlignment="1">
      <alignment horizontal="center"/>
    </xf>
    <xf numFmtId="165" fontId="7" fillId="0" borderId="11" xfId="27" applyNumberFormat="1" applyFont="1" applyBorder="1" applyAlignment="1">
      <alignment horizontal="center"/>
    </xf>
    <xf numFmtId="165" fontId="7" fillId="0" borderId="15" xfId="27" applyNumberFormat="1" applyFont="1" applyBorder="1" applyAlignment="1">
      <alignment horizontal="center"/>
    </xf>
    <xf numFmtId="165" fontId="7" fillId="0" borderId="49" xfId="27" applyNumberFormat="1" applyFont="1" applyBorder="1" applyAlignment="1">
      <alignment horizontal="center"/>
    </xf>
    <xf numFmtId="169" fontId="59" fillId="0" borderId="11" xfId="26" applyNumberFormat="1" applyFont="1" applyBorder="1" applyAlignment="1">
      <alignment vertical="center"/>
    </xf>
    <xf numFmtId="165" fontId="9" fillId="0" borderId="11" xfId="27" applyNumberFormat="1" applyFont="1" applyBorder="1" applyAlignment="1">
      <alignment horizontal="center"/>
    </xf>
    <xf numFmtId="165" fontId="5" fillId="0" borderId="17" xfId="27" applyNumberFormat="1" applyFont="1" applyFill="1" applyBorder="1" applyAlignment="1">
      <alignment horizontal="center"/>
    </xf>
    <xf numFmtId="165" fontId="5" fillId="0" borderId="49" xfId="40" applyNumberFormat="1" applyFont="1" applyBorder="1" applyAlignment="1">
      <alignment horizontal="center" vertical="center"/>
    </xf>
    <xf numFmtId="0" fontId="13" fillId="0" borderId="44" xfId="40" applyFont="1" applyBorder="1" applyAlignment="1">
      <alignment horizontal="center" vertical="center" wrapText="1"/>
    </xf>
    <xf numFmtId="0" fontId="6" fillId="0" borderId="22" xfId="40" applyFont="1" applyBorder="1" applyAlignment="1">
      <alignment vertical="center"/>
    </xf>
    <xf numFmtId="0" fontId="12" fillId="20" borderId="41" xfId="40" applyFont="1" applyFill="1" applyBorder="1" applyAlignment="1">
      <alignment horizontal="center" vertical="center" wrapText="1"/>
    </xf>
    <xf numFmtId="0" fontId="12" fillId="20" borderId="18" xfId="40" applyFont="1" applyFill="1" applyBorder="1" applyAlignment="1">
      <alignment horizontal="center" vertical="center" wrapText="1"/>
    </xf>
    <xf numFmtId="0" fontId="12" fillId="20" borderId="40" xfId="40" applyFont="1" applyFill="1" applyBorder="1" applyAlignment="1">
      <alignment horizontal="center" vertical="center" wrapText="1"/>
    </xf>
    <xf numFmtId="0" fontId="5" fillId="0" borderId="12" xfId="40" applyFont="1" applyFill="1" applyBorder="1" applyAlignment="1">
      <alignment horizontal="left"/>
    </xf>
    <xf numFmtId="165" fontId="7" fillId="21" borderId="12" xfId="40" applyNumberFormat="1" applyFont="1" applyFill="1" applyBorder="1" applyAlignment="1">
      <alignment horizontal="center" vertical="center"/>
    </xf>
    <xf numFmtId="165" fontId="7" fillId="21" borderId="16" xfId="40" applyNumberFormat="1" applyFont="1" applyFill="1" applyBorder="1" applyAlignment="1">
      <alignment horizontal="center" vertical="center"/>
    </xf>
    <xf numFmtId="165" fontId="7" fillId="21" borderId="49" xfId="40" applyNumberFormat="1" applyFont="1" applyFill="1" applyBorder="1" applyAlignment="1">
      <alignment horizontal="center" vertical="center"/>
    </xf>
    <xf numFmtId="165" fontId="7" fillId="21" borderId="12" xfId="27" applyNumberFormat="1" applyFont="1" applyFill="1" applyBorder="1" applyAlignment="1">
      <alignment horizontal="center"/>
    </xf>
    <xf numFmtId="169" fontId="59" fillId="21" borderId="11" xfId="26" applyNumberFormat="1" applyFont="1" applyFill="1" applyBorder="1" applyAlignment="1">
      <alignment vertical="center"/>
    </xf>
    <xf numFmtId="3" fontId="7" fillId="21" borderId="12" xfId="27" applyNumberFormat="1" applyFont="1" applyFill="1" applyBorder="1" applyAlignment="1">
      <alignment horizontal="center"/>
    </xf>
    <xf numFmtId="3" fontId="7" fillId="21" borderId="49" xfId="27" applyNumberFormat="1" applyFont="1" applyFill="1" applyBorder="1" applyAlignment="1">
      <alignment horizontal="center"/>
    </xf>
    <xf numFmtId="3" fontId="7" fillId="21" borderId="16" xfId="27" applyNumberFormat="1" applyFont="1" applyFill="1" applyBorder="1" applyAlignment="1">
      <alignment horizontal="center"/>
    </xf>
    <xf numFmtId="3" fontId="69" fillId="0" borderId="17" xfId="27" applyNumberFormat="1" applyFont="1" applyBorder="1" applyAlignment="1">
      <alignment horizontal="center"/>
    </xf>
    <xf numFmtId="3" fontId="69" fillId="0" borderId="12" xfId="27" applyNumberFormat="1" applyFont="1" applyFill="1" applyBorder="1" applyAlignment="1">
      <alignment horizontal="center"/>
    </xf>
    <xf numFmtId="3" fontId="5" fillId="0" borderId="17" xfId="27" applyNumberFormat="1" applyFont="1" applyFill="1" applyBorder="1" applyAlignment="1">
      <alignment horizontal="center"/>
    </xf>
    <xf numFmtId="167" fontId="51" fillId="0" borderId="12" xfId="41" applyNumberFormat="1" applyFont="1" applyFill="1" applyBorder="1" applyAlignment="1" applyProtection="1">
      <alignment vertical="center" wrapText="1"/>
      <protection locked="0"/>
    </xf>
    <xf numFmtId="165" fontId="9" fillId="0" borderId="17" xfId="27" applyNumberFormat="1" applyFont="1" applyFill="1" applyBorder="1" applyAlignment="1">
      <alignment horizontal="center"/>
    </xf>
    <xf numFmtId="0" fontId="5" fillId="0" borderId="12" xfId="40" applyFont="1" applyBorder="1" applyAlignment="1">
      <alignment horizontal="left" vertical="center"/>
    </xf>
    <xf numFmtId="0" fontId="5" fillId="0" borderId="12" xfId="40" applyFont="1" applyBorder="1" applyAlignment="1">
      <alignment horizontal="left"/>
    </xf>
    <xf numFmtId="0" fontId="13" fillId="0" borderId="39" xfId="40" applyFont="1" applyBorder="1" applyAlignment="1">
      <alignment horizontal="center" vertical="center" wrapText="1"/>
    </xf>
    <xf numFmtId="167" fontId="54" fillId="0" borderId="45" xfId="41" applyNumberFormat="1" applyFont="1" applyFill="1" applyBorder="1" applyAlignment="1" applyProtection="1">
      <alignment horizontal="left" vertical="center" wrapText="1" indent="1"/>
      <protection locked="0"/>
    </xf>
    <xf numFmtId="167" fontId="52" fillId="0" borderId="42" xfId="41" applyNumberFormat="1" applyFont="1" applyFill="1" applyBorder="1" applyAlignment="1" applyProtection="1">
      <alignment vertical="center" wrapText="1"/>
      <protection locked="0"/>
    </xf>
    <xf numFmtId="1" fontId="52" fillId="0" borderId="42" xfId="41" applyNumberFormat="1" applyFont="1" applyFill="1" applyBorder="1" applyAlignment="1" applyProtection="1">
      <alignment vertical="center" wrapText="1"/>
      <protection locked="0"/>
    </xf>
    <xf numFmtId="167" fontId="52" fillId="0" borderId="43" xfId="41" applyNumberFormat="1" applyFont="1" applyFill="1" applyBorder="1" applyAlignment="1" applyProtection="1">
      <alignment vertical="center" wrapText="1"/>
    </xf>
    <xf numFmtId="165" fontId="5" fillId="0" borderId="49" xfId="27" applyNumberFormat="1" applyFont="1" applyBorder="1" applyAlignment="1">
      <alignment horizontal="center"/>
    </xf>
    <xf numFmtId="165" fontId="5" fillId="19" borderId="61" xfId="27" applyNumberFormat="1" applyFont="1" applyFill="1" applyBorder="1" applyAlignment="1">
      <alignment horizontal="center"/>
    </xf>
    <xf numFmtId="165" fontId="5" fillId="18" borderId="49" xfId="27" applyNumberFormat="1" applyFont="1" applyFill="1" applyBorder="1" applyAlignment="1">
      <alignment horizontal="center"/>
    </xf>
    <xf numFmtId="3" fontId="5" fillId="0" borderId="11" xfId="40" applyNumberFormat="1" applyFont="1" applyBorder="1" applyAlignment="1">
      <alignment horizontal="center" vertical="center"/>
    </xf>
    <xf numFmtId="3" fontId="5" fillId="0" borderId="11" xfId="27" applyNumberFormat="1" applyFont="1" applyFill="1" applyBorder="1" applyAlignment="1">
      <alignment horizontal="center"/>
    </xf>
    <xf numFmtId="3" fontId="5" fillId="0" borderId="11" xfId="27" applyNumberFormat="1" applyFont="1" applyBorder="1" applyAlignment="1">
      <alignment horizontal="center"/>
    </xf>
    <xf numFmtId="3" fontId="7" fillId="0" borderId="11" xfId="27" applyNumberFormat="1" applyFont="1" applyFill="1" applyBorder="1" applyAlignment="1">
      <alignment horizontal="center"/>
    </xf>
    <xf numFmtId="3" fontId="4" fillId="0" borderId="11" xfId="27" applyNumberFormat="1" applyFont="1" applyBorder="1" applyAlignment="1">
      <alignment horizontal="center"/>
    </xf>
    <xf numFmtId="165" fontId="9" fillId="0" borderId="11" xfId="27" applyNumberFormat="1" applyFont="1" applyFill="1" applyBorder="1" applyAlignment="1">
      <alignment horizontal="center"/>
    </xf>
    <xf numFmtId="165" fontId="9" fillId="0" borderId="49" xfId="27" applyNumberFormat="1" applyFont="1" applyBorder="1" applyAlignment="1">
      <alignment horizontal="center"/>
    </xf>
    <xf numFmtId="169" fontId="11" fillId="0" borderId="0" xfId="26" applyNumberFormat="1" applyFont="1" applyFill="1" applyAlignment="1">
      <alignment vertical="center"/>
    </xf>
    <xf numFmtId="169" fontId="51" fillId="0" borderId="12" xfId="26" applyNumberFormat="1" applyFont="1" applyFill="1" applyBorder="1" applyAlignment="1" applyProtection="1">
      <alignment vertical="center" wrapText="1"/>
      <protection locked="0"/>
    </xf>
    <xf numFmtId="169" fontId="52" fillId="0" borderId="12" xfId="26" applyNumberFormat="1" applyFont="1" applyFill="1" applyBorder="1" applyAlignment="1" applyProtection="1">
      <alignment vertical="center" wrapText="1"/>
      <protection locked="0"/>
    </xf>
    <xf numFmtId="167" fontId="1" fillId="0" borderId="10" xfId="41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Alignment="1">
      <alignment horizontal="left" vertical="center" wrapText="1"/>
    </xf>
    <xf numFmtId="167" fontId="2" fillId="0" borderId="10" xfId="41" applyNumberFormat="1" applyFont="1" applyFill="1" applyBorder="1" applyAlignment="1" applyProtection="1">
      <alignment horizontal="left" vertical="center" wrapText="1" indent="1"/>
      <protection locked="0"/>
    </xf>
    <xf numFmtId="0" fontId="14" fillId="0" borderId="12" xfId="0" applyFont="1" applyBorder="1" applyAlignment="1">
      <alignment horizontal="centerContinuous"/>
    </xf>
    <xf numFmtId="0" fontId="14" fillId="0" borderId="33" xfId="0" applyFont="1" applyFill="1" applyBorder="1" applyAlignment="1">
      <alignment horizontal="center"/>
    </xf>
    <xf numFmtId="0" fontId="14" fillId="0" borderId="41" xfId="0" applyFont="1" applyFill="1" applyBorder="1" applyAlignment="1">
      <alignment horizontal="center"/>
    </xf>
    <xf numFmtId="169" fontId="16" fillId="0" borderId="0" xfId="26" applyNumberFormat="1" applyFont="1" applyAlignment="1">
      <alignment horizontal="center"/>
    </xf>
    <xf numFmtId="169" fontId="16" fillId="0" borderId="0" xfId="26" applyNumberFormat="1" applyFont="1" applyAlignment="1">
      <alignment horizontal="center" vertical="center"/>
    </xf>
    <xf numFmtId="169" fontId="14" fillId="0" borderId="0" xfId="26" applyNumberFormat="1" applyFont="1"/>
    <xf numFmtId="169" fontId="14" fillId="0" borderId="12" xfId="26" quotePrefix="1" applyNumberFormat="1" applyFont="1" applyFill="1" applyBorder="1" applyAlignment="1">
      <alignment horizontal="center" vertical="center"/>
    </xf>
    <xf numFmtId="169" fontId="14" fillId="0" borderId="41" xfId="26" quotePrefix="1" applyNumberFormat="1" applyFont="1" applyFill="1" applyBorder="1" applyAlignment="1">
      <alignment horizontal="center" vertical="center"/>
    </xf>
    <xf numFmtId="169" fontId="15" fillId="0" borderId="12" xfId="26" quotePrefix="1" applyNumberFormat="1" applyFont="1" applyFill="1" applyBorder="1" applyAlignment="1">
      <alignment horizontal="center" vertical="center"/>
    </xf>
    <xf numFmtId="169" fontId="15" fillId="0" borderId="33" xfId="26" quotePrefix="1" applyNumberFormat="1" applyFont="1" applyFill="1" applyBorder="1" applyAlignment="1">
      <alignment horizontal="center" vertical="center"/>
    </xf>
    <xf numFmtId="43" fontId="0" fillId="0" borderId="0" xfId="26" applyNumberFormat="1" applyFont="1"/>
    <xf numFmtId="165" fontId="9" fillId="0" borderId="16" xfId="27" applyNumberFormat="1" applyFont="1" applyBorder="1" applyAlignment="1">
      <alignment horizontal="center"/>
    </xf>
    <xf numFmtId="0" fontId="4" fillId="22" borderId="10" xfId="40" applyFont="1" applyFill="1" applyBorder="1" applyAlignment="1">
      <alignment horizontal="center" vertical="center"/>
    </xf>
    <xf numFmtId="165" fontId="4" fillId="22" borderId="12" xfId="40" applyNumberFormat="1" applyFont="1" applyFill="1" applyBorder="1" applyAlignment="1">
      <alignment horizontal="center"/>
    </xf>
    <xf numFmtId="165" fontId="4" fillId="22" borderId="49" xfId="40" applyNumberFormat="1" applyFont="1" applyFill="1" applyBorder="1" applyAlignment="1">
      <alignment horizontal="center"/>
    </xf>
    <xf numFmtId="0" fontId="4" fillId="22" borderId="46" xfId="40" applyFont="1" applyFill="1" applyBorder="1" applyAlignment="1">
      <alignment horizontal="center" vertical="center"/>
    </xf>
    <xf numFmtId="0" fontId="4" fillId="22" borderId="19" xfId="40" applyFont="1" applyFill="1" applyBorder="1" applyAlignment="1">
      <alignment vertical="center"/>
    </xf>
    <xf numFmtId="165" fontId="4" fillId="22" borderId="19" xfId="40" applyNumberFormat="1" applyFont="1" applyFill="1" applyBorder="1" applyAlignment="1">
      <alignment horizontal="center"/>
    </xf>
    <xf numFmtId="165" fontId="4" fillId="22" borderId="22" xfId="40" applyNumberFormat="1" applyFont="1" applyFill="1" applyBorder="1" applyAlignment="1">
      <alignment horizontal="center"/>
    </xf>
    <xf numFmtId="3" fontId="4" fillId="23" borderId="12" xfId="27" applyNumberFormat="1" applyFont="1" applyFill="1" applyBorder="1" applyAlignment="1">
      <alignment horizontal="center"/>
    </xf>
    <xf numFmtId="3" fontId="4" fillId="23" borderId="16" xfId="27" applyNumberFormat="1" applyFont="1" applyFill="1" applyBorder="1" applyAlignment="1">
      <alignment horizontal="center"/>
    </xf>
    <xf numFmtId="3" fontId="4" fillId="23" borderId="49" xfId="27" applyNumberFormat="1" applyFont="1" applyFill="1" applyBorder="1" applyAlignment="1">
      <alignment horizontal="center"/>
    </xf>
    <xf numFmtId="165" fontId="4" fillId="23" borderId="15" xfId="27" applyNumberFormat="1" applyFont="1" applyFill="1" applyBorder="1" applyAlignment="1">
      <alignment horizontal="center"/>
    </xf>
    <xf numFmtId="165" fontId="4" fillId="23" borderId="12" xfId="27" applyNumberFormat="1" applyFont="1" applyFill="1" applyBorder="1" applyAlignment="1">
      <alignment horizontal="center"/>
    </xf>
    <xf numFmtId="165" fontId="4" fillId="23" borderId="49" xfId="27" applyNumberFormat="1" applyFont="1" applyFill="1" applyBorder="1" applyAlignment="1">
      <alignment horizontal="center"/>
    </xf>
    <xf numFmtId="165" fontId="5" fillId="23" borderId="12" xfId="27" applyNumberFormat="1" applyFont="1" applyFill="1" applyBorder="1" applyAlignment="1">
      <alignment horizontal="center"/>
    </xf>
    <xf numFmtId="165" fontId="5" fillId="23" borderId="18" xfId="27" applyNumberFormat="1" applyFont="1" applyFill="1" applyBorder="1" applyAlignment="1">
      <alignment horizontal="center"/>
    </xf>
    <xf numFmtId="169" fontId="6" fillId="23" borderId="11" xfId="26" applyNumberFormat="1" applyFont="1" applyFill="1" applyBorder="1" applyAlignment="1">
      <alignment vertical="center"/>
    </xf>
    <xf numFmtId="165" fontId="5" fillId="24" borderId="15" xfId="27" applyNumberFormat="1" applyFont="1" applyFill="1" applyBorder="1" applyAlignment="1">
      <alignment horizontal="center"/>
    </xf>
    <xf numFmtId="165" fontId="5" fillId="24" borderId="12" xfId="27" applyNumberFormat="1" applyFont="1" applyFill="1" applyBorder="1" applyAlignment="1">
      <alignment horizontal="center"/>
    </xf>
    <xf numFmtId="165" fontId="5" fillId="24" borderId="17" xfId="27" applyNumberFormat="1" applyFont="1" applyFill="1" applyBorder="1" applyAlignment="1">
      <alignment horizontal="center"/>
    </xf>
    <xf numFmtId="165" fontId="5" fillId="24" borderId="11" xfId="27" applyNumberFormat="1" applyFont="1" applyFill="1" applyBorder="1" applyAlignment="1">
      <alignment horizontal="center"/>
    </xf>
    <xf numFmtId="169" fontId="5" fillId="0" borderId="0" xfId="26" applyNumberFormat="1" applyFont="1" applyAlignment="1">
      <alignment horizontal="center" vertical="center" wrapText="1"/>
    </xf>
    <xf numFmtId="0" fontId="5" fillId="0" borderId="0" xfId="40" applyFont="1" applyAlignment="1">
      <alignment horizontal="right" vertical="center" wrapText="1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9" fontId="2" fillId="0" borderId="0" xfId="26" applyNumberFormat="1" applyFont="1" applyBorder="1"/>
    <xf numFmtId="169" fontId="2" fillId="0" borderId="0" xfId="26" quotePrefix="1" applyNumberFormat="1" applyFont="1" applyBorder="1"/>
    <xf numFmtId="169" fontId="2" fillId="0" borderId="0" xfId="26" applyNumberFormat="1" applyFont="1" applyBorder="1" applyAlignment="1">
      <alignment horizontal="right"/>
    </xf>
    <xf numFmtId="169" fontId="2" fillId="0" borderId="0" xfId="26" applyNumberFormat="1" applyFont="1" applyBorder="1" applyAlignment="1">
      <alignment horizontal="center"/>
    </xf>
    <xf numFmtId="169" fontId="2" fillId="0" borderId="0" xfId="0" applyNumberFormat="1" applyFont="1" applyBorder="1" applyAlignment="1">
      <alignment horizontal="center"/>
    </xf>
    <xf numFmtId="167" fontId="61" fillId="0" borderId="0" xfId="41" applyNumberFormat="1" applyFont="1" applyFill="1" applyAlignment="1">
      <alignment horizontal="center" vertical="center" wrapText="1"/>
    </xf>
    <xf numFmtId="167" fontId="61" fillId="0" borderId="0" xfId="41" applyNumberFormat="1" applyFont="1" applyFill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169" fontId="5" fillId="0" borderId="0" xfId="40" applyNumberFormat="1" applyFont="1" applyAlignment="1">
      <alignment horizontal="center" vertical="center" wrapText="1"/>
    </xf>
    <xf numFmtId="170" fontId="11" fillId="0" borderId="12" xfId="42" applyNumberFormat="1" applyFont="1" applyBorder="1" applyAlignment="1">
      <alignment vertical="center"/>
    </xf>
    <xf numFmtId="0" fontId="70" fillId="0" borderId="0" xfId="26" applyNumberFormat="1" applyFont="1" applyAlignment="1">
      <alignment vertical="center"/>
    </xf>
    <xf numFmtId="0" fontId="11" fillId="0" borderId="14" xfId="26" applyNumberFormat="1" applyFont="1" applyFill="1" applyBorder="1" applyAlignment="1">
      <alignment vertical="center"/>
    </xf>
    <xf numFmtId="0" fontId="0" fillId="0" borderId="0" xfId="26" applyNumberFormat="1" applyFont="1"/>
    <xf numFmtId="0" fontId="70" fillId="0" borderId="0" xfId="0" applyFont="1"/>
    <xf numFmtId="165" fontId="20" fillId="0" borderId="0" xfId="0" applyNumberFormat="1" applyFont="1"/>
    <xf numFmtId="165" fontId="11" fillId="0" borderId="12" xfId="42" applyNumberFormat="1" applyFont="1" applyBorder="1" applyAlignment="1">
      <alignment horizontal="center" vertical="center"/>
    </xf>
    <xf numFmtId="165" fontId="11" fillId="0" borderId="37" xfId="42" applyNumberFormat="1" applyFont="1" applyFill="1" applyBorder="1" applyAlignment="1">
      <alignment vertical="center"/>
    </xf>
    <xf numFmtId="167" fontId="2" fillId="0" borderId="0" xfId="41" applyNumberFormat="1" applyFont="1" applyFill="1" applyAlignment="1">
      <alignment horizontal="right" wrapText="1"/>
    </xf>
    <xf numFmtId="169" fontId="2" fillId="0" borderId="12" xfId="26" applyNumberFormat="1" applyFont="1" applyFill="1" applyBorder="1" applyAlignment="1" applyProtection="1">
      <alignment vertical="center" wrapText="1"/>
      <protection locked="0"/>
    </xf>
    <xf numFmtId="0" fontId="2" fillId="0" borderId="12" xfId="0" applyFont="1" applyBorder="1"/>
    <xf numFmtId="169" fontId="0" fillId="0" borderId="12" xfId="26" applyNumberFormat="1" applyFont="1" applyBorder="1"/>
    <xf numFmtId="167" fontId="54" fillId="0" borderId="35" xfId="41" applyNumberFormat="1" applyFont="1" applyFill="1" applyBorder="1" applyAlignment="1" applyProtection="1">
      <alignment horizontal="left" vertical="center" wrapText="1" indent="1"/>
      <protection locked="0"/>
    </xf>
    <xf numFmtId="167" fontId="52" fillId="0" borderId="37" xfId="41" applyNumberFormat="1" applyFont="1" applyFill="1" applyBorder="1" applyAlignment="1" applyProtection="1">
      <alignment vertical="center" wrapText="1"/>
      <protection locked="0"/>
    </xf>
    <xf numFmtId="1" fontId="52" fillId="0" borderId="37" xfId="41" applyNumberFormat="1" applyFont="1" applyFill="1" applyBorder="1" applyAlignment="1" applyProtection="1">
      <alignment vertical="center" wrapText="1"/>
      <protection locked="0"/>
    </xf>
    <xf numFmtId="167" fontId="52" fillId="0" borderId="38" xfId="41" applyNumberFormat="1" applyFont="1" applyFill="1" applyBorder="1" applyAlignment="1" applyProtection="1">
      <alignment vertical="center" wrapText="1"/>
    </xf>
    <xf numFmtId="0" fontId="11" fillId="0" borderId="15" xfId="40" applyFont="1" applyBorder="1" applyAlignment="1">
      <alignment horizontal="left"/>
    </xf>
    <xf numFmtId="170" fontId="5" fillId="0" borderId="12" xfId="40" applyNumberFormat="1" applyFont="1" applyBorder="1" applyAlignment="1">
      <alignment horizontal="center" vertical="center"/>
    </xf>
    <xf numFmtId="4" fontId="3" fillId="0" borderId="0" xfId="42" applyNumberFormat="1" applyFont="1" applyAlignment="1">
      <alignment vertical="center"/>
    </xf>
    <xf numFmtId="170" fontId="3" fillId="0" borderId="0" xfId="42" applyNumberFormat="1" applyFont="1" applyAlignment="1">
      <alignment vertical="center"/>
    </xf>
    <xf numFmtId="169" fontId="68" fillId="0" borderId="0" xfId="26" applyNumberFormat="1" applyFont="1"/>
    <xf numFmtId="169" fontId="14" fillId="0" borderId="0" xfId="0" applyNumberFormat="1" applyFont="1"/>
    <xf numFmtId="0" fontId="12" fillId="0" borderId="11" xfId="40" applyFont="1" applyBorder="1" applyAlignment="1">
      <alignment horizontal="center" vertical="center" wrapText="1"/>
    </xf>
    <xf numFmtId="0" fontId="7" fillId="0" borderId="0" xfId="40" applyFont="1" applyBorder="1" applyAlignment="1">
      <alignment horizontal="right"/>
    </xf>
    <xf numFmtId="0" fontId="13" fillId="0" borderId="47" xfId="40" applyFont="1" applyBorder="1" applyAlignment="1">
      <alignment horizontal="center" vertical="center" wrapText="1"/>
    </xf>
    <xf numFmtId="0" fontId="13" fillId="0" borderId="12" xfId="40" applyFont="1" applyBorder="1" applyAlignment="1">
      <alignment horizontal="center" vertical="center" wrapText="1"/>
    </xf>
    <xf numFmtId="169" fontId="3" fillId="0" borderId="0" xfId="26" applyNumberFormat="1" applyFont="1" applyAlignment="1">
      <alignment vertical="center"/>
    </xf>
    <xf numFmtId="0" fontId="5" fillId="0" borderId="12" xfId="40" applyFont="1" applyBorder="1" applyAlignment="1">
      <alignment horizontal="left"/>
    </xf>
    <xf numFmtId="167" fontId="61" fillId="0" borderId="0" xfId="41" applyNumberFormat="1" applyFont="1" applyFill="1" applyAlignment="1">
      <alignment horizontal="center" vertical="center" wrapText="1"/>
    </xf>
    <xf numFmtId="167" fontId="61" fillId="0" borderId="0" xfId="41" applyNumberFormat="1" applyFont="1" applyFill="1" applyAlignment="1">
      <alignment vertical="center" wrapText="1"/>
    </xf>
    <xf numFmtId="167" fontId="41" fillId="0" borderId="62" xfId="41" applyNumberFormat="1" applyFont="1" applyFill="1" applyBorder="1" applyAlignment="1" applyProtection="1">
      <alignment horizontal="center" vertical="center" wrapText="1"/>
    </xf>
    <xf numFmtId="167" fontId="52" fillId="0" borderId="15" xfId="41" applyNumberFormat="1" applyFont="1" applyFill="1" applyBorder="1" applyAlignment="1" applyProtection="1">
      <alignment vertical="center" wrapText="1"/>
      <protection locked="0"/>
    </xf>
    <xf numFmtId="167" fontId="52" fillId="0" borderId="62" xfId="41" applyNumberFormat="1" applyFont="1" applyFill="1" applyBorder="1" applyAlignment="1" applyProtection="1">
      <alignment vertical="center" wrapText="1"/>
      <protection locked="0"/>
    </xf>
    <xf numFmtId="0" fontId="9" fillId="0" borderId="12" xfId="40" applyFont="1" applyBorder="1" applyAlignment="1">
      <alignment horizontal="left" vertical="center"/>
    </xf>
    <xf numFmtId="0" fontId="9" fillId="0" borderId="11" xfId="40" applyFont="1" applyBorder="1" applyAlignment="1">
      <alignment horizontal="left" vertical="center"/>
    </xf>
    <xf numFmtId="0" fontId="4" fillId="0" borderId="0" xfId="40" applyFont="1" applyAlignment="1">
      <alignment horizontal="center" vertical="center"/>
    </xf>
    <xf numFmtId="0" fontId="7" fillId="0" borderId="0" xfId="40" applyFont="1" applyAlignment="1">
      <alignment horizontal="center" vertical="center"/>
    </xf>
    <xf numFmtId="0" fontId="4" fillId="0" borderId="39" xfId="40" applyFont="1" applyBorder="1" applyAlignment="1">
      <alignment horizontal="center" vertical="center"/>
    </xf>
    <xf numFmtId="0" fontId="4" fillId="0" borderId="47" xfId="40" applyFont="1" applyBorder="1" applyAlignment="1">
      <alignment horizontal="center" vertical="center"/>
    </xf>
    <xf numFmtId="0" fontId="4" fillId="0" borderId="48" xfId="40" applyFont="1" applyBorder="1" applyAlignment="1">
      <alignment horizontal="center" vertical="center"/>
    </xf>
    <xf numFmtId="0" fontId="12" fillId="0" borderId="48" xfId="40" applyFont="1" applyBorder="1" applyAlignment="1">
      <alignment horizontal="center" vertical="center" wrapText="1"/>
    </xf>
    <xf numFmtId="0" fontId="12" fillId="0" borderId="11" xfId="40" applyFont="1" applyBorder="1" applyAlignment="1">
      <alignment horizontal="center" vertical="center" wrapText="1"/>
    </xf>
    <xf numFmtId="0" fontId="7" fillId="0" borderId="12" xfId="40" applyFont="1" applyBorder="1" applyAlignment="1">
      <alignment horizontal="center" vertical="center"/>
    </xf>
    <xf numFmtId="0" fontId="4" fillId="0" borderId="0" xfId="40" applyFont="1" applyAlignment="1">
      <alignment horizontal="center"/>
    </xf>
    <xf numFmtId="0" fontId="7" fillId="0" borderId="0" xfId="40" applyFont="1" applyAlignment="1">
      <alignment horizontal="center"/>
    </xf>
    <xf numFmtId="0" fontId="7" fillId="0" borderId="0" xfId="40" applyFont="1" applyBorder="1" applyAlignment="1">
      <alignment horizontal="right"/>
    </xf>
    <xf numFmtId="0" fontId="5" fillId="0" borderId="12" xfId="40" applyFont="1" applyBorder="1" applyAlignment="1">
      <alignment horizontal="left" vertical="center" wrapText="1"/>
    </xf>
    <xf numFmtId="0" fontId="5" fillId="0" borderId="12" xfId="4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3" fillId="0" borderId="47" xfId="40" applyFont="1" applyBorder="1" applyAlignment="1">
      <alignment horizontal="center" vertical="center" wrapText="1"/>
    </xf>
    <xf numFmtId="0" fontId="13" fillId="0" borderId="12" xfId="40" applyFont="1" applyBorder="1" applyAlignment="1">
      <alignment horizontal="center" vertical="center" wrapText="1"/>
    </xf>
    <xf numFmtId="0" fontId="7" fillId="0" borderId="47" xfId="40" applyFont="1" applyBorder="1" applyAlignment="1">
      <alignment horizontal="center" vertical="center"/>
    </xf>
    <xf numFmtId="0" fontId="7" fillId="18" borderId="12" xfId="40" applyFont="1" applyFill="1" applyBorder="1" applyAlignment="1">
      <alignment horizontal="left" wrapText="1"/>
    </xf>
    <xf numFmtId="0" fontId="7" fillId="0" borderId="15" xfId="40" applyFont="1" applyBorder="1" applyAlignment="1">
      <alignment horizontal="left" wrapText="1"/>
    </xf>
    <xf numFmtId="0" fontId="7" fillId="0" borderId="17" xfId="40" applyFont="1" applyBorder="1" applyAlignment="1">
      <alignment horizontal="left" wrapText="1"/>
    </xf>
    <xf numFmtId="0" fontId="5" fillId="0" borderId="33" xfId="40" applyFont="1" applyBorder="1" applyAlignment="1">
      <alignment horizontal="left" vertical="center" wrapText="1"/>
    </xf>
    <xf numFmtId="0" fontId="13" fillId="0" borderId="29" xfId="40" applyFont="1" applyBorder="1" applyAlignment="1">
      <alignment horizontal="left" vertical="center" wrapText="1"/>
    </xf>
    <xf numFmtId="0" fontId="5" fillId="0" borderId="12" xfId="40" applyFon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5" fillId="0" borderId="12" xfId="40" applyFont="1" applyBorder="1" applyAlignment="1">
      <alignment horizontal="right" vertical="center" wrapText="1"/>
    </xf>
    <xf numFmtId="0" fontId="0" fillId="0" borderId="12" xfId="0" applyBorder="1" applyAlignment="1">
      <alignment horizontal="right" vertical="center" wrapText="1"/>
    </xf>
    <xf numFmtId="0" fontId="11" fillId="0" borderId="15" xfId="40" applyFont="1" applyBorder="1" applyAlignment="1">
      <alignment horizontal="right" wrapText="1"/>
    </xf>
    <xf numFmtId="0" fontId="11" fillId="0" borderId="17" xfId="40" applyFont="1" applyBorder="1" applyAlignment="1">
      <alignment horizontal="right" wrapText="1"/>
    </xf>
    <xf numFmtId="0" fontId="5" fillId="18" borderId="12" xfId="40" applyFont="1" applyFill="1" applyBorder="1" applyAlignment="1">
      <alignment horizontal="left" wrapText="1"/>
    </xf>
    <xf numFmtId="0" fontId="5" fillId="0" borderId="41" xfId="40" applyFont="1" applyBorder="1" applyAlignment="1">
      <alignment horizontal="left" vertical="center" wrapText="1"/>
    </xf>
    <xf numFmtId="0" fontId="5" fillId="0" borderId="0" xfId="40" applyFont="1" applyBorder="1" applyAlignment="1">
      <alignment horizontal="left"/>
    </xf>
    <xf numFmtId="0" fontId="5" fillId="18" borderId="12" xfId="40" applyFont="1" applyFill="1" applyBorder="1" applyAlignment="1">
      <alignment horizontal="center"/>
    </xf>
    <xf numFmtId="0" fontId="4" fillId="0" borderId="12" xfId="40" applyFont="1" applyBorder="1" applyAlignment="1">
      <alignment horizontal="left" wrapText="1"/>
    </xf>
    <xf numFmtId="0" fontId="4" fillId="0" borderId="19" xfId="40" applyFont="1" applyBorder="1" applyAlignment="1">
      <alignment horizontal="left" wrapText="1"/>
    </xf>
    <xf numFmtId="0" fontId="4" fillId="0" borderId="0" xfId="40" applyFont="1" applyBorder="1" applyAlignment="1">
      <alignment horizontal="left"/>
    </xf>
    <xf numFmtId="0" fontId="7" fillId="0" borderId="12" xfId="40" applyFont="1" applyBorder="1" applyAlignment="1">
      <alignment horizontal="center"/>
    </xf>
    <xf numFmtId="0" fontId="5" fillId="0" borderId="12" xfId="40" applyFont="1" applyBorder="1" applyAlignment="1">
      <alignment horizontal="left"/>
    </xf>
    <xf numFmtId="0" fontId="5" fillId="18" borderId="12" xfId="40" applyFont="1" applyFill="1" applyBorder="1" applyAlignment="1">
      <alignment horizontal="left"/>
    </xf>
    <xf numFmtId="0" fontId="5" fillId="18" borderId="33" xfId="40" applyFont="1" applyFill="1" applyBorder="1" applyAlignment="1">
      <alignment horizontal="left"/>
    </xf>
    <xf numFmtId="0" fontId="13" fillId="0" borderId="29" xfId="40" applyFont="1" applyBorder="1" applyAlignment="1">
      <alignment horizontal="left"/>
    </xf>
    <xf numFmtId="0" fontId="5" fillId="0" borderId="41" xfId="40" applyFont="1" applyBorder="1" applyAlignment="1">
      <alignment horizontal="left"/>
    </xf>
    <xf numFmtId="0" fontId="13" fillId="0" borderId="52" xfId="40" applyFont="1" applyBorder="1" applyAlignment="1">
      <alignment horizontal="left"/>
    </xf>
    <xf numFmtId="0" fontId="13" fillId="0" borderId="53" xfId="40" applyFont="1" applyBorder="1" applyAlignment="1">
      <alignment horizontal="left"/>
    </xf>
    <xf numFmtId="0" fontId="4" fillId="0" borderId="12" xfId="40" applyFont="1" applyBorder="1" applyAlignment="1">
      <alignment horizontal="left"/>
    </xf>
    <xf numFmtId="0" fontId="4" fillId="0" borderId="19" xfId="40" applyFont="1" applyBorder="1" applyAlignment="1">
      <alignment horizontal="left"/>
    </xf>
    <xf numFmtId="0" fontId="13" fillId="0" borderId="50" xfId="4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7" fillId="18" borderId="15" xfId="40" applyFont="1" applyFill="1" applyBorder="1" applyAlignment="1">
      <alignment horizontal="left" wrapText="1"/>
    </xf>
    <xf numFmtId="0" fontId="7" fillId="18" borderId="17" xfId="40" applyFont="1" applyFill="1" applyBorder="1" applyAlignment="1">
      <alignment horizontal="left" wrapText="1"/>
    </xf>
    <xf numFmtId="0" fontId="13" fillId="0" borderId="12" xfId="40" applyFont="1" applyBorder="1" applyAlignment="1">
      <alignment horizontal="left"/>
    </xf>
    <xf numFmtId="0" fontId="5" fillId="0" borderId="21" xfId="40" applyFont="1" applyBorder="1" applyAlignment="1">
      <alignment horizontal="right" vertical="center" wrapText="1"/>
    </xf>
    <xf numFmtId="0" fontId="5" fillId="0" borderId="51" xfId="40" applyFont="1" applyBorder="1" applyAlignment="1">
      <alignment horizontal="right" vertical="center" wrapText="1"/>
    </xf>
    <xf numFmtId="0" fontId="5" fillId="0" borderId="33" xfId="40" applyFont="1" applyBorder="1" applyAlignment="1">
      <alignment horizontal="left"/>
    </xf>
    <xf numFmtId="0" fontId="6" fillId="0" borderId="47" xfId="40" applyFont="1" applyBorder="1" applyAlignment="1">
      <alignment horizontal="center" vertical="center" wrapText="1"/>
    </xf>
    <xf numFmtId="0" fontId="6" fillId="0" borderId="12" xfId="40" applyFont="1" applyBorder="1" applyAlignment="1">
      <alignment horizontal="center" vertical="center" wrapText="1"/>
    </xf>
    <xf numFmtId="0" fontId="6" fillId="0" borderId="48" xfId="40" applyFont="1" applyBorder="1" applyAlignment="1">
      <alignment horizontal="center" vertical="center" wrapText="1"/>
    </xf>
    <xf numFmtId="0" fontId="6" fillId="0" borderId="11" xfId="40" applyFont="1" applyBorder="1" applyAlignment="1">
      <alignment horizontal="center" vertical="center" wrapText="1"/>
    </xf>
    <xf numFmtId="0" fontId="12" fillId="0" borderId="33" xfId="40" applyFont="1" applyBorder="1" applyAlignment="1">
      <alignment horizontal="center" vertical="center" wrapText="1"/>
    </xf>
    <xf numFmtId="0" fontId="12" fillId="0" borderId="12" xfId="40" applyFont="1" applyBorder="1" applyAlignment="1">
      <alignment horizontal="center" vertical="center" wrapText="1"/>
    </xf>
    <xf numFmtId="0" fontId="5" fillId="0" borderId="12" xfId="40" applyFont="1" applyBorder="1" applyAlignment="1">
      <alignment horizontal="left" wrapText="1"/>
    </xf>
    <xf numFmtId="0" fontId="7" fillId="0" borderId="12" xfId="40" applyFont="1" applyBorder="1" applyAlignment="1">
      <alignment horizontal="left"/>
    </xf>
    <xf numFmtId="0" fontId="64" fillId="0" borderId="12" xfId="40" applyFont="1" applyBorder="1" applyAlignment="1">
      <alignment horizontal="left" wrapText="1"/>
    </xf>
    <xf numFmtId="0" fontId="5" fillId="0" borderId="15" xfId="40" applyFont="1" applyBorder="1" applyAlignment="1">
      <alignment horizontal="left"/>
    </xf>
    <xf numFmtId="0" fontId="0" fillId="0" borderId="17" xfId="0" applyBorder="1" applyAlignment="1">
      <alignment horizontal="left"/>
    </xf>
    <xf numFmtId="0" fontId="5" fillId="0" borderId="15" xfId="40" applyFont="1" applyBorder="1" applyAlignment="1">
      <alignment horizontal="right" wrapText="1"/>
    </xf>
    <xf numFmtId="0" fontId="5" fillId="0" borderId="17" xfId="40" applyFont="1" applyBorder="1" applyAlignment="1">
      <alignment horizontal="right" wrapText="1"/>
    </xf>
    <xf numFmtId="0" fontId="12" fillId="0" borderId="47" xfId="40" applyFont="1" applyBorder="1" applyAlignment="1">
      <alignment horizontal="center" vertical="center" wrapText="1"/>
    </xf>
    <xf numFmtId="0" fontId="13" fillId="0" borderId="39" xfId="40" applyFont="1" applyBorder="1" applyAlignment="1">
      <alignment horizontal="center" vertical="center" wrapText="1"/>
    </xf>
    <xf numFmtId="0" fontId="13" fillId="0" borderId="10" xfId="40" applyFont="1" applyBorder="1" applyAlignment="1">
      <alignment horizontal="center" vertical="center" wrapText="1"/>
    </xf>
    <xf numFmtId="0" fontId="13" fillId="0" borderId="31" xfId="40" applyFont="1" applyBorder="1" applyAlignment="1">
      <alignment horizontal="center" vertical="center" wrapText="1"/>
    </xf>
    <xf numFmtId="0" fontId="7" fillId="0" borderId="33" xfId="4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12" xfId="0" applyFont="1" applyFill="1" applyBorder="1" applyAlignment="1">
      <alignment horizontal="center"/>
    </xf>
    <xf numFmtId="165" fontId="14" fillId="0" borderId="12" xfId="0" applyNumberFormat="1" applyFont="1" applyFill="1" applyBorder="1" applyAlignment="1">
      <alignment horizontal="center"/>
    </xf>
    <xf numFmtId="0" fontId="14" fillId="0" borderId="12" xfId="0" applyFont="1" applyFill="1" applyBorder="1" applyAlignment="1">
      <alignment horizontal="left" vertical="center" wrapText="1"/>
    </xf>
    <xf numFmtId="0" fontId="14" fillId="0" borderId="12" xfId="0" quotePrefix="1" applyFont="1" applyFill="1" applyBorder="1" applyAlignment="1">
      <alignment horizontal="center" vertical="center"/>
    </xf>
    <xf numFmtId="165" fontId="2" fillId="0" borderId="12" xfId="0" applyNumberFormat="1" applyFont="1" applyFill="1" applyBorder="1" applyAlignment="1">
      <alignment horizontal="center"/>
    </xf>
    <xf numFmtId="165" fontId="18" fillId="0" borderId="12" xfId="0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12" xfId="0" applyFont="1" applyFill="1" applyBorder="1" applyAlignment="1">
      <alignment horizontal="left" vertical="top" wrapText="1"/>
    </xf>
    <xf numFmtId="0" fontId="15" fillId="0" borderId="12" xfId="0" applyFont="1" applyFill="1" applyBorder="1" applyAlignment="1">
      <alignment horizontal="left" vertical="top"/>
    </xf>
    <xf numFmtId="0" fontId="16" fillId="0" borderId="0" xfId="0" applyFont="1" applyAlignment="1">
      <alignment horizontal="center" vertical="center"/>
    </xf>
    <xf numFmtId="165" fontId="15" fillId="0" borderId="41" xfId="0" applyNumberFormat="1" applyFont="1" applyFill="1" applyBorder="1" applyAlignment="1">
      <alignment horizontal="center"/>
    </xf>
    <xf numFmtId="0" fontId="14" fillId="0" borderId="41" xfId="0" applyFont="1" applyFill="1" applyBorder="1" applyAlignment="1">
      <alignment horizontal="center"/>
    </xf>
    <xf numFmtId="0" fontId="15" fillId="0" borderId="12" xfId="0" applyFont="1" applyFill="1" applyBorder="1" applyAlignment="1">
      <alignment horizontal="left" vertical="center" wrapText="1"/>
    </xf>
    <xf numFmtId="165" fontId="14" fillId="0" borderId="33" xfId="0" applyNumberFormat="1" applyFont="1" applyFill="1" applyBorder="1" applyAlignment="1">
      <alignment horizontal="center"/>
    </xf>
    <xf numFmtId="0" fontId="14" fillId="0" borderId="33" xfId="0" applyFont="1" applyFill="1" applyBorder="1" applyAlignment="1">
      <alignment horizontal="center"/>
    </xf>
    <xf numFmtId="0" fontId="15" fillId="0" borderId="41" xfId="0" applyFont="1" applyFill="1" applyBorder="1" applyAlignment="1">
      <alignment horizontal="left" vertical="center" wrapText="1"/>
    </xf>
    <xf numFmtId="0" fontId="15" fillId="0" borderId="33" xfId="0" applyFont="1" applyFill="1" applyBorder="1" applyAlignment="1">
      <alignment horizontal="left" vertical="center" wrapText="1"/>
    </xf>
    <xf numFmtId="0" fontId="14" fillId="0" borderId="17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165" fontId="14" fillId="0" borderId="0" xfId="0" applyNumberFormat="1" applyFont="1" applyBorder="1" applyAlignment="1"/>
    <xf numFmtId="0" fontId="0" fillId="0" borderId="0" xfId="0" applyBorder="1" applyAlignment="1"/>
    <xf numFmtId="0" fontId="14" fillId="0" borderId="12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165" fontId="14" fillId="0" borderId="12" xfId="0" applyNumberFormat="1" applyFont="1" applyBorder="1" applyAlignment="1">
      <alignment horizontal="center"/>
    </xf>
    <xf numFmtId="165" fontId="15" fillId="0" borderId="41" xfId="0" applyNumberFormat="1" applyFont="1" applyBorder="1" applyAlignment="1">
      <alignment horizontal="center"/>
    </xf>
    <xf numFmtId="0" fontId="14" fillId="0" borderId="15" xfId="0" applyFont="1" applyFill="1" applyBorder="1" applyAlignment="1">
      <alignment horizontal="left" vertical="center" wrapText="1"/>
    </xf>
    <xf numFmtId="165" fontId="71" fillId="0" borderId="12" xfId="0" applyNumberFormat="1" applyFont="1" applyFill="1" applyBorder="1" applyAlignment="1">
      <alignment horizontal="center"/>
    </xf>
    <xf numFmtId="0" fontId="15" fillId="0" borderId="12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/>
    </xf>
    <xf numFmtId="165" fontId="15" fillId="0" borderId="12" xfId="0" applyNumberFormat="1" applyFont="1" applyBorder="1" applyAlignment="1">
      <alignment horizontal="center"/>
    </xf>
    <xf numFmtId="0" fontId="14" fillId="0" borderId="12" xfId="0" applyFont="1" applyBorder="1" applyAlignment="1">
      <alignment horizontal="left" vertical="center" wrapText="1"/>
    </xf>
    <xf numFmtId="165" fontId="14" fillId="0" borderId="33" xfId="0" applyNumberFormat="1" applyFont="1" applyBorder="1" applyAlignment="1">
      <alignment horizontal="center"/>
    </xf>
    <xf numFmtId="165" fontId="72" fillId="0" borderId="41" xfId="0" applyNumberFormat="1" applyFont="1" applyBorder="1" applyAlignment="1">
      <alignment horizontal="center"/>
    </xf>
    <xf numFmtId="0" fontId="14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14" fillId="18" borderId="12" xfId="0" applyFont="1" applyFill="1" applyBorder="1" applyAlignment="1">
      <alignment horizontal="left" vertical="center" wrapText="1"/>
    </xf>
    <xf numFmtId="165" fontId="14" fillId="0" borderId="0" xfId="0" applyNumberFormat="1" applyFont="1" applyFill="1" applyBorder="1" applyAlignment="1">
      <alignment horizontal="center"/>
    </xf>
    <xf numFmtId="165" fontId="14" fillId="18" borderId="12" xfId="0" applyNumberFormat="1" applyFont="1" applyFill="1" applyBorder="1" applyAlignment="1">
      <alignment horizontal="center"/>
    </xf>
    <xf numFmtId="169" fontId="5" fillId="0" borderId="0" xfId="26" applyNumberFormat="1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9" fontId="5" fillId="0" borderId="0" xfId="26" applyNumberFormat="1" applyFont="1" applyAlignment="1">
      <alignment horizontal="center" vertical="center" wrapText="1"/>
    </xf>
    <xf numFmtId="167" fontId="61" fillId="0" borderId="0" xfId="41" applyNumberFormat="1" applyFont="1" applyFill="1" applyAlignment="1">
      <alignment horizontal="center" vertical="center" wrapText="1"/>
    </xf>
    <xf numFmtId="167" fontId="61" fillId="0" borderId="0" xfId="41" applyNumberFormat="1" applyFont="1" applyFill="1" applyAlignment="1">
      <alignment vertical="center" wrapText="1"/>
    </xf>
    <xf numFmtId="0" fontId="48" fillId="0" borderId="54" xfId="41" applyFont="1" applyFill="1" applyBorder="1" applyAlignment="1">
      <alignment horizontal="justify" vertical="center" wrapText="1"/>
    </xf>
    <xf numFmtId="0" fontId="60" fillId="0" borderId="0" xfId="41" applyFont="1" applyFill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167" fontId="40" fillId="0" borderId="55" xfId="41" applyNumberFormat="1" applyFont="1" applyFill="1" applyBorder="1" applyAlignment="1">
      <alignment horizontal="center" vertical="center"/>
    </xf>
    <xf numFmtId="167" fontId="40" fillId="0" borderId="56" xfId="41" applyNumberFormat="1" applyFont="1" applyFill="1" applyBorder="1" applyAlignment="1">
      <alignment horizontal="center" vertical="center"/>
    </xf>
    <xf numFmtId="167" fontId="40" fillId="0" borderId="57" xfId="41" applyNumberFormat="1" applyFont="1" applyFill="1" applyBorder="1" applyAlignment="1">
      <alignment horizontal="center" vertical="center"/>
    </xf>
    <xf numFmtId="167" fontId="40" fillId="0" borderId="58" xfId="41" applyNumberFormat="1" applyFont="1" applyFill="1" applyBorder="1" applyAlignment="1">
      <alignment horizontal="center" vertical="center"/>
    </xf>
    <xf numFmtId="167" fontId="40" fillId="0" borderId="59" xfId="41" applyNumberFormat="1" applyFont="1" applyFill="1" applyBorder="1" applyAlignment="1">
      <alignment horizontal="center" vertical="center"/>
    </xf>
    <xf numFmtId="167" fontId="40" fillId="0" borderId="23" xfId="41" applyNumberFormat="1" applyFont="1" applyFill="1" applyBorder="1" applyAlignment="1">
      <alignment horizontal="left" vertical="center" wrapText="1" indent="2"/>
    </xf>
    <xf numFmtId="167" fontId="40" fillId="0" borderId="60" xfId="41" applyNumberFormat="1" applyFont="1" applyFill="1" applyBorder="1" applyAlignment="1">
      <alignment horizontal="left" vertical="center" wrapText="1" indent="2"/>
    </xf>
    <xf numFmtId="0" fontId="62" fillId="0" borderId="0" xfId="0" applyFont="1" applyAlignment="1">
      <alignment horizontal="center" vertical="center" wrapText="1"/>
    </xf>
    <xf numFmtId="167" fontId="40" fillId="0" borderId="58" xfId="41" applyNumberFormat="1" applyFont="1" applyFill="1" applyBorder="1" applyAlignment="1">
      <alignment horizontal="center" vertical="center" wrapText="1"/>
    </xf>
    <xf numFmtId="167" fontId="40" fillId="0" borderId="59" xfId="41" applyNumberFormat="1" applyFont="1" applyFill="1" applyBorder="1" applyAlignment="1">
      <alignment horizontal="center" vertical="center" wrapText="1"/>
    </xf>
    <xf numFmtId="0" fontId="7" fillId="0" borderId="0" xfId="42" applyFont="1" applyBorder="1" applyAlignment="1">
      <alignment horizontal="center" vertical="center"/>
    </xf>
    <xf numFmtId="0" fontId="5" fillId="0" borderId="0" xfId="42" applyFont="1" applyBorder="1" applyAlignment="1">
      <alignment horizontal="right" vertical="center"/>
    </xf>
    <xf numFmtId="0" fontId="5" fillId="0" borderId="12" xfId="40" applyFont="1" applyBorder="1" applyAlignment="1">
      <alignment horizontal="right" wrapText="1"/>
    </xf>
    <xf numFmtId="0" fontId="5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2" fontId="7" fillId="0" borderId="12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2" fontId="5" fillId="0" borderId="15" xfId="0" applyNumberFormat="1" applyFont="1" applyBorder="1" applyAlignment="1">
      <alignment horizontal="center" vertical="center" wrapText="1"/>
    </xf>
    <xf numFmtId="2" fontId="0" fillId="0" borderId="16" xfId="0" applyNumberFormat="1" applyBorder="1" applyAlignment="1">
      <alignment horizontal="center" vertical="center" wrapText="1"/>
    </xf>
    <xf numFmtId="2" fontId="0" fillId="0" borderId="17" xfId="0" applyNumberFormat="1" applyBorder="1" applyAlignment="1">
      <alignment horizontal="center" vertical="center" wrapText="1"/>
    </xf>
    <xf numFmtId="0" fontId="67" fillId="0" borderId="0" xfId="0" applyFont="1" applyAlignment="1">
      <alignment horizontal="center"/>
    </xf>
    <xf numFmtId="1" fontId="5" fillId="0" borderId="12" xfId="0" applyNumberFormat="1" applyFont="1" applyBorder="1" applyAlignment="1">
      <alignment horizontal="center" vertical="center" wrapText="1"/>
    </xf>
    <xf numFmtId="2" fontId="5" fillId="0" borderId="15" xfId="0" applyNumberFormat="1" applyFont="1" applyBorder="1" applyAlignment="1">
      <alignment horizontal="center"/>
    </xf>
    <xf numFmtId="2" fontId="5" fillId="0" borderId="16" xfId="0" applyNumberFormat="1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0" fontId="12" fillId="0" borderId="19" xfId="40" applyFont="1" applyBorder="1" applyAlignment="1">
      <alignment horizontal="center" vertical="center" wrapText="1"/>
    </xf>
    <xf numFmtId="0" fontId="13" fillId="0" borderId="46" xfId="40" applyFont="1" applyBorder="1" applyAlignment="1">
      <alignment horizontal="center" vertical="center" wrapText="1"/>
    </xf>
    <xf numFmtId="0" fontId="7" fillId="0" borderId="19" xfId="40" applyFont="1" applyBorder="1" applyAlignment="1">
      <alignment horizontal="center" vertical="center"/>
    </xf>
    <xf numFmtId="0" fontId="7" fillId="20" borderId="41" xfId="40" applyFont="1" applyFill="1" applyBorder="1" applyAlignment="1">
      <alignment horizontal="center" vertical="center"/>
    </xf>
    <xf numFmtId="0" fontId="4" fillId="21" borderId="15" xfId="40" applyFont="1" applyFill="1" applyBorder="1" applyAlignment="1">
      <alignment horizontal="left" vertical="center"/>
    </xf>
    <xf numFmtId="0" fontId="57" fillId="21" borderId="17" xfId="0" applyFont="1" applyFill="1" applyBorder="1" applyAlignment="1"/>
    <xf numFmtId="0" fontId="4" fillId="21" borderId="12" xfId="40" applyFont="1" applyFill="1" applyBorder="1" applyAlignment="1">
      <alignment horizontal="left"/>
    </xf>
    <xf numFmtId="0" fontId="7" fillId="23" borderId="12" xfId="40" applyFont="1" applyFill="1" applyBorder="1" applyAlignment="1">
      <alignment horizontal="center"/>
    </xf>
    <xf numFmtId="0" fontId="65" fillId="23" borderId="12" xfId="40" applyFont="1" applyFill="1" applyBorder="1" applyAlignment="1">
      <alignment horizontal="left" wrapText="1"/>
    </xf>
    <xf numFmtId="0" fontId="5" fillId="24" borderId="12" xfId="40" applyFont="1" applyFill="1" applyBorder="1" applyAlignment="1">
      <alignment horizontal="center"/>
    </xf>
    <xf numFmtId="0" fontId="4" fillId="21" borderId="12" xfId="40" applyFont="1" applyFill="1" applyBorder="1" applyAlignment="1">
      <alignment horizontal="left" vertical="center" wrapText="1"/>
    </xf>
    <xf numFmtId="0" fontId="4" fillId="22" borderId="12" xfId="40" applyFont="1" applyFill="1" applyBorder="1" applyAlignment="1">
      <alignment horizontal="left"/>
    </xf>
    <xf numFmtId="0" fontId="5" fillId="0" borderId="17" xfId="40" applyFont="1" applyBorder="1" applyAlignment="1">
      <alignment horizontal="left"/>
    </xf>
    <xf numFmtId="0" fontId="65" fillId="23" borderId="12" xfId="40" applyFont="1" applyFill="1" applyBorder="1" applyAlignment="1">
      <alignment horizontal="left"/>
    </xf>
    <xf numFmtId="0" fontId="5" fillId="0" borderId="47" xfId="40" applyFont="1" applyBorder="1" applyAlignment="1">
      <alignment horizontal="center" vertical="center" wrapText="1"/>
    </xf>
    <xf numFmtId="0" fontId="5" fillId="0" borderId="12" xfId="40" applyFont="1" applyBorder="1" applyAlignment="1">
      <alignment horizontal="center" vertical="center" wrapText="1"/>
    </xf>
  </cellXfs>
  <cellStyles count="4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Ezres_Ktgvetési rendelet mellékletek_2008_Eszteregnye" xfId="27"/>
    <cellStyle name="Figyelmeztetés" xfId="28" builtinId="11" customBuiltin="1"/>
    <cellStyle name="Hivatkozott cella" xfId="29" builtinId="24" customBuiltin="1"/>
    <cellStyle name="Jegyzet" xfId="30" builtinId="10" customBuiltin="1"/>
    <cellStyle name="Jelölőszín (1)" xfId="31"/>
    <cellStyle name="Jelölőszín (2)" xfId="32"/>
    <cellStyle name="Jelölőszín (3)" xfId="33"/>
    <cellStyle name="Jelölőszín (4)" xfId="34"/>
    <cellStyle name="Jelölőszín (5)" xfId="35"/>
    <cellStyle name="Jelölőszín (6)" xfId="36"/>
    <cellStyle name="Jó" xfId="37" builtinId="26" customBuiltin="1"/>
    <cellStyle name="Kimenet" xfId="38" builtinId="21" customBuiltin="1"/>
    <cellStyle name="Magyarázó szöveg" xfId="39" builtinId="53" customBuiltin="1"/>
    <cellStyle name="Normál" xfId="0" builtinId="0"/>
    <cellStyle name="Normál_Ktgvetési rendelet mellékletek_2008_Eszteregnye" xfId="40"/>
    <cellStyle name="Normál_KVIREND" xfId="41"/>
    <cellStyle name="Normál_likviditási terv" xfId="42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</cellStyles>
  <dxfs count="0"/>
  <tableStyles count="0" defaultTableStyle="TableStyleMedium2" defaultPivotStyle="PivotStyleLight16"/>
  <colors>
    <mruColors>
      <color rgb="FFCCCCFF"/>
      <color rgb="FFCC99FF"/>
      <color rgb="FF9966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B19" sqref="B19"/>
    </sheetView>
  </sheetViews>
  <sheetFormatPr defaultColWidth="9.109375" defaultRowHeight="15.6" x14ac:dyDescent="0.25"/>
  <cols>
    <col min="1" max="1" width="5.5546875" style="3" customWidth="1"/>
    <col min="2" max="2" width="48.109375" style="2" customWidth="1"/>
    <col min="3" max="3" width="21.33203125" style="2" customWidth="1"/>
    <col min="4" max="10" width="9.109375" style="2"/>
    <col min="11" max="16384" width="9.109375" style="3"/>
  </cols>
  <sheetData>
    <row r="1" spans="1:10" ht="21.75" customHeight="1" x14ac:dyDescent="0.25">
      <c r="A1" s="453"/>
      <c r="B1" s="453"/>
      <c r="C1" s="453"/>
      <c r="D1" s="1"/>
      <c r="E1" s="1"/>
      <c r="F1" s="1"/>
    </row>
    <row r="2" spans="1:10" ht="30" customHeight="1" x14ac:dyDescent="0.25">
      <c r="A2" s="454"/>
      <c r="B2" s="454"/>
      <c r="C2" s="454"/>
      <c r="D2" s="5"/>
      <c r="E2" s="5"/>
      <c r="F2" s="5"/>
      <c r="G2" s="5"/>
    </row>
    <row r="3" spans="1:10" ht="30" customHeight="1" x14ac:dyDescent="0.25">
      <c r="B3" s="4"/>
      <c r="C3" s="4"/>
      <c r="D3" s="4"/>
      <c r="E3" s="5"/>
      <c r="F3" s="5"/>
      <c r="G3" s="5"/>
    </row>
    <row r="4" spans="1:10" ht="21.75" customHeight="1" x14ac:dyDescent="0.25">
      <c r="B4" s="6"/>
      <c r="C4" s="4"/>
      <c r="D4" s="4"/>
      <c r="E4" s="4"/>
      <c r="F4" s="4"/>
      <c r="G4" s="5"/>
    </row>
    <row r="5" spans="1:10" ht="18.600000000000001" thickBot="1" x14ac:dyDescent="0.3">
      <c r="B5" s="7"/>
      <c r="C5" s="8"/>
    </row>
    <row r="6" spans="1:10" ht="27.75" customHeight="1" x14ac:dyDescent="0.25">
      <c r="A6" s="455" t="s">
        <v>192</v>
      </c>
      <c r="B6" s="456"/>
      <c r="C6" s="457"/>
    </row>
    <row r="7" spans="1:10" ht="18" x14ac:dyDescent="0.25">
      <c r="A7" s="9" t="s">
        <v>193</v>
      </c>
      <c r="B7" s="451" t="s">
        <v>283</v>
      </c>
      <c r="C7" s="452"/>
    </row>
    <row r="8" spans="1:10" s="10" customFormat="1" ht="18" x14ac:dyDescent="0.25">
      <c r="A8" s="9"/>
      <c r="B8" s="451"/>
      <c r="C8" s="452"/>
      <c r="D8" s="2"/>
      <c r="E8" s="2"/>
      <c r="F8" s="2"/>
      <c r="G8" s="2"/>
      <c r="H8" s="2"/>
      <c r="I8" s="2"/>
      <c r="J8" s="2"/>
    </row>
    <row r="9" spans="1:10" x14ac:dyDescent="0.25">
      <c r="B9" s="4"/>
    </row>
  </sheetData>
  <mergeCells count="5">
    <mergeCell ref="B8:C8"/>
    <mergeCell ref="A1:C1"/>
    <mergeCell ref="A2:C2"/>
    <mergeCell ref="A6:C6"/>
    <mergeCell ref="B7:C7"/>
  </mergeCells>
  <phoneticPr fontId="3" type="noConversion"/>
  <printOptions horizontalCentered="1"/>
  <pageMargins left="0.75" right="0.75" top="1" bottom="1" header="0.5" footer="0.5"/>
  <pageSetup paperSize="9" orientation="portrait" horizontalDpi="300" verticalDpi="300" r:id="rId1"/>
  <headerFooter alignWithMargins="0">
    <oddHeader>&amp;R1. sz. melléklet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selection activeCell="D18" sqref="C18:M18"/>
    </sheetView>
  </sheetViews>
  <sheetFormatPr defaultRowHeight="13.2" x14ac:dyDescent="0.25"/>
  <cols>
    <col min="1" max="1" width="39" bestFit="1" customWidth="1"/>
    <col min="2" max="2" width="12" bestFit="1" customWidth="1"/>
    <col min="3" max="13" width="9.88671875" bestFit="1" customWidth="1"/>
    <col min="14" max="14" width="11.88671875" bestFit="1" customWidth="1"/>
    <col min="15" max="15" width="10.6640625" bestFit="1" customWidth="1"/>
  </cols>
  <sheetData>
    <row r="1" spans="1:15" ht="15.6" x14ac:dyDescent="0.25">
      <c r="A1" s="587" t="s">
        <v>343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  <c r="L1" s="587"/>
      <c r="M1" s="587"/>
      <c r="N1" s="587"/>
    </row>
    <row r="2" spans="1:15" ht="15.6" x14ac:dyDescent="0.25">
      <c r="A2" s="587" t="s">
        <v>244</v>
      </c>
      <c r="B2" s="587"/>
      <c r="C2" s="587"/>
      <c r="D2" s="587"/>
      <c r="E2" s="587"/>
      <c r="F2" s="587"/>
      <c r="G2" s="587"/>
      <c r="H2" s="587"/>
      <c r="I2" s="587"/>
      <c r="J2" s="587"/>
      <c r="K2" s="587"/>
      <c r="L2" s="587"/>
      <c r="M2" s="587"/>
      <c r="N2" s="587"/>
    </row>
    <row r="3" spans="1:15" x14ac:dyDescent="0.25">
      <c r="A3" s="588" t="s">
        <v>294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588"/>
    </row>
    <row r="4" spans="1:15" x14ac:dyDescent="0.25">
      <c r="A4" s="588"/>
      <c r="B4" s="588"/>
      <c r="C4" s="588"/>
      <c r="D4" s="588"/>
      <c r="E4" s="588"/>
      <c r="F4" s="588"/>
      <c r="G4" s="588"/>
      <c r="H4" s="588"/>
      <c r="I4" s="588"/>
      <c r="J4" s="588"/>
      <c r="K4" s="588"/>
      <c r="L4" s="588"/>
      <c r="M4" s="588"/>
      <c r="N4" s="588"/>
    </row>
    <row r="5" spans="1:15" ht="15.6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588" t="s">
        <v>3</v>
      </c>
      <c r="N5" s="588"/>
    </row>
    <row r="6" spans="1:15" ht="15.6" x14ac:dyDescent="0.25">
      <c r="A6" s="29" t="s">
        <v>186</v>
      </c>
      <c r="B6" s="30" t="s">
        <v>4</v>
      </c>
      <c r="C6" s="30" t="s">
        <v>5</v>
      </c>
      <c r="D6" s="30" t="s">
        <v>6</v>
      </c>
      <c r="E6" s="30" t="s">
        <v>7</v>
      </c>
      <c r="F6" s="30" t="s">
        <v>8</v>
      </c>
      <c r="G6" s="30" t="s">
        <v>9</v>
      </c>
      <c r="H6" s="30" t="s">
        <v>10</v>
      </c>
      <c r="I6" s="30" t="s">
        <v>11</v>
      </c>
      <c r="J6" s="30" t="s">
        <v>12</v>
      </c>
      <c r="K6" s="30" t="s">
        <v>13</v>
      </c>
      <c r="L6" s="30" t="s">
        <v>14</v>
      </c>
      <c r="M6" s="30" t="s">
        <v>15</v>
      </c>
      <c r="N6" s="29" t="s">
        <v>16</v>
      </c>
    </row>
    <row r="7" spans="1:15" x14ac:dyDescent="0.25">
      <c r="A7" s="40" t="s">
        <v>187</v>
      </c>
      <c r="B7" s="418">
        <f>O7/12+0.42</f>
        <v>2269652.0033333334</v>
      </c>
      <c r="C7" s="35">
        <v>2269652</v>
      </c>
      <c r="D7" s="35">
        <v>2269652</v>
      </c>
      <c r="E7" s="35">
        <v>2269652</v>
      </c>
      <c r="F7" s="35">
        <v>2269652</v>
      </c>
      <c r="G7" s="35">
        <v>2269652</v>
      </c>
      <c r="H7" s="35">
        <v>2269652</v>
      </c>
      <c r="I7" s="35">
        <v>2269652</v>
      </c>
      <c r="J7" s="35">
        <v>2269652</v>
      </c>
      <c r="K7" s="35">
        <v>2269652</v>
      </c>
      <c r="L7" s="35">
        <v>2269652</v>
      </c>
      <c r="M7" s="35">
        <v>2269647</v>
      </c>
      <c r="N7" s="36">
        <f t="shared" ref="N7:N12" si="0">SUM(B7:M7)</f>
        <v>27235819.003333334</v>
      </c>
      <c r="O7">
        <f>'13'!D10</f>
        <v>27235819</v>
      </c>
    </row>
    <row r="8" spans="1:15" x14ac:dyDescent="0.25">
      <c r="A8" s="40" t="s">
        <v>17</v>
      </c>
      <c r="B8" s="418">
        <f>O8/12+0.25</f>
        <v>518673</v>
      </c>
      <c r="C8" s="35">
        <v>518673</v>
      </c>
      <c r="D8" s="35">
        <v>518673</v>
      </c>
      <c r="E8" s="35">
        <v>518673</v>
      </c>
      <c r="F8" s="35">
        <v>518673</v>
      </c>
      <c r="G8" s="35">
        <v>518673</v>
      </c>
      <c r="H8" s="35">
        <v>518673</v>
      </c>
      <c r="I8" s="35">
        <v>518673</v>
      </c>
      <c r="J8" s="35">
        <v>518673</v>
      </c>
      <c r="K8" s="35">
        <v>518673</v>
      </c>
      <c r="L8" s="35">
        <v>518673</v>
      </c>
      <c r="M8" s="35">
        <v>518670</v>
      </c>
      <c r="N8" s="36">
        <f t="shared" si="0"/>
        <v>6224073</v>
      </c>
      <c r="O8">
        <f>'13'!D11</f>
        <v>6224073</v>
      </c>
    </row>
    <row r="9" spans="1:15" x14ac:dyDescent="0.25">
      <c r="A9" s="40" t="s">
        <v>197</v>
      </c>
      <c r="B9" s="418">
        <f>O9/12+0.42+0.41</f>
        <v>281929.99666666664</v>
      </c>
      <c r="C9" s="35">
        <v>281930</v>
      </c>
      <c r="D9" s="35">
        <v>281930</v>
      </c>
      <c r="E9" s="35">
        <v>281930</v>
      </c>
      <c r="F9" s="35">
        <v>281930</v>
      </c>
      <c r="G9" s="35">
        <v>281930</v>
      </c>
      <c r="H9" s="35">
        <v>281930</v>
      </c>
      <c r="I9" s="35">
        <v>281930</v>
      </c>
      <c r="J9" s="35">
        <v>281930</v>
      </c>
      <c r="K9" s="35">
        <v>281930</v>
      </c>
      <c r="L9" s="35">
        <v>281930</v>
      </c>
      <c r="M9" s="35">
        <v>281920</v>
      </c>
      <c r="N9" s="36">
        <f t="shared" si="0"/>
        <v>3383149.9966666666</v>
      </c>
      <c r="O9">
        <f>'13'!D12</f>
        <v>3383150</v>
      </c>
    </row>
    <row r="10" spans="1:15" x14ac:dyDescent="0.25">
      <c r="A10" s="40" t="s">
        <v>18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6">
        <f t="shared" si="0"/>
        <v>0</v>
      </c>
    </row>
    <row r="11" spans="1:15" x14ac:dyDescent="0.25">
      <c r="A11" s="40" t="s">
        <v>19</v>
      </c>
      <c r="B11" s="35">
        <f>+O11/12</f>
        <v>0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6">
        <f t="shared" si="0"/>
        <v>0</v>
      </c>
    </row>
    <row r="12" spans="1:15" x14ac:dyDescent="0.25">
      <c r="A12" s="40" t="s">
        <v>191</v>
      </c>
      <c r="B12" s="35">
        <f>+O12/12</f>
        <v>0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6">
        <f t="shared" si="0"/>
        <v>0</v>
      </c>
    </row>
    <row r="13" spans="1:15" x14ac:dyDescent="0.25">
      <c r="A13" s="40" t="s">
        <v>226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6"/>
    </row>
    <row r="14" spans="1:15" x14ac:dyDescent="0.25">
      <c r="A14" s="41" t="s">
        <v>20</v>
      </c>
      <c r="B14" s="35">
        <f>SUM(B7:B13)</f>
        <v>3070255</v>
      </c>
      <c r="C14" s="35">
        <f t="shared" ref="C14:M14" si="1">SUM(C7:C13)</f>
        <v>3070255</v>
      </c>
      <c r="D14" s="35">
        <f t="shared" si="1"/>
        <v>3070255</v>
      </c>
      <c r="E14" s="35">
        <f t="shared" si="1"/>
        <v>3070255</v>
      </c>
      <c r="F14" s="35">
        <f t="shared" si="1"/>
        <v>3070255</v>
      </c>
      <c r="G14" s="35">
        <f t="shared" si="1"/>
        <v>3070255</v>
      </c>
      <c r="H14" s="35">
        <f t="shared" si="1"/>
        <v>3070255</v>
      </c>
      <c r="I14" s="35">
        <f t="shared" si="1"/>
        <v>3070255</v>
      </c>
      <c r="J14" s="35">
        <f t="shared" si="1"/>
        <v>3070255</v>
      </c>
      <c r="K14" s="35">
        <f t="shared" si="1"/>
        <v>3070255</v>
      </c>
      <c r="L14" s="35">
        <f t="shared" si="1"/>
        <v>3070255</v>
      </c>
      <c r="M14" s="35">
        <f t="shared" si="1"/>
        <v>3070237</v>
      </c>
      <c r="N14" s="36">
        <f>SUM(N7:N13)</f>
        <v>36843042</v>
      </c>
      <c r="O14" s="425">
        <f>SUM(O7:O13)</f>
        <v>36843042</v>
      </c>
    </row>
    <row r="15" spans="1:15" ht="13.8" x14ac:dyDescent="0.25">
      <c r="A15" s="32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8"/>
    </row>
    <row r="16" spans="1:15" x14ac:dyDescent="0.25">
      <c r="A16" s="40" t="s">
        <v>21</v>
      </c>
      <c r="B16" s="35">
        <f>+O16/12</f>
        <v>0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6">
        <f t="shared" ref="N16:N22" si="2">SUM(B16:M16)</f>
        <v>0</v>
      </c>
    </row>
    <row r="17" spans="1:15" x14ac:dyDescent="0.25">
      <c r="A17" s="40" t="s">
        <v>198</v>
      </c>
      <c r="B17" s="35">
        <f>+O17/12</f>
        <v>0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6">
        <f t="shared" si="2"/>
        <v>0</v>
      </c>
    </row>
    <row r="18" spans="1:15" x14ac:dyDescent="0.25">
      <c r="A18" s="157" t="s">
        <v>368</v>
      </c>
      <c r="B18" s="418">
        <f>O18/12+0.33-156857</f>
        <v>2899136.9966666666</v>
      </c>
      <c r="C18" s="35">
        <f>3070255-18</f>
        <v>3070237</v>
      </c>
      <c r="D18" s="35">
        <v>3070255</v>
      </c>
      <c r="E18" s="35">
        <v>3070255</v>
      </c>
      <c r="F18" s="35">
        <v>3070255</v>
      </c>
      <c r="G18" s="35">
        <v>3070255</v>
      </c>
      <c r="H18" s="35">
        <v>3070255</v>
      </c>
      <c r="I18" s="35">
        <v>3070255</v>
      </c>
      <c r="J18" s="35">
        <v>3070255</v>
      </c>
      <c r="K18" s="35">
        <v>3070255</v>
      </c>
      <c r="L18" s="35">
        <v>3070255</v>
      </c>
      <c r="M18" s="35">
        <v>3070255</v>
      </c>
      <c r="N18" s="36">
        <f t="shared" si="2"/>
        <v>36671923.99666667</v>
      </c>
      <c r="O18">
        <f>'13'!D62</f>
        <v>36671924</v>
      </c>
    </row>
    <row r="19" spans="1:15" x14ac:dyDescent="0.25">
      <c r="A19" s="40" t="s">
        <v>29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6">
        <f t="shared" si="2"/>
        <v>0</v>
      </c>
    </row>
    <row r="20" spans="1:15" x14ac:dyDescent="0.25">
      <c r="A20" s="40" t="s">
        <v>190</v>
      </c>
      <c r="B20" s="35">
        <f>+O20/12</f>
        <v>0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6">
        <f t="shared" si="2"/>
        <v>0</v>
      </c>
    </row>
    <row r="21" spans="1:15" x14ac:dyDescent="0.25">
      <c r="A21" s="40" t="s">
        <v>152</v>
      </c>
      <c r="B21" s="35">
        <v>171118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424">
        <f t="shared" si="2"/>
        <v>171118</v>
      </c>
      <c r="O21">
        <f>'13'!D64</f>
        <v>171118</v>
      </c>
    </row>
    <row r="22" spans="1:15" ht="13.8" x14ac:dyDescent="0.25">
      <c r="A22" s="31" t="s">
        <v>23</v>
      </c>
      <c r="B22" s="35">
        <f>+B16+B17+B18+B19+B20+B21</f>
        <v>3070254.9966666666</v>
      </c>
      <c r="C22" s="35">
        <f>+C16+C17+C18+C19+C20+C21</f>
        <v>3070237</v>
      </c>
      <c r="D22" s="35">
        <f t="shared" ref="D22:L22" si="3">+D16+D17+D18+D19+D20+D21</f>
        <v>3070255</v>
      </c>
      <c r="E22" s="35">
        <f t="shared" si="3"/>
        <v>3070255</v>
      </c>
      <c r="F22" s="35">
        <f t="shared" si="3"/>
        <v>3070255</v>
      </c>
      <c r="G22" s="35">
        <f t="shared" si="3"/>
        <v>3070255</v>
      </c>
      <c r="H22" s="35">
        <f t="shared" si="3"/>
        <v>3070255</v>
      </c>
      <c r="I22" s="35">
        <f t="shared" si="3"/>
        <v>3070255</v>
      </c>
      <c r="J22" s="35">
        <f t="shared" si="3"/>
        <v>3070255</v>
      </c>
      <c r="K22" s="35">
        <f t="shared" si="3"/>
        <v>3070255</v>
      </c>
      <c r="L22" s="35">
        <f t="shared" si="3"/>
        <v>3070255</v>
      </c>
      <c r="M22" s="35">
        <f>SUM(M16:M20)+M21</f>
        <v>3070255</v>
      </c>
      <c r="N22" s="424">
        <f t="shared" si="2"/>
        <v>36843041.99666667</v>
      </c>
    </row>
  </sheetData>
  <mergeCells count="4">
    <mergeCell ref="A1:N1"/>
    <mergeCell ref="A2:N2"/>
    <mergeCell ref="A3:N4"/>
    <mergeCell ref="M5:N5"/>
  </mergeCells>
  <phoneticPr fontId="20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7" workbookViewId="0">
      <selection activeCell="F5" sqref="F5"/>
    </sheetView>
  </sheetViews>
  <sheetFormatPr defaultRowHeight="13.2" x14ac:dyDescent="0.25"/>
  <cols>
    <col min="1" max="1" width="51.88671875" customWidth="1"/>
    <col min="5" max="5" width="10.88671875" customWidth="1"/>
    <col min="6" max="6" width="12.33203125" customWidth="1"/>
  </cols>
  <sheetData>
    <row r="1" spans="1:6" ht="18" x14ac:dyDescent="0.25">
      <c r="A1" s="572" t="s">
        <v>340</v>
      </c>
      <c r="B1" s="572"/>
      <c r="C1" s="572"/>
      <c r="D1" s="572"/>
      <c r="E1" s="572"/>
      <c r="F1" s="50"/>
    </row>
    <row r="2" spans="1:6" ht="18" x14ac:dyDescent="0.25">
      <c r="A2" s="572" t="s">
        <v>266</v>
      </c>
      <c r="B2" s="572"/>
      <c r="C2" s="572"/>
      <c r="D2" s="572"/>
      <c r="E2" s="572"/>
      <c r="F2" s="50"/>
    </row>
    <row r="3" spans="1:6" x14ac:dyDescent="0.25">
      <c r="A3" s="49"/>
      <c r="B3" s="50"/>
      <c r="C3" s="50"/>
      <c r="D3" s="50"/>
      <c r="E3" s="50"/>
      <c r="F3" s="50"/>
    </row>
    <row r="4" spans="1:6" ht="18" x14ac:dyDescent="0.25">
      <c r="A4" s="572" t="s">
        <v>221</v>
      </c>
      <c r="B4" s="573"/>
      <c r="C4" s="573"/>
      <c r="D4" s="573"/>
      <c r="E4" s="573"/>
      <c r="F4" s="426" t="s">
        <v>379</v>
      </c>
    </row>
    <row r="5" spans="1:6" ht="18.600000000000001" thickBot="1" x14ac:dyDescent="0.35">
      <c r="A5" s="414"/>
      <c r="B5" s="415"/>
      <c r="C5" s="415"/>
      <c r="D5" s="415"/>
      <c r="E5" s="415"/>
      <c r="F5" s="132"/>
    </row>
    <row r="6" spans="1:6" ht="57.6" thickBot="1" x14ac:dyDescent="0.3">
      <c r="A6" s="133" t="s">
        <v>136</v>
      </c>
      <c r="B6" s="134" t="s">
        <v>137</v>
      </c>
      <c r="C6" s="134" t="s">
        <v>138</v>
      </c>
      <c r="D6" s="134" t="s">
        <v>316</v>
      </c>
      <c r="E6" s="134" t="s">
        <v>317</v>
      </c>
      <c r="F6" s="135" t="s">
        <v>318</v>
      </c>
    </row>
    <row r="7" spans="1:6" ht="13.8" thickBot="1" x14ac:dyDescent="0.3">
      <c r="A7" s="136">
        <v>1</v>
      </c>
      <c r="B7" s="137">
        <v>2</v>
      </c>
      <c r="C7" s="137">
        <v>3</v>
      </c>
      <c r="D7" s="137">
        <v>4</v>
      </c>
      <c r="E7" s="137">
        <v>5</v>
      </c>
      <c r="F7" s="138">
        <v>6</v>
      </c>
    </row>
    <row r="8" spans="1:6" ht="15.6" x14ac:dyDescent="0.25">
      <c r="A8" s="139" t="s">
        <v>139</v>
      </c>
      <c r="B8" s="140"/>
      <c r="C8" s="141"/>
      <c r="D8" s="140"/>
      <c r="E8" s="140"/>
      <c r="F8" s="142">
        <f>B8-D8-E8</f>
        <v>0</v>
      </c>
    </row>
    <row r="9" spans="1:6" ht="15.6" x14ac:dyDescent="0.25">
      <c r="A9" s="143"/>
      <c r="B9" s="140"/>
      <c r="C9" s="141"/>
      <c r="D9" s="140"/>
      <c r="E9" s="140"/>
      <c r="F9" s="142">
        <f>B9-D9-E9</f>
        <v>0</v>
      </c>
    </row>
    <row r="10" spans="1:6" ht="15.6" x14ac:dyDescent="0.25">
      <c r="A10" s="143"/>
      <c r="B10" s="140"/>
      <c r="C10" s="141"/>
      <c r="D10" s="140"/>
      <c r="E10" s="140"/>
      <c r="F10" s="142">
        <f>B10-D10-E10</f>
        <v>0</v>
      </c>
    </row>
    <row r="11" spans="1:6" ht="15.6" x14ac:dyDescent="0.25">
      <c r="A11" s="139" t="s">
        <v>140</v>
      </c>
      <c r="B11" s="140"/>
      <c r="C11" s="141"/>
      <c r="D11" s="140"/>
      <c r="E11" s="348">
        <f>E20+E27</f>
        <v>420000</v>
      </c>
      <c r="F11" s="142"/>
    </row>
    <row r="12" spans="1:6" ht="15.6" x14ac:dyDescent="0.25">
      <c r="A12" s="143" t="s">
        <v>369</v>
      </c>
      <c r="B12" s="140"/>
      <c r="C12" s="150"/>
      <c r="D12" s="140"/>
      <c r="E12" s="427">
        <v>60000</v>
      </c>
      <c r="F12" s="142"/>
    </row>
    <row r="13" spans="1:6" ht="15.6" x14ac:dyDescent="0.25">
      <c r="A13" s="143" t="s">
        <v>370</v>
      </c>
      <c r="B13" s="140"/>
      <c r="C13" s="150"/>
      <c r="D13" s="140"/>
      <c r="E13" s="427">
        <v>50000</v>
      </c>
      <c r="F13" s="142"/>
    </row>
    <row r="14" spans="1:6" ht="15.6" x14ac:dyDescent="0.25">
      <c r="A14" s="143" t="s">
        <v>371</v>
      </c>
      <c r="B14" s="140"/>
      <c r="C14" s="141"/>
      <c r="D14" s="140"/>
      <c r="E14" s="427">
        <v>50000</v>
      </c>
      <c r="F14" s="142"/>
    </row>
    <row r="15" spans="1:6" ht="15.6" x14ac:dyDescent="0.25">
      <c r="A15" s="143" t="s">
        <v>372</v>
      </c>
      <c r="B15" s="140"/>
      <c r="C15" s="141"/>
      <c r="D15" s="140"/>
      <c r="E15" s="427"/>
      <c r="F15" s="142"/>
    </row>
    <row r="16" spans="1:6" ht="15.6" x14ac:dyDescent="0.25">
      <c r="A16" s="143" t="s">
        <v>373</v>
      </c>
      <c r="B16" s="140"/>
      <c r="C16" s="141"/>
      <c r="D16" s="140"/>
      <c r="E16" s="427">
        <v>150000</v>
      </c>
      <c r="F16" s="142"/>
    </row>
    <row r="17" spans="1:6" ht="15.6" x14ac:dyDescent="0.25">
      <c r="A17" s="143" t="s">
        <v>374</v>
      </c>
      <c r="B17" s="140"/>
      <c r="C17" s="141"/>
      <c r="D17" s="140"/>
      <c r="E17" s="427">
        <v>10000</v>
      </c>
      <c r="F17" s="142"/>
    </row>
    <row r="18" spans="1:6" ht="15.6" x14ac:dyDescent="0.25">
      <c r="A18" s="143" t="s">
        <v>375</v>
      </c>
      <c r="B18" s="140"/>
      <c r="C18" s="141"/>
      <c r="D18" s="140"/>
      <c r="E18" s="427">
        <v>100000</v>
      </c>
      <c r="F18" s="142"/>
    </row>
    <row r="19" spans="1:6" ht="15.6" x14ac:dyDescent="0.25">
      <c r="A19" s="143"/>
      <c r="B19" s="140"/>
      <c r="C19" s="141"/>
      <c r="D19" s="140"/>
      <c r="E19" s="427"/>
      <c r="F19" s="142"/>
    </row>
    <row r="20" spans="1:6" ht="15.6" x14ac:dyDescent="0.25">
      <c r="A20" s="143" t="s">
        <v>376</v>
      </c>
      <c r="B20" s="140"/>
      <c r="C20" s="141"/>
      <c r="D20" s="140"/>
      <c r="E20" s="427">
        <f>SUM(E12:E19)</f>
        <v>420000</v>
      </c>
      <c r="F20" s="142"/>
    </row>
    <row r="21" spans="1:6" ht="15.6" x14ac:dyDescent="0.25">
      <c r="A21" s="143"/>
      <c r="B21" s="140"/>
      <c r="C21" s="141"/>
      <c r="D21" s="140"/>
      <c r="E21" s="140"/>
      <c r="F21" s="142"/>
    </row>
    <row r="22" spans="1:6" ht="15.6" x14ac:dyDescent="0.25">
      <c r="A22" s="143" t="s">
        <v>377</v>
      </c>
      <c r="B22" s="140"/>
      <c r="C22" s="141"/>
      <c r="D22" s="140"/>
      <c r="E22" s="140"/>
      <c r="F22" s="142"/>
    </row>
    <row r="23" spans="1:6" x14ac:dyDescent="0.25">
      <c r="A23" s="428"/>
      <c r="B23" s="140"/>
      <c r="C23" s="141"/>
      <c r="D23" s="140"/>
      <c r="E23" s="429"/>
      <c r="F23" s="142"/>
    </row>
    <row r="24" spans="1:6" x14ac:dyDescent="0.25">
      <c r="A24" s="428"/>
      <c r="B24" s="140"/>
      <c r="C24" s="141"/>
      <c r="D24" s="140"/>
      <c r="E24" s="429"/>
      <c r="F24" s="142"/>
    </row>
    <row r="25" spans="1:6" x14ac:dyDescent="0.25">
      <c r="A25" s="428"/>
      <c r="B25" s="140"/>
      <c r="C25" s="141"/>
      <c r="D25" s="140"/>
      <c r="E25" s="429"/>
      <c r="F25" s="142"/>
    </row>
    <row r="26" spans="1:6" x14ac:dyDescent="0.25">
      <c r="A26" s="428"/>
      <c r="B26" s="140"/>
      <c r="C26" s="141"/>
      <c r="D26" s="140"/>
      <c r="E26" s="429"/>
      <c r="F26" s="142"/>
    </row>
    <row r="27" spans="1:6" ht="15.6" x14ac:dyDescent="0.25">
      <c r="A27" s="143" t="s">
        <v>378</v>
      </c>
      <c r="B27" s="140"/>
      <c r="C27" s="141"/>
      <c r="D27" s="140"/>
      <c r="E27" s="429"/>
      <c r="F27" s="142"/>
    </row>
    <row r="28" spans="1:6" ht="15.6" x14ac:dyDescent="0.25">
      <c r="A28" s="143"/>
      <c r="B28" s="140"/>
      <c r="C28" s="141"/>
      <c r="D28" s="140"/>
      <c r="E28" s="429"/>
      <c r="F28" s="142"/>
    </row>
    <row r="29" spans="1:6" ht="15.6" x14ac:dyDescent="0.25">
      <c r="A29" s="144"/>
      <c r="B29" s="140"/>
      <c r="C29" s="141"/>
      <c r="D29" s="140"/>
      <c r="E29" s="140">
        <f>+B29-D29</f>
        <v>0</v>
      </c>
      <c r="F29" s="142">
        <v>0</v>
      </c>
    </row>
    <row r="30" spans="1:6" ht="16.2" thickBot="1" x14ac:dyDescent="0.3">
      <c r="A30" s="430"/>
      <c r="B30" s="431"/>
      <c r="C30" s="432"/>
      <c r="D30" s="431"/>
      <c r="E30" s="431"/>
      <c r="F30" s="433"/>
    </row>
    <row r="31" spans="1:6" ht="13.8" thickBot="1" x14ac:dyDescent="0.3">
      <c r="A31" s="145" t="s">
        <v>141</v>
      </c>
      <c r="B31" s="146">
        <f>SUM(B9:B30)</f>
        <v>0</v>
      </c>
      <c r="C31" s="147"/>
      <c r="D31" s="146">
        <f>SUM(D8:D29)</f>
        <v>0</v>
      </c>
      <c r="E31" s="146">
        <f>E11+E8+E28</f>
        <v>420000</v>
      </c>
      <c r="F31" s="148">
        <f>SUM(F8:F29)</f>
        <v>0</v>
      </c>
    </row>
  </sheetData>
  <mergeCells count="3">
    <mergeCell ref="A1:E1"/>
    <mergeCell ref="A2:E2"/>
    <mergeCell ref="A4:E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"/>
  <sheetViews>
    <sheetView zoomScale="75" workbookViewId="0">
      <selection sqref="A1:F1"/>
    </sheetView>
  </sheetViews>
  <sheetFormatPr defaultRowHeight="15.6" x14ac:dyDescent="0.25"/>
  <cols>
    <col min="1" max="1" width="6" style="2" customWidth="1"/>
    <col min="2" max="2" width="5.109375" style="1" customWidth="1"/>
    <col min="3" max="3" width="82.5546875" style="1" customWidth="1"/>
    <col min="4" max="4" width="17.5546875" style="2" customWidth="1"/>
    <col min="5" max="5" width="16.44140625" style="2" customWidth="1"/>
    <col min="6" max="6" width="16.6640625" style="2" customWidth="1"/>
    <col min="7" max="7" width="14.88671875" style="11" bestFit="1" customWidth="1"/>
    <col min="8" max="8" width="13.5546875" customWidth="1"/>
  </cols>
  <sheetData>
    <row r="1" spans="1:7" ht="17.399999999999999" x14ac:dyDescent="0.3">
      <c r="A1" s="461" t="s">
        <v>339</v>
      </c>
      <c r="B1" s="525"/>
      <c r="C1" s="525"/>
      <c r="D1" s="525"/>
      <c r="E1" s="525"/>
      <c r="F1" s="525"/>
    </row>
    <row r="2" spans="1:7" x14ac:dyDescent="0.25">
      <c r="A2" s="454"/>
      <c r="B2" s="454"/>
      <c r="C2" s="454"/>
      <c r="D2" s="454"/>
      <c r="E2" s="454"/>
      <c r="F2" s="454"/>
    </row>
    <row r="3" spans="1:7" x14ac:dyDescent="0.3">
      <c r="A3" s="462" t="s">
        <v>244</v>
      </c>
      <c r="B3" s="462"/>
      <c r="C3" s="462"/>
      <c r="D3" s="462"/>
      <c r="E3" s="462"/>
      <c r="F3" s="462"/>
    </row>
    <row r="4" spans="1:7" x14ac:dyDescent="0.25">
      <c r="A4" s="454" t="s">
        <v>199</v>
      </c>
      <c r="B4" s="454"/>
      <c r="C4" s="454"/>
      <c r="D4" s="454"/>
      <c r="E4" s="454"/>
      <c r="F4" s="454"/>
    </row>
    <row r="5" spans="1:7" ht="16.2" thickBot="1" x14ac:dyDescent="0.35">
      <c r="A5" s="463" t="s">
        <v>293</v>
      </c>
      <c r="B5" s="463"/>
      <c r="C5" s="463"/>
      <c r="D5" s="463"/>
      <c r="E5" s="463"/>
      <c r="F5" s="463"/>
    </row>
    <row r="6" spans="1:7" ht="13.2" x14ac:dyDescent="0.25">
      <c r="A6" s="521" t="s">
        <v>200</v>
      </c>
      <c r="B6" s="469" t="s">
        <v>186</v>
      </c>
      <c r="C6" s="469"/>
      <c r="D6" s="520" t="s">
        <v>245</v>
      </c>
      <c r="E6" s="507" t="s">
        <v>236</v>
      </c>
      <c r="F6" s="507" t="s">
        <v>237</v>
      </c>
      <c r="G6" s="509" t="s">
        <v>238</v>
      </c>
    </row>
    <row r="7" spans="1:7" ht="13.2" x14ac:dyDescent="0.25">
      <c r="A7" s="522"/>
      <c r="B7" s="460"/>
      <c r="C7" s="460"/>
      <c r="D7" s="512"/>
      <c r="E7" s="508"/>
      <c r="F7" s="508"/>
      <c r="G7" s="510"/>
    </row>
    <row r="8" spans="1:7" thickBot="1" x14ac:dyDescent="0.3">
      <c r="A8" s="523"/>
      <c r="B8" s="524"/>
      <c r="C8" s="524"/>
      <c r="D8" s="511" t="s">
        <v>350</v>
      </c>
      <c r="E8" s="512"/>
      <c r="F8" s="512"/>
      <c r="G8" s="265"/>
    </row>
    <row r="9" spans="1:7" x14ac:dyDescent="0.25">
      <c r="A9" s="264"/>
      <c r="B9" s="469" t="s">
        <v>201</v>
      </c>
      <c r="C9" s="469"/>
      <c r="D9" s="275"/>
      <c r="E9" s="268"/>
      <c r="F9" s="261"/>
      <c r="G9" s="261"/>
    </row>
    <row r="10" spans="1:7" x14ac:dyDescent="0.3">
      <c r="A10" s="9">
        <v>1</v>
      </c>
      <c r="B10" s="464" t="s">
        <v>187</v>
      </c>
      <c r="C10" s="464"/>
      <c r="D10" s="269">
        <v>27235819</v>
      </c>
      <c r="E10" s="269">
        <v>27235819</v>
      </c>
      <c r="F10" s="185"/>
      <c r="G10" s="266"/>
    </row>
    <row r="11" spans="1:7" x14ac:dyDescent="0.3">
      <c r="A11" s="9">
        <v>2</v>
      </c>
      <c r="B11" s="464" t="s">
        <v>196</v>
      </c>
      <c r="C11" s="464"/>
      <c r="D11" s="269">
        <v>6224073</v>
      </c>
      <c r="E11" s="269">
        <v>6224073</v>
      </c>
      <c r="F11" s="185"/>
      <c r="G11" s="266"/>
    </row>
    <row r="12" spans="1:7" x14ac:dyDescent="0.3">
      <c r="A12" s="9">
        <v>3</v>
      </c>
      <c r="B12" s="464" t="s">
        <v>197</v>
      </c>
      <c r="C12" s="464"/>
      <c r="D12" s="269">
        <v>3383150</v>
      </c>
      <c r="E12" s="269">
        <v>3383150</v>
      </c>
      <c r="F12" s="185"/>
      <c r="G12" s="276"/>
    </row>
    <row r="13" spans="1:7" x14ac:dyDescent="0.3">
      <c r="A13" s="9" t="s">
        <v>45</v>
      </c>
      <c r="B13" s="464" t="s">
        <v>179</v>
      </c>
      <c r="C13" s="464"/>
      <c r="D13" s="321"/>
      <c r="E13" s="269"/>
      <c r="F13" s="185"/>
      <c r="G13" s="266"/>
    </row>
    <row r="14" spans="1:7" x14ac:dyDescent="0.25">
      <c r="A14" s="9" t="s">
        <v>47</v>
      </c>
      <c r="B14" s="465" t="s">
        <v>173</v>
      </c>
      <c r="C14" s="465"/>
      <c r="D14" s="321">
        <f>+D15+D16+D17+D18+D19</f>
        <v>0</v>
      </c>
      <c r="E14" s="269"/>
      <c r="F14" s="13"/>
      <c r="G14" s="13"/>
    </row>
    <row r="15" spans="1:7" x14ac:dyDescent="0.3">
      <c r="A15" s="9" t="s">
        <v>165</v>
      </c>
      <c r="B15" s="475" t="s">
        <v>168</v>
      </c>
      <c r="C15" s="475"/>
      <c r="D15" s="321"/>
      <c r="E15" s="269"/>
      <c r="F15" s="185"/>
      <c r="G15" s="266"/>
    </row>
    <row r="16" spans="1:7" x14ac:dyDescent="0.3">
      <c r="A16" s="9" t="s">
        <v>166</v>
      </c>
      <c r="B16" s="475" t="s">
        <v>235</v>
      </c>
      <c r="C16" s="475"/>
      <c r="D16" s="321"/>
      <c r="E16" s="269"/>
      <c r="F16" s="185"/>
      <c r="G16" s="266"/>
    </row>
    <row r="17" spans="1:7" x14ac:dyDescent="0.3">
      <c r="A17" s="9"/>
      <c r="B17" s="589" t="s">
        <v>174</v>
      </c>
      <c r="C17" s="589"/>
      <c r="D17" s="321"/>
      <c r="E17" s="269"/>
      <c r="F17" s="185"/>
      <c r="G17" s="266"/>
    </row>
    <row r="18" spans="1:7" x14ac:dyDescent="0.3">
      <c r="A18" s="9" t="s">
        <v>167</v>
      </c>
      <c r="B18" s="477" t="s">
        <v>169</v>
      </c>
      <c r="C18" s="477"/>
      <c r="D18" s="321"/>
      <c r="E18" s="269"/>
      <c r="F18" s="185"/>
      <c r="G18" s="266"/>
    </row>
    <row r="19" spans="1:7" x14ac:dyDescent="0.3">
      <c r="A19" s="9" t="s">
        <v>73</v>
      </c>
      <c r="B19" s="477" t="s">
        <v>74</v>
      </c>
      <c r="C19" s="478"/>
      <c r="D19" s="321"/>
      <c r="E19" s="269"/>
      <c r="F19" s="185"/>
      <c r="G19" s="266"/>
    </row>
    <row r="20" spans="1:7" x14ac:dyDescent="0.3">
      <c r="A20" s="9"/>
      <c r="B20" s="464" t="s">
        <v>231</v>
      </c>
      <c r="C20" s="464"/>
      <c r="D20" s="322"/>
      <c r="E20" s="270"/>
      <c r="F20" s="329"/>
      <c r="G20" s="280"/>
    </row>
    <row r="21" spans="1:7" x14ac:dyDescent="0.25">
      <c r="A21" s="9" t="s">
        <v>193</v>
      </c>
      <c r="B21" s="260" t="s">
        <v>164</v>
      </c>
      <c r="C21" s="149"/>
      <c r="D21" s="321">
        <f>+D10+D11+D12+D13+D14+D20</f>
        <v>36843042</v>
      </c>
      <c r="E21" s="321">
        <f>+E10+E11+E12+E13+E14+E20</f>
        <v>36843042</v>
      </c>
      <c r="F21" s="269"/>
      <c r="G21" s="269"/>
    </row>
    <row r="22" spans="1:7" x14ac:dyDescent="0.3">
      <c r="A22" s="9" t="s">
        <v>48</v>
      </c>
      <c r="B22" s="464" t="s">
        <v>189</v>
      </c>
      <c r="C22" s="464"/>
      <c r="D22" s="322"/>
      <c r="E22" s="270"/>
      <c r="F22" s="185"/>
      <c r="G22" s="266"/>
    </row>
    <row r="23" spans="1:7" x14ac:dyDescent="0.3">
      <c r="A23" s="9" t="s">
        <v>49</v>
      </c>
      <c r="B23" s="464" t="s">
        <v>188</v>
      </c>
      <c r="C23" s="464"/>
      <c r="D23" s="322"/>
      <c r="E23" s="270"/>
      <c r="F23" s="185"/>
      <c r="G23" s="266"/>
    </row>
    <row r="24" spans="1:7" x14ac:dyDescent="0.3">
      <c r="A24" s="9" t="s">
        <v>51</v>
      </c>
      <c r="B24" s="464" t="s">
        <v>170</v>
      </c>
      <c r="C24" s="464"/>
      <c r="D24" s="322"/>
      <c r="E24" s="270"/>
      <c r="F24" s="185"/>
      <c r="G24" s="266"/>
    </row>
    <row r="25" spans="1:7" x14ac:dyDescent="0.3">
      <c r="A25" s="9" t="s">
        <v>194</v>
      </c>
      <c r="B25" s="464" t="s">
        <v>232</v>
      </c>
      <c r="C25" s="464"/>
      <c r="D25" s="322">
        <f>+D22+D23+D24</f>
        <v>0</v>
      </c>
      <c r="E25" s="270"/>
      <c r="F25" s="185"/>
      <c r="G25" s="266"/>
    </row>
    <row r="26" spans="1:7" x14ac:dyDescent="0.3">
      <c r="A26" s="9" t="s">
        <v>195</v>
      </c>
      <c r="B26" s="464"/>
      <c r="C26" s="464"/>
      <c r="D26" s="322"/>
      <c r="E26" s="270"/>
      <c r="F26" s="185"/>
      <c r="G26" s="266"/>
    </row>
    <row r="27" spans="1:7" x14ac:dyDescent="0.3">
      <c r="A27" s="9" t="s">
        <v>180</v>
      </c>
      <c r="B27" s="513"/>
      <c r="C27" s="513"/>
      <c r="D27" s="324"/>
      <c r="E27" s="271"/>
      <c r="F27" s="185">
        <f>+D27+E27</f>
        <v>0</v>
      </c>
      <c r="G27" s="266"/>
    </row>
    <row r="28" spans="1:7" x14ac:dyDescent="0.3">
      <c r="A28" s="9" t="s">
        <v>181</v>
      </c>
      <c r="B28" s="513"/>
      <c r="C28" s="513"/>
      <c r="D28" s="324"/>
      <c r="E28" s="318"/>
      <c r="F28" s="185">
        <f>+D28+E28</f>
        <v>0</v>
      </c>
      <c r="G28" s="266"/>
    </row>
    <row r="29" spans="1:7" ht="17.399999999999999" x14ac:dyDescent="0.3">
      <c r="A29" s="151" t="s">
        <v>171</v>
      </c>
      <c r="B29" s="485" t="s">
        <v>172</v>
      </c>
      <c r="C29" s="485"/>
      <c r="D29" s="319">
        <f>+D21+D25+D26+D27+D28</f>
        <v>36843042</v>
      </c>
      <c r="E29" s="319">
        <f>+E21+E25+E26+E27+E28</f>
        <v>36843042</v>
      </c>
      <c r="F29" s="319">
        <f>+F21+F25+F26+F27+F28</f>
        <v>0</v>
      </c>
      <c r="G29" s="319">
        <f>+G21+G25+G26+G27+G28</f>
        <v>0</v>
      </c>
    </row>
    <row r="30" spans="1:7" x14ac:dyDescent="0.3">
      <c r="A30" s="18"/>
      <c r="B30" s="484"/>
      <c r="C30" s="484"/>
      <c r="D30" s="20"/>
      <c r="E30" s="273"/>
      <c r="F30" s="19"/>
      <c r="G30" s="19"/>
    </row>
    <row r="31" spans="1:7" x14ac:dyDescent="0.3">
      <c r="A31" s="9"/>
      <c r="B31" s="488" t="s">
        <v>202</v>
      </c>
      <c r="C31" s="488"/>
      <c r="D31" s="322"/>
      <c r="E31" s="270"/>
      <c r="F31" s="185"/>
      <c r="G31" s="266"/>
    </row>
    <row r="32" spans="1:7" x14ac:dyDescent="0.3">
      <c r="A32" s="9" t="s">
        <v>30</v>
      </c>
      <c r="B32" s="489" t="s">
        <v>230</v>
      </c>
      <c r="C32" s="489"/>
      <c r="D32" s="322"/>
      <c r="E32" s="270"/>
      <c r="F32" s="185"/>
      <c r="G32" s="266">
        <v>0</v>
      </c>
    </row>
    <row r="33" spans="1:7" x14ac:dyDescent="0.3">
      <c r="A33" s="9" t="s">
        <v>43</v>
      </c>
      <c r="B33" s="489" t="s">
        <v>198</v>
      </c>
      <c r="C33" s="489"/>
      <c r="D33" s="322">
        <f>SUM(D34:D36)</f>
        <v>0</v>
      </c>
      <c r="E33" s="270">
        <f>SUM(E34:E36)</f>
        <v>0</v>
      </c>
      <c r="F33" s="270">
        <f>SUM(F34:F36)</f>
        <v>0</v>
      </c>
      <c r="G33" s="266"/>
    </row>
    <row r="34" spans="1:7" x14ac:dyDescent="0.3">
      <c r="A34" s="9"/>
      <c r="B34" s="219" t="s">
        <v>75</v>
      </c>
      <c r="C34" s="129" t="s">
        <v>175</v>
      </c>
      <c r="D34" s="322"/>
      <c r="E34" s="270"/>
      <c r="F34" s="185"/>
      <c r="G34" s="266"/>
    </row>
    <row r="35" spans="1:7" x14ac:dyDescent="0.3">
      <c r="A35" s="9"/>
      <c r="B35" s="219" t="s">
        <v>76</v>
      </c>
      <c r="C35" s="129" t="s">
        <v>176</v>
      </c>
      <c r="D35" s="322"/>
      <c r="E35" s="270"/>
      <c r="F35" s="185"/>
      <c r="G35" s="266"/>
    </row>
    <row r="36" spans="1:7" x14ac:dyDescent="0.3">
      <c r="A36" s="9"/>
      <c r="B36" s="219" t="s">
        <v>77</v>
      </c>
      <c r="C36" s="129" t="s">
        <v>177</v>
      </c>
      <c r="D36" s="322"/>
      <c r="E36" s="270"/>
      <c r="F36" s="185"/>
      <c r="G36" s="266"/>
    </row>
    <row r="37" spans="1:7" x14ac:dyDescent="0.3">
      <c r="A37" s="9" t="s">
        <v>44</v>
      </c>
      <c r="B37" s="489" t="s">
        <v>143</v>
      </c>
      <c r="C37" s="489"/>
      <c r="D37" s="322">
        <f>SUM(D38:D40)</f>
        <v>0</v>
      </c>
      <c r="E37" s="270"/>
      <c r="F37" s="185">
        <f>SUM(F38:F40)</f>
        <v>0</v>
      </c>
      <c r="G37" s="266"/>
    </row>
    <row r="38" spans="1:7" x14ac:dyDescent="0.3">
      <c r="A38" s="9"/>
      <c r="B38" s="220" t="s">
        <v>78</v>
      </c>
      <c r="C38" s="218" t="s">
        <v>233</v>
      </c>
      <c r="D38" s="322"/>
      <c r="E38" s="270"/>
      <c r="F38" s="185"/>
      <c r="G38" s="266"/>
    </row>
    <row r="39" spans="1:7" x14ac:dyDescent="0.3">
      <c r="A39" s="9"/>
      <c r="B39" s="220" t="s">
        <v>79</v>
      </c>
      <c r="C39" s="218" t="s">
        <v>81</v>
      </c>
      <c r="D39" s="322"/>
      <c r="E39" s="270"/>
      <c r="F39" s="185">
        <f t="shared" ref="F39:F45" si="0">SUM(D39:D39)</f>
        <v>0</v>
      </c>
      <c r="G39" s="266"/>
    </row>
    <row r="40" spans="1:7" x14ac:dyDescent="0.3">
      <c r="A40" s="9"/>
      <c r="B40" s="220" t="s">
        <v>80</v>
      </c>
      <c r="C40" s="218" t="s">
        <v>234</v>
      </c>
      <c r="D40" s="322"/>
      <c r="E40" s="270"/>
      <c r="F40" s="185"/>
      <c r="G40" s="266"/>
    </row>
    <row r="41" spans="1:7" x14ac:dyDescent="0.3">
      <c r="A41" s="9" t="s">
        <v>45</v>
      </c>
      <c r="B41" s="489" t="s">
        <v>144</v>
      </c>
      <c r="C41" s="489"/>
      <c r="D41" s="322">
        <f>SUM(D42:D45)</f>
        <v>0</v>
      </c>
      <c r="E41" s="270">
        <f>SUM(E42:E45)</f>
        <v>0</v>
      </c>
      <c r="F41" s="270">
        <f>SUM(F42:F45)</f>
        <v>0</v>
      </c>
      <c r="G41" s="266"/>
    </row>
    <row r="42" spans="1:7" x14ac:dyDescent="0.3">
      <c r="A42" s="9"/>
      <c r="B42" s="220" t="s">
        <v>82</v>
      </c>
      <c r="C42" s="218" t="s">
        <v>86</v>
      </c>
      <c r="D42" s="322"/>
      <c r="E42" s="270"/>
      <c r="F42" s="185"/>
      <c r="G42" s="266"/>
    </row>
    <row r="43" spans="1:7" x14ac:dyDescent="0.3">
      <c r="A43" s="9"/>
      <c r="B43" s="220" t="s">
        <v>83</v>
      </c>
      <c r="C43" s="218" t="s">
        <v>87</v>
      </c>
      <c r="D43" s="322"/>
      <c r="E43" s="270"/>
      <c r="F43" s="185">
        <f t="shared" si="0"/>
        <v>0</v>
      </c>
      <c r="G43" s="266"/>
    </row>
    <row r="44" spans="1:7" x14ac:dyDescent="0.3">
      <c r="A44" s="9"/>
      <c r="B44" s="220" t="s">
        <v>84</v>
      </c>
      <c r="C44" s="218" t="s">
        <v>265</v>
      </c>
      <c r="D44" s="322"/>
      <c r="E44" s="270"/>
      <c r="F44" s="185">
        <f t="shared" si="0"/>
        <v>0</v>
      </c>
      <c r="G44" s="266"/>
    </row>
    <row r="45" spans="1:7" x14ac:dyDescent="0.3">
      <c r="A45" s="9"/>
      <c r="B45" s="220" t="s">
        <v>85</v>
      </c>
      <c r="C45" s="218" t="s">
        <v>88</v>
      </c>
      <c r="D45" s="322"/>
      <c r="E45" s="270"/>
      <c r="F45" s="185">
        <f t="shared" si="0"/>
        <v>0</v>
      </c>
      <c r="G45" s="266"/>
    </row>
    <row r="46" spans="1:7" x14ac:dyDescent="0.3">
      <c r="A46" s="221" t="s">
        <v>193</v>
      </c>
      <c r="B46" s="514" t="s">
        <v>89</v>
      </c>
      <c r="C46" s="514"/>
      <c r="D46" s="322">
        <f>+D32+D33+D37+D41</f>
        <v>0</v>
      </c>
      <c r="E46" s="270">
        <f>+E32+E33+E37+E41</f>
        <v>0</v>
      </c>
      <c r="F46" s="322">
        <f>+F32+F33+F37+F41</f>
        <v>0</v>
      </c>
      <c r="G46" s="322">
        <f>+G32+G33+G37+G41</f>
        <v>0</v>
      </c>
    </row>
    <row r="47" spans="1:7" x14ac:dyDescent="0.3">
      <c r="A47" s="9" t="s">
        <v>47</v>
      </c>
      <c r="B47" s="489" t="s">
        <v>190</v>
      </c>
      <c r="C47" s="489"/>
      <c r="D47" s="322">
        <f>SUM(D48:D49)</f>
        <v>0</v>
      </c>
      <c r="E47" s="270">
        <f>SUM(E48:E49)</f>
        <v>0</v>
      </c>
      <c r="F47" s="270">
        <f>SUM(F48:F49)</f>
        <v>0</v>
      </c>
      <c r="G47" s="266"/>
    </row>
    <row r="48" spans="1:7" x14ac:dyDescent="0.3">
      <c r="A48" s="9"/>
      <c r="B48" s="220" t="s">
        <v>90</v>
      </c>
      <c r="C48" s="218" t="s">
        <v>92</v>
      </c>
      <c r="D48" s="322"/>
      <c r="E48" s="270"/>
      <c r="F48" s="185">
        <f t="shared" ref="F48:F56" si="1">SUM(D48:D48)</f>
        <v>0</v>
      </c>
      <c r="G48" s="266"/>
    </row>
    <row r="49" spans="1:7" x14ac:dyDescent="0.3">
      <c r="A49" s="9"/>
      <c r="B49" s="220" t="s">
        <v>91</v>
      </c>
      <c r="C49" s="218" t="s">
        <v>1</v>
      </c>
      <c r="D49" s="322"/>
      <c r="E49" s="270"/>
      <c r="F49" s="185"/>
      <c r="G49" s="266"/>
    </row>
    <row r="50" spans="1:7" x14ac:dyDescent="0.3">
      <c r="A50" s="9" t="s">
        <v>48</v>
      </c>
      <c r="B50" s="489" t="s">
        <v>146</v>
      </c>
      <c r="C50" s="489"/>
      <c r="D50" s="322">
        <f>SUM(D51:D52)</f>
        <v>0</v>
      </c>
      <c r="E50" s="270">
        <f>SUM(E51:E52)</f>
        <v>0</v>
      </c>
      <c r="F50" s="185">
        <f t="shared" si="1"/>
        <v>0</v>
      </c>
      <c r="G50" s="266"/>
    </row>
    <row r="51" spans="1:7" x14ac:dyDescent="0.3">
      <c r="A51" s="9"/>
      <c r="B51" s="220" t="s">
        <v>93</v>
      </c>
      <c r="C51" s="218" t="s">
        <v>95</v>
      </c>
      <c r="D51" s="322"/>
      <c r="E51" s="270"/>
      <c r="F51" s="185">
        <f t="shared" si="1"/>
        <v>0</v>
      </c>
      <c r="G51" s="266"/>
    </row>
    <row r="52" spans="1:7" x14ac:dyDescent="0.3">
      <c r="A52" s="9"/>
      <c r="B52" s="220" t="s">
        <v>94</v>
      </c>
      <c r="C52" s="218" t="s">
        <v>96</v>
      </c>
      <c r="D52" s="322">
        <v>0</v>
      </c>
      <c r="E52" s="270"/>
      <c r="F52" s="185">
        <f t="shared" si="1"/>
        <v>0</v>
      </c>
      <c r="G52" s="266"/>
    </row>
    <row r="53" spans="1:7" x14ac:dyDescent="0.3">
      <c r="A53" s="9" t="s">
        <v>49</v>
      </c>
      <c r="B53" s="489" t="s">
        <v>147</v>
      </c>
      <c r="C53" s="489"/>
      <c r="D53" s="322">
        <f>SUM(D54:D56)</f>
        <v>0</v>
      </c>
      <c r="E53" s="270">
        <f>SUM(E54:E56)</f>
        <v>0</v>
      </c>
      <c r="F53" s="185">
        <f>SUM(F54:F56)</f>
        <v>0</v>
      </c>
      <c r="G53" s="266"/>
    </row>
    <row r="54" spans="1:7" x14ac:dyDescent="0.3">
      <c r="A54" s="9"/>
      <c r="B54" s="220" t="s">
        <v>97</v>
      </c>
      <c r="C54" s="218" t="s">
        <v>100</v>
      </c>
      <c r="D54" s="322"/>
      <c r="E54" s="270"/>
      <c r="F54" s="185"/>
      <c r="G54" s="266"/>
    </row>
    <row r="55" spans="1:7" x14ac:dyDescent="0.3">
      <c r="A55" s="9"/>
      <c r="B55" s="220" t="s">
        <v>98</v>
      </c>
      <c r="C55" s="218" t="s">
        <v>2</v>
      </c>
      <c r="D55" s="322"/>
      <c r="E55" s="270"/>
      <c r="F55" s="185">
        <f t="shared" si="1"/>
        <v>0</v>
      </c>
      <c r="G55" s="266"/>
    </row>
    <row r="56" spans="1:7" x14ac:dyDescent="0.3">
      <c r="A56" s="9"/>
      <c r="B56" s="220" t="s">
        <v>99</v>
      </c>
      <c r="C56" s="218" t="s">
        <v>101</v>
      </c>
      <c r="D56" s="322"/>
      <c r="E56" s="270"/>
      <c r="F56" s="185">
        <f t="shared" si="1"/>
        <v>0</v>
      </c>
      <c r="G56" s="266"/>
    </row>
    <row r="57" spans="1:7" x14ac:dyDescent="0.3">
      <c r="A57" s="221" t="s">
        <v>194</v>
      </c>
      <c r="B57" s="514" t="s">
        <v>214</v>
      </c>
      <c r="C57" s="514"/>
      <c r="D57" s="324">
        <f>+D47+D50+D53</f>
        <v>0</v>
      </c>
      <c r="E57" s="324">
        <f>+E47+E50+E53</f>
        <v>0</v>
      </c>
      <c r="F57" s="324">
        <f>+F47+F50+F53</f>
        <v>0</v>
      </c>
      <c r="G57" s="324">
        <f>+G47+G50+G53</f>
        <v>0</v>
      </c>
    </row>
    <row r="58" spans="1:7" x14ac:dyDescent="0.3">
      <c r="A58" s="221" t="s">
        <v>195</v>
      </c>
      <c r="B58" s="514" t="s">
        <v>148</v>
      </c>
      <c r="C58" s="514"/>
      <c r="D58" s="324"/>
      <c r="E58" s="271"/>
      <c r="F58" s="320"/>
      <c r="G58" s="327"/>
    </row>
    <row r="59" spans="1:7" x14ac:dyDescent="0.3">
      <c r="A59" s="221" t="s">
        <v>180</v>
      </c>
      <c r="B59" s="514" t="s">
        <v>22</v>
      </c>
      <c r="C59" s="514"/>
      <c r="D59" s="324"/>
      <c r="E59" s="271"/>
      <c r="F59" s="320"/>
      <c r="G59" s="327"/>
    </row>
    <row r="60" spans="1:7" ht="17.399999999999999" x14ac:dyDescent="0.3">
      <c r="A60" s="151" t="s">
        <v>149</v>
      </c>
      <c r="B60" s="496" t="s">
        <v>150</v>
      </c>
      <c r="C60" s="496"/>
      <c r="D60" s="319">
        <f>+D46+D57+D58+D59</f>
        <v>0</v>
      </c>
      <c r="E60" s="319">
        <f>+E46+E57+E58+E59</f>
        <v>0</v>
      </c>
      <c r="F60" s="319">
        <f>+F46+F57+F58+F59</f>
        <v>0</v>
      </c>
      <c r="G60" s="319">
        <f>+G46+G57+G58+G59</f>
        <v>0</v>
      </c>
    </row>
    <row r="61" spans="1:7" ht="17.399999999999999" x14ac:dyDescent="0.3">
      <c r="A61" s="151"/>
      <c r="B61" s="496" t="s">
        <v>151</v>
      </c>
      <c r="C61" s="496"/>
      <c r="D61" s="319">
        <f>+D29-D60</f>
        <v>36843042</v>
      </c>
      <c r="E61" s="319">
        <f>+E29-E60</f>
        <v>36843042</v>
      </c>
      <c r="F61" s="319">
        <f>+F29-F60</f>
        <v>0</v>
      </c>
      <c r="G61" s="319">
        <f>+G29-G60</f>
        <v>0</v>
      </c>
    </row>
    <row r="62" spans="1:7" ht="17.399999999999999" x14ac:dyDescent="0.3">
      <c r="A62" s="151"/>
      <c r="B62" s="514" t="s">
        <v>267</v>
      </c>
      <c r="C62" s="514"/>
      <c r="D62" s="319">
        <v>36671924</v>
      </c>
      <c r="E62" s="285">
        <v>36671924</v>
      </c>
      <c r="F62" s="313"/>
      <c r="G62" s="319"/>
    </row>
    <row r="63" spans="1:7" x14ac:dyDescent="0.3">
      <c r="A63" s="221" t="s">
        <v>181</v>
      </c>
      <c r="B63" s="514" t="s">
        <v>152</v>
      </c>
      <c r="C63" s="514"/>
      <c r="D63" s="322">
        <v>171118</v>
      </c>
      <c r="E63" s="270">
        <v>171118</v>
      </c>
      <c r="F63" s="185"/>
      <c r="G63" s="266"/>
    </row>
    <row r="64" spans="1:7" ht="18" x14ac:dyDescent="0.35">
      <c r="A64" s="151"/>
      <c r="B64" s="262" t="s">
        <v>30</v>
      </c>
      <c r="C64" s="218" t="s">
        <v>102</v>
      </c>
      <c r="D64" s="322">
        <v>171118</v>
      </c>
      <c r="E64" s="270">
        <v>171118</v>
      </c>
      <c r="F64" s="263"/>
      <c r="G64" s="267"/>
    </row>
    <row r="65" spans="1:7" ht="18" x14ac:dyDescent="0.35">
      <c r="A65" s="151"/>
      <c r="B65" s="262" t="s">
        <v>43</v>
      </c>
      <c r="C65" s="218" t="s">
        <v>103</v>
      </c>
      <c r="D65" s="328"/>
      <c r="E65" s="272"/>
      <c r="F65" s="185"/>
      <c r="G65" s="267"/>
    </row>
    <row r="66" spans="1:7" ht="36.75" customHeight="1" x14ac:dyDescent="0.3">
      <c r="A66" s="151" t="s">
        <v>153</v>
      </c>
      <c r="B66" s="485" t="s">
        <v>157</v>
      </c>
      <c r="C66" s="485"/>
      <c r="D66" s="319">
        <f>D63</f>
        <v>171118</v>
      </c>
      <c r="E66" s="319">
        <f>E63</f>
        <v>171118</v>
      </c>
      <c r="F66" s="319">
        <f>+F63</f>
        <v>0</v>
      </c>
      <c r="G66" s="267"/>
    </row>
    <row r="67" spans="1:7" ht="17.399999999999999" x14ac:dyDescent="0.3">
      <c r="A67" s="9" t="s">
        <v>182</v>
      </c>
      <c r="B67" s="489" t="s">
        <v>154</v>
      </c>
      <c r="C67" s="489"/>
      <c r="D67" s="319"/>
      <c r="E67" s="272"/>
      <c r="F67" s="189">
        <f t="shared" ref="F67:F80" si="2">SUM(D67:E67)</f>
        <v>0</v>
      </c>
      <c r="G67" s="267"/>
    </row>
    <row r="68" spans="1:7" ht="17.399999999999999" x14ac:dyDescent="0.3">
      <c r="A68" s="9" t="s">
        <v>183</v>
      </c>
      <c r="B68" s="489" t="s">
        <v>155</v>
      </c>
      <c r="C68" s="489"/>
      <c r="D68" s="319">
        <f>SUM(D69:D72)</f>
        <v>0</v>
      </c>
      <c r="E68" s="272"/>
      <c r="F68" s="189">
        <f t="shared" si="2"/>
        <v>0</v>
      </c>
      <c r="G68" s="267"/>
    </row>
    <row r="69" spans="1:7" ht="18" x14ac:dyDescent="0.35">
      <c r="A69" s="9"/>
      <c r="B69" s="220" t="s">
        <v>30</v>
      </c>
      <c r="C69" s="218" t="s">
        <v>104</v>
      </c>
      <c r="D69" s="328"/>
      <c r="E69" s="274"/>
      <c r="F69" s="263">
        <f t="shared" si="2"/>
        <v>0</v>
      </c>
      <c r="G69" s="267"/>
    </row>
    <row r="70" spans="1:7" ht="17.399999999999999" x14ac:dyDescent="0.3">
      <c r="A70" s="9"/>
      <c r="B70" s="220" t="s">
        <v>43</v>
      </c>
      <c r="C70" s="218" t="s">
        <v>105</v>
      </c>
      <c r="D70" s="319"/>
      <c r="E70" s="272"/>
      <c r="F70" s="189">
        <f t="shared" si="2"/>
        <v>0</v>
      </c>
      <c r="G70" s="267"/>
    </row>
    <row r="71" spans="1:7" ht="18" x14ac:dyDescent="0.35">
      <c r="A71" s="9"/>
      <c r="B71" s="220" t="s">
        <v>44</v>
      </c>
      <c r="C71" s="218" t="s">
        <v>228</v>
      </c>
      <c r="D71" s="328"/>
      <c r="E71" s="272"/>
      <c r="F71" s="189"/>
      <c r="G71" s="267"/>
    </row>
    <row r="72" spans="1:7" ht="18" x14ac:dyDescent="0.35">
      <c r="A72" s="9"/>
      <c r="B72" s="220" t="s">
        <v>45</v>
      </c>
      <c r="C72" s="218" t="s">
        <v>229</v>
      </c>
      <c r="D72" s="328"/>
      <c r="E72" s="272"/>
      <c r="F72" s="189"/>
      <c r="G72" s="267"/>
    </row>
    <row r="73" spans="1:7" ht="17.399999999999999" x14ac:dyDescent="0.3">
      <c r="A73" s="151" t="s">
        <v>156</v>
      </c>
      <c r="B73" s="515" t="s">
        <v>158</v>
      </c>
      <c r="C73" s="515"/>
      <c r="D73" s="319">
        <f>+D67+D68</f>
        <v>0</v>
      </c>
      <c r="E73" s="272"/>
      <c r="F73" s="189">
        <f t="shared" si="2"/>
        <v>0</v>
      </c>
      <c r="G73" s="267"/>
    </row>
    <row r="74" spans="1:7" ht="17.399999999999999" x14ac:dyDescent="0.3">
      <c r="A74" s="151" t="s">
        <v>159</v>
      </c>
      <c r="B74" s="496" t="s">
        <v>160</v>
      </c>
      <c r="C74" s="496"/>
      <c r="D74" s="319">
        <f>+D66+D73</f>
        <v>171118</v>
      </c>
      <c r="E74" s="272">
        <f>+E66+E73</f>
        <v>171118</v>
      </c>
      <c r="F74" s="272">
        <f>+F66+F73</f>
        <v>0</v>
      </c>
      <c r="G74" s="267"/>
    </row>
    <row r="75" spans="1:7" ht="17.399999999999999" x14ac:dyDescent="0.3">
      <c r="A75" s="9" t="s">
        <v>184</v>
      </c>
      <c r="B75" s="489" t="s">
        <v>268</v>
      </c>
      <c r="C75" s="489"/>
      <c r="D75" s="319"/>
      <c r="E75" s="272"/>
      <c r="F75" s="189">
        <f t="shared" si="2"/>
        <v>0</v>
      </c>
      <c r="G75" s="267"/>
    </row>
    <row r="76" spans="1:7" ht="18" x14ac:dyDescent="0.35">
      <c r="A76" s="9" t="s">
        <v>185</v>
      </c>
      <c r="B76" s="489" t="s">
        <v>161</v>
      </c>
      <c r="C76" s="489"/>
      <c r="D76" s="328">
        <f>SUM(D77:D79)</f>
        <v>0</v>
      </c>
      <c r="E76" s="274"/>
      <c r="F76" s="263">
        <f t="shared" si="2"/>
        <v>0</v>
      </c>
      <c r="G76" s="267"/>
    </row>
    <row r="77" spans="1:7" ht="18" x14ac:dyDescent="0.35">
      <c r="A77" s="9"/>
      <c r="B77" s="220" t="s">
        <v>30</v>
      </c>
      <c r="C77" s="218" t="s">
        <v>225</v>
      </c>
      <c r="D77" s="328"/>
      <c r="E77" s="274"/>
      <c r="F77" s="263">
        <f t="shared" si="2"/>
        <v>0</v>
      </c>
      <c r="G77" s="267"/>
    </row>
    <row r="78" spans="1:7" ht="18" x14ac:dyDescent="0.35">
      <c r="A78" s="9"/>
      <c r="B78" s="220" t="s">
        <v>43</v>
      </c>
      <c r="C78" s="218" t="s">
        <v>224</v>
      </c>
      <c r="D78" s="328"/>
      <c r="E78" s="274"/>
      <c r="F78" s="263">
        <f t="shared" si="2"/>
        <v>0</v>
      </c>
      <c r="G78" s="267"/>
    </row>
    <row r="79" spans="1:7" ht="18" x14ac:dyDescent="0.35">
      <c r="A79" s="9"/>
      <c r="B79" s="220" t="s">
        <v>44</v>
      </c>
      <c r="C79" s="218" t="s">
        <v>106</v>
      </c>
      <c r="D79" s="328"/>
      <c r="E79" s="274"/>
      <c r="F79" s="263">
        <f t="shared" si="2"/>
        <v>0</v>
      </c>
      <c r="G79" s="267"/>
    </row>
    <row r="80" spans="1:7" ht="17.399999999999999" x14ac:dyDescent="0.3">
      <c r="A80" s="151" t="s">
        <v>162</v>
      </c>
      <c r="B80" s="496" t="s">
        <v>163</v>
      </c>
      <c r="C80" s="496"/>
      <c r="D80" s="319">
        <f>+D75+D76</f>
        <v>0</v>
      </c>
      <c r="E80" s="272">
        <f>+E75+E76</f>
        <v>0</v>
      </c>
      <c r="F80" s="189">
        <f t="shared" si="2"/>
        <v>0</v>
      </c>
      <c r="G80" s="267"/>
    </row>
    <row r="81" spans="1:8" ht="17.399999999999999" x14ac:dyDescent="0.3">
      <c r="A81" s="151" t="s">
        <v>204</v>
      </c>
      <c r="B81" s="496" t="s">
        <v>206</v>
      </c>
      <c r="C81" s="496"/>
      <c r="D81" s="168">
        <f>+D29+D80</f>
        <v>36843042</v>
      </c>
      <c r="E81" s="168">
        <f>+E29+E80</f>
        <v>36843042</v>
      </c>
      <c r="F81" s="168">
        <f>+F29+F80</f>
        <v>0</v>
      </c>
      <c r="G81" s="168">
        <f>+G29+G80</f>
        <v>0</v>
      </c>
    </row>
    <row r="82" spans="1:8" ht="18" thickBot="1" x14ac:dyDescent="0.35">
      <c r="A82" s="169" t="s">
        <v>205</v>
      </c>
      <c r="B82" s="170" t="s">
        <v>207</v>
      </c>
      <c r="C82" s="170"/>
      <c r="D82" s="172">
        <f>+D60+D74+D62</f>
        <v>36843042</v>
      </c>
      <c r="E82" s="172">
        <f>+E60+E74+E62</f>
        <v>36843042</v>
      </c>
      <c r="F82" s="172">
        <f>+F60+F74</f>
        <v>0</v>
      </c>
      <c r="G82" s="172">
        <f>+G60+G74</f>
        <v>0</v>
      </c>
    </row>
    <row r="83" spans="1:8" x14ac:dyDescent="0.25">
      <c r="B83" s="15"/>
      <c r="C83" s="15"/>
      <c r="D83" s="16"/>
      <c r="E83" s="16"/>
      <c r="F83" s="16"/>
    </row>
    <row r="84" spans="1:8" x14ac:dyDescent="0.25">
      <c r="B84" s="15"/>
      <c r="C84" s="15"/>
      <c r="D84" s="176">
        <f>+D82-D81</f>
        <v>0</v>
      </c>
      <c r="E84" s="176">
        <f>+E82-E81</f>
        <v>0</v>
      </c>
      <c r="F84" s="176">
        <f>+F81-F82</f>
        <v>0</v>
      </c>
      <c r="G84" s="176">
        <f>+G82-G81</f>
        <v>0</v>
      </c>
    </row>
    <row r="85" spans="1:8" x14ac:dyDescent="0.25">
      <c r="B85" s="15"/>
      <c r="C85" s="406" t="s">
        <v>354</v>
      </c>
      <c r="D85" s="405">
        <v>32518000</v>
      </c>
      <c r="E85" s="16"/>
      <c r="F85" s="16"/>
    </row>
    <row r="86" spans="1:8" x14ac:dyDescent="0.25">
      <c r="B86" s="15"/>
      <c r="C86" s="406" t="s">
        <v>355</v>
      </c>
      <c r="D86" s="405">
        <f>36843042-32518000</f>
        <v>4325042</v>
      </c>
      <c r="E86" s="16"/>
      <c r="F86" s="16"/>
    </row>
    <row r="87" spans="1:8" x14ac:dyDescent="0.25">
      <c r="B87" s="15"/>
      <c r="C87" s="15"/>
      <c r="D87" s="16"/>
      <c r="E87" s="16"/>
      <c r="F87" s="16"/>
    </row>
    <row r="88" spans="1:8" x14ac:dyDescent="0.25">
      <c r="B88" s="15"/>
      <c r="C88" s="15"/>
      <c r="D88" s="407">
        <v>2015</v>
      </c>
      <c r="E88" s="408">
        <v>2016</v>
      </c>
      <c r="F88" s="409">
        <v>2017</v>
      </c>
      <c r="G88" s="410" t="s">
        <v>357</v>
      </c>
      <c r="H88" s="410" t="s">
        <v>358</v>
      </c>
    </row>
    <row r="89" spans="1:8" x14ac:dyDescent="0.25">
      <c r="B89" s="15"/>
      <c r="C89" s="406" t="s">
        <v>359</v>
      </c>
      <c r="D89" s="411">
        <v>25420646</v>
      </c>
      <c r="E89" s="412">
        <v>25147000</v>
      </c>
      <c r="F89" s="409">
        <v>27235819</v>
      </c>
      <c r="G89" s="409"/>
      <c r="H89" s="409"/>
    </row>
    <row r="90" spans="1:8" x14ac:dyDescent="0.25">
      <c r="B90" s="15"/>
      <c r="C90" s="406" t="s">
        <v>360</v>
      </c>
      <c r="D90" s="411">
        <v>6907882</v>
      </c>
      <c r="E90" s="412">
        <v>6862000</v>
      </c>
      <c r="F90" s="409">
        <v>6224073</v>
      </c>
      <c r="G90" s="409"/>
      <c r="H90" s="409"/>
    </row>
    <row r="91" spans="1:8" x14ac:dyDescent="0.25">
      <c r="B91" s="15"/>
      <c r="C91" s="406" t="s">
        <v>361</v>
      </c>
      <c r="D91" s="411">
        <v>4736500</v>
      </c>
      <c r="E91" s="408">
        <v>4737000</v>
      </c>
      <c r="F91" s="409">
        <v>3383150</v>
      </c>
      <c r="G91" s="409"/>
      <c r="H91" s="409"/>
    </row>
    <row r="92" spans="1:8" x14ac:dyDescent="0.25">
      <c r="B92" s="15"/>
      <c r="C92" s="15"/>
      <c r="D92" s="411">
        <f>SUM(D88:D91)</f>
        <v>37067043</v>
      </c>
      <c r="E92" s="413">
        <f>SUM(E89:E91)</f>
        <v>36746000</v>
      </c>
      <c r="F92" s="413">
        <f>SUM(F89:F91)</f>
        <v>36843042</v>
      </c>
      <c r="G92" s="409">
        <f>F92-E92</f>
        <v>97042</v>
      </c>
      <c r="H92" s="409">
        <f>F92-D92</f>
        <v>-224001</v>
      </c>
    </row>
    <row r="93" spans="1:8" x14ac:dyDescent="0.25">
      <c r="B93" s="15"/>
      <c r="C93" s="15"/>
      <c r="D93" s="16"/>
      <c r="E93" s="16"/>
      <c r="F93" s="16"/>
    </row>
    <row r="94" spans="1:8" x14ac:dyDescent="0.25">
      <c r="B94" s="15"/>
      <c r="C94" s="15"/>
      <c r="D94" s="16"/>
      <c r="E94" s="16"/>
      <c r="F94" s="16"/>
    </row>
    <row r="95" spans="1:8" x14ac:dyDescent="0.25">
      <c r="B95" s="15"/>
      <c r="C95" s="15"/>
      <c r="D95" s="16"/>
      <c r="E95" s="16"/>
      <c r="F95" s="16"/>
    </row>
    <row r="96" spans="1:8" x14ac:dyDescent="0.25">
      <c r="B96" s="15"/>
      <c r="C96" s="15"/>
      <c r="D96" s="16"/>
      <c r="E96" s="16"/>
      <c r="F96" s="16"/>
    </row>
    <row r="97" spans="2:6" x14ac:dyDescent="0.25">
      <c r="B97" s="15"/>
      <c r="C97" s="15"/>
      <c r="D97" s="16"/>
      <c r="E97" s="16"/>
      <c r="F97" s="16"/>
    </row>
    <row r="98" spans="2:6" x14ac:dyDescent="0.25">
      <c r="B98" s="15"/>
      <c r="C98" s="15"/>
      <c r="D98" s="16"/>
      <c r="E98" s="16"/>
      <c r="F98" s="16"/>
    </row>
    <row r="99" spans="2:6" x14ac:dyDescent="0.25">
      <c r="B99" s="15"/>
      <c r="C99" s="15"/>
      <c r="D99" s="16"/>
      <c r="E99" s="16"/>
      <c r="F99" s="16"/>
    </row>
    <row r="100" spans="2:6" x14ac:dyDescent="0.25">
      <c r="B100" s="15"/>
      <c r="C100" s="15"/>
      <c r="D100" s="16"/>
      <c r="E100" s="16"/>
      <c r="F100" s="16"/>
    </row>
    <row r="101" spans="2:6" x14ac:dyDescent="0.25">
      <c r="B101" s="15"/>
      <c r="C101" s="15"/>
      <c r="D101" s="16"/>
      <c r="E101" s="16"/>
      <c r="F101" s="16"/>
    </row>
    <row r="102" spans="2:6" x14ac:dyDescent="0.25">
      <c r="B102" s="15"/>
      <c r="C102" s="15"/>
      <c r="D102" s="16"/>
      <c r="E102" s="16"/>
      <c r="F102" s="16"/>
    </row>
    <row r="103" spans="2:6" x14ac:dyDescent="0.25">
      <c r="B103" s="15"/>
      <c r="C103" s="15"/>
      <c r="D103" s="16"/>
      <c r="E103" s="16"/>
      <c r="F103" s="16"/>
    </row>
    <row r="104" spans="2:6" x14ac:dyDescent="0.25">
      <c r="B104" s="15"/>
      <c r="C104" s="15"/>
      <c r="D104" s="16"/>
      <c r="E104" s="16"/>
      <c r="F104" s="16"/>
    </row>
  </sheetData>
  <mergeCells count="58">
    <mergeCell ref="B75:C75"/>
    <mergeCell ref="B76:C76"/>
    <mergeCell ref="B80:C80"/>
    <mergeCell ref="B81:C81"/>
    <mergeCell ref="B67:C67"/>
    <mergeCell ref="B68:C68"/>
    <mergeCell ref="B73:C73"/>
    <mergeCell ref="B74:C74"/>
    <mergeCell ref="B61:C61"/>
    <mergeCell ref="B62:C62"/>
    <mergeCell ref="B63:C63"/>
    <mergeCell ref="B66:C66"/>
    <mergeCell ref="B57:C57"/>
    <mergeCell ref="B58:C58"/>
    <mergeCell ref="B59:C59"/>
    <mergeCell ref="B60:C60"/>
    <mergeCell ref="B46:C46"/>
    <mergeCell ref="B47:C47"/>
    <mergeCell ref="B50:C50"/>
    <mergeCell ref="B53:C53"/>
    <mergeCell ref="B32:C32"/>
    <mergeCell ref="B33:C33"/>
    <mergeCell ref="B37:C37"/>
    <mergeCell ref="B41:C41"/>
    <mergeCell ref="B28:C28"/>
    <mergeCell ref="B29:C29"/>
    <mergeCell ref="B30:C30"/>
    <mergeCell ref="B31:C31"/>
    <mergeCell ref="B24:C24"/>
    <mergeCell ref="B25:C25"/>
    <mergeCell ref="B26:C26"/>
    <mergeCell ref="B27:C27"/>
    <mergeCell ref="B19:C19"/>
    <mergeCell ref="B20:C20"/>
    <mergeCell ref="B22:C22"/>
    <mergeCell ref="B23:C23"/>
    <mergeCell ref="B15:C15"/>
    <mergeCell ref="B16:C16"/>
    <mergeCell ref="B17:C17"/>
    <mergeCell ref="B18:C18"/>
    <mergeCell ref="B11:C11"/>
    <mergeCell ref="B12:C12"/>
    <mergeCell ref="B13:C13"/>
    <mergeCell ref="B14:C14"/>
    <mergeCell ref="G6:G7"/>
    <mergeCell ref="D8:F8"/>
    <mergeCell ref="B9:C9"/>
    <mergeCell ref="B10:C10"/>
    <mergeCell ref="A1:F1"/>
    <mergeCell ref="A2:F2"/>
    <mergeCell ref="A3:F3"/>
    <mergeCell ref="A4:F4"/>
    <mergeCell ref="A5:F5"/>
    <mergeCell ref="A6:A8"/>
    <mergeCell ref="B6:C8"/>
    <mergeCell ref="D6:D7"/>
    <mergeCell ref="E6:E7"/>
    <mergeCell ref="F6:F7"/>
  </mergeCells>
  <phoneticPr fontId="20" type="noConversion"/>
  <pageMargins left="0.15748031496062992" right="0.15748031496062992" top="0.19685039370078741" bottom="0.19685039370078741" header="0.15748031496062992" footer="0.19685039370078741"/>
  <pageSetup paperSize="9" scale="54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workbookViewId="0">
      <selection activeCell="A18" sqref="A18"/>
    </sheetView>
  </sheetViews>
  <sheetFormatPr defaultRowHeight="13.2" x14ac:dyDescent="0.25"/>
  <cols>
    <col min="1" max="1" width="39" bestFit="1" customWidth="1"/>
    <col min="2" max="2" width="12" bestFit="1" customWidth="1"/>
    <col min="3" max="13" width="9.88671875" bestFit="1" customWidth="1"/>
    <col min="14" max="14" width="11.88671875" bestFit="1" customWidth="1"/>
    <col min="15" max="15" width="10.44140625" bestFit="1" customWidth="1"/>
  </cols>
  <sheetData>
    <row r="1" spans="1:16" ht="15.6" x14ac:dyDescent="0.25">
      <c r="A1" s="587" t="s">
        <v>343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  <c r="L1" s="587"/>
      <c r="M1" s="587"/>
      <c r="N1" s="587"/>
    </row>
    <row r="2" spans="1:16" ht="15.6" x14ac:dyDescent="0.25">
      <c r="A2" s="587" t="s">
        <v>266</v>
      </c>
      <c r="B2" s="587"/>
      <c r="C2" s="587"/>
      <c r="D2" s="587"/>
      <c r="E2" s="587"/>
      <c r="F2" s="587"/>
      <c r="G2" s="587"/>
      <c r="H2" s="587"/>
      <c r="I2" s="587"/>
      <c r="J2" s="587"/>
      <c r="K2" s="587"/>
      <c r="L2" s="587"/>
      <c r="M2" s="587"/>
      <c r="N2" s="587"/>
    </row>
    <row r="3" spans="1:16" x14ac:dyDescent="0.25">
      <c r="A3" s="588" t="s">
        <v>292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588"/>
    </row>
    <row r="4" spans="1:16" x14ac:dyDescent="0.25">
      <c r="A4" s="588"/>
      <c r="B4" s="588"/>
      <c r="C4" s="588"/>
      <c r="D4" s="588"/>
      <c r="E4" s="588"/>
      <c r="F4" s="588"/>
      <c r="G4" s="588"/>
      <c r="H4" s="588"/>
      <c r="I4" s="588"/>
      <c r="J4" s="588"/>
      <c r="K4" s="588"/>
      <c r="L4" s="588"/>
      <c r="M4" s="588"/>
      <c r="N4" s="588"/>
    </row>
    <row r="5" spans="1:16" ht="15.6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588" t="s">
        <v>3</v>
      </c>
      <c r="N5" s="588"/>
    </row>
    <row r="6" spans="1:16" ht="15.6" x14ac:dyDescent="0.25">
      <c r="A6" s="29" t="s">
        <v>186</v>
      </c>
      <c r="B6" s="30" t="s">
        <v>4</v>
      </c>
      <c r="C6" s="30" t="s">
        <v>5</v>
      </c>
      <c r="D6" s="30" t="s">
        <v>6</v>
      </c>
      <c r="E6" s="30" t="s">
        <v>7</v>
      </c>
      <c r="F6" s="30" t="s">
        <v>8</v>
      </c>
      <c r="G6" s="30" t="s">
        <v>9</v>
      </c>
      <c r="H6" s="30" t="s">
        <v>10</v>
      </c>
      <c r="I6" s="30" t="s">
        <v>11</v>
      </c>
      <c r="J6" s="30" t="s">
        <v>12</v>
      </c>
      <c r="K6" s="30" t="s">
        <v>13</v>
      </c>
      <c r="L6" s="30" t="s">
        <v>14</v>
      </c>
      <c r="M6" s="30" t="s">
        <v>15</v>
      </c>
      <c r="N6" s="29" t="s">
        <v>16</v>
      </c>
    </row>
    <row r="7" spans="1:16" x14ac:dyDescent="0.25">
      <c r="A7" s="40" t="s">
        <v>187</v>
      </c>
      <c r="B7" s="418">
        <f>O7/12+0.25</f>
        <v>3654388</v>
      </c>
      <c r="C7" s="35">
        <v>3654388</v>
      </c>
      <c r="D7" s="35">
        <v>3654388</v>
      </c>
      <c r="E7" s="35">
        <v>3654388</v>
      </c>
      <c r="F7" s="35">
        <v>3654388</v>
      </c>
      <c r="G7" s="35">
        <v>3654388</v>
      </c>
      <c r="H7" s="35">
        <v>3654388</v>
      </c>
      <c r="I7" s="35">
        <v>3654388</v>
      </c>
      <c r="J7" s="35">
        <v>3654388</v>
      </c>
      <c r="K7" s="35">
        <v>3654388</v>
      </c>
      <c r="L7" s="35">
        <v>3654388</v>
      </c>
      <c r="M7" s="35">
        <v>3654385</v>
      </c>
      <c r="N7" s="36">
        <f t="shared" ref="N7:N12" si="0">SUM(B7:M7)</f>
        <v>43852653</v>
      </c>
      <c r="O7" s="419">
        <f>'11'!D10</f>
        <v>43852653</v>
      </c>
    </row>
    <row r="8" spans="1:16" x14ac:dyDescent="0.25">
      <c r="A8" s="40" t="s">
        <v>17</v>
      </c>
      <c r="B8" s="418">
        <f>O8/12+0.42</f>
        <v>847925.00333333341</v>
      </c>
      <c r="C8" s="35">
        <v>847925</v>
      </c>
      <c r="D8" s="35">
        <v>847925</v>
      </c>
      <c r="E8" s="35">
        <v>847925</v>
      </c>
      <c r="F8" s="35">
        <v>847925</v>
      </c>
      <c r="G8" s="35">
        <v>847925</v>
      </c>
      <c r="H8" s="35">
        <v>847925</v>
      </c>
      <c r="I8" s="35">
        <v>847925</v>
      </c>
      <c r="J8" s="35">
        <v>847925</v>
      </c>
      <c r="K8" s="35">
        <v>847925</v>
      </c>
      <c r="L8" s="35">
        <v>847925</v>
      </c>
      <c r="M8" s="35">
        <v>847920</v>
      </c>
      <c r="N8" s="36">
        <f t="shared" si="0"/>
        <v>10175095.003333334</v>
      </c>
      <c r="O8" s="420">
        <f>'11'!D11</f>
        <v>10175095</v>
      </c>
      <c r="P8" s="165"/>
    </row>
    <row r="9" spans="1:16" x14ac:dyDescent="0.25">
      <c r="A9" s="40" t="s">
        <v>197</v>
      </c>
      <c r="B9" s="418">
        <f>O9/12+0.58</f>
        <v>796797.99666666659</v>
      </c>
      <c r="C9" s="35">
        <v>796798</v>
      </c>
      <c r="D9" s="35">
        <v>796798</v>
      </c>
      <c r="E9" s="35">
        <v>796798</v>
      </c>
      <c r="F9" s="35">
        <v>796798</v>
      </c>
      <c r="G9" s="35">
        <v>796798</v>
      </c>
      <c r="H9" s="35">
        <v>796798</v>
      </c>
      <c r="I9" s="35">
        <v>796798</v>
      </c>
      <c r="J9" s="35">
        <v>796798</v>
      </c>
      <c r="K9" s="35">
        <v>796798</v>
      </c>
      <c r="L9" s="35">
        <v>796798</v>
      </c>
      <c r="M9" s="35">
        <v>796791</v>
      </c>
      <c r="N9" s="36">
        <f t="shared" si="0"/>
        <v>9561568.9966666661</v>
      </c>
      <c r="O9" s="420">
        <f>'11'!D12</f>
        <v>9561569</v>
      </c>
      <c r="P9" s="165"/>
    </row>
    <row r="10" spans="1:16" x14ac:dyDescent="0.25">
      <c r="A10" s="40" t="s">
        <v>18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6">
        <f t="shared" si="0"/>
        <v>0</v>
      </c>
      <c r="O10" s="421"/>
    </row>
    <row r="11" spans="1:16" x14ac:dyDescent="0.25">
      <c r="A11" s="40" t="s">
        <v>19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6">
        <f t="shared" si="0"/>
        <v>0</v>
      </c>
      <c r="O11" s="421"/>
    </row>
    <row r="12" spans="1:16" x14ac:dyDescent="0.25">
      <c r="A12" s="40" t="s">
        <v>191</v>
      </c>
      <c r="B12" s="35"/>
      <c r="C12" s="35"/>
      <c r="D12" s="35"/>
      <c r="E12" s="35"/>
      <c r="F12" s="35">
        <v>420000</v>
      </c>
      <c r="G12" s="35"/>
      <c r="H12" s="35"/>
      <c r="I12" s="35"/>
      <c r="J12" s="35"/>
      <c r="K12" s="35"/>
      <c r="L12" s="35"/>
      <c r="M12" s="35"/>
      <c r="N12" s="36">
        <f t="shared" si="0"/>
        <v>420000</v>
      </c>
      <c r="O12" s="421">
        <f>'11'!D25</f>
        <v>420000</v>
      </c>
    </row>
    <row r="13" spans="1:16" x14ac:dyDescent="0.25">
      <c r="A13" s="40" t="s">
        <v>226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6"/>
    </row>
    <row r="14" spans="1:16" x14ac:dyDescent="0.25">
      <c r="A14" s="41" t="s">
        <v>20</v>
      </c>
      <c r="B14" s="35">
        <f>SUM(B7:B13)</f>
        <v>5299111</v>
      </c>
      <c r="C14" s="35">
        <f t="shared" ref="C14:M14" si="1">SUM(C7:C13)</f>
        <v>5299111</v>
      </c>
      <c r="D14" s="35">
        <f t="shared" si="1"/>
        <v>5299111</v>
      </c>
      <c r="E14" s="35">
        <f t="shared" si="1"/>
        <v>5299111</v>
      </c>
      <c r="F14" s="35">
        <f t="shared" si="1"/>
        <v>5719111</v>
      </c>
      <c r="G14" s="35">
        <f t="shared" si="1"/>
        <v>5299111</v>
      </c>
      <c r="H14" s="35">
        <f t="shared" si="1"/>
        <v>5299111</v>
      </c>
      <c r="I14" s="35">
        <f t="shared" si="1"/>
        <v>5299111</v>
      </c>
      <c r="J14" s="35">
        <f t="shared" si="1"/>
        <v>5299111</v>
      </c>
      <c r="K14" s="35">
        <f t="shared" si="1"/>
        <v>5299111</v>
      </c>
      <c r="L14" s="35">
        <f t="shared" si="1"/>
        <v>5299111</v>
      </c>
      <c r="M14" s="35">
        <f t="shared" si="1"/>
        <v>5299096</v>
      </c>
      <c r="N14" s="36">
        <f>SUM(N7:N13)</f>
        <v>64009317</v>
      </c>
      <c r="O14" s="423">
        <f>SUM(B14:M14)</f>
        <v>64009317</v>
      </c>
    </row>
    <row r="15" spans="1:16" ht="13.8" x14ac:dyDescent="0.25">
      <c r="A15" s="32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8"/>
    </row>
    <row r="16" spans="1:16" x14ac:dyDescent="0.25">
      <c r="A16" s="40" t="s">
        <v>21</v>
      </c>
      <c r="B16" s="35">
        <v>0</v>
      </c>
      <c r="C16" s="35">
        <v>68000</v>
      </c>
      <c r="D16" s="35">
        <v>10000</v>
      </c>
      <c r="E16" s="35">
        <v>10000</v>
      </c>
      <c r="F16" s="35">
        <v>10000</v>
      </c>
      <c r="G16" s="35">
        <v>10000</v>
      </c>
      <c r="H16" s="35">
        <v>10000</v>
      </c>
      <c r="I16" s="35">
        <v>10000</v>
      </c>
      <c r="J16" s="35">
        <v>10000</v>
      </c>
      <c r="K16" s="35">
        <v>10000</v>
      </c>
      <c r="L16" s="35">
        <v>10000</v>
      </c>
      <c r="M16" s="35">
        <v>10000</v>
      </c>
      <c r="N16" s="36">
        <f t="shared" ref="N16:N22" si="2">SUM(B16:M16)</f>
        <v>168000</v>
      </c>
      <c r="O16">
        <f>'11'!D32</f>
        <v>168000</v>
      </c>
    </row>
    <row r="17" spans="1:15" x14ac:dyDescent="0.25">
      <c r="A17" s="40" t="s">
        <v>198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6">
        <f t="shared" si="2"/>
        <v>0</v>
      </c>
    </row>
    <row r="18" spans="1:15" x14ac:dyDescent="0.25">
      <c r="A18" s="157" t="s">
        <v>368</v>
      </c>
      <c r="B18" s="35">
        <f>5299111-97889</f>
        <v>5201222</v>
      </c>
      <c r="C18" s="35">
        <f>5299111-68000</f>
        <v>5231111</v>
      </c>
      <c r="D18" s="35">
        <v>5289111</v>
      </c>
      <c r="E18" s="35">
        <v>5289111</v>
      </c>
      <c r="F18" s="35">
        <f>5289111+420000</f>
        <v>5709111</v>
      </c>
      <c r="G18" s="35">
        <v>5289111</v>
      </c>
      <c r="H18" s="35">
        <v>5289111</v>
      </c>
      <c r="I18" s="35">
        <v>5289111</v>
      </c>
      <c r="J18" s="35">
        <v>5289111</v>
      </c>
      <c r="K18" s="35">
        <v>5289111</v>
      </c>
      <c r="L18" s="35">
        <v>5289111</v>
      </c>
      <c r="M18" s="35">
        <v>5289096</v>
      </c>
      <c r="N18" s="36">
        <f t="shared" si="2"/>
        <v>63743428</v>
      </c>
      <c r="O18" s="422">
        <f>'11'!D62</f>
        <v>63743428</v>
      </c>
    </row>
    <row r="19" spans="1:15" x14ac:dyDescent="0.25">
      <c r="A19" s="40" t="s">
        <v>29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6">
        <f t="shared" si="2"/>
        <v>0</v>
      </c>
    </row>
    <row r="20" spans="1:15" x14ac:dyDescent="0.25">
      <c r="A20" s="40" t="s">
        <v>190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6">
        <f t="shared" si="2"/>
        <v>0</v>
      </c>
    </row>
    <row r="21" spans="1:15" x14ac:dyDescent="0.25">
      <c r="A21" s="40" t="s">
        <v>152</v>
      </c>
      <c r="B21" s="35">
        <v>97889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6">
        <f t="shared" si="2"/>
        <v>97889</v>
      </c>
      <c r="O21">
        <f>'11'!D63</f>
        <v>97889</v>
      </c>
    </row>
    <row r="22" spans="1:15" ht="13.8" x14ac:dyDescent="0.25">
      <c r="A22" s="31" t="s">
        <v>23</v>
      </c>
      <c r="B22" s="35">
        <f>+B16+B17+B18+B19+B20+B21</f>
        <v>5299111</v>
      </c>
      <c r="C22" s="35">
        <f>+C16+C17+C18+C19+C20+C21</f>
        <v>5299111</v>
      </c>
      <c r="D22" s="35">
        <f t="shared" ref="D22:L22" si="3">+D16+D17+D18+D19+D20+D21</f>
        <v>5299111</v>
      </c>
      <c r="E22" s="35">
        <f t="shared" si="3"/>
        <v>5299111</v>
      </c>
      <c r="F22" s="35">
        <f t="shared" si="3"/>
        <v>5719111</v>
      </c>
      <c r="G22" s="35">
        <f t="shared" si="3"/>
        <v>5299111</v>
      </c>
      <c r="H22" s="35">
        <f t="shared" si="3"/>
        <v>5299111</v>
      </c>
      <c r="I22" s="35">
        <f t="shared" si="3"/>
        <v>5299111</v>
      </c>
      <c r="J22" s="35">
        <f t="shared" si="3"/>
        <v>5299111</v>
      </c>
      <c r="K22" s="35">
        <f t="shared" si="3"/>
        <v>5299111</v>
      </c>
      <c r="L22" s="35">
        <f t="shared" si="3"/>
        <v>5299111</v>
      </c>
      <c r="M22" s="35">
        <f>SUM(M16:M20)+M21</f>
        <v>5299096</v>
      </c>
      <c r="N22" s="424">
        <f t="shared" si="2"/>
        <v>64009317</v>
      </c>
      <c r="O22">
        <f>SUM(O16:O21)</f>
        <v>64009317</v>
      </c>
    </row>
  </sheetData>
  <mergeCells count="4">
    <mergeCell ref="A1:N1"/>
    <mergeCell ref="A2:N2"/>
    <mergeCell ref="A3:N4"/>
    <mergeCell ref="M5:N5"/>
  </mergeCells>
  <phoneticPr fontId="2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zoomScale="75" workbookViewId="0">
      <selection activeCell="E22" sqref="E22"/>
    </sheetView>
  </sheetViews>
  <sheetFormatPr defaultRowHeight="15.6" x14ac:dyDescent="0.25"/>
  <cols>
    <col min="1" max="1" width="6" style="2" customWidth="1"/>
    <col min="2" max="2" width="5.109375" style="1" customWidth="1"/>
    <col min="3" max="3" width="82.5546875" style="1" customWidth="1"/>
    <col min="4" max="5" width="16.33203125" style="2" customWidth="1"/>
    <col min="6" max="6" width="16.6640625" style="2" customWidth="1"/>
    <col min="7" max="7" width="14.88671875" style="11" bestFit="1" customWidth="1"/>
  </cols>
  <sheetData>
    <row r="1" spans="1:7" ht="17.399999999999999" x14ac:dyDescent="0.3">
      <c r="A1" s="461" t="s">
        <v>339</v>
      </c>
      <c r="B1" s="525"/>
      <c r="C1" s="525"/>
      <c r="D1" s="525"/>
      <c r="E1" s="525"/>
      <c r="F1" s="525"/>
    </row>
    <row r="2" spans="1:7" x14ac:dyDescent="0.25">
      <c r="A2" s="454"/>
      <c r="B2" s="454"/>
      <c r="C2" s="454"/>
      <c r="D2" s="454"/>
      <c r="E2" s="454"/>
      <c r="F2" s="454"/>
    </row>
    <row r="3" spans="1:7" x14ac:dyDescent="0.3">
      <c r="A3" s="462" t="s">
        <v>266</v>
      </c>
      <c r="B3" s="462"/>
      <c r="C3" s="462"/>
      <c r="D3" s="462"/>
      <c r="E3" s="462"/>
      <c r="F3" s="462"/>
      <c r="G3" s="462"/>
    </row>
    <row r="4" spans="1:7" x14ac:dyDescent="0.25">
      <c r="A4" s="454" t="s">
        <v>199</v>
      </c>
      <c r="B4" s="454"/>
      <c r="C4" s="454"/>
      <c r="D4" s="454"/>
      <c r="E4" s="454"/>
      <c r="F4" s="454"/>
    </row>
    <row r="5" spans="1:7" ht="16.2" thickBot="1" x14ac:dyDescent="0.35">
      <c r="A5" s="463" t="s">
        <v>269</v>
      </c>
      <c r="B5" s="463"/>
      <c r="C5" s="463"/>
      <c r="D5" s="463"/>
      <c r="E5" s="463"/>
      <c r="F5" s="463"/>
    </row>
    <row r="6" spans="1:7" ht="13.2" x14ac:dyDescent="0.25">
      <c r="A6" s="521" t="s">
        <v>200</v>
      </c>
      <c r="B6" s="469" t="s">
        <v>186</v>
      </c>
      <c r="C6" s="469"/>
      <c r="D6" s="520" t="s">
        <v>245</v>
      </c>
      <c r="E6" s="507" t="s">
        <v>236</v>
      </c>
      <c r="F6" s="507" t="s">
        <v>237</v>
      </c>
      <c r="G6" s="509" t="s">
        <v>238</v>
      </c>
    </row>
    <row r="7" spans="1:7" ht="13.2" x14ac:dyDescent="0.25">
      <c r="A7" s="522"/>
      <c r="B7" s="460"/>
      <c r="C7" s="460"/>
      <c r="D7" s="512"/>
      <c r="E7" s="508"/>
      <c r="F7" s="508"/>
      <c r="G7" s="510"/>
    </row>
    <row r="8" spans="1:7" thickBot="1" x14ac:dyDescent="0.3">
      <c r="A8" s="523"/>
      <c r="B8" s="524"/>
      <c r="C8" s="524"/>
      <c r="D8" s="511" t="s">
        <v>350</v>
      </c>
      <c r="E8" s="512"/>
      <c r="F8" s="512"/>
      <c r="G8" s="265"/>
    </row>
    <row r="9" spans="1:7" x14ac:dyDescent="0.25">
      <c r="A9" s="264"/>
      <c r="B9" s="469" t="s">
        <v>201</v>
      </c>
      <c r="C9" s="469"/>
      <c r="D9" s="275"/>
      <c r="E9" s="268"/>
      <c r="F9" s="261"/>
      <c r="G9" s="261"/>
    </row>
    <row r="10" spans="1:7" x14ac:dyDescent="0.3">
      <c r="A10" s="9">
        <v>1</v>
      </c>
      <c r="B10" s="464" t="s">
        <v>187</v>
      </c>
      <c r="C10" s="464"/>
      <c r="D10" s="269">
        <f>+E10+F10</f>
        <v>43852653</v>
      </c>
      <c r="E10" s="269">
        <v>43852653</v>
      </c>
      <c r="F10" s="185"/>
      <c r="G10" s="266"/>
    </row>
    <row r="11" spans="1:7" x14ac:dyDescent="0.3">
      <c r="A11" s="9">
        <v>2</v>
      </c>
      <c r="B11" s="464" t="s">
        <v>196</v>
      </c>
      <c r="C11" s="464"/>
      <c r="D11" s="269">
        <f>+E11+F11</f>
        <v>10175095</v>
      </c>
      <c r="E11" s="269">
        <v>10175095</v>
      </c>
      <c r="F11" s="185"/>
      <c r="G11" s="266"/>
    </row>
    <row r="12" spans="1:7" x14ac:dyDescent="0.3">
      <c r="A12" s="9">
        <v>3</v>
      </c>
      <c r="B12" s="464" t="s">
        <v>197</v>
      </c>
      <c r="C12" s="464"/>
      <c r="D12" s="269">
        <f>+E12+F12</f>
        <v>9561569</v>
      </c>
      <c r="E12" s="269">
        <v>9561569</v>
      </c>
      <c r="F12" s="185"/>
      <c r="G12" s="276"/>
    </row>
    <row r="13" spans="1:7" x14ac:dyDescent="0.3">
      <c r="A13" s="9" t="s">
        <v>45</v>
      </c>
      <c r="B13" s="464" t="s">
        <v>179</v>
      </c>
      <c r="C13" s="464"/>
      <c r="D13" s="321"/>
      <c r="E13" s="269"/>
      <c r="F13" s="185"/>
      <c r="G13" s="266"/>
    </row>
    <row r="14" spans="1:7" x14ac:dyDescent="0.25">
      <c r="A14" s="9" t="s">
        <v>47</v>
      </c>
      <c r="B14" s="465" t="s">
        <v>173</v>
      </c>
      <c r="C14" s="465"/>
      <c r="D14" s="321">
        <f>+D15+D16+D17+D18+D19</f>
        <v>0</v>
      </c>
      <c r="E14" s="269"/>
      <c r="F14" s="13"/>
      <c r="G14" s="13"/>
    </row>
    <row r="15" spans="1:7" x14ac:dyDescent="0.3">
      <c r="A15" s="9" t="s">
        <v>165</v>
      </c>
      <c r="B15" s="475" t="s">
        <v>168</v>
      </c>
      <c r="C15" s="475"/>
      <c r="D15" s="321"/>
      <c r="E15" s="269"/>
      <c r="F15" s="185"/>
      <c r="G15" s="266"/>
    </row>
    <row r="16" spans="1:7" x14ac:dyDescent="0.3">
      <c r="A16" s="9" t="s">
        <v>166</v>
      </c>
      <c r="B16" s="475" t="s">
        <v>235</v>
      </c>
      <c r="C16" s="475"/>
      <c r="D16" s="321"/>
      <c r="E16" s="269"/>
      <c r="F16" s="185"/>
      <c r="G16" s="266"/>
    </row>
    <row r="17" spans="1:7" x14ac:dyDescent="0.3">
      <c r="A17" s="9"/>
      <c r="B17" s="589" t="s">
        <v>174</v>
      </c>
      <c r="C17" s="589"/>
      <c r="D17" s="321"/>
      <c r="E17" s="269"/>
      <c r="F17" s="185"/>
      <c r="G17" s="266"/>
    </row>
    <row r="18" spans="1:7" x14ac:dyDescent="0.3">
      <c r="A18" s="9" t="s">
        <v>167</v>
      </c>
      <c r="B18" s="477" t="s">
        <v>169</v>
      </c>
      <c r="C18" s="477"/>
      <c r="D18" s="321"/>
      <c r="E18" s="269"/>
      <c r="F18" s="185"/>
      <c r="G18" s="266"/>
    </row>
    <row r="19" spans="1:7" x14ac:dyDescent="0.3">
      <c r="A19" s="9" t="s">
        <v>73</v>
      </c>
      <c r="B19" s="477" t="s">
        <v>74</v>
      </c>
      <c r="C19" s="478"/>
      <c r="D19" s="321"/>
      <c r="E19" s="269"/>
      <c r="F19" s="185"/>
      <c r="G19" s="266"/>
    </row>
    <row r="20" spans="1:7" x14ac:dyDescent="0.3">
      <c r="A20" s="9"/>
      <c r="B20" s="464" t="s">
        <v>231</v>
      </c>
      <c r="C20" s="464"/>
      <c r="D20" s="322"/>
      <c r="E20" s="270"/>
      <c r="F20" s="323"/>
      <c r="G20" s="280"/>
    </row>
    <row r="21" spans="1:7" x14ac:dyDescent="0.25">
      <c r="A21" s="9" t="s">
        <v>193</v>
      </c>
      <c r="B21" s="260" t="s">
        <v>164</v>
      </c>
      <c r="C21" s="149"/>
      <c r="D21" s="321">
        <f>+D10+D11+D12+D13+D14+D20</f>
        <v>63589317</v>
      </c>
      <c r="E21" s="282">
        <f>+E10+E11+E12+E13+E14+E20</f>
        <v>63589317</v>
      </c>
      <c r="F21" s="13">
        <f>+F10+F11+F12+F13+F14+F20</f>
        <v>0</v>
      </c>
      <c r="G21" s="269"/>
    </row>
    <row r="22" spans="1:7" x14ac:dyDescent="0.3">
      <c r="A22" s="9" t="s">
        <v>48</v>
      </c>
      <c r="B22" s="464" t="s">
        <v>189</v>
      </c>
      <c r="C22" s="464"/>
      <c r="D22" s="322">
        <f>+E22+F22</f>
        <v>420000</v>
      </c>
      <c r="E22" s="270">
        <v>420000</v>
      </c>
      <c r="F22" s="201"/>
      <c r="G22" s="266"/>
    </row>
    <row r="23" spans="1:7" x14ac:dyDescent="0.3">
      <c r="A23" s="9" t="s">
        <v>49</v>
      </c>
      <c r="B23" s="464" t="s">
        <v>188</v>
      </c>
      <c r="C23" s="464"/>
      <c r="D23" s="322"/>
      <c r="E23" s="270"/>
      <c r="F23" s="185"/>
      <c r="G23" s="266"/>
    </row>
    <row r="24" spans="1:7" x14ac:dyDescent="0.3">
      <c r="A24" s="9" t="s">
        <v>51</v>
      </c>
      <c r="B24" s="464" t="s">
        <v>170</v>
      </c>
      <c r="C24" s="464"/>
      <c r="D24" s="322"/>
      <c r="E24" s="270"/>
      <c r="F24" s="185"/>
      <c r="G24" s="266"/>
    </row>
    <row r="25" spans="1:7" x14ac:dyDescent="0.3">
      <c r="A25" s="9" t="s">
        <v>194</v>
      </c>
      <c r="B25" s="464" t="s">
        <v>232</v>
      </c>
      <c r="C25" s="464"/>
      <c r="D25" s="322">
        <f>+D22+D23+D24</f>
        <v>420000</v>
      </c>
      <c r="E25" s="270">
        <v>420000</v>
      </c>
      <c r="F25" s="185">
        <f>SUM(F22:F24)</f>
        <v>0</v>
      </c>
      <c r="G25" s="266"/>
    </row>
    <row r="26" spans="1:7" x14ac:dyDescent="0.3">
      <c r="A26" s="9" t="s">
        <v>195</v>
      </c>
      <c r="B26" s="464"/>
      <c r="C26" s="464"/>
      <c r="D26" s="322"/>
      <c r="E26" s="270"/>
      <c r="F26" s="185"/>
      <c r="G26" s="266"/>
    </row>
    <row r="27" spans="1:7" x14ac:dyDescent="0.3">
      <c r="A27" s="9" t="s">
        <v>180</v>
      </c>
      <c r="B27" s="513"/>
      <c r="C27" s="513"/>
      <c r="D27" s="324"/>
      <c r="E27" s="271"/>
      <c r="F27" s="185">
        <f>+D27+E27</f>
        <v>0</v>
      </c>
      <c r="G27" s="266"/>
    </row>
    <row r="28" spans="1:7" x14ac:dyDescent="0.3">
      <c r="A28" s="9" t="s">
        <v>181</v>
      </c>
      <c r="B28" s="513"/>
      <c r="C28" s="513"/>
      <c r="D28" s="324"/>
      <c r="E28" s="318"/>
      <c r="F28" s="185">
        <f>+D28+E28</f>
        <v>0</v>
      </c>
      <c r="G28" s="266"/>
    </row>
    <row r="29" spans="1:7" ht="17.399999999999999" x14ac:dyDescent="0.3">
      <c r="A29" s="151" t="s">
        <v>171</v>
      </c>
      <c r="B29" s="485" t="s">
        <v>172</v>
      </c>
      <c r="C29" s="485"/>
      <c r="D29" s="319">
        <f>+D21+D25+D26+D27+D28</f>
        <v>64009317</v>
      </c>
      <c r="E29" s="313">
        <f>+E21+E25+E26+E27+E28</f>
        <v>64009317</v>
      </c>
      <c r="F29" s="289">
        <f>+F21+F25+F26+F27+F28</f>
        <v>0</v>
      </c>
      <c r="G29" s="286">
        <f>+G21+G25+G26+G27+G28</f>
        <v>0</v>
      </c>
    </row>
    <row r="30" spans="1:7" x14ac:dyDescent="0.3">
      <c r="A30" s="18"/>
      <c r="B30" s="484"/>
      <c r="C30" s="484"/>
      <c r="D30" s="20"/>
      <c r="E30" s="273"/>
      <c r="F30" s="19"/>
      <c r="G30" s="19"/>
    </row>
    <row r="31" spans="1:7" x14ac:dyDescent="0.3">
      <c r="A31" s="9"/>
      <c r="B31" s="488" t="s">
        <v>202</v>
      </c>
      <c r="C31" s="488"/>
      <c r="D31" s="322"/>
      <c r="E31" s="270"/>
      <c r="F31" s="185"/>
      <c r="G31" s="266"/>
    </row>
    <row r="32" spans="1:7" x14ac:dyDescent="0.3">
      <c r="A32" s="9" t="s">
        <v>30</v>
      </c>
      <c r="B32" s="489" t="s">
        <v>230</v>
      </c>
      <c r="C32" s="489"/>
      <c r="D32" s="322">
        <f>+E32+F32</f>
        <v>168000</v>
      </c>
      <c r="E32" s="270">
        <v>168000</v>
      </c>
      <c r="F32" s="185"/>
      <c r="G32" s="266">
        <v>0</v>
      </c>
    </row>
    <row r="33" spans="1:7" x14ac:dyDescent="0.3">
      <c r="A33" s="9" t="s">
        <v>43</v>
      </c>
      <c r="B33" s="489" t="s">
        <v>198</v>
      </c>
      <c r="C33" s="489"/>
      <c r="D33" s="322">
        <f>SUM(D34:D36)</f>
        <v>0</v>
      </c>
      <c r="E33" s="270">
        <f>SUM(E34:E36)</f>
        <v>0</v>
      </c>
      <c r="F33" s="270">
        <f>SUM(F34:F36)</f>
        <v>0</v>
      </c>
      <c r="G33" s="266"/>
    </row>
    <row r="34" spans="1:7" x14ac:dyDescent="0.3">
      <c r="A34" s="9"/>
      <c r="B34" s="219" t="s">
        <v>75</v>
      </c>
      <c r="C34" s="129" t="s">
        <v>175</v>
      </c>
      <c r="D34" s="322"/>
      <c r="E34" s="270"/>
      <c r="F34" s="185"/>
      <c r="G34" s="266"/>
    </row>
    <row r="35" spans="1:7" x14ac:dyDescent="0.3">
      <c r="A35" s="9"/>
      <c r="B35" s="219" t="s">
        <v>76</v>
      </c>
      <c r="C35" s="129" t="s">
        <v>176</v>
      </c>
      <c r="D35" s="322"/>
      <c r="E35" s="270"/>
      <c r="F35" s="185"/>
      <c r="G35" s="266"/>
    </row>
    <row r="36" spans="1:7" x14ac:dyDescent="0.3">
      <c r="A36" s="9"/>
      <c r="B36" s="219" t="s">
        <v>77</v>
      </c>
      <c r="C36" s="129" t="s">
        <v>177</v>
      </c>
      <c r="D36" s="322"/>
      <c r="E36" s="270"/>
      <c r="F36" s="185"/>
      <c r="G36" s="266"/>
    </row>
    <row r="37" spans="1:7" x14ac:dyDescent="0.3">
      <c r="A37" s="9" t="s">
        <v>44</v>
      </c>
      <c r="B37" s="489" t="s">
        <v>143</v>
      </c>
      <c r="C37" s="489"/>
      <c r="D37" s="322">
        <f>SUM(D38:D40)</f>
        <v>0</v>
      </c>
      <c r="E37" s="270"/>
      <c r="F37" s="185">
        <f>SUM(F38:F40)</f>
        <v>0</v>
      </c>
      <c r="G37" s="266"/>
    </row>
    <row r="38" spans="1:7" x14ac:dyDescent="0.3">
      <c r="A38" s="9"/>
      <c r="B38" s="220" t="s">
        <v>78</v>
      </c>
      <c r="C38" s="218" t="s">
        <v>233</v>
      </c>
      <c r="D38" s="322"/>
      <c r="E38" s="270"/>
      <c r="F38" s="185"/>
      <c r="G38" s="266"/>
    </row>
    <row r="39" spans="1:7" x14ac:dyDescent="0.3">
      <c r="A39" s="9"/>
      <c r="B39" s="220" t="s">
        <v>79</v>
      </c>
      <c r="C39" s="218" t="s">
        <v>81</v>
      </c>
      <c r="D39" s="322"/>
      <c r="E39" s="270"/>
      <c r="F39" s="185">
        <f t="shared" ref="F39:F45" si="0">SUM(D39:D39)</f>
        <v>0</v>
      </c>
      <c r="G39" s="266"/>
    </row>
    <row r="40" spans="1:7" x14ac:dyDescent="0.3">
      <c r="A40" s="9"/>
      <c r="B40" s="220" t="s">
        <v>80</v>
      </c>
      <c r="C40" s="218" t="s">
        <v>234</v>
      </c>
      <c r="D40" s="322"/>
      <c r="E40" s="270"/>
      <c r="F40" s="185"/>
      <c r="G40" s="266"/>
    </row>
    <row r="41" spans="1:7" x14ac:dyDescent="0.3">
      <c r="A41" s="9" t="s">
        <v>45</v>
      </c>
      <c r="B41" s="489" t="s">
        <v>144</v>
      </c>
      <c r="C41" s="489"/>
      <c r="D41" s="322">
        <f>+F41</f>
        <v>0</v>
      </c>
      <c r="E41" s="270">
        <f>SUM(E42:E45)</f>
        <v>0</v>
      </c>
      <c r="F41" s="270">
        <f>SUM(F42:F45)</f>
        <v>0</v>
      </c>
      <c r="G41" s="266"/>
    </row>
    <row r="42" spans="1:7" x14ac:dyDescent="0.3">
      <c r="A42" s="9"/>
      <c r="B42" s="220" t="s">
        <v>82</v>
      </c>
      <c r="C42" s="218" t="s">
        <v>86</v>
      </c>
      <c r="D42" s="322">
        <f>+F42</f>
        <v>0</v>
      </c>
      <c r="E42" s="270"/>
      <c r="F42" s="185"/>
      <c r="G42" s="266"/>
    </row>
    <row r="43" spans="1:7" x14ac:dyDescent="0.3">
      <c r="A43" s="9"/>
      <c r="B43" s="220" t="s">
        <v>83</v>
      </c>
      <c r="C43" s="218" t="s">
        <v>87</v>
      </c>
      <c r="D43" s="322"/>
      <c r="E43" s="270"/>
      <c r="F43" s="185">
        <f t="shared" si="0"/>
        <v>0</v>
      </c>
      <c r="G43" s="266"/>
    </row>
    <row r="44" spans="1:7" x14ac:dyDescent="0.3">
      <c r="A44" s="9"/>
      <c r="B44" s="220" t="s">
        <v>84</v>
      </c>
      <c r="C44" s="218" t="s">
        <v>265</v>
      </c>
      <c r="D44" s="322"/>
      <c r="E44" s="270"/>
      <c r="F44" s="185">
        <f t="shared" si="0"/>
        <v>0</v>
      </c>
      <c r="G44" s="266"/>
    </row>
    <row r="45" spans="1:7" x14ac:dyDescent="0.3">
      <c r="A45" s="9"/>
      <c r="B45" s="220" t="s">
        <v>85</v>
      </c>
      <c r="C45" s="218" t="s">
        <v>88</v>
      </c>
      <c r="D45" s="322"/>
      <c r="E45" s="270"/>
      <c r="F45" s="185">
        <f t="shared" si="0"/>
        <v>0</v>
      </c>
      <c r="G45" s="266"/>
    </row>
    <row r="46" spans="1:7" x14ac:dyDescent="0.3">
      <c r="A46" s="221" t="s">
        <v>193</v>
      </c>
      <c r="B46" s="514" t="s">
        <v>89</v>
      </c>
      <c r="C46" s="514"/>
      <c r="D46" s="322">
        <f>+D32+D33+D37+D41</f>
        <v>168000</v>
      </c>
      <c r="E46" s="270">
        <f>+E32+E33+E37+E41</f>
        <v>168000</v>
      </c>
      <c r="F46" s="322">
        <f>+F32+F33+F37+F41</f>
        <v>0</v>
      </c>
      <c r="G46" s="322">
        <f>+G32+G33+G37+G41</f>
        <v>0</v>
      </c>
    </row>
    <row r="47" spans="1:7" x14ac:dyDescent="0.3">
      <c r="A47" s="9" t="s">
        <v>47</v>
      </c>
      <c r="B47" s="489" t="s">
        <v>190</v>
      </c>
      <c r="C47" s="489"/>
      <c r="D47" s="322">
        <f>SUM(D48:D49)</f>
        <v>0</v>
      </c>
      <c r="E47" s="270">
        <f>SUM(E48:E49)</f>
        <v>0</v>
      </c>
      <c r="F47" s="270">
        <f>SUM(F48:F49)</f>
        <v>0</v>
      </c>
      <c r="G47" s="266"/>
    </row>
    <row r="48" spans="1:7" x14ac:dyDescent="0.3">
      <c r="A48" s="9"/>
      <c r="B48" s="220" t="s">
        <v>90</v>
      </c>
      <c r="C48" s="218" t="s">
        <v>92</v>
      </c>
      <c r="D48" s="322"/>
      <c r="E48" s="270"/>
      <c r="F48" s="185">
        <f t="shared" ref="F48:F56" si="1">SUM(D48:D48)</f>
        <v>0</v>
      </c>
      <c r="G48" s="266"/>
    </row>
    <row r="49" spans="1:7" x14ac:dyDescent="0.3">
      <c r="A49" s="9"/>
      <c r="B49" s="220" t="s">
        <v>91</v>
      </c>
      <c r="C49" s="218" t="s">
        <v>1</v>
      </c>
      <c r="D49" s="322"/>
      <c r="E49" s="270"/>
      <c r="F49" s="185"/>
      <c r="G49" s="266"/>
    </row>
    <row r="50" spans="1:7" x14ac:dyDescent="0.3">
      <c r="A50" s="9" t="s">
        <v>48</v>
      </c>
      <c r="B50" s="489" t="s">
        <v>146</v>
      </c>
      <c r="C50" s="489"/>
      <c r="D50" s="322">
        <f>SUM(D51:D52)</f>
        <v>0</v>
      </c>
      <c r="E50" s="270">
        <f>SUM(E51:E52)</f>
        <v>0</v>
      </c>
      <c r="F50" s="185">
        <f t="shared" si="1"/>
        <v>0</v>
      </c>
      <c r="G50" s="266"/>
    </row>
    <row r="51" spans="1:7" x14ac:dyDescent="0.3">
      <c r="A51" s="9"/>
      <c r="B51" s="220" t="s">
        <v>93</v>
      </c>
      <c r="C51" s="218" t="s">
        <v>95</v>
      </c>
      <c r="D51" s="322"/>
      <c r="E51" s="270"/>
      <c r="F51" s="185">
        <f t="shared" si="1"/>
        <v>0</v>
      </c>
      <c r="G51" s="266"/>
    </row>
    <row r="52" spans="1:7" x14ac:dyDescent="0.3">
      <c r="A52" s="9"/>
      <c r="B52" s="220" t="s">
        <v>94</v>
      </c>
      <c r="C52" s="218" t="s">
        <v>96</v>
      </c>
      <c r="D52" s="322">
        <v>0</v>
      </c>
      <c r="E52" s="270"/>
      <c r="F52" s="185">
        <f t="shared" si="1"/>
        <v>0</v>
      </c>
      <c r="G52" s="266"/>
    </row>
    <row r="53" spans="1:7" x14ac:dyDescent="0.3">
      <c r="A53" s="9" t="s">
        <v>49</v>
      </c>
      <c r="B53" s="489" t="s">
        <v>147</v>
      </c>
      <c r="C53" s="489"/>
      <c r="D53" s="322">
        <f>SUM(D54:D56)</f>
        <v>0</v>
      </c>
      <c r="E53" s="270">
        <f>SUM(E54:E56)</f>
        <v>0</v>
      </c>
      <c r="F53" s="185">
        <f>SUM(F54:F56)</f>
        <v>0</v>
      </c>
      <c r="G53" s="266"/>
    </row>
    <row r="54" spans="1:7" x14ac:dyDescent="0.3">
      <c r="A54" s="9"/>
      <c r="B54" s="220" t="s">
        <v>97</v>
      </c>
      <c r="C54" s="218" t="s">
        <v>100</v>
      </c>
      <c r="D54" s="322"/>
      <c r="E54" s="270"/>
      <c r="F54" s="185"/>
      <c r="G54" s="266"/>
    </row>
    <row r="55" spans="1:7" x14ac:dyDescent="0.3">
      <c r="A55" s="9"/>
      <c r="B55" s="220" t="s">
        <v>98</v>
      </c>
      <c r="C55" s="218" t="s">
        <v>2</v>
      </c>
      <c r="D55" s="322"/>
      <c r="E55" s="270"/>
      <c r="F55" s="185">
        <f t="shared" si="1"/>
        <v>0</v>
      </c>
      <c r="G55" s="266"/>
    </row>
    <row r="56" spans="1:7" x14ac:dyDescent="0.3">
      <c r="A56" s="9"/>
      <c r="B56" s="220" t="s">
        <v>99</v>
      </c>
      <c r="C56" s="218" t="s">
        <v>101</v>
      </c>
      <c r="D56" s="322"/>
      <c r="E56" s="270"/>
      <c r="F56" s="185">
        <f t="shared" si="1"/>
        <v>0</v>
      </c>
      <c r="G56" s="266"/>
    </row>
    <row r="57" spans="1:7" x14ac:dyDescent="0.3">
      <c r="A57" s="221" t="s">
        <v>194</v>
      </c>
      <c r="B57" s="514" t="s">
        <v>214</v>
      </c>
      <c r="C57" s="514"/>
      <c r="D57" s="324">
        <f>+D47+D50+D53</f>
        <v>0</v>
      </c>
      <c r="E57" s="325">
        <f>+E47+E50+E53</f>
        <v>0</v>
      </c>
      <c r="F57" s="288">
        <f>+F47+F50+F53</f>
        <v>0</v>
      </c>
      <c r="G57" s="326">
        <f>+G47+G50+G53</f>
        <v>0</v>
      </c>
    </row>
    <row r="58" spans="1:7" x14ac:dyDescent="0.3">
      <c r="A58" s="221" t="s">
        <v>195</v>
      </c>
      <c r="B58" s="514" t="s">
        <v>148</v>
      </c>
      <c r="C58" s="514"/>
      <c r="D58" s="324"/>
      <c r="E58" s="271"/>
      <c r="F58" s="320"/>
      <c r="G58" s="327"/>
    </row>
    <row r="59" spans="1:7" x14ac:dyDescent="0.3">
      <c r="A59" s="221" t="s">
        <v>180</v>
      </c>
      <c r="B59" s="514" t="s">
        <v>22</v>
      </c>
      <c r="C59" s="514"/>
      <c r="D59" s="324"/>
      <c r="E59" s="271"/>
      <c r="F59" s="320"/>
      <c r="G59" s="327"/>
    </row>
    <row r="60" spans="1:7" ht="17.399999999999999" x14ac:dyDescent="0.3">
      <c r="A60" s="151" t="s">
        <v>149</v>
      </c>
      <c r="B60" s="496" t="s">
        <v>150</v>
      </c>
      <c r="C60" s="496"/>
      <c r="D60" s="319">
        <f>+D46+D57+D58+D59</f>
        <v>168000</v>
      </c>
      <c r="E60" s="313">
        <f>+E46+E57+E58+E59</f>
        <v>168000</v>
      </c>
      <c r="F60" s="289">
        <f>+F46+F57+F58+F59</f>
        <v>0</v>
      </c>
      <c r="G60" s="286">
        <f>+G46+G57+G58+G59</f>
        <v>0</v>
      </c>
    </row>
    <row r="61" spans="1:7" ht="17.399999999999999" x14ac:dyDescent="0.3">
      <c r="A61" s="151"/>
      <c r="B61" s="496" t="s">
        <v>151</v>
      </c>
      <c r="C61" s="496"/>
      <c r="D61" s="319">
        <f>+D29-D60</f>
        <v>63841317</v>
      </c>
      <c r="E61" s="313">
        <f>+E29-E60</f>
        <v>63841317</v>
      </c>
      <c r="F61" s="289">
        <f>+F29-F60</f>
        <v>0</v>
      </c>
      <c r="G61" s="286">
        <f>+G29-G60</f>
        <v>0</v>
      </c>
    </row>
    <row r="62" spans="1:7" ht="17.399999999999999" x14ac:dyDescent="0.3">
      <c r="A62" s="151"/>
      <c r="B62" s="514" t="s">
        <v>267</v>
      </c>
      <c r="C62" s="514"/>
      <c r="D62" s="319">
        <f>+F62+E62</f>
        <v>63743428</v>
      </c>
      <c r="E62" s="285">
        <f>63911428-168000</f>
        <v>63743428</v>
      </c>
      <c r="F62" s="289"/>
      <c r="G62" s="286"/>
    </row>
    <row r="63" spans="1:7" x14ac:dyDescent="0.3">
      <c r="A63" s="221" t="s">
        <v>181</v>
      </c>
      <c r="B63" s="514" t="s">
        <v>152</v>
      </c>
      <c r="C63" s="514"/>
      <c r="D63" s="322">
        <f>SUM(E63:F63)</f>
        <v>97889</v>
      </c>
      <c r="E63" s="283">
        <f>SUM(E64:E65)</f>
        <v>97889</v>
      </c>
      <c r="F63" s="185"/>
      <c r="G63" s="284"/>
    </row>
    <row r="64" spans="1:7" ht="18" x14ac:dyDescent="0.35">
      <c r="A64" s="151"/>
      <c r="B64" s="262" t="s">
        <v>30</v>
      </c>
      <c r="C64" s="218" t="s">
        <v>102</v>
      </c>
      <c r="D64" s="322">
        <v>97889</v>
      </c>
      <c r="E64" s="283">
        <v>97889</v>
      </c>
      <c r="F64" s="263"/>
      <c r="G64" s="287"/>
    </row>
    <row r="65" spans="1:7" ht="18" x14ac:dyDescent="0.35">
      <c r="A65" s="151"/>
      <c r="B65" s="262" t="s">
        <v>43</v>
      </c>
      <c r="C65" s="218" t="s">
        <v>103</v>
      </c>
      <c r="D65" s="328"/>
      <c r="E65" s="285"/>
      <c r="F65" s="185"/>
      <c r="G65" s="287"/>
    </row>
    <row r="66" spans="1:7" ht="17.399999999999999" x14ac:dyDescent="0.3">
      <c r="A66" s="151" t="s">
        <v>153</v>
      </c>
      <c r="B66" s="485" t="s">
        <v>157</v>
      </c>
      <c r="C66" s="485"/>
      <c r="D66" s="319">
        <f>+D63</f>
        <v>97889</v>
      </c>
      <c r="E66" s="285">
        <f>+E63</f>
        <v>97889</v>
      </c>
      <c r="F66" s="289">
        <f>+F63</f>
        <v>0</v>
      </c>
      <c r="G66" s="287"/>
    </row>
    <row r="67" spans="1:7" ht="17.399999999999999" x14ac:dyDescent="0.3">
      <c r="A67" s="9" t="s">
        <v>182</v>
      </c>
      <c r="B67" s="489" t="s">
        <v>154</v>
      </c>
      <c r="C67" s="489"/>
      <c r="D67" s="319"/>
      <c r="E67" s="272"/>
      <c r="F67" s="189">
        <f t="shared" ref="F67:F80" si="2">SUM(D67:E67)</f>
        <v>0</v>
      </c>
      <c r="G67" s="267"/>
    </row>
    <row r="68" spans="1:7" ht="17.399999999999999" x14ac:dyDescent="0.3">
      <c r="A68" s="9" t="s">
        <v>183</v>
      </c>
      <c r="B68" s="489" t="s">
        <v>155</v>
      </c>
      <c r="C68" s="489"/>
      <c r="D68" s="319">
        <f>SUM(D69:D72)</f>
        <v>0</v>
      </c>
      <c r="E68" s="272"/>
      <c r="F68" s="189">
        <f t="shared" si="2"/>
        <v>0</v>
      </c>
      <c r="G68" s="267"/>
    </row>
    <row r="69" spans="1:7" ht="18" x14ac:dyDescent="0.35">
      <c r="A69" s="9"/>
      <c r="B69" s="220" t="s">
        <v>30</v>
      </c>
      <c r="C69" s="218" t="s">
        <v>104</v>
      </c>
      <c r="D69" s="328"/>
      <c r="E69" s="274"/>
      <c r="F69" s="263">
        <f t="shared" si="2"/>
        <v>0</v>
      </c>
      <c r="G69" s="267"/>
    </row>
    <row r="70" spans="1:7" ht="17.399999999999999" x14ac:dyDescent="0.3">
      <c r="A70" s="9"/>
      <c r="B70" s="220" t="s">
        <v>43</v>
      </c>
      <c r="C70" s="218" t="s">
        <v>105</v>
      </c>
      <c r="D70" s="319"/>
      <c r="E70" s="272"/>
      <c r="F70" s="189">
        <f t="shared" si="2"/>
        <v>0</v>
      </c>
      <c r="G70" s="267"/>
    </row>
    <row r="71" spans="1:7" ht="18" x14ac:dyDescent="0.35">
      <c r="A71" s="9"/>
      <c r="B71" s="220" t="s">
        <v>44</v>
      </c>
      <c r="C71" s="218" t="s">
        <v>228</v>
      </c>
      <c r="D71" s="328"/>
      <c r="E71" s="272"/>
      <c r="F71" s="189"/>
      <c r="G71" s="267"/>
    </row>
    <row r="72" spans="1:7" ht="18" x14ac:dyDescent="0.35">
      <c r="A72" s="9"/>
      <c r="B72" s="220" t="s">
        <v>45</v>
      </c>
      <c r="C72" s="218" t="s">
        <v>229</v>
      </c>
      <c r="D72" s="328"/>
      <c r="E72" s="272"/>
      <c r="F72" s="189"/>
      <c r="G72" s="267"/>
    </row>
    <row r="73" spans="1:7" ht="17.399999999999999" x14ac:dyDescent="0.3">
      <c r="A73" s="151" t="s">
        <v>156</v>
      </c>
      <c r="B73" s="515" t="s">
        <v>158</v>
      </c>
      <c r="C73" s="515"/>
      <c r="D73" s="319">
        <f>+D67+D68</f>
        <v>0</v>
      </c>
      <c r="E73" s="272"/>
      <c r="F73" s="189">
        <f t="shared" si="2"/>
        <v>0</v>
      </c>
      <c r="G73" s="267"/>
    </row>
    <row r="74" spans="1:7" ht="17.399999999999999" x14ac:dyDescent="0.3">
      <c r="A74" s="151" t="s">
        <v>159</v>
      </c>
      <c r="B74" s="496" t="s">
        <v>160</v>
      </c>
      <c r="C74" s="496"/>
      <c r="D74" s="272">
        <f>+D66+D73+D62</f>
        <v>63841317</v>
      </c>
      <c r="E74" s="272">
        <f>+E66+E73+E62</f>
        <v>63841317</v>
      </c>
      <c r="F74" s="272">
        <f>+F66+F73+F62</f>
        <v>0</v>
      </c>
      <c r="G74" s="267"/>
    </row>
    <row r="75" spans="1:7" ht="17.399999999999999" x14ac:dyDescent="0.3">
      <c r="A75" s="9" t="s">
        <v>184</v>
      </c>
      <c r="B75" s="489" t="s">
        <v>268</v>
      </c>
      <c r="C75" s="489"/>
      <c r="D75" s="319"/>
      <c r="E75" s="272"/>
      <c r="F75" s="189">
        <f t="shared" si="2"/>
        <v>0</v>
      </c>
      <c r="G75" s="267"/>
    </row>
    <row r="76" spans="1:7" ht="18" x14ac:dyDescent="0.35">
      <c r="A76" s="9" t="s">
        <v>185</v>
      </c>
      <c r="B76" s="489" t="s">
        <v>161</v>
      </c>
      <c r="C76" s="489"/>
      <c r="D76" s="328">
        <f>SUM(D77:D79)</f>
        <v>0</v>
      </c>
      <c r="E76" s="274"/>
      <c r="F76" s="263">
        <f t="shared" si="2"/>
        <v>0</v>
      </c>
      <c r="G76" s="267"/>
    </row>
    <row r="77" spans="1:7" ht="18" x14ac:dyDescent="0.35">
      <c r="A77" s="9"/>
      <c r="B77" s="220" t="s">
        <v>30</v>
      </c>
      <c r="C77" s="218" t="s">
        <v>225</v>
      </c>
      <c r="D77" s="328"/>
      <c r="E77" s="274"/>
      <c r="F77" s="263">
        <f t="shared" si="2"/>
        <v>0</v>
      </c>
      <c r="G77" s="267"/>
    </row>
    <row r="78" spans="1:7" ht="18" x14ac:dyDescent="0.35">
      <c r="A78" s="9"/>
      <c r="B78" s="220" t="s">
        <v>43</v>
      </c>
      <c r="C78" s="218" t="s">
        <v>224</v>
      </c>
      <c r="D78" s="328"/>
      <c r="E78" s="274"/>
      <c r="F78" s="263">
        <f t="shared" si="2"/>
        <v>0</v>
      </c>
      <c r="G78" s="267"/>
    </row>
    <row r="79" spans="1:7" ht="18" x14ac:dyDescent="0.35">
      <c r="A79" s="9"/>
      <c r="B79" s="220" t="s">
        <v>44</v>
      </c>
      <c r="C79" s="218" t="s">
        <v>106</v>
      </c>
      <c r="D79" s="328"/>
      <c r="E79" s="274"/>
      <c r="F79" s="263">
        <f t="shared" si="2"/>
        <v>0</v>
      </c>
      <c r="G79" s="267"/>
    </row>
    <row r="80" spans="1:7" ht="17.399999999999999" x14ac:dyDescent="0.3">
      <c r="A80" s="151" t="s">
        <v>162</v>
      </c>
      <c r="B80" s="496" t="s">
        <v>163</v>
      </c>
      <c r="C80" s="496"/>
      <c r="D80" s="319">
        <f>+D75+D76</f>
        <v>0</v>
      </c>
      <c r="E80" s="272">
        <f>+E75+E76</f>
        <v>0</v>
      </c>
      <c r="F80" s="189">
        <f t="shared" si="2"/>
        <v>0</v>
      </c>
      <c r="G80" s="267"/>
    </row>
    <row r="81" spans="1:7" ht="17.399999999999999" x14ac:dyDescent="0.3">
      <c r="A81" s="151" t="s">
        <v>204</v>
      </c>
      <c r="B81" s="496" t="s">
        <v>206</v>
      </c>
      <c r="C81" s="496"/>
      <c r="D81" s="168">
        <f>+D29+D80</f>
        <v>64009317</v>
      </c>
      <c r="E81" s="168">
        <f>+E29+E80</f>
        <v>64009317</v>
      </c>
      <c r="F81" s="168">
        <f>+F29+F80</f>
        <v>0</v>
      </c>
      <c r="G81" s="168">
        <f>+G29+G80</f>
        <v>0</v>
      </c>
    </row>
    <row r="82" spans="1:7" ht="18" thickBot="1" x14ac:dyDescent="0.35">
      <c r="A82" s="169" t="s">
        <v>205</v>
      </c>
      <c r="B82" s="170" t="s">
        <v>207</v>
      </c>
      <c r="C82" s="170"/>
      <c r="D82" s="172">
        <f>+D60+D74</f>
        <v>64009317</v>
      </c>
      <c r="E82" s="172">
        <f>+E60+E74</f>
        <v>64009317</v>
      </c>
      <c r="F82" s="172">
        <f>+F60+F74</f>
        <v>0</v>
      </c>
      <c r="G82" s="172">
        <f>+G60+G74</f>
        <v>0</v>
      </c>
    </row>
    <row r="83" spans="1:7" x14ac:dyDescent="0.25">
      <c r="B83" s="15"/>
      <c r="C83" s="15"/>
      <c r="D83" s="16"/>
      <c r="E83" s="16"/>
      <c r="F83" s="16"/>
    </row>
    <row r="84" spans="1:7" x14ac:dyDescent="0.25">
      <c r="B84" s="15"/>
      <c r="C84" s="15"/>
      <c r="D84" s="176">
        <f>+D82-D81</f>
        <v>0</v>
      </c>
      <c r="E84" s="176">
        <f>+E82-E81</f>
        <v>0</v>
      </c>
      <c r="F84" s="176">
        <f>+F82-F81</f>
        <v>0</v>
      </c>
      <c r="G84" s="176">
        <f>+G82-G81</f>
        <v>0</v>
      </c>
    </row>
    <row r="85" spans="1:7" ht="31.2" x14ac:dyDescent="0.25">
      <c r="B85" s="15"/>
      <c r="C85" s="15"/>
      <c r="D85" s="16" t="s">
        <v>353</v>
      </c>
      <c r="E85" s="16" t="s">
        <v>354</v>
      </c>
      <c r="F85" s="16" t="s">
        <v>355</v>
      </c>
    </row>
    <row r="86" spans="1:7" x14ac:dyDescent="0.25">
      <c r="B86" s="15"/>
      <c r="C86" s="406" t="s">
        <v>356</v>
      </c>
      <c r="D86" s="405">
        <v>54124334</v>
      </c>
      <c r="E86" s="405">
        <v>38888690</v>
      </c>
      <c r="F86" s="405">
        <f>D86-E86</f>
        <v>15235644</v>
      </c>
    </row>
    <row r="87" spans="1:7" x14ac:dyDescent="0.25">
      <c r="B87" s="15"/>
      <c r="C87" s="406" t="s">
        <v>279</v>
      </c>
      <c r="D87" s="405">
        <v>9884983</v>
      </c>
      <c r="E87" s="405">
        <v>2053140</v>
      </c>
      <c r="F87" s="405">
        <f>D87-E87</f>
        <v>7831843</v>
      </c>
    </row>
    <row r="88" spans="1:7" x14ac:dyDescent="0.25">
      <c r="B88" s="15"/>
      <c r="C88" s="15"/>
      <c r="D88" s="16"/>
      <c r="E88" s="16"/>
      <c r="F88" s="16"/>
    </row>
    <row r="89" spans="1:7" x14ac:dyDescent="0.25">
      <c r="B89" s="15"/>
      <c r="C89" s="15"/>
      <c r="D89" s="16"/>
      <c r="E89" s="16"/>
      <c r="F89" s="16"/>
    </row>
    <row r="90" spans="1:7" x14ac:dyDescent="0.25">
      <c r="B90" s="15"/>
      <c r="C90" s="15"/>
      <c r="D90" s="417"/>
      <c r="E90" s="16"/>
      <c r="F90" s="16"/>
    </row>
    <row r="91" spans="1:7" x14ac:dyDescent="0.25">
      <c r="B91" s="15"/>
      <c r="C91" s="15"/>
      <c r="D91" s="16"/>
      <c r="E91" s="16"/>
      <c r="F91" s="16"/>
    </row>
    <row r="92" spans="1:7" x14ac:dyDescent="0.25">
      <c r="B92" s="15"/>
      <c r="C92" s="15"/>
      <c r="D92" s="16"/>
      <c r="E92" s="16"/>
      <c r="F92" s="16"/>
    </row>
    <row r="93" spans="1:7" x14ac:dyDescent="0.25">
      <c r="B93" s="15"/>
      <c r="C93" s="15"/>
      <c r="D93" s="16"/>
      <c r="E93" s="16"/>
      <c r="F93" s="16"/>
    </row>
    <row r="94" spans="1:7" x14ac:dyDescent="0.25">
      <c r="B94" s="15"/>
      <c r="C94" s="15"/>
      <c r="D94" s="16"/>
      <c r="E94" s="16"/>
      <c r="F94" s="16"/>
    </row>
    <row r="95" spans="1:7" x14ac:dyDescent="0.25">
      <c r="B95" s="15"/>
      <c r="C95" s="15"/>
      <c r="D95" s="16"/>
      <c r="E95" s="16"/>
      <c r="F95" s="16"/>
    </row>
    <row r="96" spans="1:7" x14ac:dyDescent="0.25">
      <c r="B96" s="15"/>
      <c r="C96" s="15"/>
      <c r="D96" s="16"/>
      <c r="E96" s="16"/>
      <c r="F96" s="16"/>
    </row>
    <row r="97" spans="2:6" x14ac:dyDescent="0.25">
      <c r="B97" s="15"/>
      <c r="C97" s="15"/>
      <c r="D97" s="16"/>
      <c r="E97" s="16"/>
      <c r="F97" s="16"/>
    </row>
    <row r="98" spans="2:6" x14ac:dyDescent="0.25">
      <c r="B98" s="15"/>
      <c r="C98" s="15"/>
      <c r="D98" s="16"/>
      <c r="E98" s="16"/>
      <c r="F98" s="16"/>
    </row>
    <row r="99" spans="2:6" x14ac:dyDescent="0.25">
      <c r="B99" s="15"/>
      <c r="C99" s="15"/>
      <c r="D99" s="16"/>
      <c r="E99" s="16"/>
      <c r="F99" s="16"/>
    </row>
    <row r="100" spans="2:6" x14ac:dyDescent="0.25">
      <c r="B100" s="15"/>
      <c r="C100" s="15"/>
      <c r="D100" s="16"/>
      <c r="E100" s="16"/>
      <c r="F100" s="16"/>
    </row>
    <row r="101" spans="2:6" x14ac:dyDescent="0.25">
      <c r="B101" s="15"/>
      <c r="C101" s="15"/>
      <c r="D101" s="16"/>
      <c r="E101" s="16"/>
      <c r="F101" s="16"/>
    </row>
    <row r="102" spans="2:6" x14ac:dyDescent="0.25">
      <c r="B102" s="15"/>
      <c r="C102" s="15"/>
      <c r="D102" s="16"/>
      <c r="E102" s="16"/>
      <c r="F102" s="16"/>
    </row>
    <row r="103" spans="2:6" x14ac:dyDescent="0.25">
      <c r="B103" s="15"/>
      <c r="C103" s="15"/>
      <c r="D103" s="16"/>
      <c r="E103" s="16"/>
      <c r="F103" s="16"/>
    </row>
    <row r="104" spans="2:6" x14ac:dyDescent="0.25">
      <c r="B104" s="15"/>
      <c r="C104" s="15"/>
      <c r="D104" s="16"/>
      <c r="E104" s="16"/>
      <c r="F104" s="16"/>
    </row>
  </sheetData>
  <mergeCells count="58">
    <mergeCell ref="B75:C75"/>
    <mergeCell ref="B76:C76"/>
    <mergeCell ref="B80:C80"/>
    <mergeCell ref="B81:C81"/>
    <mergeCell ref="B67:C67"/>
    <mergeCell ref="B68:C68"/>
    <mergeCell ref="B73:C73"/>
    <mergeCell ref="B74:C74"/>
    <mergeCell ref="B61:C61"/>
    <mergeCell ref="B62:C62"/>
    <mergeCell ref="B63:C63"/>
    <mergeCell ref="B66:C66"/>
    <mergeCell ref="B57:C57"/>
    <mergeCell ref="B58:C58"/>
    <mergeCell ref="B59:C59"/>
    <mergeCell ref="B60:C60"/>
    <mergeCell ref="B46:C46"/>
    <mergeCell ref="B47:C47"/>
    <mergeCell ref="B50:C50"/>
    <mergeCell ref="B53:C53"/>
    <mergeCell ref="B32:C32"/>
    <mergeCell ref="B33:C33"/>
    <mergeCell ref="B37:C37"/>
    <mergeCell ref="B41:C41"/>
    <mergeCell ref="B28:C28"/>
    <mergeCell ref="B29:C29"/>
    <mergeCell ref="B30:C30"/>
    <mergeCell ref="B31:C31"/>
    <mergeCell ref="B24:C24"/>
    <mergeCell ref="B25:C25"/>
    <mergeCell ref="B26:C26"/>
    <mergeCell ref="B27:C27"/>
    <mergeCell ref="B19:C19"/>
    <mergeCell ref="B20:C20"/>
    <mergeCell ref="B22:C22"/>
    <mergeCell ref="B23:C23"/>
    <mergeCell ref="B15:C15"/>
    <mergeCell ref="B16:C16"/>
    <mergeCell ref="B17:C17"/>
    <mergeCell ref="B18:C18"/>
    <mergeCell ref="B11:C11"/>
    <mergeCell ref="B12:C12"/>
    <mergeCell ref="B13:C13"/>
    <mergeCell ref="B14:C14"/>
    <mergeCell ref="G6:G7"/>
    <mergeCell ref="D8:F8"/>
    <mergeCell ref="B9:C9"/>
    <mergeCell ref="B10:C10"/>
    <mergeCell ref="A1:F1"/>
    <mergeCell ref="A2:F2"/>
    <mergeCell ref="A3:G3"/>
    <mergeCell ref="A4:F4"/>
    <mergeCell ref="A5:F5"/>
    <mergeCell ref="A6:A8"/>
    <mergeCell ref="B6:C8"/>
    <mergeCell ref="D6:D7"/>
    <mergeCell ref="E6:E7"/>
    <mergeCell ref="F6:F7"/>
  </mergeCells>
  <phoneticPr fontId="20" type="noConversion"/>
  <pageMargins left="0.17" right="0.17" top="0.2" bottom="0.17" header="0.17" footer="0.17"/>
  <pageSetup paperSize="9" scale="5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24"/>
  <sheetViews>
    <sheetView topLeftCell="B13" zoomScaleNormal="100" zoomScaleSheetLayoutView="100" workbookViewId="0">
      <selection activeCell="C10" sqref="C10:F10"/>
    </sheetView>
  </sheetViews>
  <sheetFormatPr defaultRowHeight="13.2" x14ac:dyDescent="0.25"/>
  <cols>
    <col min="1" max="1" width="14.88671875" style="42" customWidth="1"/>
    <col min="2" max="2" width="31.5546875" style="42" customWidth="1"/>
    <col min="3" max="3" width="5" style="42" customWidth="1"/>
    <col min="4" max="4" width="7" style="42" customWidth="1"/>
    <col min="5" max="5" width="4.5546875" style="42" customWidth="1"/>
    <col min="6" max="6" width="9.6640625" style="42" customWidth="1"/>
    <col min="8" max="8" width="10.33203125" bestFit="1" customWidth="1"/>
    <col min="9" max="9" width="21.6640625" bestFit="1" customWidth="1"/>
    <col min="16" max="16" width="15.6640625" bestFit="1" customWidth="1"/>
  </cols>
  <sheetData>
    <row r="1" spans="1:22" x14ac:dyDescent="0.25">
      <c r="H1" s="42"/>
      <c r="I1" s="42"/>
      <c r="J1" s="42"/>
      <c r="K1" s="42"/>
      <c r="L1" s="42"/>
      <c r="M1" s="42"/>
      <c r="O1" s="42"/>
      <c r="P1" s="42"/>
      <c r="Q1" s="42"/>
      <c r="R1" s="42"/>
      <c r="S1" s="42"/>
      <c r="T1" s="42"/>
    </row>
    <row r="2" spans="1:22" ht="24.75" customHeight="1" x14ac:dyDescent="0.3">
      <c r="A2" s="570" t="s">
        <v>338</v>
      </c>
      <c r="B2" s="570"/>
      <c r="C2" s="570"/>
      <c r="D2" s="570"/>
      <c r="E2" s="570"/>
      <c r="F2" s="570"/>
      <c r="H2" s="570" t="s">
        <v>338</v>
      </c>
      <c r="I2" s="570"/>
      <c r="J2" s="570"/>
      <c r="K2" s="570"/>
      <c r="L2" s="570"/>
      <c r="M2" s="570"/>
      <c r="O2" s="570" t="s">
        <v>338</v>
      </c>
      <c r="P2" s="570"/>
      <c r="Q2" s="570"/>
      <c r="R2" s="570"/>
      <c r="S2" s="570"/>
      <c r="T2" s="570"/>
      <c r="V2" t="s">
        <v>280</v>
      </c>
    </row>
    <row r="3" spans="1:22" ht="21" customHeight="1" x14ac:dyDescent="0.3">
      <c r="A3" s="570"/>
      <c r="B3" s="570"/>
      <c r="C3" s="570"/>
      <c r="D3" s="570"/>
      <c r="E3" s="570"/>
      <c r="F3" s="570"/>
      <c r="H3" s="570"/>
      <c r="I3" s="570"/>
      <c r="J3" s="570"/>
      <c r="K3" s="570"/>
      <c r="L3" s="570"/>
      <c r="M3" s="570"/>
      <c r="O3" s="570" t="s">
        <v>275</v>
      </c>
      <c r="P3" s="570"/>
      <c r="Q3" s="570"/>
      <c r="R3" s="570"/>
      <c r="S3" s="570"/>
      <c r="T3" s="570"/>
    </row>
    <row r="4" spans="1:22" ht="21" customHeight="1" x14ac:dyDescent="0.35">
      <c r="A4" s="570" t="s">
        <v>246</v>
      </c>
      <c r="B4" s="570"/>
      <c r="C4" s="570"/>
      <c r="D4" s="570"/>
      <c r="E4" s="570"/>
      <c r="F4" s="570"/>
      <c r="H4" s="606" t="s">
        <v>244</v>
      </c>
      <c r="I4" s="606"/>
      <c r="J4" s="606"/>
      <c r="K4" s="606"/>
      <c r="L4" s="606"/>
      <c r="M4" s="606"/>
      <c r="O4" s="594"/>
      <c r="P4" s="594"/>
      <c r="Q4" s="594"/>
      <c r="R4" s="594"/>
      <c r="S4" s="594"/>
      <c r="T4" s="594"/>
    </row>
    <row r="5" spans="1:22" ht="21" customHeight="1" x14ac:dyDescent="0.3">
      <c r="A5" s="570" t="s">
        <v>282</v>
      </c>
      <c r="B5" s="570"/>
      <c r="C5" s="570"/>
      <c r="D5" s="570"/>
      <c r="E5" s="570"/>
      <c r="F5" s="570"/>
      <c r="H5" s="570" t="s">
        <v>282</v>
      </c>
      <c r="I5" s="570"/>
      <c r="J5" s="570"/>
      <c r="K5" s="570"/>
      <c r="L5" s="570"/>
      <c r="M5" s="570"/>
      <c r="O5" s="570" t="s">
        <v>282</v>
      </c>
      <c r="P5" s="570"/>
      <c r="Q5" s="570"/>
      <c r="R5" s="570"/>
      <c r="S5" s="570"/>
      <c r="T5" s="570"/>
    </row>
    <row r="6" spans="1:22" ht="21" customHeight="1" x14ac:dyDescent="0.25">
      <c r="H6" s="42"/>
      <c r="I6" s="42"/>
      <c r="J6" s="42"/>
      <c r="K6" s="42"/>
      <c r="L6" s="42"/>
      <c r="M6" s="42"/>
      <c r="O6" s="42"/>
      <c r="P6" s="42"/>
      <c r="Q6" s="42"/>
      <c r="R6" s="42"/>
      <c r="S6" s="42"/>
      <c r="T6" s="42"/>
    </row>
    <row r="7" spans="1:22" ht="45.75" customHeight="1" x14ac:dyDescent="0.25">
      <c r="A7" s="44" t="s">
        <v>33</v>
      </c>
      <c r="B7" s="44" t="s">
        <v>34</v>
      </c>
      <c r="C7" s="593" t="s">
        <v>108</v>
      </c>
      <c r="D7" s="593"/>
      <c r="E7" s="593"/>
      <c r="F7" s="593"/>
      <c r="H7" s="44" t="s">
        <v>33</v>
      </c>
      <c r="I7" s="44" t="s">
        <v>34</v>
      </c>
      <c r="J7" s="593" t="s">
        <v>108</v>
      </c>
      <c r="K7" s="593"/>
      <c r="L7" s="593"/>
      <c r="M7" s="593"/>
      <c r="O7" s="44" t="s">
        <v>33</v>
      </c>
      <c r="P7" s="44" t="s">
        <v>34</v>
      </c>
      <c r="Q7" s="593" t="s">
        <v>108</v>
      </c>
      <c r="R7" s="593"/>
      <c r="S7" s="593"/>
      <c r="T7" s="593"/>
    </row>
    <row r="8" spans="1:22" ht="36" customHeight="1" x14ac:dyDescent="0.25">
      <c r="A8" s="311" t="s">
        <v>309</v>
      </c>
      <c r="B8" s="46" t="s">
        <v>367</v>
      </c>
      <c r="C8" s="602">
        <v>1.75</v>
      </c>
      <c r="D8" s="602"/>
      <c r="E8" s="602"/>
      <c r="F8" s="602"/>
      <c r="H8" s="311" t="s">
        <v>260</v>
      </c>
      <c r="I8" s="46" t="s">
        <v>271</v>
      </c>
      <c r="J8" s="607">
        <v>6</v>
      </c>
      <c r="K8" s="607"/>
      <c r="L8" s="607"/>
      <c r="M8" s="607"/>
      <c r="O8" s="311" t="s">
        <v>276</v>
      </c>
      <c r="P8" s="46" t="s">
        <v>277</v>
      </c>
      <c r="Q8" s="602">
        <v>8</v>
      </c>
      <c r="R8" s="602"/>
      <c r="S8" s="602"/>
      <c r="T8" s="602"/>
    </row>
    <row r="9" spans="1:22" ht="36" customHeight="1" x14ac:dyDescent="0.25">
      <c r="A9" s="311" t="s">
        <v>256</v>
      </c>
      <c r="B9" s="46" t="s">
        <v>257</v>
      </c>
      <c r="C9" s="603">
        <v>5.33</v>
      </c>
      <c r="D9" s="604"/>
      <c r="E9" s="604"/>
      <c r="F9" s="605"/>
      <c r="H9" s="311" t="s">
        <v>272</v>
      </c>
      <c r="I9" s="46" t="s">
        <v>273</v>
      </c>
      <c r="J9" s="590">
        <v>1</v>
      </c>
      <c r="K9" s="591"/>
      <c r="L9" s="591"/>
      <c r="M9" s="592"/>
      <c r="O9" s="311" t="s">
        <v>278</v>
      </c>
      <c r="P9" s="46" t="s">
        <v>279</v>
      </c>
      <c r="Q9" s="603">
        <v>1</v>
      </c>
      <c r="R9" s="604"/>
      <c r="S9" s="604"/>
      <c r="T9" s="605"/>
    </row>
    <row r="10" spans="1:22" ht="23.25" customHeight="1" x14ac:dyDescent="0.3">
      <c r="A10" s="311" t="s">
        <v>260</v>
      </c>
      <c r="B10" s="317" t="s">
        <v>261</v>
      </c>
      <c r="C10" s="590">
        <v>1</v>
      </c>
      <c r="D10" s="591"/>
      <c r="E10" s="591"/>
      <c r="F10" s="592"/>
      <c r="H10" s="311" t="s">
        <v>274</v>
      </c>
      <c r="I10" s="46" t="s">
        <v>175</v>
      </c>
      <c r="J10" s="590">
        <v>1</v>
      </c>
      <c r="K10" s="591"/>
      <c r="L10" s="591"/>
      <c r="M10" s="592"/>
      <c r="O10" s="416">
        <v>91139</v>
      </c>
      <c r="P10" s="46" t="s">
        <v>281</v>
      </c>
      <c r="Q10" s="596">
        <v>4</v>
      </c>
      <c r="R10" s="597"/>
      <c r="S10" s="597"/>
      <c r="T10" s="598"/>
    </row>
    <row r="11" spans="1:22" ht="15.6" x14ac:dyDescent="0.3">
      <c r="A11" s="311" t="s">
        <v>264</v>
      </c>
      <c r="B11" s="46" t="s">
        <v>263</v>
      </c>
      <c r="C11" s="596">
        <v>1</v>
      </c>
      <c r="D11" s="597"/>
      <c r="E11" s="597"/>
      <c r="F11" s="598"/>
      <c r="H11" s="45"/>
      <c r="I11" s="46"/>
      <c r="J11" s="596"/>
      <c r="K11" s="597"/>
      <c r="L11" s="597"/>
      <c r="M11" s="598"/>
      <c r="O11" s="45"/>
      <c r="P11" s="46"/>
      <c r="Q11" s="596"/>
      <c r="R11" s="597"/>
      <c r="S11" s="597"/>
      <c r="T11" s="598"/>
    </row>
    <row r="12" spans="1:22" ht="15.6" x14ac:dyDescent="0.3">
      <c r="A12" s="45"/>
      <c r="B12" s="46"/>
      <c r="C12" s="599"/>
      <c r="D12" s="599"/>
      <c r="E12" s="599"/>
      <c r="F12" s="599"/>
      <c r="H12" s="45"/>
      <c r="I12" s="46"/>
      <c r="J12" s="599"/>
      <c r="K12" s="599"/>
      <c r="L12" s="599"/>
      <c r="M12" s="599"/>
      <c r="O12" s="45"/>
      <c r="P12" s="46"/>
      <c r="Q12" s="599"/>
      <c r="R12" s="599"/>
      <c r="S12" s="599"/>
      <c r="T12" s="599"/>
    </row>
    <row r="13" spans="1:22" ht="32.25" customHeight="1" x14ac:dyDescent="0.25">
      <c r="A13" s="45"/>
      <c r="B13" s="46"/>
      <c r="C13" s="590"/>
      <c r="D13" s="600"/>
      <c r="E13" s="600"/>
      <c r="F13" s="601"/>
      <c r="H13" s="45"/>
      <c r="I13" s="46"/>
      <c r="J13" s="590"/>
      <c r="K13" s="600"/>
      <c r="L13" s="600"/>
      <c r="M13" s="601"/>
      <c r="O13" s="45"/>
      <c r="P13" s="46"/>
      <c r="Q13" s="590"/>
      <c r="R13" s="600"/>
      <c r="S13" s="600"/>
      <c r="T13" s="601"/>
    </row>
    <row r="14" spans="1:22" ht="21" customHeight="1" x14ac:dyDescent="0.3">
      <c r="A14" s="593" t="s">
        <v>36</v>
      </c>
      <c r="B14" s="593"/>
      <c r="C14" s="595">
        <f>SUM(C8:F13)</f>
        <v>9.08</v>
      </c>
      <c r="D14" s="595"/>
      <c r="E14" s="595"/>
      <c r="F14" s="595"/>
      <c r="H14" s="593" t="s">
        <v>36</v>
      </c>
      <c r="I14" s="593"/>
      <c r="J14" s="595">
        <f>SUM(J8:M13)</f>
        <v>8</v>
      </c>
      <c r="K14" s="595"/>
      <c r="L14" s="595"/>
      <c r="M14" s="595"/>
      <c r="O14" s="593" t="s">
        <v>36</v>
      </c>
      <c r="P14" s="593"/>
      <c r="Q14" s="595">
        <f>SUM(Q8:T13)</f>
        <v>13</v>
      </c>
      <c r="R14" s="595"/>
      <c r="S14" s="595"/>
      <c r="T14" s="595"/>
    </row>
    <row r="15" spans="1:22" ht="21" customHeight="1" x14ac:dyDescent="0.25">
      <c r="A15" s="47"/>
      <c r="B15" s="47"/>
    </row>
    <row r="16" spans="1:22" ht="21" customHeight="1" x14ac:dyDescent="0.3">
      <c r="A16" s="570" t="s">
        <v>178</v>
      </c>
      <c r="B16" s="570"/>
      <c r="C16" s="570"/>
      <c r="D16" s="570"/>
      <c r="E16" s="570"/>
      <c r="F16" s="570"/>
    </row>
    <row r="17" spans="1:6" ht="21" customHeight="1" x14ac:dyDescent="0.25"/>
    <row r="18" spans="1:6" ht="32.25" customHeight="1" x14ac:dyDescent="0.25">
      <c r="A18" s="44" t="s">
        <v>33</v>
      </c>
      <c r="B18" s="44" t="s">
        <v>34</v>
      </c>
      <c r="C18" s="593" t="s">
        <v>35</v>
      </c>
      <c r="D18" s="593"/>
      <c r="E18" s="593"/>
      <c r="F18" s="593"/>
    </row>
    <row r="19" spans="1:6" ht="30.75" customHeight="1" x14ac:dyDescent="0.3">
      <c r="A19" s="311" t="s">
        <v>258</v>
      </c>
      <c r="B19" s="46" t="s">
        <v>259</v>
      </c>
      <c r="C19" s="608">
        <f>13*2/12+8/12*10+6/12+6/12+5/12</f>
        <v>10.249999999999998</v>
      </c>
      <c r="D19" s="609"/>
      <c r="E19" s="609"/>
      <c r="F19" s="610"/>
    </row>
    <row r="20" spans="1:6" ht="21" customHeight="1" x14ac:dyDescent="0.3">
      <c r="A20" s="593" t="s">
        <v>36</v>
      </c>
      <c r="B20" s="593"/>
      <c r="C20" s="595">
        <f>SUM(C14:F19)</f>
        <v>19.329999999999998</v>
      </c>
      <c r="D20" s="595"/>
      <c r="E20" s="595"/>
      <c r="F20" s="595"/>
    </row>
    <row r="21" spans="1:6" ht="21" customHeight="1" x14ac:dyDescent="0.25"/>
    <row r="24" spans="1:6" x14ac:dyDescent="0.25">
      <c r="D24" s="279"/>
    </row>
  </sheetData>
  <mergeCells count="44">
    <mergeCell ref="A2:F2"/>
    <mergeCell ref="A3:F3"/>
    <mergeCell ref="A4:F4"/>
    <mergeCell ref="C12:F12"/>
    <mergeCell ref="A5:F5"/>
    <mergeCell ref="C7:F7"/>
    <mergeCell ref="C8:F8"/>
    <mergeCell ref="C11:F11"/>
    <mergeCell ref="C9:F9"/>
    <mergeCell ref="C10:F10"/>
    <mergeCell ref="A20:B20"/>
    <mergeCell ref="C20:F20"/>
    <mergeCell ref="C13:F13"/>
    <mergeCell ref="A14:B14"/>
    <mergeCell ref="C14:F14"/>
    <mergeCell ref="C18:F18"/>
    <mergeCell ref="C19:F19"/>
    <mergeCell ref="A16:F16"/>
    <mergeCell ref="H14:I14"/>
    <mergeCell ref="J12:M12"/>
    <mergeCell ref="J13:M13"/>
    <mergeCell ref="J14:M14"/>
    <mergeCell ref="J11:M11"/>
    <mergeCell ref="H5:M5"/>
    <mergeCell ref="H2:M2"/>
    <mergeCell ref="J7:M7"/>
    <mergeCell ref="J8:M8"/>
    <mergeCell ref="J9:M9"/>
    <mergeCell ref="J10:M10"/>
    <mergeCell ref="O14:P14"/>
    <mergeCell ref="O2:T2"/>
    <mergeCell ref="O3:T3"/>
    <mergeCell ref="O4:T4"/>
    <mergeCell ref="Q7:T7"/>
    <mergeCell ref="Q14:T14"/>
    <mergeCell ref="Q10:T10"/>
    <mergeCell ref="Q11:T11"/>
    <mergeCell ref="Q12:T12"/>
    <mergeCell ref="Q13:T13"/>
    <mergeCell ref="O5:T5"/>
    <mergeCell ref="Q8:T8"/>
    <mergeCell ref="H3:M3"/>
    <mergeCell ref="Q9:T9"/>
    <mergeCell ref="H4:M4"/>
  </mergeCells>
  <phoneticPr fontId="20" type="noConversion"/>
  <pageMargins left="0.17" right="0.16" top="0.43" bottom="0.54" header="0.16" footer="0.19"/>
  <pageSetup paperSize="9" scale="6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106"/>
  <sheetViews>
    <sheetView zoomScale="75" workbookViewId="0">
      <selection activeCell="H24" sqref="H24"/>
    </sheetView>
  </sheetViews>
  <sheetFormatPr defaultRowHeight="15.6" x14ac:dyDescent="0.25"/>
  <cols>
    <col min="1" max="1" width="6" style="2" customWidth="1"/>
    <col min="2" max="2" width="5.109375" style="1" customWidth="1"/>
    <col min="3" max="3" width="82.5546875" style="1" customWidth="1"/>
    <col min="4" max="4" width="17.6640625" style="2" bestFit="1" customWidth="1"/>
    <col min="5" max="5" width="18.44140625" style="2" customWidth="1"/>
    <col min="6" max="6" width="16.6640625" style="2" customWidth="1"/>
    <col min="7" max="7" width="14.88671875" style="11" bestFit="1" customWidth="1"/>
    <col min="8" max="9" width="19.109375" bestFit="1" customWidth="1"/>
    <col min="10" max="10" width="16.109375" bestFit="1" customWidth="1"/>
    <col min="11" max="11" width="13.88671875" bestFit="1" customWidth="1"/>
  </cols>
  <sheetData>
    <row r="1" spans="1:11" ht="17.399999999999999" x14ac:dyDescent="0.3">
      <c r="A1" s="461" t="s">
        <v>339</v>
      </c>
      <c r="B1" s="525"/>
      <c r="C1" s="525"/>
      <c r="D1" s="525"/>
      <c r="E1" s="525"/>
      <c r="F1" s="525"/>
    </row>
    <row r="2" spans="1:11" x14ac:dyDescent="0.25">
      <c r="A2" s="454"/>
      <c r="B2" s="454"/>
      <c r="C2" s="454"/>
      <c r="D2" s="454"/>
      <c r="E2" s="454"/>
      <c r="F2" s="454"/>
    </row>
    <row r="3" spans="1:11" x14ac:dyDescent="0.3">
      <c r="A3" s="462" t="s">
        <v>246</v>
      </c>
      <c r="B3" s="462"/>
      <c r="C3" s="462"/>
      <c r="D3" s="462"/>
      <c r="E3" s="462"/>
      <c r="F3" s="462"/>
    </row>
    <row r="4" spans="1:11" x14ac:dyDescent="0.25">
      <c r="A4" s="454" t="s">
        <v>199</v>
      </c>
      <c r="B4" s="454"/>
      <c r="C4" s="454"/>
      <c r="D4" s="454"/>
      <c r="E4" s="454"/>
      <c r="F4" s="454"/>
    </row>
    <row r="5" spans="1:11" ht="16.2" thickBot="1" x14ac:dyDescent="0.35">
      <c r="A5" s="463" t="s">
        <v>239</v>
      </c>
      <c r="B5" s="463"/>
      <c r="C5" s="463"/>
      <c r="D5" s="463"/>
      <c r="E5" s="463"/>
      <c r="F5" s="463"/>
    </row>
    <row r="6" spans="1:11" ht="12.75" customHeight="1" x14ac:dyDescent="0.25">
      <c r="A6" s="521" t="s">
        <v>200</v>
      </c>
      <c r="B6" s="469" t="s">
        <v>186</v>
      </c>
      <c r="C6" s="469"/>
      <c r="D6" s="520" t="s">
        <v>286</v>
      </c>
      <c r="E6" s="507" t="s">
        <v>236</v>
      </c>
      <c r="F6" s="507" t="s">
        <v>237</v>
      </c>
      <c r="G6" s="509" t="s">
        <v>238</v>
      </c>
      <c r="H6" s="520" t="s">
        <v>286</v>
      </c>
      <c r="I6" s="507" t="s">
        <v>236</v>
      </c>
      <c r="J6" s="507" t="s">
        <v>237</v>
      </c>
      <c r="K6" s="509" t="s">
        <v>238</v>
      </c>
    </row>
    <row r="7" spans="1:11" ht="21.75" customHeight="1" x14ac:dyDescent="0.25">
      <c r="A7" s="522"/>
      <c r="B7" s="460"/>
      <c r="C7" s="460"/>
      <c r="D7" s="512"/>
      <c r="E7" s="508"/>
      <c r="F7" s="508"/>
      <c r="G7" s="510"/>
      <c r="H7" s="512"/>
      <c r="I7" s="508"/>
      <c r="J7" s="508"/>
      <c r="K7" s="510"/>
    </row>
    <row r="8" spans="1:11" ht="15.75" customHeight="1" thickBot="1" x14ac:dyDescent="0.3">
      <c r="A8" s="612"/>
      <c r="B8" s="613"/>
      <c r="C8" s="613"/>
      <c r="D8" s="611" t="s">
        <v>389</v>
      </c>
      <c r="E8" s="611"/>
      <c r="F8" s="611"/>
      <c r="G8" s="332"/>
      <c r="H8" s="611" t="s">
        <v>388</v>
      </c>
      <c r="I8" s="611"/>
      <c r="J8" s="611"/>
      <c r="K8" s="332"/>
    </row>
    <row r="9" spans="1:11" x14ac:dyDescent="0.25">
      <c r="A9" s="331"/>
      <c r="B9" s="614" t="s">
        <v>201</v>
      </c>
      <c r="C9" s="614"/>
      <c r="D9" s="333"/>
      <c r="E9" s="334"/>
      <c r="F9" s="333"/>
      <c r="G9" s="335"/>
      <c r="H9" s="333"/>
      <c r="I9" s="334"/>
      <c r="J9" s="333"/>
      <c r="K9" s="335"/>
    </row>
    <row r="10" spans="1:11" ht="15.75" customHeight="1" x14ac:dyDescent="0.3">
      <c r="A10" s="9">
        <v>1</v>
      </c>
      <c r="B10" s="464" t="s">
        <v>187</v>
      </c>
      <c r="C10" s="464"/>
      <c r="D10" s="269">
        <f>SUM(E10:G10)</f>
        <v>107059037</v>
      </c>
      <c r="E10" s="269">
        <f>'15'!E10+'11'!E10+'13'!E10</f>
        <v>107059037</v>
      </c>
      <c r="F10" s="185">
        <f>'11'!F10+'13'!F10+'15'!F10</f>
        <v>0</v>
      </c>
      <c r="G10" s="266"/>
      <c r="H10" s="269">
        <f>SUM(I10:K10)</f>
        <v>109556879</v>
      </c>
      <c r="I10" s="269">
        <f>107059037+382500+639330+295362+18000+407650+500000+255000</f>
        <v>109556879</v>
      </c>
      <c r="J10" s="185">
        <f>'11'!J10+'13'!J10+'15'!J10</f>
        <v>0</v>
      </c>
      <c r="K10" s="266"/>
    </row>
    <row r="11" spans="1:11" ht="15.75" customHeight="1" x14ac:dyDescent="0.3">
      <c r="A11" s="9">
        <v>2</v>
      </c>
      <c r="B11" s="464" t="s">
        <v>196</v>
      </c>
      <c r="C11" s="464"/>
      <c r="D11" s="269">
        <f>SUM(E11:G11)</f>
        <v>22930212</v>
      </c>
      <c r="E11" s="269">
        <f>'15'!E11+'11'!E11+'13'!E11</f>
        <v>22930212</v>
      </c>
      <c r="F11" s="185">
        <f>'11'!F11+'13'!F11+'15'!F11</f>
        <v>0</v>
      </c>
      <c r="G11" s="266"/>
      <c r="H11" s="269">
        <f>SUM(I11:K11)</f>
        <v>23390920</v>
      </c>
      <c r="I11" s="269">
        <f>22930212+70326+71140+44842+218300+56100</f>
        <v>23390920</v>
      </c>
      <c r="J11" s="185">
        <f>'11'!J11+'13'!J11+'15'!J11</f>
        <v>0</v>
      </c>
      <c r="K11" s="266"/>
    </row>
    <row r="12" spans="1:11" ht="15.75" customHeight="1" x14ac:dyDescent="0.3">
      <c r="A12" s="9">
        <v>3</v>
      </c>
      <c r="B12" s="464" t="s">
        <v>197</v>
      </c>
      <c r="C12" s="464"/>
      <c r="D12" s="269">
        <f>E12+F12+G12</f>
        <v>70853264</v>
      </c>
      <c r="E12" s="269">
        <f>'15'!E12+'11'!E12+'13'!E12</f>
        <v>70853264</v>
      </c>
      <c r="F12" s="185">
        <f>'11'!F12+'13'!F12+'15'!F12</f>
        <v>0</v>
      </c>
      <c r="G12" s="276"/>
      <c r="H12" s="269">
        <f>I12+J12+K12</f>
        <v>82615518</v>
      </c>
      <c r="I12" s="269">
        <f>70853264+2062274-718300+400000+750000+170000+9098280</f>
        <v>82615518</v>
      </c>
      <c r="J12" s="185">
        <f>'11'!J12+'13'!J12+'15'!J12</f>
        <v>0</v>
      </c>
      <c r="K12" s="276"/>
    </row>
    <row r="13" spans="1:11" ht="15.75" customHeight="1" x14ac:dyDescent="0.3">
      <c r="A13" s="9" t="s">
        <v>45</v>
      </c>
      <c r="B13" s="464" t="s">
        <v>179</v>
      </c>
      <c r="C13" s="464"/>
      <c r="D13" s="269">
        <f t="shared" ref="D13:D18" si="0">SUM(E13:G13)</f>
        <v>0</v>
      </c>
      <c r="E13" s="269">
        <f>'11'!E13+'13'!E13+'15'!E13</f>
        <v>0</v>
      </c>
      <c r="F13" s="185">
        <f>'11'!F13+'13'!F13+'15'!F13</f>
        <v>0</v>
      </c>
      <c r="G13" s="284"/>
      <c r="H13" s="269">
        <f t="shared" ref="H13:H18" si="1">SUM(I13:K13)</f>
        <v>0</v>
      </c>
      <c r="I13" s="269">
        <f>'11'!I13+'13'!I13+'15'!I13</f>
        <v>0</v>
      </c>
      <c r="J13" s="185">
        <f>'11'!J13+'13'!J13+'15'!J13</f>
        <v>0</v>
      </c>
      <c r="K13" s="284"/>
    </row>
    <row r="14" spans="1:11" x14ac:dyDescent="0.25">
      <c r="A14" s="9" t="s">
        <v>47</v>
      </c>
      <c r="B14" s="465" t="s">
        <v>173</v>
      </c>
      <c r="C14" s="465"/>
      <c r="D14" s="269">
        <f t="shared" si="0"/>
        <v>17329221</v>
      </c>
      <c r="E14" s="282">
        <f>+E15+E16+E17+E18</f>
        <v>13447591</v>
      </c>
      <c r="F14" s="13">
        <f>+F15+F16+F17+F18+F19</f>
        <v>3881630</v>
      </c>
      <c r="G14" s="330"/>
      <c r="H14" s="269">
        <f t="shared" si="1"/>
        <v>17529221</v>
      </c>
      <c r="I14" s="282">
        <f>+I15+I16+I17+I18</f>
        <v>13447591</v>
      </c>
      <c r="J14" s="13">
        <f>+J15+J16+J17+J18+J19</f>
        <v>4081630</v>
      </c>
      <c r="K14" s="330"/>
    </row>
    <row r="15" spans="1:11" x14ac:dyDescent="0.3">
      <c r="A15" s="9" t="s">
        <v>165</v>
      </c>
      <c r="B15" s="475"/>
      <c r="C15" s="475"/>
      <c r="D15" s="269">
        <f t="shared" si="0"/>
        <v>0</v>
      </c>
      <c r="E15" s="269">
        <f>'11'!E15+'13'!E15+'15'!E15</f>
        <v>0</v>
      </c>
      <c r="F15" s="185">
        <f>'11'!F15+'13'!F15+'15'!F15</f>
        <v>0</v>
      </c>
      <c r="G15" s="284"/>
      <c r="H15" s="269">
        <f t="shared" si="1"/>
        <v>0</v>
      </c>
      <c r="I15" s="269">
        <f>'11'!I15+'13'!I15+'15'!I15</f>
        <v>0</v>
      </c>
      <c r="J15" s="185">
        <f>'11'!J15+'13'!J15+'15'!J15</f>
        <v>0</v>
      </c>
      <c r="K15" s="284"/>
    </row>
    <row r="16" spans="1:11" x14ac:dyDescent="0.3">
      <c r="A16" s="9" t="s">
        <v>166</v>
      </c>
      <c r="B16" s="475" t="s">
        <v>235</v>
      </c>
      <c r="C16" s="475"/>
      <c r="D16" s="269">
        <f t="shared" si="0"/>
        <v>7051792</v>
      </c>
      <c r="E16" s="269">
        <f>'11'!E16+'13'!E16+'15'!E16</f>
        <v>3170162</v>
      </c>
      <c r="F16" s="185">
        <f>'11'!F16+'13'!F16+'15'!F16</f>
        <v>3881630</v>
      </c>
      <c r="G16" s="284"/>
      <c r="H16" s="269">
        <f t="shared" si="1"/>
        <v>7251792</v>
      </c>
      <c r="I16" s="269">
        <f>'11'!I16+'13'!I16+'15'!I16</f>
        <v>3170162</v>
      </c>
      <c r="J16" s="185">
        <f>3881630+50000+150000</f>
        <v>4081630</v>
      </c>
      <c r="K16" s="284"/>
    </row>
    <row r="17" spans="1:11" x14ac:dyDescent="0.3">
      <c r="A17" s="9"/>
      <c r="B17" s="518"/>
      <c r="C17" s="519"/>
      <c r="D17" s="269">
        <f t="shared" si="0"/>
        <v>0</v>
      </c>
      <c r="E17" s="269">
        <f>'11'!E17+'13'!E17+'15'!E17</f>
        <v>0</v>
      </c>
      <c r="F17" s="185">
        <f>'11'!F17+'13'!F17+'15'!F17</f>
        <v>0</v>
      </c>
      <c r="G17" s="284"/>
      <c r="H17" s="269">
        <f t="shared" si="1"/>
        <v>0</v>
      </c>
      <c r="I17" s="269">
        <f>'11'!I17+'13'!I17+'15'!I17</f>
        <v>0</v>
      </c>
      <c r="J17" s="185">
        <f>'11'!J17+'13'!J17+'15'!J17</f>
        <v>0</v>
      </c>
      <c r="K17" s="284"/>
    </row>
    <row r="18" spans="1:11" ht="15.75" customHeight="1" x14ac:dyDescent="0.3">
      <c r="A18" s="9" t="s">
        <v>167</v>
      </c>
      <c r="B18" s="477" t="s">
        <v>169</v>
      </c>
      <c r="C18" s="477"/>
      <c r="D18" s="269">
        <f t="shared" si="0"/>
        <v>10277429</v>
      </c>
      <c r="E18" s="269">
        <f>'11'!E18+'13'!E18+'15'!E18</f>
        <v>10277429</v>
      </c>
      <c r="F18" s="185">
        <f>'11'!F18+'13'!F18+'15'!F18</f>
        <v>0</v>
      </c>
      <c r="G18" s="284"/>
      <c r="H18" s="269">
        <f t="shared" si="1"/>
        <v>10277429</v>
      </c>
      <c r="I18" s="269">
        <f>'11'!I18+'13'!I18+'15'!I18</f>
        <v>10277429</v>
      </c>
      <c r="J18" s="185">
        <f>'11'!J18+'13'!J18+'15'!J18</f>
        <v>0</v>
      </c>
      <c r="K18" s="284"/>
    </row>
    <row r="19" spans="1:11" ht="15.75" customHeight="1" x14ac:dyDescent="0.3">
      <c r="A19" s="9" t="s">
        <v>73</v>
      </c>
      <c r="B19" s="464"/>
      <c r="C19" s="464"/>
      <c r="D19" s="13">
        <f>E19+F19+G19</f>
        <v>0</v>
      </c>
      <c r="E19" s="281">
        <f>'15'!E20</f>
        <v>0</v>
      </c>
      <c r="F19" s="185">
        <f>'11'!F19+'13'!F19+'15'!F19</f>
        <v>0</v>
      </c>
      <c r="G19" s="284"/>
      <c r="H19" s="13">
        <f>I19+J19+K19</f>
        <v>0</v>
      </c>
      <c r="I19" s="281">
        <f>'15'!I20</f>
        <v>0</v>
      </c>
      <c r="J19" s="185">
        <f>'11'!J19+'13'!J19+'15'!J19</f>
        <v>0</v>
      </c>
      <c r="K19" s="284"/>
    </row>
    <row r="20" spans="1:11" ht="15.75" customHeight="1" x14ac:dyDescent="0.3">
      <c r="A20" s="9"/>
      <c r="B20" s="464"/>
      <c r="C20" s="464"/>
      <c r="D20" s="13">
        <f>E20+F20+G20</f>
        <v>0</v>
      </c>
      <c r="E20" s="269">
        <f>'15'!E21</f>
        <v>0</v>
      </c>
      <c r="F20" s="185"/>
      <c r="G20" s="284"/>
      <c r="H20" s="13">
        <f>I20+J20+K20</f>
        <v>0</v>
      </c>
      <c r="I20" s="269">
        <f>'15'!I21</f>
        <v>0</v>
      </c>
      <c r="J20" s="185"/>
      <c r="K20" s="284"/>
    </row>
    <row r="21" spans="1:11" ht="15.75" customHeight="1" x14ac:dyDescent="0.3">
      <c r="A21" s="9"/>
      <c r="B21" s="464" t="s">
        <v>311</v>
      </c>
      <c r="C21" s="464"/>
      <c r="D21" s="290">
        <f>E21+F21+G21</f>
        <v>46241693</v>
      </c>
      <c r="E21" s="269">
        <f>'15'!E22</f>
        <v>46241693</v>
      </c>
      <c r="F21" s="185">
        <f>'15'!F22</f>
        <v>0</v>
      </c>
      <c r="G21" s="284"/>
      <c r="H21" s="290">
        <f>I21+J21+K21</f>
        <v>47274883</v>
      </c>
      <c r="I21" s="269">
        <f>'15'!I22</f>
        <v>47274883</v>
      </c>
      <c r="J21" s="185">
        <f>'15'!J22</f>
        <v>0</v>
      </c>
      <c r="K21" s="284"/>
    </row>
    <row r="22" spans="1:11" s="309" customFormat="1" ht="15.75" customHeight="1" x14ac:dyDescent="0.3">
      <c r="A22" s="221" t="s">
        <v>193</v>
      </c>
      <c r="B22" s="615" t="s">
        <v>164</v>
      </c>
      <c r="C22" s="616"/>
      <c r="D22" s="337">
        <f>+D10+D11+D12+D13+D14+D21+D20+D19</f>
        <v>264413427</v>
      </c>
      <c r="E22" s="338">
        <f>+E10+E11+E12+E13+E14+E21+E20+E19</f>
        <v>260531797</v>
      </c>
      <c r="F22" s="337">
        <f>+F10+F11+F12+F13+F14+F21</f>
        <v>3881630</v>
      </c>
      <c r="G22" s="339"/>
      <c r="H22" s="337">
        <f>+H10+H11+H12+H13+H14+H21+H20+H19</f>
        <v>280367421</v>
      </c>
      <c r="I22" s="338">
        <f>+I10+I11+I12+I13+I14+I21+I20+I19</f>
        <v>276285791</v>
      </c>
      <c r="J22" s="337">
        <f>+J10+J11+J12+J13+J14+J21</f>
        <v>4081630</v>
      </c>
      <c r="K22" s="339"/>
    </row>
    <row r="23" spans="1:11" x14ac:dyDescent="0.3">
      <c r="A23" s="9" t="s">
        <v>48</v>
      </c>
      <c r="B23" s="464" t="s">
        <v>189</v>
      </c>
      <c r="C23" s="464"/>
      <c r="D23" s="269">
        <f>SUM(E23:G23)</f>
        <v>21865750</v>
      </c>
      <c r="E23" s="269">
        <f>'15'!E24+'11'!E22</f>
        <v>21865750</v>
      </c>
      <c r="F23" s="185">
        <f>'15'!F24</f>
        <v>0</v>
      </c>
      <c r="G23" s="266"/>
      <c r="H23" s="269">
        <f>SUM(I23:K23)</f>
        <v>32531765</v>
      </c>
      <c r="I23" s="269">
        <f>21865750+10666015</f>
        <v>32531765</v>
      </c>
      <c r="J23" s="185">
        <f>'15'!J24</f>
        <v>0</v>
      </c>
      <c r="K23" s="266"/>
    </row>
    <row r="24" spans="1:11" ht="15.75" customHeight="1" x14ac:dyDescent="0.3">
      <c r="A24" s="9" t="s">
        <v>49</v>
      </c>
      <c r="B24" s="464" t="s">
        <v>188</v>
      </c>
      <c r="C24" s="464"/>
      <c r="D24" s="269">
        <f>SUM(E24:G24)</f>
        <v>1231900</v>
      </c>
      <c r="E24" s="269">
        <f>'15'!E25</f>
        <v>1231900</v>
      </c>
      <c r="F24" s="185">
        <f>'11'!F24+'13'!F24+'15'!F25</f>
        <v>0</v>
      </c>
      <c r="G24" s="266"/>
      <c r="H24" s="269">
        <f>SUM(I24:K24)</f>
        <v>78272604</v>
      </c>
      <c r="I24" s="269">
        <f>1231900+726440+76314264</f>
        <v>78272604</v>
      </c>
      <c r="J24" s="185">
        <f>'11'!J24+'13'!J24+'15'!J25</f>
        <v>0</v>
      </c>
      <c r="K24" s="266"/>
    </row>
    <row r="25" spans="1:11" ht="15.75" customHeight="1" x14ac:dyDescent="0.3">
      <c r="A25" s="9" t="s">
        <v>51</v>
      </c>
      <c r="B25" s="464" t="s">
        <v>290</v>
      </c>
      <c r="C25" s="464"/>
      <c r="D25" s="269">
        <f>SUM(E25:G25)</f>
        <v>850755</v>
      </c>
      <c r="E25" s="269"/>
      <c r="F25" s="185">
        <f>'15'!F26</f>
        <v>850755</v>
      </c>
      <c r="G25" s="266"/>
      <c r="H25" s="269">
        <f>SUM(I25:K25)</f>
        <v>850755</v>
      </c>
      <c r="I25" s="269"/>
      <c r="J25" s="185">
        <f>'15'!J26</f>
        <v>850755</v>
      </c>
      <c r="K25" s="266"/>
    </row>
    <row r="26" spans="1:11" s="309" customFormat="1" ht="17.399999999999999" x14ac:dyDescent="0.3">
      <c r="A26" s="221" t="s">
        <v>194</v>
      </c>
      <c r="B26" s="621" t="s">
        <v>232</v>
      </c>
      <c r="C26" s="621"/>
      <c r="D26" s="340">
        <f>+D23+D24+D25</f>
        <v>23948405</v>
      </c>
      <c r="E26" s="340">
        <f>+E23+E24+E25</f>
        <v>23097650</v>
      </c>
      <c r="F26" s="340">
        <f>SUM(F23:F25)</f>
        <v>850755</v>
      </c>
      <c r="G26" s="341"/>
      <c r="H26" s="340">
        <f>+H23+H24+H25</f>
        <v>111655124</v>
      </c>
      <c r="I26" s="340">
        <f>+I23+I24+I25</f>
        <v>110804369</v>
      </c>
      <c r="J26" s="340">
        <f>SUM(J23:J25)</f>
        <v>850755</v>
      </c>
      <c r="K26" s="341"/>
    </row>
    <row r="27" spans="1:11" x14ac:dyDescent="0.3">
      <c r="A27" s="9" t="s">
        <v>195</v>
      </c>
      <c r="B27" s="464"/>
      <c r="C27" s="464"/>
      <c r="D27" s="290"/>
      <c r="E27" s="270"/>
      <c r="F27" s="185"/>
      <c r="G27" s="266"/>
      <c r="H27" s="290"/>
      <c r="I27" s="270"/>
      <c r="J27" s="185"/>
      <c r="K27" s="266"/>
    </row>
    <row r="28" spans="1:11" x14ac:dyDescent="0.3">
      <c r="A28" s="9" t="s">
        <v>180</v>
      </c>
      <c r="B28" s="513"/>
      <c r="C28" s="513"/>
      <c r="D28" s="288"/>
      <c r="E28" s="271"/>
      <c r="F28" s="185">
        <f>+D28+E28</f>
        <v>0</v>
      </c>
      <c r="G28" s="266"/>
      <c r="H28" s="288"/>
      <c r="I28" s="271"/>
      <c r="J28" s="185">
        <f>+H28+I28</f>
        <v>0</v>
      </c>
      <c r="K28" s="266"/>
    </row>
    <row r="29" spans="1:11" ht="19.5" customHeight="1" x14ac:dyDescent="0.3">
      <c r="A29" s="9" t="s">
        <v>181</v>
      </c>
      <c r="B29" s="513"/>
      <c r="C29" s="513"/>
      <c r="D29" s="288"/>
      <c r="E29" s="315"/>
      <c r="F29" s="185">
        <f>+D29+E29</f>
        <v>0</v>
      </c>
      <c r="G29" s="266"/>
      <c r="H29" s="288"/>
      <c r="I29" s="315"/>
      <c r="J29" s="185">
        <f>+H29+I29</f>
        <v>0</v>
      </c>
      <c r="K29" s="266"/>
    </row>
    <row r="30" spans="1:11" ht="21" x14ac:dyDescent="0.4">
      <c r="A30" s="151" t="s">
        <v>171</v>
      </c>
      <c r="B30" s="619" t="s">
        <v>270</v>
      </c>
      <c r="C30" s="619"/>
      <c r="D30" s="395">
        <f t="shared" ref="D30:K30" si="2">+D22+D26+D27+D28+D29</f>
        <v>288361832</v>
      </c>
      <c r="E30" s="396">
        <f t="shared" si="2"/>
        <v>283629447</v>
      </c>
      <c r="F30" s="396">
        <f t="shared" si="2"/>
        <v>4732385</v>
      </c>
      <c r="G30" s="397">
        <f t="shared" si="2"/>
        <v>0</v>
      </c>
      <c r="H30" s="395">
        <f t="shared" si="2"/>
        <v>392022545</v>
      </c>
      <c r="I30" s="396">
        <f t="shared" si="2"/>
        <v>387090160</v>
      </c>
      <c r="J30" s="396">
        <f t="shared" si="2"/>
        <v>4932385</v>
      </c>
      <c r="K30" s="397">
        <f t="shared" si="2"/>
        <v>0</v>
      </c>
    </row>
    <row r="31" spans="1:11" x14ac:dyDescent="0.3">
      <c r="A31" s="18"/>
      <c r="B31" s="620"/>
      <c r="C31" s="620"/>
      <c r="D31" s="401"/>
      <c r="E31" s="402"/>
      <c r="F31" s="403"/>
      <c r="G31" s="404"/>
      <c r="H31" s="401"/>
      <c r="I31" s="402"/>
      <c r="J31" s="403"/>
      <c r="K31" s="404"/>
    </row>
    <row r="32" spans="1:11" x14ac:dyDescent="0.3">
      <c r="A32" s="9"/>
      <c r="B32" s="618" t="s">
        <v>202</v>
      </c>
      <c r="C32" s="618"/>
      <c r="D32" s="398"/>
      <c r="E32" s="399"/>
      <c r="F32" s="398"/>
      <c r="G32" s="400"/>
      <c r="H32" s="398"/>
      <c r="I32" s="399"/>
      <c r="J32" s="398"/>
      <c r="K32" s="400"/>
    </row>
    <row r="33" spans="1:11" x14ac:dyDescent="0.3">
      <c r="A33" s="9" t="s">
        <v>30</v>
      </c>
      <c r="B33" s="489" t="s">
        <v>230</v>
      </c>
      <c r="C33" s="489"/>
      <c r="D33" s="291">
        <f t="shared" ref="D33:D41" si="3">SUM(E33:G33)</f>
        <v>15219852</v>
      </c>
      <c r="E33" s="292">
        <f>'11'!E32+'13'!E32+'15'!E34</f>
        <v>15219852</v>
      </c>
      <c r="F33" s="292">
        <f>'11'!F32+'13'!F32+'15'!F34</f>
        <v>0</v>
      </c>
      <c r="G33" s="294"/>
      <c r="H33" s="291">
        <f t="shared" ref="H33:H41" si="4">SUM(I33:K33)</f>
        <v>15219852</v>
      </c>
      <c r="I33" s="292">
        <v>15219852</v>
      </c>
      <c r="J33" s="292">
        <f>'11'!J32+'13'!J32+'15'!J34</f>
        <v>0</v>
      </c>
      <c r="K33" s="294"/>
    </row>
    <row r="34" spans="1:11" x14ac:dyDescent="0.3">
      <c r="A34" s="9" t="s">
        <v>43</v>
      </c>
      <c r="B34" s="489" t="s">
        <v>198</v>
      </c>
      <c r="C34" s="489"/>
      <c r="D34" s="291">
        <f t="shared" si="3"/>
        <v>42371663</v>
      </c>
      <c r="E34" s="292">
        <f>SUM(E35:E37)</f>
        <v>42371663</v>
      </c>
      <c r="F34" s="292">
        <f>SUM(F35:F37)</f>
        <v>0</v>
      </c>
      <c r="G34" s="294"/>
      <c r="H34" s="291">
        <f t="shared" si="4"/>
        <v>42371663</v>
      </c>
      <c r="I34" s="292">
        <f>SUM(I35:I37)</f>
        <v>42371663</v>
      </c>
      <c r="J34" s="292">
        <f>SUM(J35:J37)</f>
        <v>0</v>
      </c>
      <c r="K34" s="294"/>
    </row>
    <row r="35" spans="1:11" x14ac:dyDescent="0.3">
      <c r="A35" s="9"/>
      <c r="B35" s="219" t="s">
        <v>75</v>
      </c>
      <c r="C35" s="129" t="s">
        <v>175</v>
      </c>
      <c r="D35" s="291">
        <f t="shared" si="3"/>
        <v>35129640</v>
      </c>
      <c r="E35" s="292">
        <f>'11'!E34+'13'!E34+'15'!E36</f>
        <v>35129640</v>
      </c>
      <c r="F35" s="292">
        <f>'11'!F34+'13'!F34+'15'!F36</f>
        <v>0</v>
      </c>
      <c r="G35" s="294"/>
      <c r="H35" s="291">
        <f t="shared" si="4"/>
        <v>35129640</v>
      </c>
      <c r="I35" s="292">
        <f>'11'!I34+'13'!I34+'15'!I36</f>
        <v>35129640</v>
      </c>
      <c r="J35" s="292">
        <f>'11'!J34+'13'!J34+'15'!J36</f>
        <v>0</v>
      </c>
      <c r="K35" s="294"/>
    </row>
    <row r="36" spans="1:11" x14ac:dyDescent="0.3">
      <c r="A36" s="9"/>
      <c r="B36" s="219" t="s">
        <v>76</v>
      </c>
      <c r="C36" s="129" t="s">
        <v>176</v>
      </c>
      <c r="D36" s="291">
        <f t="shared" si="3"/>
        <v>5862088</v>
      </c>
      <c r="E36" s="292">
        <f>'11'!E35+'13'!E35+'15'!E37</f>
        <v>5862088</v>
      </c>
      <c r="F36" s="292">
        <f>'11'!F35+'13'!F35+'15'!F37</f>
        <v>0</v>
      </c>
      <c r="G36" s="294"/>
      <c r="H36" s="291">
        <f t="shared" si="4"/>
        <v>5862088</v>
      </c>
      <c r="I36" s="292">
        <f>'11'!I35+'13'!I35+'15'!I37</f>
        <v>5862088</v>
      </c>
      <c r="J36" s="292">
        <f>'11'!J35+'13'!J35+'15'!J37</f>
        <v>0</v>
      </c>
      <c r="K36" s="294"/>
    </row>
    <row r="37" spans="1:11" x14ac:dyDescent="0.3">
      <c r="A37" s="9"/>
      <c r="B37" s="219" t="s">
        <v>77</v>
      </c>
      <c r="C37" s="129" t="s">
        <v>177</v>
      </c>
      <c r="D37" s="291">
        <f t="shared" si="3"/>
        <v>1379935</v>
      </c>
      <c r="E37" s="292">
        <f>'11'!E36+'13'!E36+'15'!E38</f>
        <v>1379935</v>
      </c>
      <c r="F37" s="292">
        <f>'11'!F36+'13'!F36+'15'!F38</f>
        <v>0</v>
      </c>
      <c r="G37" s="294"/>
      <c r="H37" s="291">
        <f t="shared" si="4"/>
        <v>1379935</v>
      </c>
      <c r="I37" s="292">
        <f>'11'!I36+'13'!I36+'15'!I38</f>
        <v>1379935</v>
      </c>
      <c r="J37" s="292">
        <f>'11'!J36+'13'!J36+'15'!J38</f>
        <v>0</v>
      </c>
      <c r="K37" s="294"/>
    </row>
    <row r="38" spans="1:11" x14ac:dyDescent="0.3">
      <c r="A38" s="9" t="s">
        <v>44</v>
      </c>
      <c r="B38" s="489" t="s">
        <v>143</v>
      </c>
      <c r="C38" s="489"/>
      <c r="D38" s="295">
        <f t="shared" si="3"/>
        <v>136442129</v>
      </c>
      <c r="E38" s="292">
        <f>SUM(E39:E41)</f>
        <v>136442129</v>
      </c>
      <c r="F38" s="293">
        <f>SUM(F39:F41)</f>
        <v>0</v>
      </c>
      <c r="G38" s="294"/>
      <c r="H38" s="295">
        <f t="shared" si="4"/>
        <v>136966843</v>
      </c>
      <c r="I38" s="292">
        <f>SUM(I39:I41)</f>
        <v>136966843</v>
      </c>
      <c r="J38" s="293">
        <f>SUM(J39:J41)</f>
        <v>0</v>
      </c>
      <c r="K38" s="294"/>
    </row>
    <row r="39" spans="1:11" x14ac:dyDescent="0.3">
      <c r="A39" s="9"/>
      <c r="B39" s="220" t="s">
        <v>78</v>
      </c>
      <c r="C39" s="218" t="s">
        <v>233</v>
      </c>
      <c r="D39" s="295">
        <f t="shared" si="3"/>
        <v>135017794</v>
      </c>
      <c r="E39" s="292">
        <f>'11'!E38+'13'!E38+'15'!E40</f>
        <v>135017794</v>
      </c>
      <c r="F39" s="292">
        <f>'11'!F38+'13'!F38+'15'!F40</f>
        <v>0</v>
      </c>
      <c r="G39" s="294"/>
      <c r="H39" s="295">
        <f t="shared" si="4"/>
        <v>135542508</v>
      </c>
      <c r="I39" s="292">
        <f>135017794+70585+26352+79056+144270+204451</f>
        <v>135542508</v>
      </c>
      <c r="J39" s="292">
        <f>'11'!J38+'13'!J38+'15'!J40</f>
        <v>0</v>
      </c>
      <c r="K39" s="294"/>
    </row>
    <row r="40" spans="1:11" x14ac:dyDescent="0.3">
      <c r="A40" s="9"/>
      <c r="B40" s="220" t="s">
        <v>79</v>
      </c>
      <c r="C40" s="218" t="s">
        <v>81</v>
      </c>
      <c r="D40" s="295">
        <f t="shared" si="3"/>
        <v>0</v>
      </c>
      <c r="E40" s="292">
        <f>'11'!E39+'13'!E39+'15'!E41</f>
        <v>0</v>
      </c>
      <c r="F40" s="292">
        <f>'11'!F39+'13'!F39+'15'!F41</f>
        <v>0</v>
      </c>
      <c r="G40" s="294"/>
      <c r="H40" s="295">
        <f t="shared" si="4"/>
        <v>0</v>
      </c>
      <c r="I40" s="292">
        <f>'11'!I39+'13'!I39+'15'!I41</f>
        <v>0</v>
      </c>
      <c r="J40" s="292">
        <f>'11'!J39+'13'!J39+'15'!J41</f>
        <v>0</v>
      </c>
      <c r="K40" s="294"/>
    </row>
    <row r="41" spans="1:11" x14ac:dyDescent="0.3">
      <c r="A41" s="9"/>
      <c r="B41" s="220" t="s">
        <v>80</v>
      </c>
      <c r="C41" s="218" t="s">
        <v>234</v>
      </c>
      <c r="D41" s="295">
        <f t="shared" si="3"/>
        <v>1424335</v>
      </c>
      <c r="E41" s="292">
        <f>'11'!E40+'13'!E40+'15'!E42</f>
        <v>1424335</v>
      </c>
      <c r="F41" s="292">
        <f>'11'!F40+'13'!F40+'15'!F42</f>
        <v>0</v>
      </c>
      <c r="G41" s="294"/>
      <c r="H41" s="295">
        <f t="shared" si="4"/>
        <v>1424335</v>
      </c>
      <c r="I41" s="292">
        <f>'11'!I40+'13'!I40+'15'!I42</f>
        <v>1424335</v>
      </c>
      <c r="J41" s="292">
        <f>'11'!J40+'13'!J40+'15'!J42</f>
        <v>0</v>
      </c>
      <c r="K41" s="294"/>
    </row>
    <row r="42" spans="1:11" x14ac:dyDescent="0.3">
      <c r="A42" s="9" t="s">
        <v>45</v>
      </c>
      <c r="B42" s="489" t="s">
        <v>144</v>
      </c>
      <c r="C42" s="489"/>
      <c r="D42" s="295">
        <f>SUM(D43:D46)</f>
        <v>17693201</v>
      </c>
      <c r="E42" s="292">
        <f>SUM(E43:E46)</f>
        <v>17693201</v>
      </c>
      <c r="F42" s="292">
        <f>SUM(F43:F46)</f>
        <v>0</v>
      </c>
      <c r="G42" s="294"/>
      <c r="H42" s="295">
        <f>SUM(H43:H46)</f>
        <v>34037821</v>
      </c>
      <c r="I42" s="292">
        <f>SUM(I43:I46)</f>
        <v>34037821</v>
      </c>
      <c r="J42" s="292">
        <f>SUM(J43:J46)</f>
        <v>0</v>
      </c>
      <c r="K42" s="294"/>
    </row>
    <row r="43" spans="1:11" x14ac:dyDescent="0.3">
      <c r="A43" s="9"/>
      <c r="B43" s="220" t="s">
        <v>82</v>
      </c>
      <c r="C43" s="336" t="s">
        <v>86</v>
      </c>
      <c r="D43" s="295">
        <f>SUM(E43:G43)</f>
        <v>16693201</v>
      </c>
      <c r="E43" s="292">
        <f>'11'!E42+'13'!E42+'15'!E44</f>
        <v>16693201</v>
      </c>
      <c r="F43" s="292">
        <f>'11'!F42+'13'!F42+'15'!F44</f>
        <v>0</v>
      </c>
      <c r="G43" s="294"/>
      <c r="H43" s="295">
        <f>SUM(I43:K43)</f>
        <v>33037821</v>
      </c>
      <c r="I43" s="292">
        <f>16693201+330792+709656+452492+311100+387700+14152880</f>
        <v>33037821</v>
      </c>
      <c r="J43" s="292">
        <f>'11'!J42+'13'!J42+'15'!J44</f>
        <v>0</v>
      </c>
      <c r="K43" s="294"/>
    </row>
    <row r="44" spans="1:11" x14ac:dyDescent="0.3">
      <c r="A44" s="9"/>
      <c r="B44" s="220" t="s">
        <v>83</v>
      </c>
      <c r="C44" s="218" t="s">
        <v>87</v>
      </c>
      <c r="D44" s="295"/>
      <c r="E44" s="292">
        <f>'11'!E43+'13'!E43+'15'!E45</f>
        <v>0</v>
      </c>
      <c r="F44" s="292">
        <f>'11'!F43+'13'!F43+'15'!F45</f>
        <v>0</v>
      </c>
      <c r="G44" s="294"/>
      <c r="H44" s="295"/>
      <c r="I44" s="292">
        <f>'11'!I43+'13'!I43+'15'!I45</f>
        <v>0</v>
      </c>
      <c r="J44" s="292">
        <f>'11'!J43+'13'!J43+'15'!J45</f>
        <v>0</v>
      </c>
      <c r="K44" s="294"/>
    </row>
    <row r="45" spans="1:11" x14ac:dyDescent="0.3">
      <c r="A45" s="9"/>
      <c r="B45" s="220" t="s">
        <v>84</v>
      </c>
      <c r="C45" s="218" t="s">
        <v>262</v>
      </c>
      <c r="D45" s="295">
        <f>G45+F45+E45</f>
        <v>1000000</v>
      </c>
      <c r="E45" s="292">
        <f>'11'!E44+'13'!E44+'15'!E46</f>
        <v>1000000</v>
      </c>
      <c r="F45" s="292">
        <f>'11'!F44+'13'!F44+'15'!F46</f>
        <v>0</v>
      </c>
      <c r="G45" s="294"/>
      <c r="H45" s="295">
        <f>K45+J45+I45</f>
        <v>1000000</v>
      </c>
      <c r="I45" s="292">
        <f>'11'!I44+'13'!I44+'15'!I46</f>
        <v>1000000</v>
      </c>
      <c r="J45" s="292">
        <f>'11'!J44+'13'!J44+'15'!J46</f>
        <v>0</v>
      </c>
      <c r="K45" s="294"/>
    </row>
    <row r="46" spans="1:11" x14ac:dyDescent="0.3">
      <c r="A46" s="9"/>
      <c r="B46" s="220" t="s">
        <v>85</v>
      </c>
      <c r="C46" s="218" t="s">
        <v>88</v>
      </c>
      <c r="D46" s="295"/>
      <c r="E46" s="292">
        <f>'11'!E45+'13'!E45+'15'!E47</f>
        <v>0</v>
      </c>
      <c r="F46" s="292">
        <f>'11'!F45+'13'!F45+'15'!F47</f>
        <v>0</v>
      </c>
      <c r="G46" s="294"/>
      <c r="H46" s="295"/>
      <c r="I46" s="292">
        <f>'11'!I45+'13'!I45+'15'!I47</f>
        <v>0</v>
      </c>
      <c r="J46" s="292">
        <f>'11'!J45+'13'!J45+'15'!J47</f>
        <v>0</v>
      </c>
      <c r="K46" s="294"/>
    </row>
    <row r="47" spans="1:11" ht="17.399999999999999" x14ac:dyDescent="0.3">
      <c r="A47" s="221" t="s">
        <v>193</v>
      </c>
      <c r="B47" s="617" t="s">
        <v>89</v>
      </c>
      <c r="C47" s="617"/>
      <c r="D47" s="342">
        <f t="shared" ref="D47:K47" si="5">+D33+D34+D38+D42</f>
        <v>211726845</v>
      </c>
      <c r="E47" s="342">
        <f t="shared" si="5"/>
        <v>211726845</v>
      </c>
      <c r="F47" s="342">
        <f t="shared" si="5"/>
        <v>0</v>
      </c>
      <c r="G47" s="343">
        <f t="shared" si="5"/>
        <v>0</v>
      </c>
      <c r="H47" s="342">
        <f t="shared" si="5"/>
        <v>228596179</v>
      </c>
      <c r="I47" s="342">
        <f t="shared" si="5"/>
        <v>228596179</v>
      </c>
      <c r="J47" s="342">
        <f t="shared" si="5"/>
        <v>0</v>
      </c>
      <c r="K47" s="343">
        <f t="shared" si="5"/>
        <v>0</v>
      </c>
    </row>
    <row r="48" spans="1:11" x14ac:dyDescent="0.3">
      <c r="A48" s="9" t="s">
        <v>47</v>
      </c>
      <c r="B48" s="489" t="s">
        <v>190</v>
      </c>
      <c r="C48" s="489"/>
      <c r="D48" s="292">
        <f>SUM(D49:D50)</f>
        <v>4062048</v>
      </c>
      <c r="E48" s="292">
        <f>SUM(E49:E50)</f>
        <v>4062048</v>
      </c>
      <c r="F48" s="292">
        <f>SUM(F49:F50)</f>
        <v>0</v>
      </c>
      <c r="G48" s="294"/>
      <c r="H48" s="292">
        <f>SUM(H49:H50)</f>
        <v>4062048</v>
      </c>
      <c r="I48" s="292">
        <f>SUM(I49:I50)</f>
        <v>4062048</v>
      </c>
      <c r="J48" s="292">
        <f>SUM(J49:J50)</f>
        <v>0</v>
      </c>
      <c r="K48" s="294"/>
    </row>
    <row r="49" spans="1:11" x14ac:dyDescent="0.3">
      <c r="A49" s="9"/>
      <c r="B49" s="220" t="s">
        <v>90</v>
      </c>
      <c r="C49" s="218" t="s">
        <v>92</v>
      </c>
      <c r="D49" s="295">
        <f>+E49+F49+G49</f>
        <v>4062048</v>
      </c>
      <c r="E49" s="292">
        <f>'11'!E48+'13'!E48+'15'!E50</f>
        <v>4062048</v>
      </c>
      <c r="F49" s="292">
        <f>'11'!F48+'13'!F48+'15'!F50</f>
        <v>0</v>
      </c>
      <c r="G49" s="294"/>
      <c r="H49" s="295">
        <f>+I49+J49+K49</f>
        <v>4062048</v>
      </c>
      <c r="I49" s="292">
        <f>'11'!I48+'13'!I48+'15'!I50</f>
        <v>4062048</v>
      </c>
      <c r="J49" s="292">
        <f>'11'!J48+'13'!J48+'15'!J50</f>
        <v>0</v>
      </c>
      <c r="K49" s="294"/>
    </row>
    <row r="50" spans="1:11" x14ac:dyDescent="0.3">
      <c r="A50" s="9"/>
      <c r="B50" s="220" t="s">
        <v>91</v>
      </c>
      <c r="C50" s="218" t="s">
        <v>1</v>
      </c>
      <c r="D50" s="295">
        <f>+E50+F50+G50</f>
        <v>0</v>
      </c>
      <c r="E50" s="292">
        <f>'11'!E49+'13'!E49+'15'!E51</f>
        <v>0</v>
      </c>
      <c r="F50" s="292">
        <f>'11'!F49+'13'!F49+'15'!F51</f>
        <v>0</v>
      </c>
      <c r="G50" s="294"/>
      <c r="H50" s="295">
        <f>+I50+J50+K50</f>
        <v>0</v>
      </c>
      <c r="I50" s="292">
        <f>'11'!I49+'13'!I49+'15'!I51</f>
        <v>0</v>
      </c>
      <c r="J50" s="292">
        <f>'11'!J49+'13'!J49+'15'!J51</f>
        <v>0</v>
      </c>
      <c r="K50" s="294"/>
    </row>
    <row r="51" spans="1:11" x14ac:dyDescent="0.3">
      <c r="A51" s="9" t="s">
        <v>48</v>
      </c>
      <c r="B51" s="489" t="s">
        <v>146</v>
      </c>
      <c r="C51" s="489"/>
      <c r="D51" s="295">
        <f>SUM(D52:D53)</f>
        <v>0</v>
      </c>
      <c r="E51" s="292">
        <f>SUM(E52:E53)</f>
        <v>0</v>
      </c>
      <c r="F51" s="293">
        <f>SUM(D51:D51)</f>
        <v>0</v>
      </c>
      <c r="G51" s="294"/>
      <c r="H51" s="295">
        <f>SUM(H52:H53)</f>
        <v>0</v>
      </c>
      <c r="I51" s="292">
        <f>SUM(I52:I53)</f>
        <v>0</v>
      </c>
      <c r="J51" s="293">
        <f>SUM(H51:H51)</f>
        <v>0</v>
      </c>
      <c r="K51" s="294"/>
    </row>
    <row r="52" spans="1:11" x14ac:dyDescent="0.3">
      <c r="A52" s="9"/>
      <c r="B52" s="220" t="s">
        <v>93</v>
      </c>
      <c r="C52" s="218" t="s">
        <v>95</v>
      </c>
      <c r="D52" s="295"/>
      <c r="E52" s="292">
        <f>'11'!E51+'13'!E51+'15'!E53</f>
        <v>0</v>
      </c>
      <c r="F52" s="292">
        <f>'11'!F51+'13'!F51+'15'!F53</f>
        <v>0</v>
      </c>
      <c r="G52" s="294"/>
      <c r="H52" s="295"/>
      <c r="I52" s="292">
        <f>'11'!I51+'13'!I51+'15'!I53</f>
        <v>0</v>
      </c>
      <c r="J52" s="292">
        <f>'11'!J51+'13'!J51+'15'!J53</f>
        <v>0</v>
      </c>
      <c r="K52" s="294"/>
    </row>
    <row r="53" spans="1:11" x14ac:dyDescent="0.3">
      <c r="A53" s="9"/>
      <c r="B53" s="220" t="s">
        <v>94</v>
      </c>
      <c r="C53" s="218" t="s">
        <v>96</v>
      </c>
      <c r="D53" s="295">
        <v>0</v>
      </c>
      <c r="E53" s="292">
        <f>'11'!E52+'13'!E52+'15'!E54</f>
        <v>0</v>
      </c>
      <c r="F53" s="292">
        <f>'11'!F52+'13'!F52+'15'!F54</f>
        <v>0</v>
      </c>
      <c r="G53" s="294"/>
      <c r="H53" s="295">
        <v>0</v>
      </c>
      <c r="I53" s="292">
        <f>'11'!I52+'13'!I52+'15'!I54</f>
        <v>0</v>
      </c>
      <c r="J53" s="292">
        <f>'11'!J52+'13'!J52+'15'!J54</f>
        <v>0</v>
      </c>
      <c r="K53" s="294"/>
    </row>
    <row r="54" spans="1:11" x14ac:dyDescent="0.3">
      <c r="A54" s="9" t="s">
        <v>49</v>
      </c>
      <c r="B54" s="489" t="s">
        <v>147</v>
      </c>
      <c r="C54" s="489"/>
      <c r="D54" s="295">
        <f>SUM(D55:D57)</f>
        <v>14499577</v>
      </c>
      <c r="E54" s="292">
        <f>SUM(E55:E57)</f>
        <v>14499577</v>
      </c>
      <c r="F54" s="293">
        <f>SUM(F55:F57)</f>
        <v>0</v>
      </c>
      <c r="G54" s="294"/>
      <c r="H54" s="295">
        <f>SUM(H55:H57)</f>
        <v>101479856</v>
      </c>
      <c r="I54" s="292">
        <f>SUM(I55:I57)</f>
        <v>101479856</v>
      </c>
      <c r="J54" s="293">
        <f>SUM(J55:J57)</f>
        <v>0</v>
      </c>
      <c r="K54" s="294"/>
    </row>
    <row r="55" spans="1:11" x14ac:dyDescent="0.3">
      <c r="A55" s="9"/>
      <c r="B55" s="220" t="s">
        <v>97</v>
      </c>
      <c r="C55" s="218" t="s">
        <v>100</v>
      </c>
      <c r="D55" s="295">
        <f>+E55+F55+G55</f>
        <v>14499577</v>
      </c>
      <c r="E55" s="292">
        <f>'11'!E54+'13'!E54+'15'!E56</f>
        <v>14499577</v>
      </c>
      <c r="F55" s="292">
        <f>'11'!F54+'13'!F54+'15'!F56</f>
        <v>0</v>
      </c>
      <c r="G55" s="294"/>
      <c r="H55" s="295">
        <f>+I55+J55+K55</f>
        <v>101479856</v>
      </c>
      <c r="I55" s="292">
        <f>'11'!I54+'13'!I54+'15'!I56</f>
        <v>101479856</v>
      </c>
      <c r="J55" s="292">
        <f>'11'!J54+'13'!J54+'15'!J56</f>
        <v>0</v>
      </c>
      <c r="K55" s="294"/>
    </row>
    <row r="56" spans="1:11" x14ac:dyDescent="0.3">
      <c r="A56" s="9"/>
      <c r="B56" s="220" t="s">
        <v>98</v>
      </c>
      <c r="C56" s="218" t="s">
        <v>2</v>
      </c>
      <c r="D56" s="295"/>
      <c r="E56" s="292">
        <f>'11'!E55+'13'!E55+'15'!E57</f>
        <v>0</v>
      </c>
      <c r="F56" s="292">
        <f>'11'!F55+'13'!F55+'15'!F57</f>
        <v>0</v>
      </c>
      <c r="G56" s="294"/>
      <c r="H56" s="295"/>
      <c r="I56" s="292">
        <f>'11'!I55+'13'!I55+'15'!I57</f>
        <v>0</v>
      </c>
      <c r="J56" s="292">
        <f>'11'!J55+'13'!J55+'15'!J57</f>
        <v>0</v>
      </c>
      <c r="K56" s="294"/>
    </row>
    <row r="57" spans="1:11" x14ac:dyDescent="0.3">
      <c r="A57" s="9"/>
      <c r="B57" s="220" t="s">
        <v>99</v>
      </c>
      <c r="C57" s="218" t="s">
        <v>101</v>
      </c>
      <c r="D57" s="295"/>
      <c r="E57" s="292">
        <f>'11'!E56+'13'!E56+'15'!E58</f>
        <v>0</v>
      </c>
      <c r="F57" s="292">
        <f>'11'!F56+'13'!F56+'15'!F58</f>
        <v>0</v>
      </c>
      <c r="G57" s="294"/>
      <c r="H57" s="295"/>
      <c r="I57" s="292">
        <f>'11'!I56+'13'!I56+'15'!I58</f>
        <v>0</v>
      </c>
      <c r="J57" s="292">
        <f>'11'!J56+'13'!J56+'15'!J58</f>
        <v>0</v>
      </c>
      <c r="K57" s="294"/>
    </row>
    <row r="58" spans="1:11" ht="17.399999999999999" x14ac:dyDescent="0.3">
      <c r="A58" s="221" t="s">
        <v>194</v>
      </c>
      <c r="B58" s="617" t="s">
        <v>214</v>
      </c>
      <c r="C58" s="617"/>
      <c r="D58" s="342">
        <f t="shared" ref="D58:K58" si="6">+D48+D51+D54</f>
        <v>18561625</v>
      </c>
      <c r="E58" s="344">
        <f t="shared" si="6"/>
        <v>18561625</v>
      </c>
      <c r="F58" s="342">
        <f t="shared" si="6"/>
        <v>0</v>
      </c>
      <c r="G58" s="343">
        <f t="shared" si="6"/>
        <v>0</v>
      </c>
      <c r="H58" s="342">
        <f t="shared" si="6"/>
        <v>105541904</v>
      </c>
      <c r="I58" s="344">
        <f t="shared" si="6"/>
        <v>105541904</v>
      </c>
      <c r="J58" s="342">
        <f t="shared" si="6"/>
        <v>0</v>
      </c>
      <c r="K58" s="343">
        <f t="shared" si="6"/>
        <v>0</v>
      </c>
    </row>
    <row r="59" spans="1:11" x14ac:dyDescent="0.3">
      <c r="A59" s="221" t="s">
        <v>195</v>
      </c>
      <c r="B59" s="514" t="s">
        <v>148</v>
      </c>
      <c r="C59" s="514"/>
      <c r="D59" s="305"/>
      <c r="E59" s="298"/>
      <c r="F59" s="299"/>
      <c r="G59" s="300"/>
      <c r="H59" s="305"/>
      <c r="I59" s="298"/>
      <c r="J59" s="299"/>
      <c r="K59" s="300"/>
    </row>
    <row r="60" spans="1:11" x14ac:dyDescent="0.3">
      <c r="A60" s="221" t="s">
        <v>180</v>
      </c>
      <c r="B60" s="514" t="s">
        <v>22</v>
      </c>
      <c r="C60" s="514"/>
      <c r="D60" s="305"/>
      <c r="E60" s="298"/>
      <c r="F60" s="299"/>
      <c r="G60" s="300"/>
      <c r="H60" s="305"/>
      <c r="I60" s="298"/>
      <c r="J60" s="299"/>
      <c r="K60" s="300"/>
    </row>
    <row r="61" spans="1:11" ht="20.399999999999999" x14ac:dyDescent="0.35">
      <c r="A61" s="151" t="s">
        <v>149</v>
      </c>
      <c r="B61" s="624" t="s">
        <v>150</v>
      </c>
      <c r="C61" s="624"/>
      <c r="D61" s="392">
        <f t="shared" ref="D61:K61" si="7">+D47+D58+D59+D60</f>
        <v>230288470</v>
      </c>
      <c r="E61" s="393">
        <f t="shared" si="7"/>
        <v>230288470</v>
      </c>
      <c r="F61" s="392">
        <f t="shared" si="7"/>
        <v>0</v>
      </c>
      <c r="G61" s="394">
        <f t="shared" si="7"/>
        <v>0</v>
      </c>
      <c r="H61" s="392">
        <f t="shared" si="7"/>
        <v>334138083</v>
      </c>
      <c r="I61" s="393">
        <f t="shared" si="7"/>
        <v>334138083</v>
      </c>
      <c r="J61" s="392">
        <f t="shared" si="7"/>
        <v>0</v>
      </c>
      <c r="K61" s="394">
        <f t="shared" si="7"/>
        <v>0</v>
      </c>
    </row>
    <row r="62" spans="1:11" ht="17.399999999999999" x14ac:dyDescent="0.3">
      <c r="A62" s="151"/>
      <c r="B62" s="496" t="s">
        <v>151</v>
      </c>
      <c r="C62" s="496"/>
      <c r="D62" s="289">
        <f t="shared" ref="D62:K62" si="8">+D30-D61</f>
        <v>58073362</v>
      </c>
      <c r="E62" s="285">
        <f t="shared" si="8"/>
        <v>53340977</v>
      </c>
      <c r="F62" s="289">
        <f t="shared" si="8"/>
        <v>4732385</v>
      </c>
      <c r="G62" s="286">
        <f t="shared" si="8"/>
        <v>0</v>
      </c>
      <c r="H62" s="289">
        <f t="shared" si="8"/>
        <v>57884462</v>
      </c>
      <c r="I62" s="285">
        <f t="shared" si="8"/>
        <v>52952077</v>
      </c>
      <c r="J62" s="289">
        <f t="shared" si="8"/>
        <v>4932385</v>
      </c>
      <c r="K62" s="286">
        <f t="shared" si="8"/>
        <v>0</v>
      </c>
    </row>
    <row r="63" spans="1:11" ht="17.399999999999999" x14ac:dyDescent="0.3">
      <c r="A63" s="151"/>
      <c r="B63" s="514" t="s">
        <v>267</v>
      </c>
      <c r="C63" s="514"/>
      <c r="D63" s="289">
        <f>E63+F63+G63</f>
        <v>100415352</v>
      </c>
      <c r="E63" s="289">
        <f>'11'!E62+'13'!E62</f>
        <v>100415352</v>
      </c>
      <c r="F63" s="289">
        <f>+'11'!F62+'13'!F62</f>
        <v>0</v>
      </c>
      <c r="G63" s="286"/>
      <c r="H63" s="289">
        <f>I63+J63+K63</f>
        <v>100415352</v>
      </c>
      <c r="I63" s="289">
        <v>100415352</v>
      </c>
      <c r="J63" s="289">
        <f>+'11'!J62+'13'!J62</f>
        <v>0</v>
      </c>
      <c r="K63" s="286"/>
    </row>
    <row r="64" spans="1:11" x14ac:dyDescent="0.3">
      <c r="A64" s="221" t="s">
        <v>181</v>
      </c>
      <c r="B64" s="514" t="s">
        <v>152</v>
      </c>
      <c r="C64" s="514"/>
      <c r="D64" s="290">
        <f>+E64+F64</f>
        <v>62976981</v>
      </c>
      <c r="E64" s="290">
        <f>SUM(E65:E66)</f>
        <v>62976981</v>
      </c>
      <c r="F64" s="290">
        <f>SUM(F65:F66)</f>
        <v>0</v>
      </c>
      <c r="G64" s="284"/>
      <c r="H64" s="290">
        <f>+I64+J64</f>
        <v>62976981</v>
      </c>
      <c r="I64" s="290">
        <f>SUM(I65:I66)</f>
        <v>62976981</v>
      </c>
      <c r="J64" s="290">
        <f>SUM(J65:J66)</f>
        <v>0</v>
      </c>
      <c r="K64" s="284"/>
    </row>
    <row r="65" spans="1:11" ht="17.399999999999999" x14ac:dyDescent="0.3">
      <c r="A65" s="151"/>
      <c r="B65" s="262" t="s">
        <v>30</v>
      </c>
      <c r="C65" s="218" t="s">
        <v>102</v>
      </c>
      <c r="D65" s="290">
        <f>+E65+F65</f>
        <v>61792981</v>
      </c>
      <c r="E65" s="290">
        <f>'11'!E64+'13'!E64+'15'!E66</f>
        <v>61792981</v>
      </c>
      <c r="F65" s="290">
        <f>'11'!F64+'13'!F64+'15'!F66</f>
        <v>0</v>
      </c>
      <c r="G65" s="287"/>
      <c r="H65" s="290">
        <f>+I65+J65</f>
        <v>61792981</v>
      </c>
      <c r="I65" s="290">
        <v>61792981</v>
      </c>
      <c r="J65" s="290">
        <f>'11'!J64+'13'!J64+'15'!J66</f>
        <v>0</v>
      </c>
      <c r="K65" s="287"/>
    </row>
    <row r="66" spans="1:11" ht="17.399999999999999" x14ac:dyDescent="0.3">
      <c r="A66" s="151"/>
      <c r="B66" s="262" t="s">
        <v>43</v>
      </c>
      <c r="C66" s="218" t="s">
        <v>103</v>
      </c>
      <c r="D66" s="290">
        <v>1184000</v>
      </c>
      <c r="E66" s="283">
        <v>1184000</v>
      </c>
      <c r="F66" s="185"/>
      <c r="G66" s="287"/>
      <c r="H66" s="290">
        <v>1184000</v>
      </c>
      <c r="I66" s="283">
        <v>1184000</v>
      </c>
      <c r="J66" s="185"/>
      <c r="K66" s="287"/>
    </row>
    <row r="67" spans="1:11" ht="18.75" customHeight="1" x14ac:dyDescent="0.3">
      <c r="A67" s="151" t="s">
        <v>153</v>
      </c>
      <c r="B67" s="485" t="s">
        <v>157</v>
      </c>
      <c r="C67" s="485"/>
      <c r="D67" s="289">
        <f>+E67+F67</f>
        <v>62976981</v>
      </c>
      <c r="E67" s="285">
        <f>+E65+E66</f>
        <v>62976981</v>
      </c>
      <c r="F67" s="289">
        <f>+F64</f>
        <v>0</v>
      </c>
      <c r="G67" s="287"/>
      <c r="H67" s="289">
        <f>+I67+J67</f>
        <v>62976981</v>
      </c>
      <c r="I67" s="285">
        <f>+I65+I66</f>
        <v>62976981</v>
      </c>
      <c r="J67" s="289">
        <f>+J64</f>
        <v>0</v>
      </c>
      <c r="K67" s="287"/>
    </row>
    <row r="68" spans="1:11" ht="17.399999999999999" x14ac:dyDescent="0.3">
      <c r="A68" s="9" t="s">
        <v>182</v>
      </c>
      <c r="B68" s="516" t="s">
        <v>154</v>
      </c>
      <c r="C68" s="623"/>
      <c r="D68" s="289"/>
      <c r="E68" s="272"/>
      <c r="F68" s="189">
        <f t="shared" ref="F68:F80" si="9">SUM(D68:E68)</f>
        <v>0</v>
      </c>
      <c r="G68" s="267"/>
      <c r="H68" s="289"/>
      <c r="I68" s="272"/>
      <c r="J68" s="189">
        <f t="shared" ref="J68:J71" si="10">SUM(H68:I68)</f>
        <v>0</v>
      </c>
      <c r="K68" s="267"/>
    </row>
    <row r="69" spans="1:11" ht="17.399999999999999" x14ac:dyDescent="0.3">
      <c r="A69" s="9" t="s">
        <v>183</v>
      </c>
      <c r="B69" s="489" t="s">
        <v>155</v>
      </c>
      <c r="C69" s="489"/>
      <c r="D69" s="289">
        <f>SUM(D70:D73)</f>
        <v>0</v>
      </c>
      <c r="E69" s="272"/>
      <c r="F69" s="189">
        <f t="shared" si="9"/>
        <v>0</v>
      </c>
      <c r="G69" s="267"/>
      <c r="H69" s="289">
        <f>SUM(H70:H73)</f>
        <v>2800000</v>
      </c>
      <c r="I69" s="272">
        <v>2800000</v>
      </c>
      <c r="J69" s="189"/>
      <c r="K69" s="267"/>
    </row>
    <row r="70" spans="1:11" ht="18" x14ac:dyDescent="0.35">
      <c r="A70" s="9"/>
      <c r="B70" s="220" t="s">
        <v>30</v>
      </c>
      <c r="C70" s="445" t="s">
        <v>393</v>
      </c>
      <c r="D70" s="306"/>
      <c r="E70" s="274"/>
      <c r="F70" s="263">
        <f t="shared" si="9"/>
        <v>0</v>
      </c>
      <c r="G70" s="267"/>
      <c r="H70" s="306">
        <v>2800000</v>
      </c>
      <c r="I70" s="274">
        <v>2800000</v>
      </c>
      <c r="J70" s="263"/>
      <c r="K70" s="267"/>
    </row>
    <row r="71" spans="1:11" ht="17.399999999999999" x14ac:dyDescent="0.3">
      <c r="A71" s="9"/>
      <c r="B71" s="220" t="s">
        <v>43</v>
      </c>
      <c r="C71" s="218" t="s">
        <v>105</v>
      </c>
      <c r="D71" s="289"/>
      <c r="E71" s="272"/>
      <c r="F71" s="189">
        <f t="shared" si="9"/>
        <v>0</v>
      </c>
      <c r="G71" s="267"/>
      <c r="H71" s="289"/>
      <c r="I71" s="272"/>
      <c r="J71" s="189">
        <f t="shared" si="10"/>
        <v>0</v>
      </c>
      <c r="K71" s="267"/>
    </row>
    <row r="72" spans="1:11" ht="18" x14ac:dyDescent="0.35">
      <c r="A72" s="9"/>
      <c r="B72" s="220" t="s">
        <v>44</v>
      </c>
      <c r="C72" s="218" t="s">
        <v>228</v>
      </c>
      <c r="D72" s="306"/>
      <c r="E72" s="272"/>
      <c r="F72" s="189"/>
      <c r="G72" s="267"/>
      <c r="H72" s="306"/>
      <c r="I72" s="272"/>
      <c r="J72" s="189"/>
      <c r="K72" s="267"/>
    </row>
    <row r="73" spans="1:11" ht="18" x14ac:dyDescent="0.35">
      <c r="A73" s="9"/>
      <c r="B73" s="220" t="s">
        <v>45</v>
      </c>
      <c r="C73" s="218" t="s">
        <v>229</v>
      </c>
      <c r="D73" s="306"/>
      <c r="E73" s="272"/>
      <c r="F73" s="189"/>
      <c r="G73" s="267"/>
      <c r="H73" s="306"/>
      <c r="I73" s="272"/>
      <c r="J73" s="189"/>
      <c r="K73" s="267"/>
    </row>
    <row r="74" spans="1:11" ht="35.25" customHeight="1" x14ac:dyDescent="0.3">
      <c r="A74" s="151" t="s">
        <v>156</v>
      </c>
      <c r="B74" s="515" t="s">
        <v>158</v>
      </c>
      <c r="C74" s="515"/>
      <c r="D74" s="289">
        <f>+D68+D69</f>
        <v>0</v>
      </c>
      <c r="E74" s="272"/>
      <c r="F74" s="189">
        <f t="shared" si="9"/>
        <v>0</v>
      </c>
      <c r="G74" s="267"/>
      <c r="H74" s="289">
        <f>+H68+H69</f>
        <v>2800000</v>
      </c>
      <c r="I74" s="272">
        <v>2800000</v>
      </c>
      <c r="J74" s="189"/>
      <c r="K74" s="267"/>
    </row>
    <row r="75" spans="1:11" ht="17.399999999999999" x14ac:dyDescent="0.3">
      <c r="A75" s="151" t="s">
        <v>159</v>
      </c>
      <c r="B75" s="496" t="s">
        <v>160</v>
      </c>
      <c r="C75" s="496"/>
      <c r="D75" s="289">
        <f>+D67+D74</f>
        <v>62976981</v>
      </c>
      <c r="E75" s="272">
        <f>+E67+E74</f>
        <v>62976981</v>
      </c>
      <c r="F75" s="272">
        <f>+F67+F74</f>
        <v>0</v>
      </c>
      <c r="G75" s="267"/>
      <c r="H75" s="289">
        <f>+H67+H74</f>
        <v>65776981</v>
      </c>
      <c r="I75" s="272">
        <f>+I67+I74</f>
        <v>65776981</v>
      </c>
      <c r="J75" s="272"/>
      <c r="K75" s="267"/>
    </row>
    <row r="76" spans="1:11" ht="17.399999999999999" x14ac:dyDescent="0.3">
      <c r="A76" s="9" t="s">
        <v>184</v>
      </c>
      <c r="B76" s="489" t="s">
        <v>251</v>
      </c>
      <c r="C76" s="489"/>
      <c r="D76" s="289">
        <f>+E76+F76+G76</f>
        <v>100415352</v>
      </c>
      <c r="E76" s="272">
        <f>'13'!D62+'11'!D62</f>
        <v>100415352</v>
      </c>
      <c r="F76" s="189"/>
      <c r="G76" s="267"/>
      <c r="H76" s="289">
        <f>+I76+J76+K76</f>
        <v>100415352</v>
      </c>
      <c r="I76" s="272">
        <v>100415352</v>
      </c>
      <c r="J76" s="189"/>
      <c r="K76" s="267"/>
    </row>
    <row r="77" spans="1:11" ht="18" x14ac:dyDescent="0.35">
      <c r="A77" s="9" t="s">
        <v>185</v>
      </c>
      <c r="B77" s="489" t="s">
        <v>161</v>
      </c>
      <c r="C77" s="489"/>
      <c r="D77" s="306">
        <f>SUM(D78:D80)</f>
        <v>0</v>
      </c>
      <c r="E77" s="274"/>
      <c r="F77" s="263">
        <f t="shared" si="9"/>
        <v>0</v>
      </c>
      <c r="G77" s="267"/>
      <c r="H77" s="306">
        <f>SUM(H78:H80)</f>
        <v>2988900</v>
      </c>
      <c r="I77" s="274">
        <v>2988900</v>
      </c>
      <c r="J77" s="263"/>
      <c r="K77" s="267"/>
    </row>
    <row r="78" spans="1:11" ht="18" x14ac:dyDescent="0.35">
      <c r="A78" s="9"/>
      <c r="B78" s="220" t="s">
        <v>30</v>
      </c>
      <c r="C78" s="445" t="s">
        <v>392</v>
      </c>
      <c r="D78" s="306"/>
      <c r="E78" s="274"/>
      <c r="F78" s="263">
        <f t="shared" si="9"/>
        <v>0</v>
      </c>
      <c r="G78" s="267"/>
      <c r="H78" s="306">
        <v>2800000</v>
      </c>
      <c r="I78" s="274">
        <v>2800000</v>
      </c>
      <c r="J78" s="263"/>
      <c r="K78" s="267"/>
    </row>
    <row r="79" spans="1:11" ht="18" x14ac:dyDescent="0.35">
      <c r="A79" s="9"/>
      <c r="B79" s="220" t="s">
        <v>43</v>
      </c>
      <c r="C79" s="445" t="s">
        <v>391</v>
      </c>
      <c r="D79" s="306"/>
      <c r="E79" s="274"/>
      <c r="F79" s="263">
        <f t="shared" si="9"/>
        <v>0</v>
      </c>
      <c r="G79" s="267"/>
      <c r="H79" s="306">
        <v>188900</v>
      </c>
      <c r="I79" s="274">
        <v>188900</v>
      </c>
      <c r="J79" s="263"/>
      <c r="K79" s="267"/>
    </row>
    <row r="80" spans="1:11" ht="18" x14ac:dyDescent="0.35">
      <c r="A80" s="9"/>
      <c r="B80" s="220" t="s">
        <v>44</v>
      </c>
      <c r="C80" s="218" t="s">
        <v>106</v>
      </c>
      <c r="D80" s="306"/>
      <c r="E80" s="274"/>
      <c r="F80" s="263">
        <f t="shared" si="9"/>
        <v>0</v>
      </c>
      <c r="G80" s="267"/>
      <c r="H80" s="306"/>
      <c r="I80" s="274"/>
      <c r="J80" s="263">
        <f t="shared" ref="J80" si="11">SUM(H80:I80)</f>
        <v>0</v>
      </c>
      <c r="K80" s="267"/>
    </row>
    <row r="81" spans="1:11" ht="18" x14ac:dyDescent="0.35">
      <c r="A81" s="9" t="s">
        <v>305</v>
      </c>
      <c r="B81" s="516" t="s">
        <v>304</v>
      </c>
      <c r="C81" s="517"/>
      <c r="D81" s="306">
        <f>E81+F81</f>
        <v>4903619</v>
      </c>
      <c r="E81" s="274">
        <f>'15'!E81</f>
        <v>4903619</v>
      </c>
      <c r="F81" s="349"/>
      <c r="G81" s="267"/>
      <c r="H81" s="306">
        <f>I81+J81</f>
        <v>4903619</v>
      </c>
      <c r="I81" s="274">
        <f>'15'!I81</f>
        <v>4903619</v>
      </c>
      <c r="J81" s="349"/>
      <c r="K81" s="267"/>
    </row>
    <row r="82" spans="1:11" ht="17.399999999999999" x14ac:dyDescent="0.3">
      <c r="A82" s="151" t="s">
        <v>162</v>
      </c>
      <c r="B82" s="496" t="s">
        <v>310</v>
      </c>
      <c r="C82" s="496"/>
      <c r="D82" s="289">
        <f>+D76+D77+D81</f>
        <v>105318971</v>
      </c>
      <c r="E82" s="272">
        <f>+E76+E77+E81</f>
        <v>105318971</v>
      </c>
      <c r="F82" s="272">
        <f>+F76+F77</f>
        <v>0</v>
      </c>
      <c r="G82" s="267"/>
      <c r="H82" s="289">
        <f>+H76+H77+H81</f>
        <v>108307871</v>
      </c>
      <c r="I82" s="272">
        <f>+I76+I77+I81</f>
        <v>108307871</v>
      </c>
      <c r="J82" s="272"/>
      <c r="K82" s="267"/>
    </row>
    <row r="83" spans="1:11" ht="17.399999999999999" x14ac:dyDescent="0.3">
      <c r="A83" s="385" t="s">
        <v>204</v>
      </c>
      <c r="B83" s="622" t="s">
        <v>206</v>
      </c>
      <c r="C83" s="622"/>
      <c r="D83" s="386">
        <f t="shared" ref="D83:K83" si="12">+D30+D82</f>
        <v>393680803</v>
      </c>
      <c r="E83" s="386">
        <f t="shared" si="12"/>
        <v>388948418</v>
      </c>
      <c r="F83" s="386">
        <f t="shared" si="12"/>
        <v>4732385</v>
      </c>
      <c r="G83" s="387">
        <f t="shared" si="12"/>
        <v>0</v>
      </c>
      <c r="H83" s="386">
        <f t="shared" si="12"/>
        <v>500330416</v>
      </c>
      <c r="I83" s="386">
        <f t="shared" si="12"/>
        <v>495398031</v>
      </c>
      <c r="J83" s="386">
        <f t="shared" si="12"/>
        <v>4932385</v>
      </c>
      <c r="K83" s="387">
        <f t="shared" si="12"/>
        <v>0</v>
      </c>
    </row>
    <row r="84" spans="1:11" ht="18" thickBot="1" x14ac:dyDescent="0.35">
      <c r="A84" s="388" t="s">
        <v>205</v>
      </c>
      <c r="B84" s="389" t="s">
        <v>207</v>
      </c>
      <c r="C84" s="389"/>
      <c r="D84" s="390">
        <f>+D61+D75+D63</f>
        <v>393680803</v>
      </c>
      <c r="E84" s="390">
        <f>+E61+E75+E63</f>
        <v>393680803</v>
      </c>
      <c r="F84" s="390">
        <f>+F61+F75+F63</f>
        <v>0</v>
      </c>
      <c r="G84" s="391">
        <f>+G61+G75</f>
        <v>0</v>
      </c>
      <c r="H84" s="390">
        <f>+H61+H75+H63</f>
        <v>500330416</v>
      </c>
      <c r="I84" s="390">
        <f>+I61+I75+I63</f>
        <v>500330416</v>
      </c>
      <c r="J84" s="390">
        <f>+J61+J75+J63</f>
        <v>0</v>
      </c>
      <c r="K84" s="391">
        <f>+K61+K75</f>
        <v>0</v>
      </c>
    </row>
    <row r="85" spans="1:11" x14ac:dyDescent="0.25">
      <c r="B85" s="15"/>
      <c r="C85" s="15"/>
      <c r="D85" s="16"/>
      <c r="E85" s="16"/>
      <c r="F85" s="16"/>
      <c r="H85" s="16"/>
      <c r="I85" s="16"/>
      <c r="J85" s="16"/>
      <c r="K85" s="11"/>
    </row>
    <row r="86" spans="1:11" x14ac:dyDescent="0.25">
      <c r="B86" s="15"/>
      <c r="C86" s="15"/>
      <c r="D86" s="176">
        <f t="shared" ref="D86:K86" si="13">+D84-D83</f>
        <v>0</v>
      </c>
      <c r="E86" s="176">
        <f t="shared" si="13"/>
        <v>4732385</v>
      </c>
      <c r="F86" s="176">
        <f t="shared" si="13"/>
        <v>-4732385</v>
      </c>
      <c r="G86" s="176">
        <f t="shared" si="13"/>
        <v>0</v>
      </c>
      <c r="H86" s="176">
        <f t="shared" si="13"/>
        <v>0</v>
      </c>
      <c r="I86" s="176">
        <f t="shared" si="13"/>
        <v>4932385</v>
      </c>
      <c r="J86" s="176">
        <f t="shared" si="13"/>
        <v>-4932385</v>
      </c>
      <c r="K86" s="176">
        <f t="shared" si="13"/>
        <v>0</v>
      </c>
    </row>
    <row r="87" spans="1:11" x14ac:dyDescent="0.25">
      <c r="B87" s="15"/>
      <c r="C87" s="15"/>
      <c r="D87" s="16"/>
      <c r="E87" s="16"/>
      <c r="F87" s="16"/>
    </row>
    <row r="88" spans="1:11" x14ac:dyDescent="0.25">
      <c r="B88" s="15"/>
      <c r="C88" s="15"/>
      <c r="D88" s="16"/>
      <c r="E88" s="16"/>
      <c r="F88" s="16"/>
    </row>
    <row r="89" spans="1:11" x14ac:dyDescent="0.25">
      <c r="B89" s="15"/>
      <c r="C89" s="15"/>
      <c r="D89" s="16"/>
      <c r="E89" s="16"/>
      <c r="F89" s="16"/>
    </row>
    <row r="90" spans="1:11" x14ac:dyDescent="0.25">
      <c r="B90" s="15"/>
      <c r="C90" s="15"/>
      <c r="D90" s="16"/>
      <c r="E90" s="16"/>
      <c r="F90" s="16"/>
    </row>
    <row r="91" spans="1:11" x14ac:dyDescent="0.25">
      <c r="B91" s="15"/>
      <c r="C91" s="15"/>
      <c r="D91" s="16"/>
      <c r="E91" s="16"/>
      <c r="F91" s="16"/>
    </row>
    <row r="92" spans="1:11" x14ac:dyDescent="0.25">
      <c r="B92" s="15"/>
      <c r="C92" s="15"/>
      <c r="D92" s="16"/>
      <c r="E92" s="16"/>
      <c r="F92" s="16"/>
    </row>
    <row r="93" spans="1:11" x14ac:dyDescent="0.25">
      <c r="B93" s="15"/>
      <c r="C93" s="15"/>
      <c r="D93" s="16"/>
      <c r="E93" s="16"/>
      <c r="F93" s="16"/>
    </row>
    <row r="94" spans="1:11" x14ac:dyDescent="0.25">
      <c r="B94" s="15"/>
      <c r="C94" s="15"/>
      <c r="D94" s="16"/>
      <c r="E94" s="16"/>
      <c r="F94" s="16"/>
    </row>
    <row r="95" spans="1:11" x14ac:dyDescent="0.25">
      <c r="B95" s="15"/>
      <c r="C95" s="15"/>
      <c r="D95" s="16"/>
      <c r="E95" s="16"/>
      <c r="F95" s="16"/>
    </row>
    <row r="96" spans="1:11" x14ac:dyDescent="0.25">
      <c r="B96" s="15"/>
      <c r="C96" s="15"/>
      <c r="D96" s="16"/>
      <c r="E96" s="16"/>
      <c r="F96" s="16"/>
    </row>
    <row r="97" spans="2:6" x14ac:dyDescent="0.25">
      <c r="B97" s="15"/>
      <c r="C97" s="15"/>
      <c r="D97" s="16"/>
      <c r="E97" s="16"/>
      <c r="F97" s="16"/>
    </row>
    <row r="98" spans="2:6" x14ac:dyDescent="0.25">
      <c r="B98" s="15"/>
      <c r="C98" s="15"/>
      <c r="D98" s="16"/>
      <c r="E98" s="16"/>
      <c r="F98" s="16"/>
    </row>
    <row r="99" spans="2:6" x14ac:dyDescent="0.25">
      <c r="B99" s="15"/>
      <c r="C99" s="15"/>
      <c r="D99" s="16"/>
      <c r="E99" s="16"/>
      <c r="F99" s="16"/>
    </row>
    <row r="100" spans="2:6" x14ac:dyDescent="0.25">
      <c r="B100" s="15"/>
      <c r="C100" s="15"/>
      <c r="D100" s="16"/>
      <c r="E100" s="16"/>
      <c r="F100" s="16"/>
    </row>
    <row r="101" spans="2:6" x14ac:dyDescent="0.25">
      <c r="B101" s="15"/>
      <c r="C101" s="15"/>
      <c r="D101" s="16"/>
      <c r="E101" s="16"/>
      <c r="F101" s="16"/>
    </row>
    <row r="102" spans="2:6" x14ac:dyDescent="0.25">
      <c r="B102" s="15"/>
      <c r="C102" s="15"/>
      <c r="D102" s="16"/>
      <c r="E102" s="16"/>
      <c r="F102" s="16"/>
    </row>
    <row r="103" spans="2:6" x14ac:dyDescent="0.25">
      <c r="B103" s="15"/>
      <c r="C103" s="15"/>
      <c r="D103" s="16"/>
      <c r="E103" s="16"/>
      <c r="F103" s="16"/>
    </row>
    <row r="104" spans="2:6" x14ac:dyDescent="0.25">
      <c r="B104" s="15"/>
      <c r="C104" s="15"/>
      <c r="D104" s="16"/>
      <c r="E104" s="16"/>
      <c r="F104" s="16"/>
    </row>
    <row r="105" spans="2:6" x14ac:dyDescent="0.25">
      <c r="B105" s="15"/>
      <c r="C105" s="15"/>
      <c r="D105" s="16"/>
      <c r="E105" s="16"/>
      <c r="F105" s="16"/>
    </row>
    <row r="106" spans="2:6" x14ac:dyDescent="0.25">
      <c r="B106" s="15"/>
      <c r="C106" s="15"/>
      <c r="D106" s="16"/>
      <c r="E106" s="16"/>
      <c r="F106" s="16"/>
    </row>
  </sheetData>
  <mergeCells count="66">
    <mergeCell ref="B48:C48"/>
    <mergeCell ref="B51:C51"/>
    <mergeCell ref="B54:C54"/>
    <mergeCell ref="B76:C76"/>
    <mergeCell ref="B58:C58"/>
    <mergeCell ref="B59:C59"/>
    <mergeCell ref="B60:C60"/>
    <mergeCell ref="B61:C61"/>
    <mergeCell ref="B62:C62"/>
    <mergeCell ref="B64:C64"/>
    <mergeCell ref="B67:C67"/>
    <mergeCell ref="B63:C63"/>
    <mergeCell ref="B82:C82"/>
    <mergeCell ref="B83:C83"/>
    <mergeCell ref="B68:C68"/>
    <mergeCell ref="B69:C69"/>
    <mergeCell ref="B74:C74"/>
    <mergeCell ref="B75:C75"/>
    <mergeCell ref="B77:C77"/>
    <mergeCell ref="B81:C81"/>
    <mergeCell ref="B28:C28"/>
    <mergeCell ref="B29:C29"/>
    <mergeCell ref="B30:C30"/>
    <mergeCell ref="B31:C31"/>
    <mergeCell ref="B24:C24"/>
    <mergeCell ref="B25:C25"/>
    <mergeCell ref="B26:C26"/>
    <mergeCell ref="B27:C27"/>
    <mergeCell ref="B47:C47"/>
    <mergeCell ref="B32:C32"/>
    <mergeCell ref="B33:C33"/>
    <mergeCell ref="B34:C34"/>
    <mergeCell ref="B38:C38"/>
    <mergeCell ref="B42:C42"/>
    <mergeCell ref="B19:C19"/>
    <mergeCell ref="B20:C20"/>
    <mergeCell ref="B23:C23"/>
    <mergeCell ref="B21:C21"/>
    <mergeCell ref="B15:C15"/>
    <mergeCell ref="B16:C16"/>
    <mergeCell ref="B17:C17"/>
    <mergeCell ref="B18:C18"/>
    <mergeCell ref="B22:C22"/>
    <mergeCell ref="B11:C11"/>
    <mergeCell ref="B12:C12"/>
    <mergeCell ref="B13:C13"/>
    <mergeCell ref="B14:C14"/>
    <mergeCell ref="G6:G7"/>
    <mergeCell ref="D8:F8"/>
    <mergeCell ref="B9:C9"/>
    <mergeCell ref="B10:C10"/>
    <mergeCell ref="A1:F1"/>
    <mergeCell ref="A2:F2"/>
    <mergeCell ref="A3:F3"/>
    <mergeCell ref="A4:F4"/>
    <mergeCell ref="A5:F5"/>
    <mergeCell ref="A6:A8"/>
    <mergeCell ref="B6:C8"/>
    <mergeCell ref="D6:D7"/>
    <mergeCell ref="E6:E7"/>
    <mergeCell ref="F6:F7"/>
    <mergeCell ref="H6:H7"/>
    <mergeCell ref="I6:I7"/>
    <mergeCell ref="J6:J7"/>
    <mergeCell ref="K6:K7"/>
    <mergeCell ref="H8:J8"/>
  </mergeCells>
  <phoneticPr fontId="20" type="noConversion"/>
  <pageMargins left="0.15748031496062992" right="0.15748031496062992" top="0.27559055118110237" bottom="0.39370078740157483" header="0.19685039370078741" footer="0.15748031496062992"/>
  <pageSetup paperSize="9" scale="6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68"/>
  <sheetViews>
    <sheetView tabSelected="1" zoomScale="90" zoomScaleNormal="90" zoomScaleSheetLayoutView="100" workbookViewId="0">
      <selection activeCell="O29" sqref="O29"/>
    </sheetView>
  </sheetViews>
  <sheetFormatPr defaultColWidth="9.109375" defaultRowHeight="15.6" x14ac:dyDescent="0.25"/>
  <cols>
    <col min="1" max="1" width="38.44140625" style="33" customWidth="1"/>
    <col min="2" max="2" width="15.5546875" style="33" bestFit="1" customWidth="1"/>
    <col min="3" max="6" width="12.33203125" style="33" bestFit="1" customWidth="1"/>
    <col min="7" max="7" width="13.44140625" style="33" customWidth="1"/>
    <col min="8" max="8" width="12.33203125" style="33" bestFit="1" customWidth="1"/>
    <col min="9" max="9" width="13.33203125" style="33" customWidth="1"/>
    <col min="10" max="13" width="12.33203125" style="33" bestFit="1" customWidth="1"/>
    <col min="14" max="14" width="13.33203125" style="33" bestFit="1" customWidth="1"/>
    <col min="15" max="15" width="14.6640625" style="28" bestFit="1" customWidth="1"/>
    <col min="16" max="16384" width="9.109375" style="28"/>
  </cols>
  <sheetData>
    <row r="1" spans="1:15" x14ac:dyDescent="0.25">
      <c r="A1" s="587" t="s">
        <v>343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  <c r="L1" s="587"/>
      <c r="M1" s="587"/>
      <c r="N1" s="587"/>
    </row>
    <row r="2" spans="1:15" ht="24" customHeight="1" x14ac:dyDescent="0.25">
      <c r="A2" s="587"/>
      <c r="B2" s="587"/>
      <c r="C2" s="587"/>
      <c r="D2" s="587"/>
      <c r="E2" s="587"/>
      <c r="F2" s="587"/>
      <c r="G2" s="587"/>
      <c r="H2" s="587"/>
      <c r="I2" s="587"/>
      <c r="J2" s="587"/>
      <c r="K2" s="587"/>
      <c r="L2" s="587"/>
      <c r="M2" s="587"/>
      <c r="N2" s="587"/>
    </row>
    <row r="3" spans="1:15" ht="12.75" customHeight="1" x14ac:dyDescent="0.25">
      <c r="A3" s="588" t="s">
        <v>314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588"/>
    </row>
    <row r="4" spans="1:15" ht="19.5" customHeight="1" x14ac:dyDescent="0.25">
      <c r="A4" s="588"/>
      <c r="B4" s="588"/>
      <c r="C4" s="588"/>
      <c r="D4" s="588"/>
      <c r="E4" s="588"/>
      <c r="F4" s="588"/>
      <c r="G4" s="588"/>
      <c r="H4" s="588"/>
      <c r="I4" s="588"/>
      <c r="J4" s="588"/>
      <c r="K4" s="588"/>
      <c r="L4" s="588"/>
      <c r="M4" s="588"/>
      <c r="N4" s="588"/>
    </row>
    <row r="5" spans="1:15" ht="16.5" customHeigh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588" t="s">
        <v>3</v>
      </c>
      <c r="N5" s="588"/>
    </row>
    <row r="6" spans="1:15" ht="18" customHeight="1" x14ac:dyDescent="0.25">
      <c r="A6" s="29" t="s">
        <v>186</v>
      </c>
      <c r="B6" s="30" t="s">
        <v>4</v>
      </c>
      <c r="C6" s="30" t="s">
        <v>5</v>
      </c>
      <c r="D6" s="30" t="s">
        <v>6</v>
      </c>
      <c r="E6" s="30" t="s">
        <v>7</v>
      </c>
      <c r="F6" s="30" t="s">
        <v>8</v>
      </c>
      <c r="G6" s="30" t="s">
        <v>9</v>
      </c>
      <c r="H6" s="30" t="s">
        <v>10</v>
      </c>
      <c r="I6" s="30" t="s">
        <v>11</v>
      </c>
      <c r="J6" s="30" t="s">
        <v>12</v>
      </c>
      <c r="K6" s="30" t="s">
        <v>13</v>
      </c>
      <c r="L6" s="30" t="s">
        <v>14</v>
      </c>
      <c r="M6" s="30" t="s">
        <v>15</v>
      </c>
      <c r="N6" s="29" t="s">
        <v>16</v>
      </c>
    </row>
    <row r="7" spans="1:15" ht="18" customHeight="1" x14ac:dyDescent="0.25">
      <c r="A7" s="40" t="s">
        <v>187</v>
      </c>
      <c r="B7" s="418">
        <v>3184451</v>
      </c>
      <c r="C7" s="35">
        <v>3184451</v>
      </c>
      <c r="D7" s="35">
        <v>3184451</v>
      </c>
      <c r="E7" s="35">
        <v>3184451</v>
      </c>
      <c r="F7" s="35">
        <v>3184451</v>
      </c>
      <c r="G7" s="35">
        <v>3184451</v>
      </c>
      <c r="H7" s="35">
        <f>3184451+255000</f>
        <v>3439451</v>
      </c>
      <c r="I7" s="35">
        <v>3184451</v>
      </c>
      <c r="J7" s="35">
        <v>3184451</v>
      </c>
      <c r="K7" s="35">
        <v>3184451</v>
      </c>
      <c r="L7" s="35">
        <v>3184451</v>
      </c>
      <c r="M7" s="35">
        <f>3184451-5</f>
        <v>3184446</v>
      </c>
      <c r="N7" s="36">
        <f t="shared" ref="N7:N16" si="0">SUM(B7:M7)</f>
        <v>38468407</v>
      </c>
      <c r="O7" s="444">
        <f>'15'!H10</f>
        <v>38468407</v>
      </c>
    </row>
    <row r="8" spans="1:15" ht="18" customHeight="1" x14ac:dyDescent="0.25">
      <c r="A8" s="40" t="s">
        <v>17</v>
      </c>
      <c r="B8" s="418">
        <v>577971</v>
      </c>
      <c r="C8" s="35">
        <v>577971</v>
      </c>
      <c r="D8" s="35">
        <v>577971</v>
      </c>
      <c r="E8" s="35">
        <v>577971</v>
      </c>
      <c r="F8" s="35">
        <v>577971</v>
      </c>
      <c r="G8" s="35">
        <v>577971</v>
      </c>
      <c r="H8" s="35">
        <f>577971+56100</f>
        <v>634071</v>
      </c>
      <c r="I8" s="35">
        <v>577971</v>
      </c>
      <c r="J8" s="35">
        <v>577971</v>
      </c>
      <c r="K8" s="35">
        <v>577971</v>
      </c>
      <c r="L8" s="35">
        <v>577971</v>
      </c>
      <c r="M8" s="35">
        <v>577971</v>
      </c>
      <c r="N8" s="36">
        <f t="shared" si="0"/>
        <v>6991752</v>
      </c>
      <c r="O8" s="444">
        <f>'15'!H11</f>
        <v>6991752</v>
      </c>
    </row>
    <row r="9" spans="1:15" ht="18" customHeight="1" x14ac:dyDescent="0.25">
      <c r="A9" s="40" t="s">
        <v>197</v>
      </c>
      <c r="B9" s="418">
        <v>4937710</v>
      </c>
      <c r="C9" s="35">
        <v>4937710</v>
      </c>
      <c r="D9" s="35">
        <v>4937710</v>
      </c>
      <c r="E9" s="35">
        <v>4937710</v>
      </c>
      <c r="F9" s="35">
        <v>4937710</v>
      </c>
      <c r="G9" s="35">
        <v>4937710</v>
      </c>
      <c r="H9" s="35">
        <v>4937710</v>
      </c>
      <c r="I9" s="35">
        <f>4937710+10418280</f>
        <v>15355990</v>
      </c>
      <c r="J9" s="35">
        <v>4937710</v>
      </c>
      <c r="K9" s="35">
        <v>4937710</v>
      </c>
      <c r="L9" s="35">
        <v>4937710</v>
      </c>
      <c r="M9" s="35">
        <v>4937709</v>
      </c>
      <c r="N9" s="36">
        <f t="shared" si="0"/>
        <v>69670799</v>
      </c>
      <c r="O9" s="444">
        <f>'15'!H12</f>
        <v>69670799</v>
      </c>
    </row>
    <row r="10" spans="1:15" ht="18" customHeight="1" x14ac:dyDescent="0.25">
      <c r="A10" s="40" t="s">
        <v>18</v>
      </c>
      <c r="B10" s="418">
        <v>662712</v>
      </c>
      <c r="C10" s="35">
        <v>662712</v>
      </c>
      <c r="D10" s="35">
        <v>662712</v>
      </c>
      <c r="E10" s="35">
        <v>662712</v>
      </c>
      <c r="F10" s="35">
        <v>662712</v>
      </c>
      <c r="G10" s="35">
        <v>662712</v>
      </c>
      <c r="H10" s="35">
        <f>662712+150000</f>
        <v>812712</v>
      </c>
      <c r="I10" s="35">
        <v>662712</v>
      </c>
      <c r="J10" s="35">
        <v>662712</v>
      </c>
      <c r="K10" s="35">
        <v>662712</v>
      </c>
      <c r="L10" s="35">
        <v>662712</v>
      </c>
      <c r="M10" s="35">
        <v>662715</v>
      </c>
      <c r="N10" s="36">
        <f t="shared" si="0"/>
        <v>8102547</v>
      </c>
      <c r="O10" s="444">
        <f>'15'!H16+'15'!H26</f>
        <v>8102547</v>
      </c>
    </row>
    <row r="11" spans="1:15" ht="18" customHeight="1" x14ac:dyDescent="0.25">
      <c r="A11" s="40" t="s">
        <v>19</v>
      </c>
      <c r="B11" s="418">
        <f>O11/12-0.417</f>
        <v>856451.99966666661</v>
      </c>
      <c r="C11" s="35">
        <v>856452</v>
      </c>
      <c r="D11" s="35">
        <v>856452</v>
      </c>
      <c r="E11" s="35">
        <v>856452</v>
      </c>
      <c r="F11" s="35">
        <v>856452</v>
      </c>
      <c r="G11" s="35">
        <v>856452</v>
      </c>
      <c r="H11" s="35">
        <v>856452</v>
      </c>
      <c r="I11" s="35">
        <v>856452</v>
      </c>
      <c r="J11" s="35">
        <v>856452</v>
      </c>
      <c r="K11" s="35">
        <v>856452</v>
      </c>
      <c r="L11" s="35">
        <v>856452</v>
      </c>
      <c r="M11" s="35">
        <v>856457</v>
      </c>
      <c r="N11" s="36">
        <f t="shared" si="0"/>
        <v>10277428.999666667</v>
      </c>
      <c r="O11" s="444">
        <f>'15'!H18</f>
        <v>10277429</v>
      </c>
    </row>
    <row r="12" spans="1:15" ht="18" customHeight="1" x14ac:dyDescent="0.25">
      <c r="A12" s="40" t="s">
        <v>291</v>
      </c>
      <c r="B12" s="418">
        <f t="shared" ref="B12:B16" si="1">O12/12</f>
        <v>0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6">
        <f t="shared" si="0"/>
        <v>0</v>
      </c>
      <c r="O12" s="444">
        <f>'15'!D19</f>
        <v>0</v>
      </c>
    </row>
    <row r="13" spans="1:15" ht="18" customHeight="1" x14ac:dyDescent="0.25">
      <c r="A13" s="40" t="s">
        <v>191</v>
      </c>
      <c r="B13" s="418">
        <v>1950341</v>
      </c>
      <c r="C13" s="35">
        <v>1950341</v>
      </c>
      <c r="D13" s="35">
        <v>1950341</v>
      </c>
      <c r="E13" s="35">
        <v>1950341</v>
      </c>
      <c r="F13" s="35">
        <v>1950341</v>
      </c>
      <c r="G13" s="35">
        <v>1950341</v>
      </c>
      <c r="H13" s="35">
        <v>1950341</v>
      </c>
      <c r="I13" s="35">
        <f>1950341+86980279</f>
        <v>88930620</v>
      </c>
      <c r="J13" s="35">
        <v>1950341</v>
      </c>
      <c r="K13" s="35">
        <v>1950341</v>
      </c>
      <c r="L13" s="35">
        <v>1950339</v>
      </c>
      <c r="M13" s="35">
        <v>1950341</v>
      </c>
      <c r="N13" s="36">
        <f t="shared" si="0"/>
        <v>110384369</v>
      </c>
      <c r="O13" s="444">
        <f>'15'!H27-850755</f>
        <v>110384369</v>
      </c>
    </row>
    <row r="14" spans="1:15" ht="18" customHeight="1" x14ac:dyDescent="0.25">
      <c r="A14" s="40" t="s">
        <v>226</v>
      </c>
      <c r="B14" s="418">
        <v>3588642</v>
      </c>
      <c r="C14" s="35">
        <v>3588642</v>
      </c>
      <c r="D14" s="35">
        <v>3588642</v>
      </c>
      <c r="E14" s="35">
        <v>3588642</v>
      </c>
      <c r="F14" s="35">
        <v>3588642</v>
      </c>
      <c r="G14" s="35">
        <v>3588642</v>
      </c>
      <c r="H14" s="35">
        <f>3588642+4211177</f>
        <v>7799819</v>
      </c>
      <c r="I14" s="35">
        <v>3588642</v>
      </c>
      <c r="J14" s="35">
        <v>3588642</v>
      </c>
      <c r="K14" s="35">
        <v>3588642</v>
      </c>
      <c r="L14" s="35">
        <v>3588642</v>
      </c>
      <c r="M14" s="35">
        <v>3588644</v>
      </c>
      <c r="N14" s="36">
        <f t="shared" si="0"/>
        <v>47274883</v>
      </c>
      <c r="O14" s="444">
        <f>'15'!H22</f>
        <v>47274883</v>
      </c>
    </row>
    <row r="15" spans="1:15" ht="18" customHeight="1" x14ac:dyDescent="0.25">
      <c r="A15" s="434" t="s">
        <v>349</v>
      </c>
      <c r="B15" s="418">
        <v>4903619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6">
        <f t="shared" si="0"/>
        <v>4903619</v>
      </c>
      <c r="O15" s="444">
        <f>'15'!H81</f>
        <v>4903619</v>
      </c>
    </row>
    <row r="16" spans="1:15" ht="18" customHeight="1" x14ac:dyDescent="0.25">
      <c r="A16" s="40" t="s">
        <v>288</v>
      </c>
      <c r="B16" s="418">
        <f t="shared" si="1"/>
        <v>8367946</v>
      </c>
      <c r="C16" s="35">
        <v>8367946</v>
      </c>
      <c r="D16" s="35">
        <v>8367946</v>
      </c>
      <c r="E16" s="35">
        <v>8367946</v>
      </c>
      <c r="F16" s="35">
        <v>8367946</v>
      </c>
      <c r="G16" s="35">
        <v>8367946</v>
      </c>
      <c r="H16" s="35">
        <v>8367946</v>
      </c>
      <c r="I16" s="35">
        <v>8367946</v>
      </c>
      <c r="J16" s="35">
        <v>8367946</v>
      </c>
      <c r="K16" s="35">
        <v>8367946</v>
      </c>
      <c r="L16" s="35">
        <v>8367946</v>
      </c>
      <c r="M16" s="35">
        <v>8367946</v>
      </c>
      <c r="N16" s="36">
        <f t="shared" si="0"/>
        <v>100415352</v>
      </c>
      <c r="O16" s="444">
        <f>'15'!H77</f>
        <v>100415352</v>
      </c>
    </row>
    <row r="17" spans="1:16" ht="18" customHeight="1" x14ac:dyDescent="0.25">
      <c r="A17" s="40" t="s">
        <v>397</v>
      </c>
      <c r="B17" s="418"/>
      <c r="C17" s="35"/>
      <c r="D17" s="35"/>
      <c r="E17" s="35"/>
      <c r="F17" s="35"/>
      <c r="G17" s="35"/>
      <c r="H17" s="35">
        <v>2988900</v>
      </c>
      <c r="I17" s="35"/>
      <c r="J17" s="35"/>
      <c r="K17" s="35"/>
      <c r="L17" s="35"/>
      <c r="M17" s="35"/>
      <c r="N17" s="36">
        <v>2988900</v>
      </c>
      <c r="O17" s="444">
        <v>2988900</v>
      </c>
    </row>
    <row r="18" spans="1:16" ht="18" customHeight="1" x14ac:dyDescent="0.25">
      <c r="A18" s="41" t="s">
        <v>20</v>
      </c>
      <c r="B18" s="418">
        <f>SUM(B7:B16)</f>
        <v>29029843.999666668</v>
      </c>
      <c r="C18" s="35">
        <f t="shared" ref="C18:K18" si="2">SUM(C7:C16)</f>
        <v>24126225</v>
      </c>
      <c r="D18" s="35">
        <f t="shared" si="2"/>
        <v>24126225</v>
      </c>
      <c r="E18" s="35">
        <f t="shared" si="2"/>
        <v>24126225</v>
      </c>
      <c r="F18" s="35">
        <f t="shared" si="2"/>
        <v>24126225</v>
      </c>
      <c r="G18" s="35">
        <f t="shared" si="2"/>
        <v>24126225</v>
      </c>
      <c r="H18" s="35">
        <f>SUM(H7:H17)</f>
        <v>31787402</v>
      </c>
      <c r="I18" s="35">
        <f t="shared" si="2"/>
        <v>121524784</v>
      </c>
      <c r="J18" s="35">
        <f t="shared" si="2"/>
        <v>24126225</v>
      </c>
      <c r="K18" s="35">
        <f t="shared" si="2"/>
        <v>24126225</v>
      </c>
      <c r="L18" s="35">
        <f>SUM(L7:L16)</f>
        <v>24126223</v>
      </c>
      <c r="M18" s="35">
        <f>SUM(M7:M16)</f>
        <v>24126229</v>
      </c>
      <c r="N18" s="36">
        <f>SUM(N7:N17)</f>
        <v>399478056.99966669</v>
      </c>
      <c r="O18" s="444">
        <f>SUM(O7:O17)</f>
        <v>399478057</v>
      </c>
    </row>
    <row r="19" spans="1:16" ht="18" customHeight="1" x14ac:dyDescent="0.25">
      <c r="A19" s="32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8"/>
    </row>
    <row r="20" spans="1:16" ht="18" customHeight="1" x14ac:dyDescent="0.25">
      <c r="A20" s="40" t="s">
        <v>21</v>
      </c>
      <c r="B20" s="35">
        <v>1254321</v>
      </c>
      <c r="C20" s="35">
        <v>1254321</v>
      </c>
      <c r="D20" s="35">
        <v>1254321</v>
      </c>
      <c r="E20" s="35">
        <v>1254321</v>
      </c>
      <c r="F20" s="35">
        <v>1254321</v>
      </c>
      <c r="G20" s="35">
        <v>1254321</v>
      </c>
      <c r="H20" s="35">
        <v>1254321</v>
      </c>
      <c r="I20" s="35">
        <v>1254321</v>
      </c>
      <c r="J20" s="35">
        <v>1254321</v>
      </c>
      <c r="K20" s="35">
        <v>1254321</v>
      </c>
      <c r="L20" s="35">
        <v>1254321</v>
      </c>
      <c r="M20" s="35">
        <v>1254321</v>
      </c>
      <c r="N20" s="36">
        <f t="shared" ref="N20:N28" si="3">SUM(B20:M20)</f>
        <v>15051852</v>
      </c>
      <c r="O20" s="436">
        <f>'15'!D34</f>
        <v>15051852</v>
      </c>
    </row>
    <row r="21" spans="1:16" ht="18" customHeight="1" x14ac:dyDescent="0.25">
      <c r="A21" s="40" t="s">
        <v>198</v>
      </c>
      <c r="B21" s="35">
        <v>3530972</v>
      </c>
      <c r="C21" s="35">
        <v>3530972</v>
      </c>
      <c r="D21" s="35">
        <v>3530972</v>
      </c>
      <c r="E21" s="35">
        <v>3530972</v>
      </c>
      <c r="F21" s="35">
        <v>3530972</v>
      </c>
      <c r="G21" s="35">
        <v>3530972</v>
      </c>
      <c r="H21" s="35">
        <v>3530972</v>
      </c>
      <c r="I21" s="35">
        <v>3530972</v>
      </c>
      <c r="J21" s="35">
        <v>3530972</v>
      </c>
      <c r="K21" s="35">
        <v>3530972</v>
      </c>
      <c r="L21" s="35">
        <v>3530972</v>
      </c>
      <c r="M21" s="35">
        <v>3530971</v>
      </c>
      <c r="N21" s="36">
        <f t="shared" si="3"/>
        <v>42371663</v>
      </c>
      <c r="O21" s="436">
        <f>'15'!D35</f>
        <v>42371663</v>
      </c>
    </row>
    <row r="22" spans="1:16" ht="18" customHeight="1" x14ac:dyDescent="0.25">
      <c r="A22" s="157" t="s">
        <v>143</v>
      </c>
      <c r="B22" s="418">
        <v>11378256</v>
      </c>
      <c r="C22" s="35">
        <v>11378256</v>
      </c>
      <c r="D22" s="35">
        <v>11378256</v>
      </c>
      <c r="E22" s="35">
        <v>11378256</v>
      </c>
      <c r="F22" s="35">
        <v>11378256</v>
      </c>
      <c r="G22" s="35">
        <f>11378256+427777</f>
        <v>11806033</v>
      </c>
      <c r="H22" s="35">
        <f>11378256</f>
        <v>11378256</v>
      </c>
      <c r="I22" s="35">
        <v>11378256</v>
      </c>
      <c r="J22" s="35">
        <v>11378256</v>
      </c>
      <c r="K22" s="35">
        <v>11378256</v>
      </c>
      <c r="L22" s="35">
        <v>11378256</v>
      </c>
      <c r="M22" s="35">
        <v>11378250</v>
      </c>
      <c r="N22" s="36">
        <f t="shared" si="3"/>
        <v>136966843</v>
      </c>
      <c r="O22" s="436">
        <f>'15'!H39</f>
        <v>136966843</v>
      </c>
    </row>
    <row r="23" spans="1:16" ht="18" customHeight="1" x14ac:dyDescent="0.25">
      <c r="A23" s="40" t="s">
        <v>29</v>
      </c>
      <c r="B23" s="418">
        <v>1598845</v>
      </c>
      <c r="C23" s="35">
        <v>1598845</v>
      </c>
      <c r="D23" s="35">
        <v>1598845</v>
      </c>
      <c r="E23" s="35">
        <v>1598845</v>
      </c>
      <c r="F23" s="35">
        <v>1598845</v>
      </c>
      <c r="G23" s="35">
        <f>1598845+14851680</f>
        <v>16450525</v>
      </c>
      <c r="H23" s="35">
        <v>1598845</v>
      </c>
      <c r="I23" s="35">
        <v>1598845</v>
      </c>
      <c r="J23" s="35">
        <v>1598845</v>
      </c>
      <c r="K23" s="35">
        <v>1598845</v>
      </c>
      <c r="L23" s="35">
        <v>1598845</v>
      </c>
      <c r="M23" s="35">
        <v>1598846</v>
      </c>
      <c r="N23" s="36">
        <f t="shared" si="3"/>
        <v>34037821</v>
      </c>
      <c r="O23" s="436">
        <f>'15'!H43</f>
        <v>34037821</v>
      </c>
      <c r="P23" s="153"/>
    </row>
    <row r="24" spans="1:16" ht="18" customHeight="1" x14ac:dyDescent="0.25">
      <c r="A24" s="40" t="s">
        <v>190</v>
      </c>
      <c r="B24" s="35">
        <v>338504</v>
      </c>
      <c r="C24" s="35">
        <v>338504</v>
      </c>
      <c r="D24" s="35">
        <v>338504</v>
      </c>
      <c r="E24" s="35">
        <v>338504</v>
      </c>
      <c r="F24" s="35">
        <v>338504</v>
      </c>
      <c r="G24" s="35">
        <v>338504</v>
      </c>
      <c r="H24" s="35">
        <v>338504</v>
      </c>
      <c r="I24" s="35">
        <v>338504</v>
      </c>
      <c r="J24" s="35">
        <v>338504</v>
      </c>
      <c r="K24" s="35">
        <v>338504</v>
      </c>
      <c r="L24" s="35">
        <v>338504</v>
      </c>
      <c r="M24" s="35">
        <v>338504</v>
      </c>
      <c r="N24" s="36">
        <f t="shared" si="3"/>
        <v>4062048</v>
      </c>
      <c r="O24" s="436">
        <f>'15'!H49</f>
        <v>4062048</v>
      </c>
    </row>
    <row r="25" spans="1:16" ht="18" customHeight="1" x14ac:dyDescent="0.25">
      <c r="A25" s="40" t="s">
        <v>147</v>
      </c>
      <c r="B25" s="35">
        <v>1208298</v>
      </c>
      <c r="C25" s="35">
        <v>1208298</v>
      </c>
      <c r="D25" s="35">
        <v>1208298</v>
      </c>
      <c r="E25" s="35">
        <v>1208298</v>
      </c>
      <c r="F25" s="35">
        <v>1208298</v>
      </c>
      <c r="G25" s="35">
        <f>1208298+86980279</f>
        <v>88188577</v>
      </c>
      <c r="H25" s="35">
        <v>1208298</v>
      </c>
      <c r="I25" s="35">
        <v>1208298</v>
      </c>
      <c r="J25" s="35">
        <v>1208298</v>
      </c>
      <c r="K25" s="35">
        <v>1208298</v>
      </c>
      <c r="L25" s="35">
        <v>1208298</v>
      </c>
      <c r="M25" s="35">
        <v>1208299</v>
      </c>
      <c r="N25" s="36">
        <f t="shared" si="3"/>
        <v>101479856</v>
      </c>
      <c r="O25" s="436">
        <f>'15'!H55</f>
        <v>101479856</v>
      </c>
    </row>
    <row r="26" spans="1:16" ht="18" customHeight="1" x14ac:dyDescent="0.25">
      <c r="A26" s="40" t="s">
        <v>152</v>
      </c>
      <c r="B26" s="418">
        <f>O26/12+0.5</f>
        <v>5225665</v>
      </c>
      <c r="C26" s="35">
        <v>5225665</v>
      </c>
      <c r="D26" s="35">
        <v>5225665</v>
      </c>
      <c r="E26" s="35">
        <v>5225665</v>
      </c>
      <c r="F26" s="35">
        <v>5225665</v>
      </c>
      <c r="G26" s="35">
        <v>5225665</v>
      </c>
      <c r="H26" s="35">
        <v>5225665</v>
      </c>
      <c r="I26" s="35">
        <v>5225665</v>
      </c>
      <c r="J26" s="35">
        <v>5225665</v>
      </c>
      <c r="K26" s="35">
        <v>5225665</v>
      </c>
      <c r="L26" s="35">
        <v>5225665</v>
      </c>
      <c r="M26" s="35">
        <v>5225659</v>
      </c>
      <c r="N26" s="36">
        <f t="shared" si="3"/>
        <v>62707974</v>
      </c>
      <c r="O26" s="436">
        <f>'15'!H65</f>
        <v>62707974</v>
      </c>
    </row>
    <row r="27" spans="1:16" ht="18" customHeight="1" x14ac:dyDescent="0.25">
      <c r="A27" s="40" t="s">
        <v>397</v>
      </c>
      <c r="B27" s="418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>
        <v>2800000</v>
      </c>
      <c r="N27" s="36">
        <v>2800000</v>
      </c>
      <c r="O27" s="436">
        <v>2800000</v>
      </c>
    </row>
    <row r="28" spans="1:16" ht="18" customHeight="1" x14ac:dyDescent="0.25">
      <c r="A28" s="31" t="s">
        <v>23</v>
      </c>
      <c r="B28" s="39">
        <f>+B20+B21+B22+B23+B24+B26+B25</f>
        <v>24534861</v>
      </c>
      <c r="C28" s="39">
        <f t="shared" ref="C28:L28" si="4">+C20+C21+C22+C23+C24+C26+C25</f>
        <v>24534861</v>
      </c>
      <c r="D28" s="39">
        <f t="shared" si="4"/>
        <v>24534861</v>
      </c>
      <c r="E28" s="39">
        <f t="shared" si="4"/>
        <v>24534861</v>
      </c>
      <c r="F28" s="39">
        <f t="shared" si="4"/>
        <v>24534861</v>
      </c>
      <c r="G28" s="39">
        <f t="shared" si="4"/>
        <v>126794597</v>
      </c>
      <c r="H28" s="39">
        <f t="shared" si="4"/>
        <v>24534861</v>
      </c>
      <c r="I28" s="39">
        <f t="shared" si="4"/>
        <v>24534861</v>
      </c>
      <c r="J28" s="39">
        <f t="shared" si="4"/>
        <v>24534861</v>
      </c>
      <c r="K28" s="39">
        <f t="shared" si="4"/>
        <v>24534861</v>
      </c>
      <c r="L28" s="39">
        <f t="shared" si="4"/>
        <v>24534861</v>
      </c>
      <c r="M28" s="39">
        <f>+M20+M21+M22+M23+M24+M26+M25+M27</f>
        <v>27334850</v>
      </c>
      <c r="N28" s="36">
        <f t="shared" si="3"/>
        <v>399478057</v>
      </c>
      <c r="O28" s="437">
        <f>SUM(O20:O27)</f>
        <v>399478057</v>
      </c>
    </row>
    <row r="29" spans="1:16" ht="18" customHeight="1" x14ac:dyDescent="0.25">
      <c r="A29" s="162"/>
      <c r="B29" s="163">
        <f t="shared" ref="B29:M29" si="5">+B18-B28</f>
        <v>4494982.9996666685</v>
      </c>
      <c r="C29" s="163">
        <f t="shared" si="5"/>
        <v>-408636</v>
      </c>
      <c r="D29" s="163">
        <f t="shared" si="5"/>
        <v>-408636</v>
      </c>
      <c r="E29" s="163">
        <f t="shared" si="5"/>
        <v>-408636</v>
      </c>
      <c r="F29" s="163">
        <f t="shared" si="5"/>
        <v>-408636</v>
      </c>
      <c r="G29" s="163">
        <f t="shared" si="5"/>
        <v>-102668372</v>
      </c>
      <c r="H29" s="163">
        <f t="shared" si="5"/>
        <v>7252541</v>
      </c>
      <c r="I29" s="163">
        <f t="shared" si="5"/>
        <v>96989923</v>
      </c>
      <c r="J29" s="163">
        <f t="shared" si="5"/>
        <v>-408636</v>
      </c>
      <c r="K29" s="163">
        <f t="shared" si="5"/>
        <v>-408636</v>
      </c>
      <c r="L29" s="163">
        <f t="shared" si="5"/>
        <v>-408638</v>
      </c>
      <c r="M29" s="163">
        <f t="shared" si="5"/>
        <v>-3208621</v>
      </c>
      <c r="N29" s="164">
        <f>SUM(N20:N27)</f>
        <v>399478057</v>
      </c>
      <c r="O29" s="153">
        <f>+O18-O28</f>
        <v>0</v>
      </c>
    </row>
    <row r="30" spans="1:16" ht="18" customHeight="1" x14ac:dyDescent="0.25">
      <c r="A30" s="162"/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4"/>
      <c r="O30" s="153"/>
    </row>
    <row r="31" spans="1:16" ht="18" customHeight="1" x14ac:dyDescent="0.25">
      <c r="A31" s="162"/>
      <c r="B31" s="163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4"/>
      <c r="O31" s="153"/>
    </row>
    <row r="32" spans="1:16" ht="18" customHeight="1" x14ac:dyDescent="0.25">
      <c r="A32" s="162"/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4"/>
      <c r="O32" s="153"/>
    </row>
    <row r="33" spans="1:15" ht="18" customHeight="1" x14ac:dyDescent="0.25">
      <c r="A33" s="162"/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4"/>
      <c r="O33" s="153"/>
    </row>
    <row r="34" spans="1:15" ht="18" customHeight="1" x14ac:dyDescent="0.25">
      <c r="A34" s="162"/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4"/>
      <c r="O34" s="153"/>
    </row>
    <row r="35" spans="1:15" ht="18" customHeight="1" x14ac:dyDescent="0.25">
      <c r="A35" s="162"/>
      <c r="B35" s="163"/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4"/>
      <c r="O35" s="153"/>
    </row>
    <row r="36" spans="1:15" ht="18" customHeight="1" x14ac:dyDescent="0.25">
      <c r="A36" s="162"/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4"/>
      <c r="O36" s="153"/>
    </row>
    <row r="37" spans="1:15" ht="18" customHeight="1" x14ac:dyDescent="0.25">
      <c r="A37" s="162"/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4"/>
      <c r="O37" s="153"/>
    </row>
    <row r="38" spans="1:15" x14ac:dyDescent="0.25">
      <c r="B38" s="156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</row>
    <row r="44" spans="1:15" x14ac:dyDescent="0.25">
      <c r="A44" s="154"/>
    </row>
    <row r="45" spans="1:15" x14ac:dyDescent="0.25">
      <c r="A45" s="154"/>
    </row>
    <row r="46" spans="1:15" x14ac:dyDescent="0.25">
      <c r="A46" s="154"/>
    </row>
    <row r="47" spans="1:15" x14ac:dyDescent="0.25">
      <c r="A47" s="154"/>
    </row>
    <row r="48" spans="1:15" x14ac:dyDescent="0.25">
      <c r="A48" s="154"/>
    </row>
    <row r="49" spans="1:17" x14ac:dyDescent="0.25">
      <c r="A49" s="154"/>
    </row>
    <row r="50" spans="1:17" x14ac:dyDescent="0.25">
      <c r="A50" s="154"/>
    </row>
    <row r="51" spans="1:17" x14ac:dyDescent="0.25">
      <c r="A51" s="154"/>
    </row>
    <row r="52" spans="1:17" x14ac:dyDescent="0.25">
      <c r="A52" s="154"/>
    </row>
    <row r="53" spans="1:17" x14ac:dyDescent="0.25">
      <c r="A53" s="154"/>
    </row>
    <row r="54" spans="1:17" x14ac:dyDescent="0.25">
      <c r="A54" s="154"/>
    </row>
    <row r="55" spans="1:17" x14ac:dyDescent="0.25">
      <c r="A55" s="154"/>
      <c r="Q55" s="28">
        <f>+O55+O45</f>
        <v>0</v>
      </c>
    </row>
    <row r="56" spans="1:17" x14ac:dyDescent="0.25">
      <c r="A56" s="154"/>
    </row>
    <row r="57" spans="1:17" x14ac:dyDescent="0.25">
      <c r="A57" s="154"/>
    </row>
    <row r="58" spans="1:17" x14ac:dyDescent="0.25">
      <c r="A58" s="154"/>
    </row>
    <row r="59" spans="1:17" x14ac:dyDescent="0.25">
      <c r="A59" s="154"/>
    </row>
    <row r="60" spans="1:17" x14ac:dyDescent="0.25">
      <c r="A60" s="154"/>
    </row>
    <row r="61" spans="1:17" x14ac:dyDescent="0.25">
      <c r="A61" s="154"/>
    </row>
    <row r="62" spans="1:17" x14ac:dyDescent="0.25">
      <c r="A62" s="154"/>
    </row>
    <row r="63" spans="1:17" x14ac:dyDescent="0.25">
      <c r="A63" s="154"/>
    </row>
    <row r="64" spans="1:17" x14ac:dyDescent="0.25">
      <c r="A64" s="154"/>
    </row>
    <row r="68" spans="12:12" x14ac:dyDescent="0.25">
      <c r="L68" s="155"/>
    </row>
  </sheetData>
  <mergeCells count="4">
    <mergeCell ref="A1:N1"/>
    <mergeCell ref="M5:N5"/>
    <mergeCell ref="A3:N4"/>
    <mergeCell ref="A2:N2"/>
  </mergeCells>
  <phoneticPr fontId="3" type="noConversion"/>
  <printOptions horizontalCentered="1"/>
  <pageMargins left="0.19685039370078741" right="0.17" top="0.71" bottom="0.6692913385826772" header="0.51181102362204722" footer="0.51181102362204722"/>
  <pageSetup paperSize="9" scale="8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zoomScale="86" zoomScaleNormal="86" workbookViewId="0">
      <selection activeCell="J19" sqref="J19"/>
    </sheetView>
  </sheetViews>
  <sheetFormatPr defaultRowHeight="13.2" x14ac:dyDescent="0.25"/>
  <cols>
    <col min="3" max="3" width="60.6640625" bestFit="1" customWidth="1"/>
    <col min="4" max="4" width="19.109375" bestFit="1" customWidth="1"/>
    <col min="5" max="5" width="17.6640625" bestFit="1" customWidth="1"/>
    <col min="6" max="6" width="19.109375" bestFit="1" customWidth="1"/>
  </cols>
  <sheetData>
    <row r="1" spans="1:6" ht="17.399999999999999" x14ac:dyDescent="0.3">
      <c r="A1" s="461" t="s">
        <v>339</v>
      </c>
      <c r="B1" s="525"/>
      <c r="C1" s="525"/>
      <c r="D1" s="525"/>
      <c r="E1" s="525"/>
      <c r="F1" s="525"/>
    </row>
    <row r="2" spans="1:6" ht="15.6" x14ac:dyDescent="0.25">
      <c r="A2" s="454"/>
      <c r="B2" s="454"/>
      <c r="C2" s="454"/>
      <c r="D2" s="454"/>
      <c r="E2" s="454"/>
      <c r="F2" s="454"/>
    </row>
    <row r="3" spans="1:6" ht="15.6" x14ac:dyDescent="0.3">
      <c r="A3" s="462" t="s">
        <v>246</v>
      </c>
      <c r="B3" s="462"/>
      <c r="C3" s="462"/>
      <c r="D3" s="462"/>
      <c r="E3" s="462"/>
      <c r="F3" s="462"/>
    </row>
    <row r="4" spans="1:6" ht="15.6" x14ac:dyDescent="0.25">
      <c r="A4" s="454" t="s">
        <v>315</v>
      </c>
      <c r="B4" s="454"/>
      <c r="C4" s="454"/>
      <c r="D4" s="454"/>
      <c r="E4" s="454"/>
      <c r="F4" s="454"/>
    </row>
    <row r="5" spans="1:6" ht="16.2" thickBot="1" x14ac:dyDescent="0.35">
      <c r="A5" s="463" t="s">
        <v>383</v>
      </c>
      <c r="B5" s="463"/>
      <c r="C5" s="463"/>
      <c r="D5" s="463"/>
      <c r="E5" s="463"/>
      <c r="F5" s="463"/>
    </row>
    <row r="6" spans="1:6" ht="12.75" customHeight="1" x14ac:dyDescent="0.25">
      <c r="A6" s="521" t="s">
        <v>200</v>
      </c>
      <c r="B6" s="469" t="s">
        <v>186</v>
      </c>
      <c r="C6" s="469"/>
      <c r="D6" s="625">
        <v>2018</v>
      </c>
      <c r="E6" s="507">
        <v>2019</v>
      </c>
      <c r="F6" s="509">
        <v>2020</v>
      </c>
    </row>
    <row r="7" spans="1:6" ht="35.25" customHeight="1" x14ac:dyDescent="0.25">
      <c r="A7" s="522"/>
      <c r="B7" s="460"/>
      <c r="C7" s="460"/>
      <c r="D7" s="626"/>
      <c r="E7" s="508"/>
      <c r="F7" s="510"/>
    </row>
    <row r="8" spans="1:6" ht="21" customHeight="1" thickBot="1" x14ac:dyDescent="0.3">
      <c r="A8" s="523"/>
      <c r="B8" s="524"/>
      <c r="C8" s="524"/>
      <c r="D8" s="511"/>
      <c r="E8" s="512"/>
      <c r="F8" s="459"/>
    </row>
    <row r="9" spans="1:6" ht="15.6" x14ac:dyDescent="0.25">
      <c r="A9" s="352"/>
      <c r="B9" s="469" t="s">
        <v>201</v>
      </c>
      <c r="C9" s="469"/>
      <c r="D9" s="275"/>
      <c r="E9" s="268"/>
      <c r="F9" s="191"/>
    </row>
    <row r="10" spans="1:6" ht="15.6" x14ac:dyDescent="0.25">
      <c r="A10" s="9">
        <v>1</v>
      </c>
      <c r="B10" s="464" t="s">
        <v>187</v>
      </c>
      <c r="C10" s="464"/>
      <c r="D10" s="269">
        <f>'2'!D10</f>
        <v>107059037</v>
      </c>
      <c r="E10" s="269">
        <f>'2'!E10</f>
        <v>107059037</v>
      </c>
      <c r="F10" s="330">
        <v>107059037</v>
      </c>
    </row>
    <row r="11" spans="1:6" ht="15.6" x14ac:dyDescent="0.25">
      <c r="A11" s="9">
        <v>2</v>
      </c>
      <c r="B11" s="464" t="s">
        <v>196</v>
      </c>
      <c r="C11" s="464"/>
      <c r="D11" s="269">
        <f>'2'!D11</f>
        <v>22930212</v>
      </c>
      <c r="E11" s="269">
        <f>'2'!E11</f>
        <v>22930212</v>
      </c>
      <c r="F11" s="330">
        <v>22930212</v>
      </c>
    </row>
    <row r="12" spans="1:6" ht="15.6" x14ac:dyDescent="0.25">
      <c r="A12" s="9">
        <v>3</v>
      </c>
      <c r="B12" s="464" t="s">
        <v>197</v>
      </c>
      <c r="C12" s="464"/>
      <c r="D12" s="269">
        <f>'2'!D12</f>
        <v>70853264</v>
      </c>
      <c r="E12" s="269">
        <f>'2'!E12</f>
        <v>70853264</v>
      </c>
      <c r="F12" s="330">
        <v>70853264</v>
      </c>
    </row>
    <row r="13" spans="1:6" ht="15.6" x14ac:dyDescent="0.25">
      <c r="A13" s="9" t="s">
        <v>45</v>
      </c>
      <c r="B13" s="464" t="s">
        <v>179</v>
      </c>
      <c r="C13" s="464"/>
      <c r="D13" s="281"/>
      <c r="E13" s="281"/>
      <c r="F13" s="330"/>
    </row>
    <row r="14" spans="1:6" ht="15.6" x14ac:dyDescent="0.25">
      <c r="A14" s="9" t="s">
        <v>47</v>
      </c>
      <c r="B14" s="465" t="s">
        <v>173</v>
      </c>
      <c r="C14" s="465"/>
      <c r="D14" s="282">
        <f>+D15+D16+D17+D18+D19</f>
        <v>18179976</v>
      </c>
      <c r="E14" s="282">
        <f t="shared" ref="E14:F14" si="0">+E15+E16+E17+E18+E19</f>
        <v>18179976</v>
      </c>
      <c r="F14" s="321">
        <f t="shared" si="0"/>
        <v>18179976</v>
      </c>
    </row>
    <row r="15" spans="1:6" ht="15.6" x14ac:dyDescent="0.25">
      <c r="A15" s="9" t="s">
        <v>165</v>
      </c>
      <c r="B15" s="475" t="s">
        <v>168</v>
      </c>
      <c r="C15" s="475"/>
      <c r="D15" s="281"/>
      <c r="E15" s="281"/>
      <c r="F15" s="330"/>
    </row>
    <row r="16" spans="1:6" ht="15.6" x14ac:dyDescent="0.25">
      <c r="A16" s="9" t="s">
        <v>166</v>
      </c>
      <c r="B16" s="475" t="s">
        <v>235</v>
      </c>
      <c r="C16" s="475"/>
      <c r="D16" s="281">
        <v>7902547</v>
      </c>
      <c r="E16" s="281">
        <v>7902547</v>
      </c>
      <c r="F16" s="330">
        <v>7902547</v>
      </c>
    </row>
    <row r="17" spans="1:6" ht="15.6" x14ac:dyDescent="0.3">
      <c r="A17" s="9"/>
      <c r="B17" s="518"/>
      <c r="C17" s="519"/>
      <c r="D17" s="281"/>
      <c r="E17" s="281"/>
      <c r="F17" s="330"/>
    </row>
    <row r="18" spans="1:6" ht="15.6" x14ac:dyDescent="0.25">
      <c r="A18" s="9" t="s">
        <v>167</v>
      </c>
      <c r="B18" s="477" t="s">
        <v>169</v>
      </c>
      <c r="C18" s="477"/>
      <c r="D18" s="281">
        <f>'15'!D18</f>
        <v>10277429</v>
      </c>
      <c r="E18" s="281">
        <v>10277429</v>
      </c>
      <c r="F18" s="330">
        <v>10277429</v>
      </c>
    </row>
    <row r="19" spans="1:6" ht="15.6" x14ac:dyDescent="0.25">
      <c r="A19" s="9" t="s">
        <v>73</v>
      </c>
      <c r="B19" s="477" t="s">
        <v>289</v>
      </c>
      <c r="C19" s="478"/>
      <c r="D19" s="281"/>
      <c r="E19" s="281"/>
      <c r="F19" s="330"/>
    </row>
    <row r="20" spans="1:6" ht="15.6" x14ac:dyDescent="0.25">
      <c r="A20" s="9"/>
      <c r="B20" s="464" t="s">
        <v>311</v>
      </c>
      <c r="C20" s="464"/>
      <c r="D20" s="281">
        <v>53839766</v>
      </c>
      <c r="E20" s="281">
        <v>46977103</v>
      </c>
      <c r="F20" s="330">
        <v>48748353</v>
      </c>
    </row>
    <row r="21" spans="1:6" ht="15.6" x14ac:dyDescent="0.3">
      <c r="A21" s="9"/>
      <c r="B21" s="464"/>
      <c r="C21" s="464"/>
      <c r="D21" s="283"/>
      <c r="E21" s="283">
        <f>6862322+341</f>
        <v>6862663</v>
      </c>
      <c r="F21" s="357">
        <v>5091413</v>
      </c>
    </row>
    <row r="22" spans="1:6" ht="15.6" x14ac:dyDescent="0.25">
      <c r="A22" s="9" t="s">
        <v>193</v>
      </c>
      <c r="B22" s="350" t="s">
        <v>164</v>
      </c>
      <c r="C22" s="149"/>
      <c r="D22" s="281">
        <f>+D10+D11+D12+D13+D14+D21+D20</f>
        <v>272862255</v>
      </c>
      <c r="E22" s="281">
        <f t="shared" ref="E22:F22" si="1">+E10+E11+E12+E13+E14+E21+E20</f>
        <v>272862255</v>
      </c>
      <c r="F22" s="330">
        <f t="shared" si="1"/>
        <v>272862255</v>
      </c>
    </row>
    <row r="23" spans="1:6" ht="15.6" x14ac:dyDescent="0.3">
      <c r="A23" s="9" t="s">
        <v>48</v>
      </c>
      <c r="B23" s="464" t="s">
        <v>189</v>
      </c>
      <c r="C23" s="464"/>
      <c r="D23" s="270"/>
      <c r="E23" s="270"/>
      <c r="F23" s="357"/>
    </row>
    <row r="24" spans="1:6" ht="15.6" x14ac:dyDescent="0.3">
      <c r="A24" s="9" t="s">
        <v>49</v>
      </c>
      <c r="B24" s="464" t="s">
        <v>188</v>
      </c>
      <c r="C24" s="464"/>
      <c r="D24" s="270"/>
      <c r="E24" s="270"/>
      <c r="F24" s="357"/>
    </row>
    <row r="25" spans="1:6" ht="15.6" x14ac:dyDescent="0.3">
      <c r="A25" s="9" t="s">
        <v>51</v>
      </c>
      <c r="B25" s="464" t="s">
        <v>290</v>
      </c>
      <c r="C25" s="464"/>
      <c r="D25" s="270"/>
      <c r="E25" s="270"/>
      <c r="F25" s="357"/>
    </row>
    <row r="26" spans="1:6" ht="15.6" x14ac:dyDescent="0.3">
      <c r="A26" s="9" t="s">
        <v>194</v>
      </c>
      <c r="B26" s="464" t="s">
        <v>232</v>
      </c>
      <c r="C26" s="464"/>
      <c r="D26" s="270">
        <f>SUM(D23:D25)</f>
        <v>0</v>
      </c>
      <c r="E26" s="270">
        <f t="shared" ref="E26:F26" si="2">SUM(E23:E25)</f>
        <v>0</v>
      </c>
      <c r="F26" s="357">
        <f t="shared" si="2"/>
        <v>0</v>
      </c>
    </row>
    <row r="27" spans="1:6" ht="15.6" x14ac:dyDescent="0.3">
      <c r="A27" s="9" t="s">
        <v>195</v>
      </c>
      <c r="B27" s="464"/>
      <c r="C27" s="464"/>
      <c r="D27" s="270"/>
      <c r="E27" s="270"/>
      <c r="F27" s="357"/>
    </row>
    <row r="28" spans="1:6" ht="15.6" x14ac:dyDescent="0.3">
      <c r="A28" s="9" t="s">
        <v>180</v>
      </c>
      <c r="B28" s="513"/>
      <c r="C28" s="513"/>
      <c r="D28" s="271"/>
      <c r="E28" s="271"/>
      <c r="F28" s="326"/>
    </row>
    <row r="29" spans="1:6" ht="15.6" x14ac:dyDescent="0.3">
      <c r="A29" s="9" t="s">
        <v>181</v>
      </c>
      <c r="B29" s="513"/>
      <c r="C29" s="513"/>
      <c r="D29" s="315"/>
      <c r="E29" s="315"/>
      <c r="F29" s="358"/>
    </row>
    <row r="30" spans="1:6" ht="17.399999999999999" x14ac:dyDescent="0.3">
      <c r="A30" s="151" t="s">
        <v>171</v>
      </c>
      <c r="B30" s="485" t="s">
        <v>172</v>
      </c>
      <c r="C30" s="485"/>
      <c r="D30" s="289">
        <f>+D22+D26+D27+D28+D29</f>
        <v>272862255</v>
      </c>
      <c r="E30" s="289">
        <f t="shared" ref="E30:F30" si="3">+E22+E26+E27+E28+E29</f>
        <v>272862255</v>
      </c>
      <c r="F30" s="319">
        <f t="shared" si="3"/>
        <v>272862255</v>
      </c>
    </row>
    <row r="31" spans="1:6" ht="15.6" x14ac:dyDescent="0.3">
      <c r="A31" s="18"/>
      <c r="B31" s="484"/>
      <c r="C31" s="484"/>
      <c r="D31" s="314"/>
      <c r="E31" s="19"/>
      <c r="F31" s="359"/>
    </row>
    <row r="32" spans="1:6" ht="15.6" x14ac:dyDescent="0.3">
      <c r="A32" s="9"/>
      <c r="B32" s="488" t="s">
        <v>202</v>
      </c>
      <c r="C32" s="488"/>
      <c r="D32" s="290"/>
      <c r="E32" s="316"/>
      <c r="F32" s="14"/>
    </row>
    <row r="33" spans="1:6" ht="15.6" x14ac:dyDescent="0.3">
      <c r="A33" s="9" t="s">
        <v>30</v>
      </c>
      <c r="B33" s="489" t="s">
        <v>230</v>
      </c>
      <c r="C33" s="489"/>
      <c r="D33" s="291">
        <f>'2'!D33</f>
        <v>15219852</v>
      </c>
      <c r="E33" s="291">
        <f>'2'!E33</f>
        <v>15219852</v>
      </c>
      <c r="F33" s="360">
        <v>15219852</v>
      </c>
    </row>
    <row r="34" spans="1:6" ht="15.6" x14ac:dyDescent="0.3">
      <c r="A34" s="9" t="s">
        <v>43</v>
      </c>
      <c r="B34" s="489" t="s">
        <v>198</v>
      </c>
      <c r="C34" s="489"/>
      <c r="D34" s="291">
        <f>SUM(D35:D37)</f>
        <v>42371663</v>
      </c>
      <c r="E34" s="292">
        <f>SUM(E35:E37)</f>
        <v>42371663</v>
      </c>
      <c r="F34" s="296">
        <f>SUM(F35:F37)</f>
        <v>42371663</v>
      </c>
    </row>
    <row r="35" spans="1:6" ht="15.6" x14ac:dyDescent="0.3">
      <c r="A35" s="9"/>
      <c r="B35" s="219" t="s">
        <v>75</v>
      </c>
      <c r="C35" s="129" t="s">
        <v>175</v>
      </c>
      <c r="D35" s="291">
        <f>'15'!D36</f>
        <v>35129640</v>
      </c>
      <c r="E35" s="291">
        <f>'15'!E36</f>
        <v>35129640</v>
      </c>
      <c r="F35" s="360">
        <v>35129640</v>
      </c>
    </row>
    <row r="36" spans="1:6" ht="15.6" x14ac:dyDescent="0.3">
      <c r="A36" s="9"/>
      <c r="B36" s="219" t="s">
        <v>76</v>
      </c>
      <c r="C36" s="129" t="s">
        <v>176</v>
      </c>
      <c r="D36" s="291">
        <f>'15'!D37</f>
        <v>5862088</v>
      </c>
      <c r="E36" s="291">
        <f>'15'!E37</f>
        <v>5862088</v>
      </c>
      <c r="F36" s="360">
        <v>5862088</v>
      </c>
    </row>
    <row r="37" spans="1:6" ht="15.6" x14ac:dyDescent="0.3">
      <c r="A37" s="9"/>
      <c r="B37" s="219" t="s">
        <v>77</v>
      </c>
      <c r="C37" s="129" t="s">
        <v>177</v>
      </c>
      <c r="D37" s="291">
        <f>'15'!D38</f>
        <v>1379935</v>
      </c>
      <c r="E37" s="291">
        <f>'15'!E38</f>
        <v>1379935</v>
      </c>
      <c r="F37" s="360">
        <v>1379935</v>
      </c>
    </row>
    <row r="38" spans="1:6" ht="15.6" x14ac:dyDescent="0.3">
      <c r="A38" s="9" t="s">
        <v>44</v>
      </c>
      <c r="B38" s="489" t="s">
        <v>143</v>
      </c>
      <c r="C38" s="489"/>
      <c r="D38" s="295">
        <f>SUM(D39:D41)</f>
        <v>136442129</v>
      </c>
      <c r="E38" s="292">
        <f>SUM(E39:E41)</f>
        <v>136442129</v>
      </c>
      <c r="F38" s="361">
        <f>SUM(F39:F41)</f>
        <v>136442129</v>
      </c>
    </row>
    <row r="39" spans="1:6" ht="15.6" x14ac:dyDescent="0.3">
      <c r="A39" s="9"/>
      <c r="B39" s="220" t="s">
        <v>78</v>
      </c>
      <c r="C39" s="351" t="s">
        <v>233</v>
      </c>
      <c r="D39" s="295">
        <f>'15'!D40</f>
        <v>135017794</v>
      </c>
      <c r="E39" s="295">
        <f>'15'!E40</f>
        <v>135017794</v>
      </c>
      <c r="F39" s="362">
        <v>135017794</v>
      </c>
    </row>
    <row r="40" spans="1:6" ht="15.6" x14ac:dyDescent="0.3">
      <c r="A40" s="9"/>
      <c r="B40" s="220" t="s">
        <v>79</v>
      </c>
      <c r="C40" s="351" t="s">
        <v>81</v>
      </c>
      <c r="D40" s="295">
        <f>SUM(E40:F40)</f>
        <v>0</v>
      </c>
      <c r="E40" s="295">
        <f>SUM(F40:G40)</f>
        <v>0</v>
      </c>
      <c r="F40" s="362">
        <f t="shared" ref="F40" si="4">SUM(G40:H40)</f>
        <v>0</v>
      </c>
    </row>
    <row r="41" spans="1:6" ht="15.6" x14ac:dyDescent="0.3">
      <c r="A41" s="9"/>
      <c r="B41" s="220" t="s">
        <v>80</v>
      </c>
      <c r="C41" s="351" t="s">
        <v>234</v>
      </c>
      <c r="D41" s="295">
        <f>'15'!D42</f>
        <v>1424335</v>
      </c>
      <c r="E41" s="295">
        <f>'15'!E42</f>
        <v>1424335</v>
      </c>
      <c r="F41" s="362">
        <v>1424335</v>
      </c>
    </row>
    <row r="42" spans="1:6" ht="15.6" x14ac:dyDescent="0.3">
      <c r="A42" s="9" t="s">
        <v>45</v>
      </c>
      <c r="B42" s="489" t="s">
        <v>144</v>
      </c>
      <c r="C42" s="489"/>
      <c r="D42" s="292">
        <f>SUM(D43:D46)</f>
        <v>16693201</v>
      </c>
      <c r="E42" s="292">
        <f>SUM(E43:E46)</f>
        <v>16693201</v>
      </c>
      <c r="F42" s="296">
        <f>SUM(F43:F46)</f>
        <v>16693201</v>
      </c>
    </row>
    <row r="43" spans="1:6" ht="15.6" x14ac:dyDescent="0.3">
      <c r="A43" s="9"/>
      <c r="B43" s="220" t="s">
        <v>82</v>
      </c>
      <c r="C43" s="351" t="s">
        <v>86</v>
      </c>
      <c r="D43" s="295">
        <f>'15'!D44</f>
        <v>16693201</v>
      </c>
      <c r="E43" s="295">
        <f>'15'!E44</f>
        <v>16693201</v>
      </c>
      <c r="F43" s="362">
        <v>16693201</v>
      </c>
    </row>
    <row r="44" spans="1:6" ht="15.6" x14ac:dyDescent="0.3">
      <c r="A44" s="9"/>
      <c r="B44" s="220" t="s">
        <v>83</v>
      </c>
      <c r="C44" s="351" t="s">
        <v>87</v>
      </c>
      <c r="D44" s="295"/>
      <c r="E44" s="345"/>
      <c r="F44" s="362"/>
    </row>
    <row r="45" spans="1:6" ht="15.6" x14ac:dyDescent="0.3">
      <c r="A45" s="9"/>
      <c r="B45" s="220" t="s">
        <v>84</v>
      </c>
      <c r="C45" s="351" t="s">
        <v>262</v>
      </c>
      <c r="D45" s="295"/>
      <c r="E45" s="347"/>
      <c r="F45" s="362"/>
    </row>
    <row r="46" spans="1:6" ht="15.6" x14ac:dyDescent="0.3">
      <c r="A46" s="9"/>
      <c r="B46" s="220" t="s">
        <v>85</v>
      </c>
      <c r="C46" s="351" t="s">
        <v>88</v>
      </c>
      <c r="D46" s="295"/>
      <c r="E46" s="292"/>
      <c r="F46" s="361">
        <f>SUM(D46:D46)</f>
        <v>0</v>
      </c>
    </row>
    <row r="47" spans="1:6" ht="15.6" x14ac:dyDescent="0.3">
      <c r="A47" s="221" t="s">
        <v>193</v>
      </c>
      <c r="B47" s="514" t="s">
        <v>89</v>
      </c>
      <c r="C47" s="514"/>
      <c r="D47" s="295">
        <f>+D33+D34+D38+D42</f>
        <v>210726845</v>
      </c>
      <c r="E47" s="295">
        <f>+E33+E34+E38+E42</f>
        <v>210726845</v>
      </c>
      <c r="F47" s="362">
        <f>+F33+F34+F38+F42</f>
        <v>210726845</v>
      </c>
    </row>
    <row r="48" spans="1:6" ht="15.6" x14ac:dyDescent="0.3">
      <c r="A48" s="9" t="s">
        <v>47</v>
      </c>
      <c r="B48" s="489" t="s">
        <v>190</v>
      </c>
      <c r="C48" s="489"/>
      <c r="D48" s="292">
        <f>SUM(D49:D51)</f>
        <v>4062048</v>
      </c>
      <c r="E48" s="292">
        <f t="shared" ref="E48:F48" si="5">SUM(E49:E51)</f>
        <v>4062048</v>
      </c>
      <c r="F48" s="296">
        <f t="shared" si="5"/>
        <v>4062048</v>
      </c>
    </row>
    <row r="49" spans="1:6" ht="15.6" x14ac:dyDescent="0.3">
      <c r="A49" s="9"/>
      <c r="B49" s="220" t="s">
        <v>90</v>
      </c>
      <c r="C49" s="351" t="s">
        <v>92</v>
      </c>
      <c r="D49" s="295">
        <f>'15'!D50</f>
        <v>4062048</v>
      </c>
      <c r="E49" s="295">
        <f>'15'!E50</f>
        <v>4062048</v>
      </c>
      <c r="F49" s="362">
        <v>4062048</v>
      </c>
    </row>
    <row r="50" spans="1:6" ht="15.6" x14ac:dyDescent="0.3">
      <c r="A50" s="9"/>
      <c r="B50" s="220" t="s">
        <v>91</v>
      </c>
      <c r="C50" s="351" t="s">
        <v>1</v>
      </c>
      <c r="D50" s="295">
        <f>'15'!D51</f>
        <v>0</v>
      </c>
      <c r="E50" s="295">
        <f>'15'!E51</f>
        <v>0</v>
      </c>
      <c r="F50" s="362">
        <v>0</v>
      </c>
    </row>
    <row r="51" spans="1:6" ht="15.6" x14ac:dyDescent="0.3">
      <c r="A51" s="9" t="s">
        <v>48</v>
      </c>
      <c r="B51" s="489" t="s">
        <v>146</v>
      </c>
      <c r="C51" s="489"/>
      <c r="D51" s="295">
        <f>SUM(D52:D53)</f>
        <v>0</v>
      </c>
      <c r="E51" s="292">
        <f>SUM(E52:E53)</f>
        <v>0</v>
      </c>
      <c r="F51" s="361">
        <f t="shared" ref="F51:F57" si="6">SUM(D51:D51)</f>
        <v>0</v>
      </c>
    </row>
    <row r="52" spans="1:6" ht="15.6" x14ac:dyDescent="0.3">
      <c r="A52" s="9"/>
      <c r="B52" s="220" t="s">
        <v>93</v>
      </c>
      <c r="C52" s="351" t="s">
        <v>95</v>
      </c>
      <c r="D52" s="295"/>
      <c r="E52" s="292"/>
      <c r="F52" s="361">
        <f t="shared" si="6"/>
        <v>0</v>
      </c>
    </row>
    <row r="53" spans="1:6" ht="15.6" x14ac:dyDescent="0.3">
      <c r="A53" s="9"/>
      <c r="B53" s="220" t="s">
        <v>94</v>
      </c>
      <c r="C53" s="351" t="s">
        <v>96</v>
      </c>
      <c r="D53" s="295">
        <v>0</v>
      </c>
      <c r="E53" s="292"/>
      <c r="F53" s="361">
        <f t="shared" si="6"/>
        <v>0</v>
      </c>
    </row>
    <row r="54" spans="1:6" ht="15.6" x14ac:dyDescent="0.3">
      <c r="A54" s="9" t="s">
        <v>49</v>
      </c>
      <c r="B54" s="489" t="s">
        <v>147</v>
      </c>
      <c r="C54" s="489"/>
      <c r="D54" s="295">
        <f>SUM(D55:D57)</f>
        <v>0</v>
      </c>
      <c r="E54" s="292">
        <f>SUM(E55:E57)</f>
        <v>0</v>
      </c>
      <c r="F54" s="361">
        <f>SUM(F55:F57)</f>
        <v>0</v>
      </c>
    </row>
    <row r="55" spans="1:6" ht="15.6" x14ac:dyDescent="0.3">
      <c r="A55" s="9"/>
      <c r="B55" s="220" t="s">
        <v>97</v>
      </c>
      <c r="C55" s="351" t="s">
        <v>100</v>
      </c>
      <c r="D55" s="295">
        <v>0</v>
      </c>
      <c r="E55" s="292"/>
      <c r="F55" s="361"/>
    </row>
    <row r="56" spans="1:6" ht="15.6" x14ac:dyDescent="0.3">
      <c r="A56" s="9"/>
      <c r="B56" s="220" t="s">
        <v>98</v>
      </c>
      <c r="C56" s="351" t="s">
        <v>2</v>
      </c>
      <c r="D56" s="295"/>
      <c r="E56" s="292"/>
      <c r="F56" s="361">
        <f t="shared" si="6"/>
        <v>0</v>
      </c>
    </row>
    <row r="57" spans="1:6" ht="15.6" x14ac:dyDescent="0.3">
      <c r="A57" s="9"/>
      <c r="B57" s="220" t="s">
        <v>99</v>
      </c>
      <c r="C57" s="351" t="s">
        <v>101</v>
      </c>
      <c r="D57" s="295"/>
      <c r="E57" s="292"/>
      <c r="F57" s="361">
        <f t="shared" si="6"/>
        <v>0</v>
      </c>
    </row>
    <row r="58" spans="1:6" ht="15.6" x14ac:dyDescent="0.3">
      <c r="A58" s="221" t="s">
        <v>194</v>
      </c>
      <c r="B58" s="514" t="s">
        <v>214</v>
      </c>
      <c r="C58" s="514"/>
      <c r="D58" s="295">
        <f>+D48+D51+D54</f>
        <v>4062048</v>
      </c>
      <c r="E58" s="303">
        <f>+E48+E51+E54</f>
        <v>4062048</v>
      </c>
      <c r="F58" s="362">
        <f>+F48+F51+F54</f>
        <v>4062048</v>
      </c>
    </row>
    <row r="59" spans="1:6" ht="15.6" x14ac:dyDescent="0.3">
      <c r="A59" s="221" t="s">
        <v>195</v>
      </c>
      <c r="B59" s="514" t="s">
        <v>148</v>
      </c>
      <c r="C59" s="514"/>
      <c r="D59" s="305"/>
      <c r="E59" s="298"/>
      <c r="F59" s="363"/>
    </row>
    <row r="60" spans="1:6" ht="15.6" x14ac:dyDescent="0.3">
      <c r="A60" s="221" t="s">
        <v>180</v>
      </c>
      <c r="B60" s="514" t="s">
        <v>22</v>
      </c>
      <c r="C60" s="514"/>
      <c r="D60" s="305"/>
      <c r="E60" s="298"/>
      <c r="F60" s="363"/>
    </row>
    <row r="61" spans="1:6" ht="17.399999999999999" x14ac:dyDescent="0.3">
      <c r="A61" s="151" t="s">
        <v>149</v>
      </c>
      <c r="B61" s="496" t="s">
        <v>150</v>
      </c>
      <c r="C61" s="496"/>
      <c r="D61" s="301">
        <f>+D47+D58+D59+D60</f>
        <v>214788893</v>
      </c>
      <c r="E61" s="304">
        <f>+E47+E58+E59+E60</f>
        <v>214788893</v>
      </c>
      <c r="F61" s="364">
        <f>+F47+F58+F59+F60</f>
        <v>214788893</v>
      </c>
    </row>
    <row r="62" spans="1:6" ht="17.399999999999999" x14ac:dyDescent="0.3">
      <c r="A62" s="151"/>
      <c r="B62" s="496" t="s">
        <v>151</v>
      </c>
      <c r="C62" s="496"/>
      <c r="D62" s="289">
        <f>+D30-D61</f>
        <v>58073362</v>
      </c>
      <c r="E62" s="285">
        <f>+E30-E61</f>
        <v>58073362</v>
      </c>
      <c r="F62" s="319">
        <f>+F30-F61</f>
        <v>58073362</v>
      </c>
    </row>
    <row r="63" spans="1:6" ht="18" x14ac:dyDescent="0.35">
      <c r="A63" s="151"/>
      <c r="B63" s="489" t="s">
        <v>267</v>
      </c>
      <c r="C63" s="489"/>
      <c r="D63" s="306">
        <f>'2'!D63</f>
        <v>100415352</v>
      </c>
      <c r="E63" s="306">
        <f>'2'!E63</f>
        <v>100415352</v>
      </c>
      <c r="F63" s="328">
        <v>100415352</v>
      </c>
    </row>
    <row r="64" spans="1:6" ht="15.6" x14ac:dyDescent="0.3">
      <c r="A64" s="221" t="s">
        <v>181</v>
      </c>
      <c r="B64" s="489" t="s">
        <v>152</v>
      </c>
      <c r="C64" s="489"/>
      <c r="D64" s="290">
        <f>SUM(D65:D66)</f>
        <v>62976981</v>
      </c>
      <c r="E64" s="290">
        <f>SUM(E65:E66)</f>
        <v>62976981</v>
      </c>
      <c r="F64" s="322">
        <f>SUM(F65:F66)</f>
        <v>62976981</v>
      </c>
    </row>
    <row r="65" spans="1:6" ht="17.399999999999999" x14ac:dyDescent="0.3">
      <c r="A65" s="151"/>
      <c r="B65" s="262" t="s">
        <v>30</v>
      </c>
      <c r="C65" s="351" t="s">
        <v>102</v>
      </c>
      <c r="D65" s="290">
        <f>'2'!D65</f>
        <v>61792981</v>
      </c>
      <c r="E65" s="290">
        <v>62976981</v>
      </c>
      <c r="F65" s="290">
        <v>62976981</v>
      </c>
    </row>
    <row r="66" spans="1:6" ht="18" x14ac:dyDescent="0.35">
      <c r="A66" s="151"/>
      <c r="B66" s="262" t="s">
        <v>43</v>
      </c>
      <c r="C66" s="351" t="s">
        <v>103</v>
      </c>
      <c r="D66" s="306">
        <f>'2'!D66</f>
        <v>1184000</v>
      </c>
      <c r="E66" s="306"/>
      <c r="F66" s="14"/>
    </row>
    <row r="67" spans="1:6" ht="17.399999999999999" x14ac:dyDescent="0.3">
      <c r="A67" s="151" t="s">
        <v>153</v>
      </c>
      <c r="B67" s="485" t="s">
        <v>157</v>
      </c>
      <c r="C67" s="485"/>
      <c r="D67" s="285">
        <f>D64</f>
        <v>62976981</v>
      </c>
      <c r="E67" s="285">
        <f t="shared" ref="E67:F67" si="7">E64</f>
        <v>62976981</v>
      </c>
      <c r="F67" s="285">
        <f t="shared" si="7"/>
        <v>62976981</v>
      </c>
    </row>
    <row r="68" spans="1:6" ht="17.399999999999999" x14ac:dyDescent="0.3">
      <c r="A68" s="9" t="s">
        <v>182</v>
      </c>
      <c r="B68" s="489" t="s">
        <v>154</v>
      </c>
      <c r="C68" s="489"/>
      <c r="D68" s="289"/>
      <c r="E68" s="272"/>
      <c r="F68" s="12">
        <f t="shared" ref="F68:F79" si="8">SUM(D68:E68)</f>
        <v>0</v>
      </c>
    </row>
    <row r="69" spans="1:6" ht="17.399999999999999" x14ac:dyDescent="0.3">
      <c r="A69" s="9" t="s">
        <v>183</v>
      </c>
      <c r="B69" s="489" t="s">
        <v>155</v>
      </c>
      <c r="C69" s="489"/>
      <c r="D69" s="289">
        <f>SUM(D70:D73)</f>
        <v>0</v>
      </c>
      <c r="E69" s="272"/>
      <c r="F69" s="12">
        <f t="shared" si="8"/>
        <v>0</v>
      </c>
    </row>
    <row r="70" spans="1:6" ht="18" x14ac:dyDescent="0.35">
      <c r="A70" s="9"/>
      <c r="B70" s="220" t="s">
        <v>30</v>
      </c>
      <c r="C70" s="351" t="s">
        <v>104</v>
      </c>
      <c r="D70" s="306"/>
      <c r="E70" s="274"/>
      <c r="F70" s="365">
        <f t="shared" si="8"/>
        <v>0</v>
      </c>
    </row>
    <row r="71" spans="1:6" ht="17.399999999999999" x14ac:dyDescent="0.3">
      <c r="A71" s="9"/>
      <c r="B71" s="220" t="s">
        <v>43</v>
      </c>
      <c r="C71" s="351" t="s">
        <v>105</v>
      </c>
      <c r="D71" s="289"/>
      <c r="E71" s="272"/>
      <c r="F71" s="12">
        <f t="shared" si="8"/>
        <v>0</v>
      </c>
    </row>
    <row r="72" spans="1:6" ht="18" x14ac:dyDescent="0.35">
      <c r="A72" s="9"/>
      <c r="B72" s="220" t="s">
        <v>44</v>
      </c>
      <c r="C72" s="351" t="s">
        <v>228</v>
      </c>
      <c r="D72" s="306"/>
      <c r="E72" s="272"/>
      <c r="F72" s="12"/>
    </row>
    <row r="73" spans="1:6" ht="18" x14ac:dyDescent="0.35">
      <c r="A73" s="9"/>
      <c r="B73" s="220" t="s">
        <v>45</v>
      </c>
      <c r="C73" s="351" t="s">
        <v>229</v>
      </c>
      <c r="D73" s="306"/>
      <c r="E73" s="272"/>
      <c r="F73" s="12"/>
    </row>
    <row r="74" spans="1:6" ht="17.399999999999999" x14ac:dyDescent="0.3">
      <c r="A74" s="151" t="s">
        <v>156</v>
      </c>
      <c r="B74" s="515" t="s">
        <v>158</v>
      </c>
      <c r="C74" s="515"/>
      <c r="D74" s="289">
        <f>+D68+D69</f>
        <v>0</v>
      </c>
      <c r="E74" s="272"/>
      <c r="F74" s="12">
        <f t="shared" si="8"/>
        <v>0</v>
      </c>
    </row>
    <row r="75" spans="1:6" ht="17.399999999999999" x14ac:dyDescent="0.3">
      <c r="A75" s="151" t="s">
        <v>159</v>
      </c>
      <c r="B75" s="496" t="s">
        <v>160</v>
      </c>
      <c r="C75" s="496"/>
      <c r="D75" s="289">
        <f>+D67+D74</f>
        <v>62976981</v>
      </c>
      <c r="E75" s="272">
        <f>+E67+E74</f>
        <v>62976981</v>
      </c>
      <c r="F75" s="286">
        <f>+F67+F74</f>
        <v>62976981</v>
      </c>
    </row>
    <row r="76" spans="1:6" ht="17.399999999999999" x14ac:dyDescent="0.3">
      <c r="A76" s="9" t="s">
        <v>184</v>
      </c>
      <c r="B76" s="489" t="s">
        <v>251</v>
      </c>
      <c r="C76" s="489"/>
      <c r="D76" s="289">
        <f>'2'!D76</f>
        <v>100415352</v>
      </c>
      <c r="E76" s="289">
        <f>'2'!E76</f>
        <v>100415352</v>
      </c>
      <c r="F76" s="12">
        <v>100415352</v>
      </c>
    </row>
    <row r="77" spans="1:6" ht="18" x14ac:dyDescent="0.35">
      <c r="A77" s="9" t="s">
        <v>185</v>
      </c>
      <c r="B77" s="489" t="s">
        <v>161</v>
      </c>
      <c r="C77" s="489"/>
      <c r="D77" s="306">
        <f>E77+F77</f>
        <v>0</v>
      </c>
      <c r="E77" s="274">
        <f>E78+E79</f>
        <v>0</v>
      </c>
      <c r="F77" s="366">
        <f>F78+F79</f>
        <v>0</v>
      </c>
    </row>
    <row r="78" spans="1:6" ht="18" x14ac:dyDescent="0.35">
      <c r="A78" s="9"/>
      <c r="B78" s="220" t="s">
        <v>30</v>
      </c>
      <c r="C78" s="351" t="s">
        <v>225</v>
      </c>
      <c r="D78" s="306"/>
      <c r="E78" s="274"/>
      <c r="F78" s="365">
        <f t="shared" si="8"/>
        <v>0</v>
      </c>
    </row>
    <row r="79" spans="1:6" ht="18" x14ac:dyDescent="0.35">
      <c r="A79" s="9"/>
      <c r="B79" s="220" t="s">
        <v>43</v>
      </c>
      <c r="C79" s="351" t="s">
        <v>224</v>
      </c>
      <c r="D79" s="306"/>
      <c r="E79" s="274"/>
      <c r="F79" s="365">
        <f t="shared" si="8"/>
        <v>0</v>
      </c>
    </row>
    <row r="80" spans="1:6" ht="18" x14ac:dyDescent="0.35">
      <c r="A80" s="9" t="s">
        <v>305</v>
      </c>
      <c r="B80" s="516" t="s">
        <v>304</v>
      </c>
      <c r="C80" s="517"/>
      <c r="D80" s="306">
        <f>'2'!D81</f>
        <v>4903619</v>
      </c>
      <c r="E80" s="306">
        <f>'2'!E81</f>
        <v>4903619</v>
      </c>
      <c r="F80" s="366">
        <v>4903619</v>
      </c>
    </row>
    <row r="81" spans="1:6" ht="17.399999999999999" x14ac:dyDescent="0.3">
      <c r="A81" s="151" t="s">
        <v>162</v>
      </c>
      <c r="B81" s="496" t="s">
        <v>163</v>
      </c>
      <c r="C81" s="496"/>
      <c r="D81" s="289">
        <f>+D76+D77+D80</f>
        <v>105318971</v>
      </c>
      <c r="E81" s="272">
        <f>+E76+E77+E80</f>
        <v>105318971</v>
      </c>
      <c r="F81" s="286">
        <f>+F76+F77+F80</f>
        <v>105318971</v>
      </c>
    </row>
    <row r="82" spans="1:6" ht="17.399999999999999" x14ac:dyDescent="0.3">
      <c r="A82" s="151" t="s">
        <v>204</v>
      </c>
      <c r="B82" s="496" t="s">
        <v>206</v>
      </c>
      <c r="C82" s="496"/>
      <c r="D82" s="308">
        <f>+D30+D81</f>
        <v>378181226</v>
      </c>
      <c r="E82" s="307">
        <f>+E30+E81</f>
        <v>378181226</v>
      </c>
      <c r="F82" s="168">
        <f>+F30+F81</f>
        <v>378181226</v>
      </c>
    </row>
    <row r="83" spans="1:6" ht="18" thickBot="1" x14ac:dyDescent="0.35">
      <c r="A83" s="169" t="s">
        <v>205</v>
      </c>
      <c r="B83" s="170" t="s">
        <v>207</v>
      </c>
      <c r="C83" s="170"/>
      <c r="D83" s="172">
        <f>+D61+D75+D63</f>
        <v>378181226</v>
      </c>
      <c r="E83" s="172">
        <f t="shared" ref="E83:F83" si="9">+E61+E75+E63</f>
        <v>378181226</v>
      </c>
      <c r="F83" s="172">
        <f t="shared" si="9"/>
        <v>378181226</v>
      </c>
    </row>
    <row r="84" spans="1:6" ht="15.6" x14ac:dyDescent="0.25">
      <c r="A84" s="2"/>
      <c r="B84" s="15"/>
      <c r="C84" s="15"/>
      <c r="D84" s="16"/>
      <c r="E84" s="16"/>
      <c r="F84" s="16"/>
    </row>
    <row r="85" spans="1:6" ht="15.6" x14ac:dyDescent="0.25">
      <c r="A85" s="2"/>
      <c r="B85" s="15"/>
      <c r="C85" s="15"/>
      <c r="D85" s="176">
        <f>+D83-D82</f>
        <v>0</v>
      </c>
      <c r="E85" s="176">
        <f>+E83-E82</f>
        <v>0</v>
      </c>
      <c r="F85" s="176">
        <f>+F83-F82</f>
        <v>0</v>
      </c>
    </row>
  </sheetData>
  <mergeCells count="59">
    <mergeCell ref="A6:A8"/>
    <mergeCell ref="B6:C8"/>
    <mergeCell ref="D6:D7"/>
    <mergeCell ref="E6:E7"/>
    <mergeCell ref="F6:F7"/>
    <mergeCell ref="D8:F8"/>
    <mergeCell ref="A1:F1"/>
    <mergeCell ref="A2:F2"/>
    <mergeCell ref="A3:F3"/>
    <mergeCell ref="A4:F4"/>
    <mergeCell ref="A5:F5"/>
    <mergeCell ref="B9:C9"/>
    <mergeCell ref="B10:C10"/>
    <mergeCell ref="B11:C11"/>
    <mergeCell ref="B12:C12"/>
    <mergeCell ref="B25:C25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3:C23"/>
    <mergeCell ref="B24:C24"/>
    <mergeCell ref="B47:C4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8:C38"/>
    <mergeCell ref="B42:C42"/>
    <mergeCell ref="B68:C68"/>
    <mergeCell ref="B48:C48"/>
    <mergeCell ref="B51:C51"/>
    <mergeCell ref="B54:C54"/>
    <mergeCell ref="B58:C58"/>
    <mergeCell ref="B59:C59"/>
    <mergeCell ref="B60:C60"/>
    <mergeCell ref="B61:C61"/>
    <mergeCell ref="B62:C62"/>
    <mergeCell ref="B63:C63"/>
    <mergeCell ref="B64:C64"/>
    <mergeCell ref="B67:C67"/>
    <mergeCell ref="B81:C81"/>
    <mergeCell ref="B82:C82"/>
    <mergeCell ref="B69:C69"/>
    <mergeCell ref="B74:C74"/>
    <mergeCell ref="B75:C75"/>
    <mergeCell ref="B76:C76"/>
    <mergeCell ref="B77:C77"/>
    <mergeCell ref="B80:C80"/>
  </mergeCells>
  <pageMargins left="0.15748031496062992" right="0.15748031496062992" top="0.15748031496062992" bottom="0.15748031496062992" header="0.15748031496062992" footer="0.15748031496062992"/>
  <pageSetup paperSize="9" scale="6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0"/>
  <sheetViews>
    <sheetView zoomScale="75" zoomScaleNormal="75" zoomScaleSheetLayoutView="75" workbookViewId="0">
      <selection activeCell="B1" sqref="B1:I1"/>
    </sheetView>
  </sheetViews>
  <sheetFormatPr defaultRowHeight="13.2" x14ac:dyDescent="0.25"/>
  <cols>
    <col min="1" max="1" width="3.44140625" customWidth="1"/>
    <col min="2" max="2" width="6.109375" customWidth="1"/>
    <col min="3" max="3" width="65" customWidth="1"/>
    <col min="4" max="5" width="20.109375" customWidth="1"/>
    <col min="6" max="6" width="3.109375" customWidth="1"/>
    <col min="7" max="7" width="46.6640625" customWidth="1"/>
    <col min="8" max="8" width="24" customWidth="1"/>
    <col min="9" max="9" width="18.6640625" customWidth="1"/>
    <col min="10" max="10" width="19.109375" bestFit="1" customWidth="1"/>
  </cols>
  <sheetData>
    <row r="1" spans="1:10" ht="17.399999999999999" x14ac:dyDescent="0.3">
      <c r="B1" s="461" t="s">
        <v>339</v>
      </c>
      <c r="C1" s="461"/>
      <c r="D1" s="461"/>
      <c r="E1" s="461"/>
      <c r="F1" s="461"/>
      <c r="G1" s="461"/>
      <c r="H1" s="461"/>
      <c r="I1" s="461"/>
    </row>
    <row r="2" spans="1:10" ht="15.6" x14ac:dyDescent="0.3">
      <c r="B2" s="462" t="s">
        <v>246</v>
      </c>
      <c r="C2" s="462"/>
      <c r="D2" s="462"/>
      <c r="E2" s="462"/>
      <c r="F2" s="462"/>
      <c r="G2" s="462"/>
      <c r="H2" s="462"/>
      <c r="I2" s="462"/>
    </row>
    <row r="3" spans="1:10" ht="15.6" x14ac:dyDescent="0.3">
      <c r="B3" s="462" t="s">
        <v>220</v>
      </c>
      <c r="C3" s="462"/>
      <c r="D3" s="462"/>
      <c r="E3" s="462"/>
      <c r="F3" s="462"/>
      <c r="G3" s="462"/>
      <c r="H3" s="462"/>
      <c r="I3" s="462"/>
    </row>
    <row r="4" spans="1:10" ht="15.6" x14ac:dyDescent="0.3">
      <c r="B4" s="463" t="s">
        <v>240</v>
      </c>
      <c r="C4" s="463"/>
      <c r="D4" s="463"/>
      <c r="E4" s="463"/>
      <c r="F4" s="463"/>
      <c r="G4" s="463"/>
      <c r="H4" s="463"/>
      <c r="I4" s="463"/>
    </row>
    <row r="5" spans="1:10" ht="16.2" thickBot="1" x14ac:dyDescent="0.35">
      <c r="A5" s="165"/>
      <c r="B5" s="167"/>
      <c r="C5" s="167"/>
      <c r="D5" s="167"/>
      <c r="E5" s="441"/>
      <c r="F5" s="167"/>
      <c r="G5" s="167"/>
      <c r="H5" s="167"/>
      <c r="I5" s="167"/>
    </row>
    <row r="6" spans="1:10" ht="27.6" x14ac:dyDescent="0.25">
      <c r="A6" s="166"/>
      <c r="B6" s="467" t="s">
        <v>200</v>
      </c>
      <c r="C6" s="498" t="s">
        <v>186</v>
      </c>
      <c r="D6" s="194" t="s">
        <v>36</v>
      </c>
      <c r="E6" s="442"/>
      <c r="F6" s="194"/>
      <c r="G6" s="469" t="s">
        <v>186</v>
      </c>
      <c r="H6" s="469"/>
      <c r="I6" s="458" t="s">
        <v>36</v>
      </c>
      <c r="J6" s="458" t="s">
        <v>36</v>
      </c>
    </row>
    <row r="7" spans="1:10" ht="13.8" x14ac:dyDescent="0.25">
      <c r="A7" s="160"/>
      <c r="B7" s="468"/>
      <c r="C7" s="499"/>
      <c r="D7" s="183"/>
      <c r="E7" s="443"/>
      <c r="F7" s="183"/>
      <c r="G7" s="460"/>
      <c r="H7" s="460"/>
      <c r="I7" s="459"/>
      <c r="J7" s="459"/>
    </row>
    <row r="8" spans="1:10" ht="12.75" customHeight="1" x14ac:dyDescent="0.25">
      <c r="A8" s="160"/>
      <c r="B8" s="468"/>
      <c r="C8" s="500"/>
      <c r="D8" s="183"/>
      <c r="E8" s="443"/>
      <c r="F8" s="183"/>
      <c r="G8" s="460"/>
      <c r="H8" s="460"/>
      <c r="I8" s="174"/>
      <c r="J8" s="440"/>
    </row>
    <row r="9" spans="1:10" ht="15.6" x14ac:dyDescent="0.3">
      <c r="A9" s="160"/>
      <c r="B9" s="488" t="s">
        <v>202</v>
      </c>
      <c r="C9" s="488"/>
      <c r="D9" s="185"/>
      <c r="E9" s="185"/>
      <c r="F9" s="183"/>
      <c r="G9" s="460" t="s">
        <v>201</v>
      </c>
      <c r="H9" s="460"/>
      <c r="I9" s="191"/>
      <c r="J9" s="191"/>
    </row>
    <row r="10" spans="1:10" ht="15.6" x14ac:dyDescent="0.3">
      <c r="A10" s="160" t="s">
        <v>30</v>
      </c>
      <c r="B10" s="489" t="s">
        <v>145</v>
      </c>
      <c r="C10" s="489"/>
      <c r="D10" s="185">
        <f>+'15'!D34</f>
        <v>15051852</v>
      </c>
      <c r="E10" s="185">
        <f>+'15'!E34</f>
        <v>15051852</v>
      </c>
      <c r="F10" s="186" t="s">
        <v>30</v>
      </c>
      <c r="G10" s="464" t="s">
        <v>187</v>
      </c>
      <c r="H10" s="464"/>
      <c r="I10" s="14">
        <f>+'15'!D10</f>
        <v>35970565</v>
      </c>
      <c r="J10" s="14">
        <f>+'15'!I10</f>
        <v>38468407</v>
      </c>
    </row>
    <row r="11" spans="1:10" ht="15.6" x14ac:dyDescent="0.3">
      <c r="A11" s="160" t="s">
        <v>43</v>
      </c>
      <c r="B11" s="489" t="s">
        <v>198</v>
      </c>
      <c r="C11" s="489"/>
      <c r="D11" s="185">
        <f>+'15'!D35</f>
        <v>42371663</v>
      </c>
      <c r="E11" s="185">
        <f>+'15'!E35</f>
        <v>42371663</v>
      </c>
      <c r="F11" s="186" t="s">
        <v>43</v>
      </c>
      <c r="G11" s="464" t="s">
        <v>196</v>
      </c>
      <c r="H11" s="464"/>
      <c r="I11" s="14">
        <f>+'15'!D11</f>
        <v>6531044</v>
      </c>
      <c r="J11" s="14">
        <f>+'15'!I11</f>
        <v>6991752</v>
      </c>
    </row>
    <row r="12" spans="1:10" ht="15.6" x14ac:dyDescent="0.3">
      <c r="A12" s="160" t="s">
        <v>44</v>
      </c>
      <c r="B12" s="489" t="s">
        <v>143</v>
      </c>
      <c r="C12" s="489"/>
      <c r="D12" s="185">
        <f>+'15'!D39</f>
        <v>136442129</v>
      </c>
      <c r="E12" s="185">
        <f>'15'!I39</f>
        <v>136966843</v>
      </c>
      <c r="F12" s="186" t="s">
        <v>44</v>
      </c>
      <c r="G12" s="464" t="s">
        <v>197</v>
      </c>
      <c r="H12" s="464"/>
      <c r="I12" s="14">
        <f>+'15'!D12</f>
        <v>57908545</v>
      </c>
      <c r="J12" s="14">
        <f>+'15'!I12</f>
        <v>69670799</v>
      </c>
    </row>
    <row r="13" spans="1:10" ht="15.6" x14ac:dyDescent="0.3">
      <c r="A13" s="160" t="s">
        <v>45</v>
      </c>
      <c r="B13" s="489" t="s">
        <v>144</v>
      </c>
      <c r="C13" s="489"/>
      <c r="D13" s="185">
        <f>+'15'!D43</f>
        <v>17693201</v>
      </c>
      <c r="E13" s="185">
        <f>+'15'!I43</f>
        <v>34037821</v>
      </c>
      <c r="F13" s="186" t="s">
        <v>45</v>
      </c>
      <c r="G13" s="465" t="s">
        <v>173</v>
      </c>
      <c r="H13" s="466"/>
      <c r="I13" s="14">
        <f>SUM(I14:I18)</f>
        <v>17329221</v>
      </c>
      <c r="J13" s="14">
        <f>SUM(J14:J18)</f>
        <v>17529221</v>
      </c>
    </row>
    <row r="14" spans="1:10" ht="15.6" x14ac:dyDescent="0.3">
      <c r="A14" s="195"/>
      <c r="B14" s="490"/>
      <c r="C14" s="490"/>
      <c r="D14" s="19"/>
      <c r="E14" s="19"/>
      <c r="F14" s="186" t="s">
        <v>165</v>
      </c>
      <c r="G14" s="475" t="s">
        <v>168</v>
      </c>
      <c r="H14" s="476"/>
      <c r="I14" s="14"/>
      <c r="J14" s="14"/>
    </row>
    <row r="15" spans="1:10" ht="15.6" x14ac:dyDescent="0.3">
      <c r="A15" s="195"/>
      <c r="B15" s="490"/>
      <c r="C15" s="490"/>
      <c r="D15" s="19"/>
      <c r="E15" s="19"/>
      <c r="F15" s="186" t="s">
        <v>166</v>
      </c>
      <c r="G15" s="475" t="s">
        <v>313</v>
      </c>
      <c r="H15" s="476"/>
      <c r="I15" s="14">
        <f>'15'!D16</f>
        <v>7051792</v>
      </c>
      <c r="J15" s="14">
        <f>'15'!H16</f>
        <v>7251792</v>
      </c>
    </row>
    <row r="16" spans="1:10" ht="15.75" customHeight="1" x14ac:dyDescent="0.3">
      <c r="A16" s="195"/>
      <c r="B16" s="490"/>
      <c r="C16" s="490"/>
      <c r="D16" s="19"/>
      <c r="E16" s="19"/>
      <c r="F16" s="186" t="s">
        <v>167</v>
      </c>
      <c r="G16" s="477" t="s">
        <v>289</v>
      </c>
      <c r="H16" s="478"/>
      <c r="I16" s="14">
        <f>'15'!D19</f>
        <v>0</v>
      </c>
      <c r="J16" s="14">
        <f>'15'!E19</f>
        <v>0</v>
      </c>
    </row>
    <row r="17" spans="1:10" ht="16.2" x14ac:dyDescent="0.3">
      <c r="A17" s="197"/>
      <c r="B17" s="491"/>
      <c r="C17" s="491"/>
      <c r="D17" s="198"/>
      <c r="E17" s="198"/>
      <c r="F17" s="199" t="s">
        <v>73</v>
      </c>
      <c r="G17" s="479" t="s">
        <v>174</v>
      </c>
      <c r="H17" s="480"/>
      <c r="I17" s="200">
        <f>+'15'!D17</f>
        <v>0</v>
      </c>
      <c r="J17" s="200">
        <f>+'15'!E17</f>
        <v>0</v>
      </c>
    </row>
    <row r="18" spans="1:10" ht="15.6" x14ac:dyDescent="0.3">
      <c r="A18" s="213"/>
      <c r="B18" s="214"/>
      <c r="C18" s="214"/>
      <c r="D18" s="215"/>
      <c r="E18" s="215"/>
      <c r="F18" s="216" t="s">
        <v>47</v>
      </c>
      <c r="G18" s="477" t="s">
        <v>169</v>
      </c>
      <c r="H18" s="477"/>
      <c r="I18" s="200">
        <f>+'15'!D18</f>
        <v>10277429</v>
      </c>
      <c r="J18" s="200">
        <f>+'15'!E18</f>
        <v>10277429</v>
      </c>
    </row>
    <row r="19" spans="1:10" ht="16.5" customHeight="1" thickBot="1" x14ac:dyDescent="0.35">
      <c r="A19" s="213"/>
      <c r="B19" s="214"/>
      <c r="C19" s="214"/>
      <c r="D19" s="215"/>
      <c r="E19" s="215"/>
      <c r="F19" s="277"/>
      <c r="G19" s="504" t="s">
        <v>231</v>
      </c>
      <c r="H19" s="505"/>
      <c r="I19" s="278">
        <f>'15'!D20+'15'!D22+'15'!E21</f>
        <v>46241693</v>
      </c>
      <c r="J19" s="278">
        <f>'15'!E20+'15'!H22+'15'!F21</f>
        <v>47274883</v>
      </c>
    </row>
    <row r="20" spans="1:10" s="182" customFormat="1" ht="14.4" thickBot="1" x14ac:dyDescent="0.3">
      <c r="A20" s="204" t="s">
        <v>171</v>
      </c>
      <c r="B20" s="492" t="s">
        <v>213</v>
      </c>
      <c r="C20" s="492"/>
      <c r="D20" s="205">
        <f>SUM(D10:D18)</f>
        <v>211558845</v>
      </c>
      <c r="E20" s="205">
        <f>SUM(E10:E18)</f>
        <v>228428179</v>
      </c>
      <c r="F20" s="206" t="s">
        <v>171</v>
      </c>
      <c r="G20" s="207" t="s">
        <v>164</v>
      </c>
      <c r="H20" s="208"/>
      <c r="I20" s="209">
        <f>+I10+I11+I12+I13+I19</f>
        <v>163981068</v>
      </c>
      <c r="J20" s="209">
        <f>+J10+J11+J12+J13+J19</f>
        <v>179935062</v>
      </c>
    </row>
    <row r="21" spans="1:10" s="182" customFormat="1" ht="13.8" x14ac:dyDescent="0.25">
      <c r="A21" s="228" t="s">
        <v>193</v>
      </c>
      <c r="B21" s="494" t="s">
        <v>107</v>
      </c>
      <c r="C21" s="495"/>
      <c r="D21" s="223">
        <f>+D20-I20</f>
        <v>47577777</v>
      </c>
      <c r="E21" s="223">
        <f>+E20-J20</f>
        <v>48493117</v>
      </c>
      <c r="F21" s="224"/>
      <c r="G21" s="225"/>
      <c r="H21" s="226"/>
      <c r="I21" s="227"/>
      <c r="J21" s="227"/>
    </row>
    <row r="22" spans="1:10" ht="15.6" x14ac:dyDescent="0.3">
      <c r="A22" s="158" t="s">
        <v>47</v>
      </c>
      <c r="B22" s="493" t="s">
        <v>190</v>
      </c>
      <c r="C22" s="493"/>
      <c r="D22" s="201">
        <f>+'15'!D49</f>
        <v>4062048</v>
      </c>
      <c r="E22" s="201">
        <f>+'15'!E49</f>
        <v>4062048</v>
      </c>
      <c r="F22" s="202" t="s">
        <v>48</v>
      </c>
      <c r="G22" s="482" t="s">
        <v>212</v>
      </c>
      <c r="H22" s="482"/>
      <c r="I22" s="203">
        <f>+'15'!D24</f>
        <v>21445750</v>
      </c>
      <c r="J22" s="203">
        <f>+'15'!H24</f>
        <v>32111765</v>
      </c>
    </row>
    <row r="23" spans="1:10" ht="15.6" x14ac:dyDescent="0.3">
      <c r="A23" s="160" t="s">
        <v>48</v>
      </c>
      <c r="B23" s="489" t="s">
        <v>146</v>
      </c>
      <c r="C23" s="489"/>
      <c r="D23" s="185">
        <f>+'15'!D52</f>
        <v>0</v>
      </c>
      <c r="E23" s="185"/>
      <c r="F23" s="186" t="s">
        <v>49</v>
      </c>
      <c r="G23" s="464" t="s">
        <v>188</v>
      </c>
      <c r="H23" s="464"/>
      <c r="I23" s="14">
        <f>'15'!E25</f>
        <v>1231900</v>
      </c>
      <c r="J23" s="14">
        <f>'15'!H25</f>
        <v>78272604</v>
      </c>
    </row>
    <row r="24" spans="1:10" ht="16.2" thickBot="1" x14ac:dyDescent="0.35">
      <c r="A24" s="159" t="s">
        <v>49</v>
      </c>
      <c r="B24" s="506" t="s">
        <v>147</v>
      </c>
      <c r="C24" s="506"/>
      <c r="D24" s="210">
        <f>+'15'!D55</f>
        <v>14499577</v>
      </c>
      <c r="E24" s="210">
        <f>+'15'!I55</f>
        <v>101479856</v>
      </c>
      <c r="F24" s="199" t="s">
        <v>51</v>
      </c>
      <c r="G24" s="473" t="s">
        <v>170</v>
      </c>
      <c r="H24" s="473"/>
      <c r="I24" s="200">
        <f>'15'!D26</f>
        <v>850755</v>
      </c>
      <c r="J24" s="200">
        <f>'15'!D26</f>
        <v>850755</v>
      </c>
    </row>
    <row r="25" spans="1:10" s="182" customFormat="1" ht="14.4" thickBot="1" x14ac:dyDescent="0.3">
      <c r="A25" s="204" t="s">
        <v>149</v>
      </c>
      <c r="B25" s="492" t="s">
        <v>214</v>
      </c>
      <c r="C25" s="492"/>
      <c r="D25" s="205">
        <f>SUM(D22:D24)</f>
        <v>18561625</v>
      </c>
      <c r="E25" s="205">
        <f>SUM(E22:E24)</f>
        <v>105541904</v>
      </c>
      <c r="F25" s="206" t="s">
        <v>149</v>
      </c>
      <c r="G25" s="474" t="s">
        <v>217</v>
      </c>
      <c r="H25" s="474"/>
      <c r="I25" s="211">
        <f>SUM(I22:I24)</f>
        <v>23528405</v>
      </c>
      <c r="J25" s="211">
        <f>SUM(J22:J24)</f>
        <v>111235124</v>
      </c>
    </row>
    <row r="26" spans="1:10" s="182" customFormat="1" ht="13.8" x14ac:dyDescent="0.25">
      <c r="A26" s="228" t="s">
        <v>194</v>
      </c>
      <c r="B26" s="494" t="s">
        <v>219</v>
      </c>
      <c r="C26" s="495"/>
      <c r="D26" s="223">
        <f>+D25-I25</f>
        <v>-4966780</v>
      </c>
      <c r="E26" s="223">
        <f>+E25-J25</f>
        <v>-5693220</v>
      </c>
      <c r="F26" s="224"/>
      <c r="G26" s="229"/>
      <c r="H26" s="229"/>
      <c r="I26" s="230"/>
      <c r="J26" s="230"/>
    </row>
    <row r="27" spans="1:10" ht="15.6" x14ac:dyDescent="0.3">
      <c r="A27" s="158" t="s">
        <v>51</v>
      </c>
      <c r="B27" s="493" t="s">
        <v>148</v>
      </c>
      <c r="C27" s="493"/>
      <c r="D27" s="201"/>
      <c r="E27" s="201"/>
      <c r="F27" s="212"/>
      <c r="G27" s="470"/>
      <c r="H27" s="470"/>
      <c r="I27" s="196"/>
      <c r="J27" s="196"/>
    </row>
    <row r="28" spans="1:10" ht="15.6" x14ac:dyDescent="0.3">
      <c r="A28" s="160" t="s">
        <v>52</v>
      </c>
      <c r="B28" s="489" t="s">
        <v>152</v>
      </c>
      <c r="C28" s="489"/>
      <c r="D28" s="185">
        <f>+'15'!D65</f>
        <v>62707974</v>
      </c>
      <c r="E28" s="185">
        <f>+'15'!E65</f>
        <v>62707974</v>
      </c>
      <c r="F28" s="190"/>
      <c r="G28" s="481"/>
      <c r="H28" s="481"/>
      <c r="I28" s="196"/>
      <c r="J28" s="196"/>
    </row>
    <row r="29" spans="1:10" ht="15.6" x14ac:dyDescent="0.3">
      <c r="A29" s="160" t="s">
        <v>31</v>
      </c>
      <c r="B29" s="489" t="s">
        <v>154</v>
      </c>
      <c r="C29" s="489"/>
      <c r="D29" s="185"/>
      <c r="E29" s="185"/>
      <c r="F29" s="212"/>
      <c r="G29" s="470"/>
      <c r="H29" s="470"/>
      <c r="I29" s="196"/>
      <c r="J29" s="196"/>
    </row>
    <row r="30" spans="1:10" ht="15.6" x14ac:dyDescent="0.3">
      <c r="A30" s="160" t="s">
        <v>55</v>
      </c>
      <c r="B30" s="489" t="s">
        <v>390</v>
      </c>
      <c r="C30" s="489"/>
      <c r="D30" s="185"/>
      <c r="E30" s="185">
        <f>'15'!H70</f>
        <v>2800000</v>
      </c>
      <c r="F30" s="212"/>
      <c r="G30" s="501"/>
      <c r="H30" s="502"/>
      <c r="I30" s="196"/>
      <c r="J30" s="196"/>
    </row>
    <row r="31" spans="1:10" ht="15.6" x14ac:dyDescent="0.3">
      <c r="A31" s="192" t="s">
        <v>153</v>
      </c>
      <c r="B31" s="503" t="s">
        <v>215</v>
      </c>
      <c r="C31" s="503"/>
      <c r="D31" s="187">
        <f>SUM(D27:D30)</f>
        <v>62707974</v>
      </c>
      <c r="E31" s="187">
        <f>SUM(E27:E30)</f>
        <v>65507974</v>
      </c>
      <c r="F31" s="184" t="s">
        <v>156</v>
      </c>
      <c r="G31" s="471" t="s">
        <v>28</v>
      </c>
      <c r="H31" s="472"/>
      <c r="I31" s="17">
        <f>+'15'!D82</f>
        <v>105318971</v>
      </c>
      <c r="J31" s="17">
        <f>+'15'!H82</f>
        <v>108307871</v>
      </c>
    </row>
    <row r="32" spans="1:10" ht="17.399999999999999" x14ac:dyDescent="0.3">
      <c r="A32" s="160"/>
      <c r="B32" s="489" t="s">
        <v>251</v>
      </c>
      <c r="C32" s="489"/>
      <c r="D32" s="189"/>
      <c r="E32" s="189"/>
      <c r="F32" s="190"/>
      <c r="G32" s="484"/>
      <c r="H32" s="484"/>
      <c r="I32" s="20"/>
      <c r="J32" s="20"/>
    </row>
    <row r="33" spans="1:10" ht="17.399999999999999" x14ac:dyDescent="0.3">
      <c r="A33" s="192" t="s">
        <v>156</v>
      </c>
      <c r="B33" s="496" t="s">
        <v>216</v>
      </c>
      <c r="C33" s="496"/>
      <c r="D33" s="189">
        <f>+D20+D25+D31</f>
        <v>292828444</v>
      </c>
      <c r="E33" s="189">
        <f>+E20+E25+E31</f>
        <v>399478057</v>
      </c>
      <c r="F33" s="188" t="s">
        <v>159</v>
      </c>
      <c r="G33" s="485" t="s">
        <v>218</v>
      </c>
      <c r="H33" s="485"/>
      <c r="I33" s="12">
        <f>+I20+I25+I29+I31+I27</f>
        <v>292828444</v>
      </c>
      <c r="J33" s="12">
        <f>+J20+J25+J29+J31+J27</f>
        <v>399478057</v>
      </c>
    </row>
    <row r="34" spans="1:10" ht="18" thickBot="1" x14ac:dyDescent="0.35">
      <c r="A34" s="161"/>
      <c r="B34" s="497" t="s">
        <v>142</v>
      </c>
      <c r="C34" s="497"/>
      <c r="D34" s="34">
        <f>+D33-I33-D32</f>
        <v>0</v>
      </c>
      <c r="E34" s="34">
        <f>+E33-J33-E32</f>
        <v>0</v>
      </c>
      <c r="F34" s="171"/>
      <c r="G34" s="486"/>
      <c r="H34" s="486"/>
      <c r="I34" s="193"/>
      <c r="J34" s="193"/>
    </row>
    <row r="35" spans="1:10" ht="15.6" x14ac:dyDescent="0.3">
      <c r="B35" s="177"/>
      <c r="C35" s="177"/>
      <c r="D35" s="177"/>
      <c r="E35" s="177"/>
      <c r="F35" s="177"/>
      <c r="G35" s="483"/>
      <c r="H35" s="483"/>
      <c r="I35" s="178"/>
    </row>
    <row r="36" spans="1:10" ht="15.6" x14ac:dyDescent="0.3">
      <c r="B36" s="177"/>
      <c r="C36" s="177"/>
      <c r="D36" s="217"/>
      <c r="E36" s="217"/>
      <c r="F36" s="177"/>
      <c r="G36" s="483"/>
      <c r="H36" s="483"/>
      <c r="I36" s="178"/>
    </row>
    <row r="37" spans="1:10" ht="15.6" x14ac:dyDescent="0.3">
      <c r="B37" s="177"/>
      <c r="C37" s="177"/>
      <c r="D37" s="177"/>
      <c r="E37" s="177"/>
      <c r="F37" s="177"/>
      <c r="G37" s="483"/>
      <c r="H37" s="483"/>
      <c r="I37" s="178"/>
    </row>
    <row r="38" spans="1:10" ht="15.6" x14ac:dyDescent="0.3">
      <c r="B38" s="177"/>
      <c r="C38" s="177"/>
      <c r="D38" s="177"/>
      <c r="E38" s="177"/>
      <c r="F38" s="177"/>
      <c r="G38" s="483"/>
      <c r="H38" s="483"/>
      <c r="I38" s="178"/>
    </row>
    <row r="39" spans="1:10" ht="15.6" x14ac:dyDescent="0.3">
      <c r="B39" s="177"/>
      <c r="C39" s="177"/>
      <c r="D39" s="177"/>
      <c r="E39" s="177"/>
      <c r="F39" s="177"/>
      <c r="G39" s="483"/>
      <c r="H39" s="483"/>
      <c r="I39" s="178"/>
    </row>
    <row r="40" spans="1:10" ht="15.6" x14ac:dyDescent="0.3">
      <c r="B40" s="177"/>
      <c r="C40" s="177"/>
      <c r="D40" s="177"/>
      <c r="E40" s="177"/>
      <c r="F40" s="177"/>
      <c r="G40" s="483"/>
      <c r="H40" s="483"/>
      <c r="I40" s="178"/>
    </row>
    <row r="41" spans="1:10" ht="15.6" x14ac:dyDescent="0.3">
      <c r="B41" s="177"/>
      <c r="C41" s="177"/>
      <c r="D41" s="177"/>
      <c r="E41" s="177"/>
      <c r="F41" s="177"/>
      <c r="G41" s="483"/>
      <c r="H41" s="483"/>
      <c r="I41" s="178"/>
    </row>
    <row r="42" spans="1:10" ht="15.6" x14ac:dyDescent="0.3">
      <c r="B42" s="177"/>
      <c r="C42" s="177"/>
      <c r="D42" s="177"/>
      <c r="E42" s="177"/>
      <c r="F42" s="177"/>
      <c r="G42" s="483"/>
      <c r="H42" s="483"/>
      <c r="I42" s="178"/>
    </row>
    <row r="43" spans="1:10" ht="15.6" x14ac:dyDescent="0.3">
      <c r="B43" s="177"/>
      <c r="C43" s="177"/>
      <c r="D43" s="177"/>
      <c r="E43" s="177"/>
      <c r="F43" s="177"/>
      <c r="G43" s="483"/>
      <c r="H43" s="483"/>
      <c r="I43" s="178"/>
    </row>
    <row r="44" spans="1:10" ht="15.6" x14ac:dyDescent="0.3">
      <c r="B44" s="177"/>
      <c r="C44" s="177"/>
      <c r="D44" s="177"/>
      <c r="E44" s="177"/>
      <c r="F44" s="177"/>
      <c r="G44" s="483"/>
      <c r="H44" s="483"/>
      <c r="I44" s="178"/>
    </row>
    <row r="45" spans="1:10" ht="15.6" x14ac:dyDescent="0.3">
      <c r="B45" s="177"/>
      <c r="C45" s="177"/>
      <c r="D45" s="177"/>
      <c r="E45" s="177"/>
      <c r="F45" s="177"/>
      <c r="G45" s="483"/>
      <c r="H45" s="483"/>
      <c r="I45" s="178"/>
    </row>
    <row r="46" spans="1:10" ht="15.6" x14ac:dyDescent="0.3">
      <c r="B46" s="177"/>
      <c r="C46" s="177"/>
      <c r="D46" s="177"/>
      <c r="E46" s="177"/>
      <c r="F46" s="177"/>
      <c r="G46" s="483"/>
      <c r="H46" s="483"/>
      <c r="I46" s="178"/>
    </row>
    <row r="47" spans="1:10" ht="15.6" x14ac:dyDescent="0.3">
      <c r="B47" s="177"/>
      <c r="C47" s="177"/>
      <c r="D47" s="177"/>
      <c r="E47" s="177"/>
      <c r="F47" s="177"/>
      <c r="G47" s="483"/>
      <c r="H47" s="483"/>
      <c r="I47" s="178"/>
    </row>
    <row r="48" spans="1:10" ht="17.399999999999999" x14ac:dyDescent="0.3">
      <c r="B48" s="177"/>
      <c r="C48" s="177"/>
      <c r="D48" s="177"/>
      <c r="E48" s="177"/>
      <c r="F48" s="177"/>
      <c r="G48" s="483"/>
      <c r="H48" s="483"/>
      <c r="I48" s="179"/>
    </row>
    <row r="49" spans="2:9" ht="17.399999999999999" x14ac:dyDescent="0.3">
      <c r="B49" s="180"/>
      <c r="C49" s="180"/>
      <c r="D49" s="180"/>
      <c r="E49" s="180"/>
      <c r="F49" s="180"/>
      <c r="G49" s="487"/>
      <c r="H49" s="487"/>
      <c r="I49" s="179"/>
    </row>
    <row r="50" spans="2:9" ht="17.399999999999999" x14ac:dyDescent="0.3">
      <c r="B50" s="177"/>
      <c r="C50" s="177"/>
      <c r="D50" s="177"/>
      <c r="E50" s="177"/>
      <c r="F50" s="177"/>
      <c r="G50" s="487"/>
      <c r="H50" s="487"/>
      <c r="I50" s="181"/>
    </row>
  </sheetData>
  <mergeCells count="72">
    <mergeCell ref="B33:C33"/>
    <mergeCell ref="B34:C34"/>
    <mergeCell ref="C6:C8"/>
    <mergeCell ref="G30:H30"/>
    <mergeCell ref="G18:H18"/>
    <mergeCell ref="B29:C29"/>
    <mergeCell ref="B30:C30"/>
    <mergeCell ref="B31:C31"/>
    <mergeCell ref="B32:C32"/>
    <mergeCell ref="B16:C16"/>
    <mergeCell ref="B25:C25"/>
    <mergeCell ref="B27:C27"/>
    <mergeCell ref="G19:H19"/>
    <mergeCell ref="B28:C28"/>
    <mergeCell ref="B26:C26"/>
    <mergeCell ref="B24:C24"/>
    <mergeCell ref="B17:C17"/>
    <mergeCell ref="B20:C20"/>
    <mergeCell ref="B22:C22"/>
    <mergeCell ref="B23:C23"/>
    <mergeCell ref="B21:C21"/>
    <mergeCell ref="G48:H48"/>
    <mergeCell ref="G45:H45"/>
    <mergeCell ref="G46:H46"/>
    <mergeCell ref="G47:H47"/>
    <mergeCell ref="G40:H40"/>
    <mergeCell ref="G49:H49"/>
    <mergeCell ref="G50:H50"/>
    <mergeCell ref="B9:C9"/>
    <mergeCell ref="B10:C10"/>
    <mergeCell ref="B11:C11"/>
    <mergeCell ref="B12:C12"/>
    <mergeCell ref="B13:C13"/>
    <mergeCell ref="B14:C14"/>
    <mergeCell ref="B15:C15"/>
    <mergeCell ref="G44:H44"/>
    <mergeCell ref="G41:H41"/>
    <mergeCell ref="G42:H42"/>
    <mergeCell ref="G43:H43"/>
    <mergeCell ref="G36:H36"/>
    <mergeCell ref="G37:H37"/>
    <mergeCell ref="G38:H38"/>
    <mergeCell ref="G39:H39"/>
    <mergeCell ref="G32:H32"/>
    <mergeCell ref="G33:H33"/>
    <mergeCell ref="G34:H34"/>
    <mergeCell ref="G35:H35"/>
    <mergeCell ref="G29:H29"/>
    <mergeCell ref="G31:H31"/>
    <mergeCell ref="G24:H24"/>
    <mergeCell ref="G25:H25"/>
    <mergeCell ref="G14:H14"/>
    <mergeCell ref="G15:H15"/>
    <mergeCell ref="G16:H16"/>
    <mergeCell ref="G17:H17"/>
    <mergeCell ref="G27:H27"/>
    <mergeCell ref="G28:H28"/>
    <mergeCell ref="G22:H22"/>
    <mergeCell ref="G23:H23"/>
    <mergeCell ref="G10:H10"/>
    <mergeCell ref="G11:H11"/>
    <mergeCell ref="G12:H12"/>
    <mergeCell ref="G13:H13"/>
    <mergeCell ref="B6:B8"/>
    <mergeCell ref="G6:H8"/>
    <mergeCell ref="J6:J7"/>
    <mergeCell ref="I6:I7"/>
    <mergeCell ref="G9:H9"/>
    <mergeCell ref="B1:I1"/>
    <mergeCell ref="B2:I2"/>
    <mergeCell ref="B3:I3"/>
    <mergeCell ref="B4:I4"/>
  </mergeCells>
  <phoneticPr fontId="20" type="noConversion"/>
  <pageMargins left="0.16" right="0.17" top="1" bottom="1" header="0.5" footer="0.5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106"/>
  <sheetViews>
    <sheetView zoomScale="75" zoomScaleNormal="75" zoomScaleSheetLayoutView="75" workbookViewId="0">
      <selection activeCell="H14" sqref="H14"/>
    </sheetView>
  </sheetViews>
  <sheetFormatPr defaultColWidth="9.109375" defaultRowHeight="20.100000000000001" customHeight="1" x14ac:dyDescent="0.25"/>
  <cols>
    <col min="1" max="1" width="6" style="2" customWidth="1"/>
    <col min="2" max="2" width="5.109375" style="1" customWidth="1"/>
    <col min="3" max="3" width="82.5546875" style="1" customWidth="1"/>
    <col min="4" max="4" width="19.5546875" style="2" customWidth="1"/>
    <col min="5" max="5" width="19.109375" style="2" customWidth="1"/>
    <col min="6" max="6" width="19" style="2" customWidth="1"/>
    <col min="7" max="7" width="14.88671875" style="11" bestFit="1" customWidth="1"/>
    <col min="8" max="8" width="19.5546875" style="11" customWidth="1"/>
    <col min="9" max="9" width="19.109375" style="11" bestFit="1" customWidth="1"/>
    <col min="10" max="10" width="18.44140625" style="11" customWidth="1"/>
    <col min="11" max="16384" width="9.109375" style="11"/>
  </cols>
  <sheetData>
    <row r="1" spans="1:11" ht="20.100000000000001" customHeight="1" x14ac:dyDescent="0.3">
      <c r="A1" s="461" t="s">
        <v>339</v>
      </c>
      <c r="B1" s="525"/>
      <c r="C1" s="525"/>
      <c r="D1" s="525"/>
      <c r="E1" s="525"/>
      <c r="F1" s="525"/>
    </row>
    <row r="2" spans="1:11" ht="20.100000000000001" customHeight="1" x14ac:dyDescent="0.25">
      <c r="A2" s="454"/>
      <c r="B2" s="454"/>
      <c r="C2" s="454"/>
      <c r="D2" s="454"/>
      <c r="E2" s="454"/>
      <c r="F2" s="454"/>
    </row>
    <row r="3" spans="1:11" ht="20.100000000000001" customHeight="1" x14ac:dyDescent="0.3">
      <c r="A3" s="462" t="s">
        <v>246</v>
      </c>
      <c r="B3" s="462"/>
      <c r="C3" s="462"/>
      <c r="D3" s="462"/>
      <c r="E3" s="462"/>
      <c r="F3" s="462"/>
      <c r="G3" s="441" t="s">
        <v>295</v>
      </c>
    </row>
    <row r="4" spans="1:11" ht="20.100000000000001" customHeight="1" x14ac:dyDescent="0.25">
      <c r="A4" s="454" t="s">
        <v>199</v>
      </c>
      <c r="B4" s="454"/>
      <c r="C4" s="454"/>
      <c r="D4" s="454"/>
      <c r="E4" s="454"/>
      <c r="F4" s="454"/>
    </row>
    <row r="5" spans="1:11" ht="29.25" customHeight="1" thickBot="1" x14ac:dyDescent="0.35">
      <c r="A5" s="441"/>
      <c r="B5" s="441"/>
      <c r="C5" s="441"/>
      <c r="D5" s="441"/>
      <c r="E5" s="441"/>
      <c r="F5" s="441"/>
    </row>
    <row r="6" spans="1:11" ht="20.100000000000001" customHeight="1" x14ac:dyDescent="0.25">
      <c r="A6" s="521" t="s">
        <v>200</v>
      </c>
      <c r="B6" s="469" t="s">
        <v>186</v>
      </c>
      <c r="C6" s="469"/>
      <c r="D6" s="520" t="s">
        <v>287</v>
      </c>
      <c r="E6" s="507" t="s">
        <v>236</v>
      </c>
      <c r="F6" s="507" t="s">
        <v>237</v>
      </c>
      <c r="G6" s="509" t="s">
        <v>238</v>
      </c>
      <c r="H6" s="520" t="s">
        <v>287</v>
      </c>
      <c r="I6" s="507" t="s">
        <v>236</v>
      </c>
      <c r="J6" s="507" t="s">
        <v>237</v>
      </c>
      <c r="K6" s="509" t="s">
        <v>238</v>
      </c>
    </row>
    <row r="7" spans="1:11" ht="38.25" customHeight="1" x14ac:dyDescent="0.25">
      <c r="A7" s="522"/>
      <c r="B7" s="460"/>
      <c r="C7" s="460"/>
      <c r="D7" s="512"/>
      <c r="E7" s="508"/>
      <c r="F7" s="508"/>
      <c r="G7" s="510"/>
      <c r="H7" s="512"/>
      <c r="I7" s="508"/>
      <c r="J7" s="508"/>
      <c r="K7" s="510"/>
    </row>
    <row r="8" spans="1:11" ht="22.5" customHeight="1" thickBot="1" x14ac:dyDescent="0.3">
      <c r="A8" s="523"/>
      <c r="B8" s="524"/>
      <c r="C8" s="524"/>
      <c r="D8" s="511" t="s">
        <v>389</v>
      </c>
      <c r="E8" s="512"/>
      <c r="F8" s="512"/>
      <c r="G8" s="265"/>
      <c r="H8" s="511" t="s">
        <v>388</v>
      </c>
      <c r="I8" s="512"/>
      <c r="J8" s="512"/>
      <c r="K8" s="265"/>
    </row>
    <row r="9" spans="1:11" ht="15.9" customHeight="1" x14ac:dyDescent="0.25">
      <c r="A9" s="264"/>
      <c r="B9" s="469" t="s">
        <v>201</v>
      </c>
      <c r="C9" s="469"/>
      <c r="D9" s="275"/>
      <c r="E9" s="268"/>
      <c r="F9" s="261"/>
      <c r="G9" s="261"/>
      <c r="H9" s="275"/>
      <c r="I9" s="268"/>
      <c r="J9" s="261"/>
      <c r="K9" s="261"/>
    </row>
    <row r="10" spans="1:11" ht="15.9" customHeight="1" x14ac:dyDescent="0.3">
      <c r="A10" s="9">
        <v>1</v>
      </c>
      <c r="B10" s="464" t="s">
        <v>187</v>
      </c>
      <c r="C10" s="464"/>
      <c r="D10" s="269">
        <f>SUM(E10:G10)</f>
        <v>35970565</v>
      </c>
      <c r="E10" s="269">
        <v>35970565</v>
      </c>
      <c r="F10" s="185"/>
      <c r="G10" s="266"/>
      <c r="H10" s="269">
        <f>SUM(I10:K10)</f>
        <v>38468407</v>
      </c>
      <c r="I10" s="269">
        <f>35970565+382500+639330+295362+18000+407650+500000+255000</f>
        <v>38468407</v>
      </c>
      <c r="J10" s="185"/>
      <c r="K10" s="266"/>
    </row>
    <row r="11" spans="1:11" ht="15.9" customHeight="1" x14ac:dyDescent="0.3">
      <c r="A11" s="9">
        <v>2</v>
      </c>
      <c r="B11" s="464" t="s">
        <v>196</v>
      </c>
      <c r="C11" s="464"/>
      <c r="D11" s="269">
        <f>SUM(E11:G11)</f>
        <v>6531044</v>
      </c>
      <c r="E11" s="269">
        <v>6531044</v>
      </c>
      <c r="F11" s="185"/>
      <c r="G11" s="266"/>
      <c r="H11" s="269">
        <f>SUM(I11:K11)</f>
        <v>6991752</v>
      </c>
      <c r="I11" s="269">
        <f>6531044+70326+71140+44842+218300+56100</f>
        <v>6991752</v>
      </c>
      <c r="J11" s="185"/>
      <c r="K11" s="266"/>
    </row>
    <row r="12" spans="1:11" ht="15.9" customHeight="1" x14ac:dyDescent="0.3">
      <c r="A12" s="9">
        <v>3</v>
      </c>
      <c r="B12" s="464" t="s">
        <v>197</v>
      </c>
      <c r="C12" s="464"/>
      <c r="D12" s="269">
        <f>E12+F12+G12</f>
        <v>57908545</v>
      </c>
      <c r="E12" s="269">
        <v>57908545</v>
      </c>
      <c r="F12" s="185"/>
      <c r="G12" s="276"/>
      <c r="H12" s="269">
        <f>I12+J12+K12</f>
        <v>69670799</v>
      </c>
      <c r="I12" s="269">
        <f>57908545+2062274-500000-218300+400000+750000+170000+9098280</f>
        <v>69670799</v>
      </c>
      <c r="J12" s="185"/>
      <c r="K12" s="276"/>
    </row>
    <row r="13" spans="1:11" ht="15.9" customHeight="1" x14ac:dyDescent="0.3">
      <c r="A13" s="9" t="s">
        <v>45</v>
      </c>
      <c r="B13" s="464"/>
      <c r="C13" s="464"/>
      <c r="D13" s="269">
        <f t="shared" ref="D13:D19" si="0">SUM(E13:G13)</f>
        <v>0</v>
      </c>
      <c r="E13" s="281"/>
      <c r="F13" s="185"/>
      <c r="G13" s="284"/>
      <c r="H13" s="269">
        <f t="shared" ref="H13:H19" si="1">SUM(I13:K13)</f>
        <v>0</v>
      </c>
      <c r="I13" s="281"/>
      <c r="J13" s="185"/>
      <c r="K13" s="284"/>
    </row>
    <row r="14" spans="1:11" ht="15.9" customHeight="1" x14ac:dyDescent="0.25">
      <c r="A14" s="9" t="s">
        <v>47</v>
      </c>
      <c r="B14" s="465" t="s">
        <v>173</v>
      </c>
      <c r="C14" s="465"/>
      <c r="D14" s="269">
        <f t="shared" si="0"/>
        <v>17329221</v>
      </c>
      <c r="E14" s="282">
        <f>+E15+E16+E17+E18+E19</f>
        <v>13447591</v>
      </c>
      <c r="F14" s="282">
        <f>+F15+F16+F17+F18+F19</f>
        <v>3881630</v>
      </c>
      <c r="G14" s="269"/>
      <c r="H14" s="269">
        <f t="shared" si="1"/>
        <v>17529221</v>
      </c>
      <c r="I14" s="282">
        <f>+I15+I16+I17+I18+I19</f>
        <v>13447591</v>
      </c>
      <c r="J14" s="282">
        <f>+J15+J16+J17+J18+J19</f>
        <v>4081630</v>
      </c>
      <c r="K14" s="269"/>
    </row>
    <row r="15" spans="1:11" ht="15.9" customHeight="1" x14ac:dyDescent="0.3">
      <c r="A15" s="9" t="s">
        <v>165</v>
      </c>
      <c r="B15" s="475" t="s">
        <v>168</v>
      </c>
      <c r="C15" s="475"/>
      <c r="D15" s="269">
        <f t="shared" si="0"/>
        <v>0</v>
      </c>
      <c r="E15" s="281"/>
      <c r="F15" s="185"/>
      <c r="G15" s="284"/>
      <c r="H15" s="269">
        <f t="shared" si="1"/>
        <v>0</v>
      </c>
      <c r="I15" s="281"/>
      <c r="J15" s="185"/>
      <c r="K15" s="284"/>
    </row>
    <row r="16" spans="1:11" ht="15.9" customHeight="1" x14ac:dyDescent="0.3">
      <c r="A16" s="9" t="s">
        <v>166</v>
      </c>
      <c r="B16" s="475" t="s">
        <v>235</v>
      </c>
      <c r="C16" s="475"/>
      <c r="D16" s="269">
        <f t="shared" si="0"/>
        <v>7051792</v>
      </c>
      <c r="E16" s="281">
        <v>3170162</v>
      </c>
      <c r="F16" s="185">
        <f>4732385-850755</f>
        <v>3881630</v>
      </c>
      <c r="G16" s="284"/>
      <c r="H16" s="269">
        <f t="shared" si="1"/>
        <v>7251792</v>
      </c>
      <c r="I16" s="281">
        <v>3170162</v>
      </c>
      <c r="J16" s="185">
        <f>4732385-850755+50000+150000</f>
        <v>4081630</v>
      </c>
      <c r="K16" s="284"/>
    </row>
    <row r="17" spans="1:11" ht="15.9" customHeight="1" x14ac:dyDescent="0.3">
      <c r="A17" s="9"/>
      <c r="B17" s="518"/>
      <c r="C17" s="519"/>
      <c r="D17" s="269">
        <f t="shared" si="0"/>
        <v>0</v>
      </c>
      <c r="E17" s="281"/>
      <c r="F17" s="185"/>
      <c r="G17" s="284"/>
      <c r="H17" s="269">
        <f t="shared" si="1"/>
        <v>0</v>
      </c>
      <c r="I17" s="281"/>
      <c r="J17" s="185"/>
      <c r="K17" s="284"/>
    </row>
    <row r="18" spans="1:11" ht="15.9" customHeight="1" x14ac:dyDescent="0.3">
      <c r="A18" s="9" t="s">
        <v>167</v>
      </c>
      <c r="B18" s="477" t="s">
        <v>169</v>
      </c>
      <c r="C18" s="477"/>
      <c r="D18" s="269">
        <f t="shared" si="0"/>
        <v>10277429</v>
      </c>
      <c r="E18" s="281">
        <f>'5'!V20</f>
        <v>10277429</v>
      </c>
      <c r="F18" s="185"/>
      <c r="G18" s="284"/>
      <c r="H18" s="269">
        <f t="shared" si="1"/>
        <v>10277429</v>
      </c>
      <c r="I18" s="281">
        <v>10277429</v>
      </c>
      <c r="J18" s="185"/>
      <c r="K18" s="284"/>
    </row>
    <row r="19" spans="1:11" ht="15.9" customHeight="1" x14ac:dyDescent="0.3">
      <c r="A19" s="9" t="s">
        <v>73</v>
      </c>
      <c r="B19" s="477" t="s">
        <v>289</v>
      </c>
      <c r="C19" s="478"/>
      <c r="D19" s="269">
        <f t="shared" si="0"/>
        <v>0</v>
      </c>
      <c r="E19" s="281"/>
      <c r="F19" s="185"/>
      <c r="G19" s="284"/>
      <c r="H19" s="269">
        <f t="shared" si="1"/>
        <v>0</v>
      </c>
      <c r="I19" s="281"/>
      <c r="J19" s="185"/>
      <c r="K19" s="284"/>
    </row>
    <row r="20" spans="1:11" ht="15.9" customHeight="1" x14ac:dyDescent="0.3">
      <c r="A20" s="9"/>
      <c r="B20" s="464"/>
      <c r="C20" s="464"/>
      <c r="D20" s="435">
        <f>E20+F20+G20</f>
        <v>0</v>
      </c>
      <c r="E20" s="281"/>
      <c r="F20" s="185"/>
      <c r="G20" s="280"/>
      <c r="H20" s="435">
        <f>I20+J20+K20</f>
        <v>0</v>
      </c>
      <c r="I20" s="281"/>
      <c r="J20" s="185"/>
      <c r="K20" s="280"/>
    </row>
    <row r="21" spans="1:11" ht="15.9" customHeight="1" x14ac:dyDescent="0.3">
      <c r="A21" s="9"/>
      <c r="B21" s="464"/>
      <c r="C21" s="464"/>
      <c r="D21" s="13">
        <f>E21+F21+G21</f>
        <v>0</v>
      </c>
      <c r="E21" s="281"/>
      <c r="F21" s="185"/>
      <c r="G21" s="280"/>
      <c r="H21" s="13">
        <f>I21+J21+K21</f>
        <v>0</v>
      </c>
      <c r="I21" s="281"/>
      <c r="J21" s="185"/>
      <c r="K21" s="280"/>
    </row>
    <row r="22" spans="1:11" ht="15.9" customHeight="1" x14ac:dyDescent="0.3">
      <c r="A22" s="9"/>
      <c r="B22" s="464" t="s">
        <v>226</v>
      </c>
      <c r="C22" s="464"/>
      <c r="D22" s="290">
        <f>E22+F22+G22</f>
        <v>46241693</v>
      </c>
      <c r="E22" s="283">
        <v>46241693</v>
      </c>
      <c r="F22" s="185"/>
      <c r="G22" s="280"/>
      <c r="H22" s="290">
        <f>I22+J22+K22</f>
        <v>47274883</v>
      </c>
      <c r="I22" s="283">
        <f>46241693-3177987-188900-400000-750000-150000-170000+387700+427777+5054600</f>
        <v>47274883</v>
      </c>
      <c r="J22" s="185"/>
      <c r="K22" s="280"/>
    </row>
    <row r="23" spans="1:11" ht="15.9" customHeight="1" x14ac:dyDescent="0.25">
      <c r="A23" s="9" t="s">
        <v>193</v>
      </c>
      <c r="B23" s="260" t="s">
        <v>164</v>
      </c>
      <c r="C23" s="149"/>
      <c r="D23" s="13">
        <f>+D10+D11+D12+D13+D14+D22+D20+D21</f>
        <v>163981068</v>
      </c>
      <c r="E23" s="281">
        <f>+E10+E11+E12+E13+E14+E22+E20+E21</f>
        <v>160099438</v>
      </c>
      <c r="F23" s="13">
        <f>+F10+F11+F12+F13+F14+F22</f>
        <v>3881630</v>
      </c>
      <c r="G23" s="269"/>
      <c r="H23" s="13">
        <f>+H10+H11+H12+H13+H14+H22+H20+H21</f>
        <v>179935062</v>
      </c>
      <c r="I23" s="281">
        <f>+I10+I11+I12+I13+I14+I22+I20+I21</f>
        <v>175853432</v>
      </c>
      <c r="J23" s="13">
        <f>+J10+J11+J12+J13+J14+J22</f>
        <v>4081630</v>
      </c>
      <c r="K23" s="269"/>
    </row>
    <row r="24" spans="1:11" ht="15.9" customHeight="1" x14ac:dyDescent="0.3">
      <c r="A24" s="9" t="s">
        <v>48</v>
      </c>
      <c r="B24" s="464" t="s">
        <v>189</v>
      </c>
      <c r="C24" s="464"/>
      <c r="D24" s="13">
        <f>SUM(E24:G24)</f>
        <v>21445750</v>
      </c>
      <c r="E24" s="270">
        <f>'4'!E14</f>
        <v>21445750</v>
      </c>
      <c r="F24" s="185"/>
      <c r="G24" s="266"/>
      <c r="H24" s="13">
        <f>SUM(I24:K24)</f>
        <v>32111765</v>
      </c>
      <c r="I24" s="270">
        <f>21445750+10666015</f>
        <v>32111765</v>
      </c>
      <c r="J24" s="185"/>
      <c r="K24" s="266"/>
    </row>
    <row r="25" spans="1:11" ht="15.9" customHeight="1" x14ac:dyDescent="0.3">
      <c r="A25" s="9" t="s">
        <v>49</v>
      </c>
      <c r="B25" s="464" t="s">
        <v>188</v>
      </c>
      <c r="C25" s="464"/>
      <c r="D25" s="13">
        <f>SUM(E25:G25)</f>
        <v>1231900</v>
      </c>
      <c r="E25" s="270">
        <v>1231900</v>
      </c>
      <c r="F25" s="185"/>
      <c r="G25" s="266"/>
      <c r="H25" s="13">
        <f>SUM(I25:K25)</f>
        <v>78272604</v>
      </c>
      <c r="I25" s="270">
        <f>1231900+726440+76314264</f>
        <v>78272604</v>
      </c>
      <c r="J25" s="185"/>
      <c r="K25" s="266"/>
    </row>
    <row r="26" spans="1:11" ht="15.9" customHeight="1" x14ac:dyDescent="0.3">
      <c r="A26" s="9" t="s">
        <v>51</v>
      </c>
      <c r="B26" s="464" t="s">
        <v>290</v>
      </c>
      <c r="C26" s="464"/>
      <c r="D26" s="13">
        <f>SUM(E26:G26)</f>
        <v>850755</v>
      </c>
      <c r="E26" s="270"/>
      <c r="F26" s="185">
        <v>850755</v>
      </c>
      <c r="G26" s="266"/>
      <c r="H26" s="13">
        <f>SUM(I26:K26)</f>
        <v>850755</v>
      </c>
      <c r="I26" s="270"/>
      <c r="J26" s="185">
        <v>850755</v>
      </c>
      <c r="K26" s="266"/>
    </row>
    <row r="27" spans="1:11" ht="15.9" customHeight="1" x14ac:dyDescent="0.3">
      <c r="A27" s="9" t="s">
        <v>194</v>
      </c>
      <c r="B27" s="464" t="s">
        <v>232</v>
      </c>
      <c r="C27" s="464"/>
      <c r="D27" s="290">
        <f>+D24+D25+D26</f>
        <v>23528405</v>
      </c>
      <c r="E27" s="290">
        <f t="shared" ref="E27:F27" si="2">+E24+E25+E26</f>
        <v>22677650</v>
      </c>
      <c r="F27" s="290">
        <f t="shared" si="2"/>
        <v>850755</v>
      </c>
      <c r="G27" s="266"/>
      <c r="H27" s="290">
        <f>+H24+H25+H26</f>
        <v>111235124</v>
      </c>
      <c r="I27" s="290">
        <f t="shared" ref="I27:J27" si="3">+I24+I25+I26</f>
        <v>110384369</v>
      </c>
      <c r="J27" s="290">
        <f t="shared" si="3"/>
        <v>850755</v>
      </c>
      <c r="K27" s="266"/>
    </row>
    <row r="28" spans="1:11" ht="15.9" customHeight="1" x14ac:dyDescent="0.3">
      <c r="A28" s="9" t="s">
        <v>195</v>
      </c>
      <c r="B28" s="464"/>
      <c r="C28" s="464"/>
      <c r="D28" s="290"/>
      <c r="E28" s="270"/>
      <c r="F28" s="185"/>
      <c r="G28" s="266"/>
      <c r="H28" s="290"/>
      <c r="I28" s="270"/>
      <c r="J28" s="185"/>
      <c r="K28" s="266"/>
    </row>
    <row r="29" spans="1:11" ht="15.9" customHeight="1" x14ac:dyDescent="0.3">
      <c r="A29" s="9" t="s">
        <v>180</v>
      </c>
      <c r="B29" s="513"/>
      <c r="C29" s="513"/>
      <c r="D29" s="288"/>
      <c r="E29" s="271"/>
      <c r="F29" s="185">
        <f>+D29+E29</f>
        <v>0</v>
      </c>
      <c r="G29" s="266"/>
      <c r="H29" s="288"/>
      <c r="I29" s="271"/>
      <c r="J29" s="185">
        <f>+H29+I29</f>
        <v>0</v>
      </c>
      <c r="K29" s="266"/>
    </row>
    <row r="30" spans="1:11" ht="15.9" customHeight="1" x14ac:dyDescent="0.3">
      <c r="A30" s="9" t="s">
        <v>181</v>
      </c>
      <c r="B30" s="513"/>
      <c r="C30" s="513"/>
      <c r="D30" s="288"/>
      <c r="E30" s="315"/>
      <c r="F30" s="185">
        <f>+D30+E30</f>
        <v>0</v>
      </c>
      <c r="G30" s="266"/>
      <c r="H30" s="288"/>
      <c r="I30" s="315"/>
      <c r="J30" s="185">
        <f>+H30+I30</f>
        <v>0</v>
      </c>
      <c r="K30" s="266"/>
    </row>
    <row r="31" spans="1:11" ht="15.9" customHeight="1" x14ac:dyDescent="0.3">
      <c r="A31" s="151" t="s">
        <v>171</v>
      </c>
      <c r="B31" s="485" t="s">
        <v>172</v>
      </c>
      <c r="C31" s="485"/>
      <c r="D31" s="313">
        <f t="shared" ref="D31:K31" si="4">+D23+D27+D28+D29+D30</f>
        <v>187509473</v>
      </c>
      <c r="E31" s="289">
        <f t="shared" si="4"/>
        <v>182777088</v>
      </c>
      <c r="F31" s="289">
        <f t="shared" si="4"/>
        <v>4732385</v>
      </c>
      <c r="G31" s="286">
        <f t="shared" si="4"/>
        <v>0</v>
      </c>
      <c r="H31" s="313">
        <f t="shared" si="4"/>
        <v>291170186</v>
      </c>
      <c r="I31" s="289">
        <f t="shared" si="4"/>
        <v>286237801</v>
      </c>
      <c r="J31" s="289">
        <f t="shared" si="4"/>
        <v>4932385</v>
      </c>
      <c r="K31" s="286">
        <f t="shared" si="4"/>
        <v>0</v>
      </c>
    </row>
    <row r="32" spans="1:11" ht="15.9" customHeight="1" x14ac:dyDescent="0.3">
      <c r="A32" s="18"/>
      <c r="B32" s="484"/>
      <c r="C32" s="484"/>
      <c r="D32" s="314"/>
      <c r="E32" s="19"/>
      <c r="F32" s="273"/>
      <c r="G32" s="19"/>
      <c r="H32" s="314"/>
      <c r="I32" s="19"/>
      <c r="J32" s="273"/>
      <c r="K32" s="19"/>
    </row>
    <row r="33" spans="1:11" ht="15.9" customHeight="1" x14ac:dyDescent="0.3">
      <c r="A33" s="9"/>
      <c r="B33" s="488" t="s">
        <v>202</v>
      </c>
      <c r="C33" s="488"/>
      <c r="D33" s="290"/>
      <c r="E33" s="316"/>
      <c r="F33" s="185"/>
      <c r="G33" s="266"/>
      <c r="H33" s="290"/>
      <c r="I33" s="316"/>
      <c r="J33" s="185"/>
      <c r="K33" s="266"/>
    </row>
    <row r="34" spans="1:11" ht="15.9" customHeight="1" x14ac:dyDescent="0.3">
      <c r="A34" s="9" t="s">
        <v>30</v>
      </c>
      <c r="B34" s="489" t="s">
        <v>230</v>
      </c>
      <c r="C34" s="489"/>
      <c r="D34" s="291">
        <f t="shared" ref="D34:D42" si="5">SUM(E34:G34)</f>
        <v>15051852</v>
      </c>
      <c r="E34" s="292">
        <v>15051852</v>
      </c>
      <c r="F34" s="346"/>
      <c r="G34" s="294">
        <v>0</v>
      </c>
      <c r="H34" s="291">
        <f t="shared" ref="H34:H42" si="6">SUM(I34:K34)</f>
        <v>15051852</v>
      </c>
      <c r="I34" s="292">
        <v>15051852</v>
      </c>
      <c r="J34" s="346"/>
      <c r="K34" s="294">
        <v>0</v>
      </c>
    </row>
    <row r="35" spans="1:11" ht="15.9" customHeight="1" x14ac:dyDescent="0.3">
      <c r="A35" s="9" t="s">
        <v>43</v>
      </c>
      <c r="B35" s="489" t="s">
        <v>198</v>
      </c>
      <c r="C35" s="489"/>
      <c r="D35" s="291">
        <f t="shared" si="5"/>
        <v>42371663</v>
      </c>
      <c r="E35" s="292">
        <f>SUM(E36:E38)</f>
        <v>42371663</v>
      </c>
      <c r="F35" s="345">
        <f>SUM(F36:F38)</f>
        <v>0</v>
      </c>
      <c r="G35" s="294"/>
      <c r="H35" s="291">
        <f t="shared" si="6"/>
        <v>42371663</v>
      </c>
      <c r="I35" s="292">
        <f>SUM(I36:I38)</f>
        <v>42371663</v>
      </c>
      <c r="J35" s="345">
        <f>SUM(J36:J38)</f>
        <v>0</v>
      </c>
      <c r="K35" s="294"/>
    </row>
    <row r="36" spans="1:11" ht="15.9" customHeight="1" x14ac:dyDescent="0.3">
      <c r="A36" s="9"/>
      <c r="B36" s="219" t="s">
        <v>75</v>
      </c>
      <c r="C36" s="129" t="s">
        <v>175</v>
      </c>
      <c r="D36" s="291">
        <f t="shared" si="5"/>
        <v>35129640</v>
      </c>
      <c r="E36" s="292">
        <v>35129640</v>
      </c>
      <c r="F36" s="346"/>
      <c r="G36" s="294"/>
      <c r="H36" s="291">
        <f t="shared" si="6"/>
        <v>35129640</v>
      </c>
      <c r="I36" s="292">
        <v>35129640</v>
      </c>
      <c r="J36" s="346"/>
      <c r="K36" s="294"/>
    </row>
    <row r="37" spans="1:11" ht="15.9" customHeight="1" x14ac:dyDescent="0.3">
      <c r="A37" s="9"/>
      <c r="B37" s="219" t="s">
        <v>76</v>
      </c>
      <c r="C37" s="129" t="s">
        <v>176</v>
      </c>
      <c r="D37" s="291">
        <f t="shared" si="5"/>
        <v>5862088</v>
      </c>
      <c r="E37" s="347">
        <v>5862088</v>
      </c>
      <c r="F37" s="346"/>
      <c r="G37" s="294"/>
      <c r="H37" s="291">
        <f t="shared" si="6"/>
        <v>5862088</v>
      </c>
      <c r="I37" s="347">
        <v>5862088</v>
      </c>
      <c r="J37" s="346"/>
      <c r="K37" s="294"/>
    </row>
    <row r="38" spans="1:11" ht="15.9" customHeight="1" x14ac:dyDescent="0.3">
      <c r="A38" s="9"/>
      <c r="B38" s="219" t="s">
        <v>77</v>
      </c>
      <c r="C38" s="129" t="s">
        <v>177</v>
      </c>
      <c r="D38" s="291">
        <f t="shared" si="5"/>
        <v>1379935</v>
      </c>
      <c r="E38" s="292">
        <v>1379935</v>
      </c>
      <c r="F38" s="346"/>
      <c r="G38" s="294"/>
      <c r="H38" s="291">
        <f t="shared" si="6"/>
        <v>1379935</v>
      </c>
      <c r="I38" s="292">
        <v>1379935</v>
      </c>
      <c r="J38" s="346"/>
      <c r="K38" s="294"/>
    </row>
    <row r="39" spans="1:11" ht="15.9" customHeight="1" x14ac:dyDescent="0.3">
      <c r="A39" s="9" t="s">
        <v>44</v>
      </c>
      <c r="B39" s="489" t="s">
        <v>143</v>
      </c>
      <c r="C39" s="489"/>
      <c r="D39" s="295">
        <f t="shared" si="5"/>
        <v>136442129</v>
      </c>
      <c r="E39" s="292">
        <f>SUM(E40:E42)</f>
        <v>136442129</v>
      </c>
      <c r="F39" s="346">
        <f>SUM(F40:F42)</f>
        <v>0</v>
      </c>
      <c r="G39" s="294"/>
      <c r="H39" s="295">
        <f t="shared" si="6"/>
        <v>136966843</v>
      </c>
      <c r="I39" s="292">
        <f>SUM(I40:I42)</f>
        <v>136966843</v>
      </c>
      <c r="J39" s="346">
        <f>SUM(J40:J42)</f>
        <v>0</v>
      </c>
      <c r="K39" s="294"/>
    </row>
    <row r="40" spans="1:11" ht="15.9" customHeight="1" x14ac:dyDescent="0.3">
      <c r="A40" s="9"/>
      <c r="B40" s="220" t="s">
        <v>78</v>
      </c>
      <c r="C40" s="218" t="s">
        <v>233</v>
      </c>
      <c r="D40" s="295">
        <f t="shared" si="5"/>
        <v>135017794</v>
      </c>
      <c r="E40" s="292">
        <v>135017794</v>
      </c>
      <c r="F40" s="346"/>
      <c r="G40" s="294"/>
      <c r="H40" s="295">
        <f t="shared" si="6"/>
        <v>135542508</v>
      </c>
      <c r="I40" s="292">
        <f>135017794+70585+26352+79056+144270+204451</f>
        <v>135542508</v>
      </c>
      <c r="J40" s="346"/>
      <c r="K40" s="294"/>
    </row>
    <row r="41" spans="1:11" ht="15.9" customHeight="1" x14ac:dyDescent="0.3">
      <c r="A41" s="9"/>
      <c r="B41" s="220" t="s">
        <v>79</v>
      </c>
      <c r="C41" s="218" t="s">
        <v>81</v>
      </c>
      <c r="D41" s="295">
        <f t="shared" si="5"/>
        <v>0</v>
      </c>
      <c r="E41" s="292"/>
      <c r="F41" s="346"/>
      <c r="G41" s="294"/>
      <c r="H41" s="295">
        <f t="shared" si="6"/>
        <v>0</v>
      </c>
      <c r="I41" s="292"/>
      <c r="J41" s="346"/>
      <c r="K41" s="294"/>
    </row>
    <row r="42" spans="1:11" ht="15.9" customHeight="1" x14ac:dyDescent="0.3">
      <c r="A42" s="9"/>
      <c r="B42" s="220" t="s">
        <v>80</v>
      </c>
      <c r="C42" s="218" t="s">
        <v>234</v>
      </c>
      <c r="D42" s="295">
        <f t="shared" si="5"/>
        <v>1424335</v>
      </c>
      <c r="E42" s="292">
        <v>1424335</v>
      </c>
      <c r="F42" s="346"/>
      <c r="G42" s="294"/>
      <c r="H42" s="295">
        <f t="shared" si="6"/>
        <v>1424335</v>
      </c>
      <c r="I42" s="292">
        <v>1424335</v>
      </c>
      <c r="J42" s="346"/>
      <c r="K42" s="294"/>
    </row>
    <row r="43" spans="1:11" ht="15.9" customHeight="1" x14ac:dyDescent="0.3">
      <c r="A43" s="9" t="s">
        <v>45</v>
      </c>
      <c r="B43" s="489" t="s">
        <v>144</v>
      </c>
      <c r="C43" s="489"/>
      <c r="D43" s="295">
        <f>SUM(D44:D47)</f>
        <v>17693201</v>
      </c>
      <c r="E43" s="292">
        <f>SUM(E44:E47)</f>
        <v>17693201</v>
      </c>
      <c r="F43" s="292">
        <f>SUM(F44:F47)</f>
        <v>0</v>
      </c>
      <c r="G43" s="294"/>
      <c r="H43" s="295">
        <f>SUM(H44:H47)</f>
        <v>34037821</v>
      </c>
      <c r="I43" s="292">
        <f>SUM(I44:I47)</f>
        <v>34037821</v>
      </c>
      <c r="J43" s="292">
        <f>SUM(J44:J47)</f>
        <v>0</v>
      </c>
      <c r="K43" s="294"/>
    </row>
    <row r="44" spans="1:11" ht="15.9" customHeight="1" x14ac:dyDescent="0.3">
      <c r="A44" s="9"/>
      <c r="B44" s="220" t="s">
        <v>82</v>
      </c>
      <c r="C44" s="218" t="s">
        <v>86</v>
      </c>
      <c r="D44" s="295">
        <f>SUM(E44:G44)</f>
        <v>16693201</v>
      </c>
      <c r="E44" s="292">
        <v>16693201</v>
      </c>
      <c r="F44" s="346"/>
      <c r="G44" s="294"/>
      <c r="H44" s="295">
        <f>SUM(I44:K44)</f>
        <v>33037821</v>
      </c>
      <c r="I44" s="292">
        <f>16693201+330792+709656+452492+311100+387700+14152880</f>
        <v>33037821</v>
      </c>
      <c r="J44" s="346"/>
      <c r="K44" s="294"/>
    </row>
    <row r="45" spans="1:11" ht="15.9" customHeight="1" x14ac:dyDescent="0.3">
      <c r="A45" s="9"/>
      <c r="B45" s="220" t="s">
        <v>83</v>
      </c>
      <c r="C45" s="218" t="s">
        <v>87</v>
      </c>
      <c r="D45" s="295"/>
      <c r="E45" s="345"/>
      <c r="F45" s="346"/>
      <c r="G45" s="294"/>
      <c r="H45" s="295"/>
      <c r="I45" s="345"/>
      <c r="J45" s="346"/>
      <c r="K45" s="294"/>
    </row>
    <row r="46" spans="1:11" ht="15.9" customHeight="1" x14ac:dyDescent="0.3">
      <c r="A46" s="9"/>
      <c r="B46" s="220" t="s">
        <v>84</v>
      </c>
      <c r="C46" s="218" t="s">
        <v>262</v>
      </c>
      <c r="D46" s="295">
        <f>G46+F46+E46</f>
        <v>1000000</v>
      </c>
      <c r="E46" s="347">
        <v>1000000</v>
      </c>
      <c r="F46" s="346"/>
      <c r="G46" s="294"/>
      <c r="H46" s="295">
        <f>K46+J46+I46</f>
        <v>1000000</v>
      </c>
      <c r="I46" s="347">
        <v>1000000</v>
      </c>
      <c r="J46" s="346"/>
      <c r="K46" s="294"/>
    </row>
    <row r="47" spans="1:11" ht="15.9" customHeight="1" x14ac:dyDescent="0.3">
      <c r="A47" s="9"/>
      <c r="B47" s="220" t="s">
        <v>85</v>
      </c>
      <c r="C47" s="218" t="s">
        <v>88</v>
      </c>
      <c r="D47" s="295"/>
      <c r="E47" s="292"/>
      <c r="F47" s="293">
        <f>SUM(D47:D47)</f>
        <v>0</v>
      </c>
      <c r="G47" s="294"/>
      <c r="H47" s="295"/>
      <c r="I47" s="292"/>
      <c r="J47" s="293">
        <f>SUM(H47:H47)</f>
        <v>0</v>
      </c>
      <c r="K47" s="294"/>
    </row>
    <row r="48" spans="1:11" s="222" customFormat="1" ht="15.9" customHeight="1" x14ac:dyDescent="0.3">
      <c r="A48" s="221" t="s">
        <v>193</v>
      </c>
      <c r="B48" s="514" t="s">
        <v>89</v>
      </c>
      <c r="C48" s="514"/>
      <c r="D48" s="295">
        <f t="shared" ref="D48:K48" si="7">+D34+D35+D39+D43</f>
        <v>211558845</v>
      </c>
      <c r="E48" s="295">
        <f t="shared" si="7"/>
        <v>211558845</v>
      </c>
      <c r="F48" s="295">
        <f t="shared" si="7"/>
        <v>0</v>
      </c>
      <c r="G48" s="296">
        <f t="shared" si="7"/>
        <v>0</v>
      </c>
      <c r="H48" s="295">
        <f t="shared" si="7"/>
        <v>228428179</v>
      </c>
      <c r="I48" s="295">
        <f t="shared" si="7"/>
        <v>228428179</v>
      </c>
      <c r="J48" s="295">
        <f t="shared" si="7"/>
        <v>0</v>
      </c>
      <c r="K48" s="296">
        <f t="shared" si="7"/>
        <v>0</v>
      </c>
    </row>
    <row r="49" spans="1:11" ht="15.9" customHeight="1" x14ac:dyDescent="0.3">
      <c r="A49" s="9" t="s">
        <v>47</v>
      </c>
      <c r="B49" s="489" t="s">
        <v>190</v>
      </c>
      <c r="C49" s="489"/>
      <c r="D49" s="292">
        <f>SUM(D50:D51)</f>
        <v>4062048</v>
      </c>
      <c r="E49" s="292">
        <f>SUM(E50:E51)</f>
        <v>4062048</v>
      </c>
      <c r="F49" s="292"/>
      <c r="G49" s="294"/>
      <c r="H49" s="292">
        <f>SUM(H50:H51)</f>
        <v>4062048</v>
      </c>
      <c r="I49" s="292">
        <f>SUM(I50:I51)</f>
        <v>4062048</v>
      </c>
      <c r="J49" s="292"/>
      <c r="K49" s="294"/>
    </row>
    <row r="50" spans="1:11" ht="15.9" customHeight="1" x14ac:dyDescent="0.3">
      <c r="A50" s="9"/>
      <c r="B50" s="220" t="s">
        <v>90</v>
      </c>
      <c r="C50" s="218" t="s">
        <v>92</v>
      </c>
      <c r="D50" s="295">
        <v>4062048</v>
      </c>
      <c r="E50" s="292">
        <v>4062048</v>
      </c>
      <c r="F50" s="293"/>
      <c r="G50" s="294"/>
      <c r="H50" s="295">
        <v>4062048</v>
      </c>
      <c r="I50" s="292">
        <v>4062048</v>
      </c>
      <c r="J50" s="293"/>
      <c r="K50" s="294"/>
    </row>
    <row r="51" spans="1:11" ht="15.9" customHeight="1" x14ac:dyDescent="0.3">
      <c r="A51" s="9"/>
      <c r="B51" s="220" t="s">
        <v>91</v>
      </c>
      <c r="C51" s="218" t="s">
        <v>1</v>
      </c>
      <c r="D51" s="295">
        <f>+E51+F51+G51</f>
        <v>0</v>
      </c>
      <c r="E51" s="292"/>
      <c r="F51" s="293"/>
      <c r="G51" s="294"/>
      <c r="H51" s="295">
        <f>+I51+J51+K51</f>
        <v>0</v>
      </c>
      <c r="I51" s="292"/>
      <c r="J51" s="293"/>
      <c r="K51" s="294"/>
    </row>
    <row r="52" spans="1:11" ht="15.9" customHeight="1" x14ac:dyDescent="0.3">
      <c r="A52" s="9" t="s">
        <v>48</v>
      </c>
      <c r="B52" s="489" t="s">
        <v>146</v>
      </c>
      <c r="C52" s="489"/>
      <c r="D52" s="295">
        <f>SUM(D53:D54)</f>
        <v>0</v>
      </c>
      <c r="E52" s="292">
        <f>SUM(E53:E54)</f>
        <v>0</v>
      </c>
      <c r="F52" s="293">
        <f t="shared" ref="F52:F58" si="8">SUM(D52:D52)</f>
        <v>0</v>
      </c>
      <c r="G52" s="294"/>
      <c r="H52" s="295">
        <f>SUM(H53:H54)</f>
        <v>0</v>
      </c>
      <c r="I52" s="292">
        <f>SUM(I53:I54)</f>
        <v>0</v>
      </c>
      <c r="J52" s="293">
        <f t="shared" ref="J52:J54" si="9">SUM(H52:H52)</f>
        <v>0</v>
      </c>
      <c r="K52" s="294"/>
    </row>
    <row r="53" spans="1:11" ht="15.9" customHeight="1" x14ac:dyDescent="0.3">
      <c r="A53" s="9"/>
      <c r="B53" s="220" t="s">
        <v>93</v>
      </c>
      <c r="C53" s="218" t="s">
        <v>95</v>
      </c>
      <c r="D53" s="295"/>
      <c r="E53" s="292"/>
      <c r="F53" s="293">
        <f t="shared" si="8"/>
        <v>0</v>
      </c>
      <c r="G53" s="294"/>
      <c r="H53" s="295"/>
      <c r="I53" s="292"/>
      <c r="J53" s="293">
        <f t="shared" si="9"/>
        <v>0</v>
      </c>
      <c r="K53" s="294"/>
    </row>
    <row r="54" spans="1:11" ht="15.9" customHeight="1" x14ac:dyDescent="0.3">
      <c r="A54" s="9"/>
      <c r="B54" s="220" t="s">
        <v>94</v>
      </c>
      <c r="C54" s="218" t="s">
        <v>96</v>
      </c>
      <c r="D54" s="295">
        <v>0</v>
      </c>
      <c r="E54" s="292"/>
      <c r="F54" s="293">
        <f t="shared" si="8"/>
        <v>0</v>
      </c>
      <c r="G54" s="294"/>
      <c r="H54" s="295">
        <v>0</v>
      </c>
      <c r="I54" s="292"/>
      <c r="J54" s="293">
        <f t="shared" si="9"/>
        <v>0</v>
      </c>
      <c r="K54" s="294"/>
    </row>
    <row r="55" spans="1:11" ht="15.9" customHeight="1" x14ac:dyDescent="0.3">
      <c r="A55" s="9" t="s">
        <v>49</v>
      </c>
      <c r="B55" s="489" t="s">
        <v>147</v>
      </c>
      <c r="C55" s="489"/>
      <c r="D55" s="295">
        <f>SUM(D56:D58)</f>
        <v>14499577</v>
      </c>
      <c r="E55" s="292">
        <f>SUM(E56:E58)</f>
        <v>14499577</v>
      </c>
      <c r="F55" s="293">
        <f>SUM(F56:F58)</f>
        <v>0</v>
      </c>
      <c r="G55" s="294"/>
      <c r="H55" s="295">
        <f>SUM(H56:H58)</f>
        <v>101479856</v>
      </c>
      <c r="I55" s="292">
        <f>SUM(I56:I58)</f>
        <v>101479856</v>
      </c>
      <c r="J55" s="293">
        <f>SUM(J56:J58)</f>
        <v>0</v>
      </c>
      <c r="K55" s="294"/>
    </row>
    <row r="56" spans="1:11" ht="15.9" customHeight="1" x14ac:dyDescent="0.3">
      <c r="A56" s="9"/>
      <c r="B56" s="220" t="s">
        <v>97</v>
      </c>
      <c r="C56" s="218" t="s">
        <v>100</v>
      </c>
      <c r="D56" s="295">
        <f>+E56+F56+G56</f>
        <v>14499577</v>
      </c>
      <c r="E56" s="292">
        <v>14499577</v>
      </c>
      <c r="F56" s="293"/>
      <c r="G56" s="294"/>
      <c r="H56" s="295">
        <f>+I56+J56+K56</f>
        <v>101479856</v>
      </c>
      <c r="I56" s="292">
        <f>14499577+86980279</f>
        <v>101479856</v>
      </c>
      <c r="J56" s="293"/>
      <c r="K56" s="294"/>
    </row>
    <row r="57" spans="1:11" ht="15.9" customHeight="1" x14ac:dyDescent="0.3">
      <c r="A57" s="9"/>
      <c r="B57" s="220" t="s">
        <v>98</v>
      </c>
      <c r="C57" s="218" t="s">
        <v>2</v>
      </c>
      <c r="D57" s="295"/>
      <c r="E57" s="292"/>
      <c r="F57" s="293">
        <f t="shared" si="8"/>
        <v>0</v>
      </c>
      <c r="G57" s="294"/>
      <c r="H57" s="295"/>
      <c r="I57" s="292"/>
      <c r="J57" s="293">
        <f t="shared" ref="J57:J58" si="10">SUM(H57:H57)</f>
        <v>0</v>
      </c>
      <c r="K57" s="294"/>
    </row>
    <row r="58" spans="1:11" ht="15.9" customHeight="1" x14ac:dyDescent="0.3">
      <c r="A58" s="9"/>
      <c r="B58" s="220" t="s">
        <v>99</v>
      </c>
      <c r="C58" s="218" t="s">
        <v>101</v>
      </c>
      <c r="D58" s="295"/>
      <c r="E58" s="292"/>
      <c r="F58" s="293">
        <f t="shared" si="8"/>
        <v>0</v>
      </c>
      <c r="G58" s="294"/>
      <c r="H58" s="295"/>
      <c r="I58" s="292"/>
      <c r="J58" s="293">
        <f t="shared" si="10"/>
        <v>0</v>
      </c>
      <c r="K58" s="294"/>
    </row>
    <row r="59" spans="1:11" s="222" customFormat="1" ht="15.9" customHeight="1" x14ac:dyDescent="0.3">
      <c r="A59" s="221" t="s">
        <v>194</v>
      </c>
      <c r="B59" s="514" t="s">
        <v>214</v>
      </c>
      <c r="C59" s="514"/>
      <c r="D59" s="295">
        <f t="shared" ref="D59:K59" si="11">+D49+D52+D55</f>
        <v>18561625</v>
      </c>
      <c r="E59" s="303">
        <f t="shared" si="11"/>
        <v>18561625</v>
      </c>
      <c r="F59" s="295">
        <f t="shared" si="11"/>
        <v>0</v>
      </c>
      <c r="G59" s="297">
        <f t="shared" si="11"/>
        <v>0</v>
      </c>
      <c r="H59" s="295">
        <f t="shared" si="11"/>
        <v>105541904</v>
      </c>
      <c r="I59" s="303">
        <f t="shared" si="11"/>
        <v>105541904</v>
      </c>
      <c r="J59" s="295">
        <f t="shared" si="11"/>
        <v>0</v>
      </c>
      <c r="K59" s="297">
        <f t="shared" si="11"/>
        <v>0</v>
      </c>
    </row>
    <row r="60" spans="1:11" s="222" customFormat="1" ht="15.9" customHeight="1" x14ac:dyDescent="0.3">
      <c r="A60" s="221" t="s">
        <v>195</v>
      </c>
      <c r="B60" s="514" t="s">
        <v>148</v>
      </c>
      <c r="C60" s="514"/>
      <c r="D60" s="305"/>
      <c r="E60" s="298"/>
      <c r="F60" s="299"/>
      <c r="G60" s="300"/>
      <c r="H60" s="305"/>
      <c r="I60" s="298"/>
      <c r="J60" s="299"/>
      <c r="K60" s="300"/>
    </row>
    <row r="61" spans="1:11" s="222" customFormat="1" ht="15.9" customHeight="1" x14ac:dyDescent="0.3">
      <c r="A61" s="221" t="s">
        <v>180</v>
      </c>
      <c r="B61" s="514" t="s">
        <v>22</v>
      </c>
      <c r="C61" s="514"/>
      <c r="D61" s="305"/>
      <c r="E61" s="298"/>
      <c r="F61" s="299"/>
      <c r="G61" s="300"/>
      <c r="H61" s="305"/>
      <c r="I61" s="298"/>
      <c r="J61" s="299"/>
      <c r="K61" s="300"/>
    </row>
    <row r="62" spans="1:11" s="152" customFormat="1" ht="15.9" customHeight="1" x14ac:dyDescent="0.3">
      <c r="A62" s="151" t="s">
        <v>149</v>
      </c>
      <c r="B62" s="496" t="s">
        <v>150</v>
      </c>
      <c r="C62" s="496"/>
      <c r="D62" s="301">
        <f t="shared" ref="D62:K62" si="12">+D48+D59+D60+D61</f>
        <v>230120470</v>
      </c>
      <c r="E62" s="304">
        <f t="shared" si="12"/>
        <v>230120470</v>
      </c>
      <c r="F62" s="301">
        <f t="shared" si="12"/>
        <v>0</v>
      </c>
      <c r="G62" s="302">
        <f t="shared" si="12"/>
        <v>0</v>
      </c>
      <c r="H62" s="301">
        <f t="shared" si="12"/>
        <v>333970083</v>
      </c>
      <c r="I62" s="304">
        <f t="shared" si="12"/>
        <v>333970083</v>
      </c>
      <c r="J62" s="301">
        <f t="shared" si="12"/>
        <v>0</v>
      </c>
      <c r="K62" s="302">
        <f t="shared" si="12"/>
        <v>0</v>
      </c>
    </row>
    <row r="63" spans="1:11" s="152" customFormat="1" ht="15.9" customHeight="1" x14ac:dyDescent="0.3">
      <c r="A63" s="151"/>
      <c r="B63" s="496" t="s">
        <v>151</v>
      </c>
      <c r="C63" s="496"/>
      <c r="D63" s="289">
        <f t="shared" ref="D63:K63" si="13">+D31-D62</f>
        <v>-42610997</v>
      </c>
      <c r="E63" s="285">
        <f t="shared" si="13"/>
        <v>-47343382</v>
      </c>
      <c r="F63" s="289">
        <f t="shared" si="13"/>
        <v>4732385</v>
      </c>
      <c r="G63" s="286">
        <f t="shared" si="13"/>
        <v>0</v>
      </c>
      <c r="H63" s="289">
        <f t="shared" si="13"/>
        <v>-42799897</v>
      </c>
      <c r="I63" s="285">
        <f t="shared" si="13"/>
        <v>-47732282</v>
      </c>
      <c r="J63" s="289">
        <f t="shared" si="13"/>
        <v>4932385</v>
      </c>
      <c r="K63" s="286">
        <f t="shared" si="13"/>
        <v>0</v>
      </c>
    </row>
    <row r="64" spans="1:11" s="152" customFormat="1" ht="15.9" customHeight="1" x14ac:dyDescent="0.3">
      <c r="A64" s="151"/>
      <c r="B64" s="514" t="s">
        <v>267</v>
      </c>
      <c r="C64" s="514"/>
      <c r="D64" s="289"/>
      <c r="E64" s="289"/>
      <c r="F64" s="289"/>
      <c r="G64" s="286"/>
      <c r="H64" s="289"/>
      <c r="I64" s="289"/>
      <c r="J64" s="289"/>
      <c r="K64" s="286"/>
    </row>
    <row r="65" spans="1:11" ht="15.9" customHeight="1" x14ac:dyDescent="0.3">
      <c r="A65" s="221" t="s">
        <v>181</v>
      </c>
      <c r="B65" s="514" t="s">
        <v>152</v>
      </c>
      <c r="C65" s="514"/>
      <c r="D65" s="290">
        <f>+E65+F65</f>
        <v>62707974</v>
      </c>
      <c r="E65" s="290">
        <v>62707974</v>
      </c>
      <c r="F65" s="290">
        <f>SUM(F66:F67)</f>
        <v>0</v>
      </c>
      <c r="G65" s="284"/>
      <c r="H65" s="290">
        <f>+I65+J65</f>
        <v>62707974</v>
      </c>
      <c r="I65" s="290">
        <v>62707974</v>
      </c>
      <c r="J65" s="290">
        <f>SUM(J66:J67)</f>
        <v>0</v>
      </c>
      <c r="K65" s="284"/>
    </row>
    <row r="66" spans="1:11" s="152" customFormat="1" ht="15.9" customHeight="1" x14ac:dyDescent="0.35">
      <c r="A66" s="151"/>
      <c r="B66" s="262" t="s">
        <v>30</v>
      </c>
      <c r="C66" s="218" t="s">
        <v>102</v>
      </c>
      <c r="D66" s="290">
        <f>+E66+F66</f>
        <v>61523974</v>
      </c>
      <c r="E66" s="283">
        <f>62707974-1184000</f>
        <v>61523974</v>
      </c>
      <c r="F66" s="263"/>
      <c r="G66" s="287"/>
      <c r="H66" s="290">
        <f>+I66+J66</f>
        <v>61523974</v>
      </c>
      <c r="I66" s="283">
        <f>62707974-1184000</f>
        <v>61523974</v>
      </c>
      <c r="J66" s="263"/>
      <c r="K66" s="287"/>
    </row>
    <row r="67" spans="1:11" s="152" customFormat="1" ht="15.9" customHeight="1" x14ac:dyDescent="0.35">
      <c r="A67" s="151"/>
      <c r="B67" s="262" t="s">
        <v>43</v>
      </c>
      <c r="C67" s="218" t="s">
        <v>103</v>
      </c>
      <c r="D67" s="290">
        <f>+E67+F67</f>
        <v>1184000</v>
      </c>
      <c r="E67" s="384">
        <f>280000*2+312000*2</f>
        <v>1184000</v>
      </c>
      <c r="F67" s="185"/>
      <c r="G67" s="287"/>
      <c r="H67" s="290">
        <f>+I67+J67</f>
        <v>1184000</v>
      </c>
      <c r="I67" s="384">
        <f>280000*2+312000*2</f>
        <v>1184000</v>
      </c>
      <c r="J67" s="185"/>
      <c r="K67" s="287"/>
    </row>
    <row r="68" spans="1:11" s="152" customFormat="1" ht="39.75" customHeight="1" x14ac:dyDescent="0.3">
      <c r="A68" s="151" t="s">
        <v>153</v>
      </c>
      <c r="B68" s="485" t="s">
        <v>157</v>
      </c>
      <c r="C68" s="485"/>
      <c r="D68" s="289">
        <f>+E68+F68</f>
        <v>62707974</v>
      </c>
      <c r="E68" s="285">
        <v>62707974</v>
      </c>
      <c r="F68" s="289">
        <f>+F65</f>
        <v>0</v>
      </c>
      <c r="G68" s="287"/>
      <c r="H68" s="289">
        <f>+I68+J68</f>
        <v>62707974</v>
      </c>
      <c r="I68" s="285">
        <v>62707974</v>
      </c>
      <c r="J68" s="289">
        <f>+J65</f>
        <v>0</v>
      </c>
      <c r="K68" s="287"/>
    </row>
    <row r="69" spans="1:11" s="152" customFormat="1" ht="15.9" customHeight="1" x14ac:dyDescent="0.3">
      <c r="A69" s="9" t="s">
        <v>182</v>
      </c>
      <c r="B69" s="489" t="s">
        <v>154</v>
      </c>
      <c r="C69" s="489"/>
      <c r="D69" s="289"/>
      <c r="E69" s="272"/>
      <c r="F69" s="189">
        <f t="shared" ref="F69:F80" si="14">SUM(D69:E69)</f>
        <v>0</v>
      </c>
      <c r="G69" s="267"/>
      <c r="H69" s="289"/>
      <c r="I69" s="272"/>
      <c r="J69" s="189">
        <f t="shared" ref="J69:J72" si="15">SUM(H69:I69)</f>
        <v>0</v>
      </c>
      <c r="K69" s="267"/>
    </row>
    <row r="70" spans="1:11" s="152" customFormat="1" ht="15.9" customHeight="1" x14ac:dyDescent="0.3">
      <c r="A70" s="9" t="s">
        <v>183</v>
      </c>
      <c r="B70" s="489" t="s">
        <v>390</v>
      </c>
      <c r="C70" s="489"/>
      <c r="D70" s="289">
        <f>SUM(D71:D74)</f>
        <v>0</v>
      </c>
      <c r="E70" s="272"/>
      <c r="F70" s="189">
        <f t="shared" si="14"/>
        <v>0</v>
      </c>
      <c r="G70" s="267"/>
      <c r="H70" s="289">
        <f>SUM(H71:H74)</f>
        <v>2800000</v>
      </c>
      <c r="I70" s="272">
        <v>2800000</v>
      </c>
      <c r="J70" s="189"/>
      <c r="K70" s="267"/>
    </row>
    <row r="71" spans="1:11" s="152" customFormat="1" ht="15.9" customHeight="1" x14ac:dyDescent="0.35">
      <c r="A71" s="9"/>
      <c r="B71" s="220" t="s">
        <v>30</v>
      </c>
      <c r="C71" s="218" t="s">
        <v>393</v>
      </c>
      <c r="D71" s="306"/>
      <c r="E71" s="274"/>
      <c r="F71" s="263">
        <f t="shared" si="14"/>
        <v>0</v>
      </c>
      <c r="G71" s="267"/>
      <c r="H71" s="306">
        <v>2800000</v>
      </c>
      <c r="I71" s="274">
        <v>2800000</v>
      </c>
      <c r="J71" s="263"/>
      <c r="K71" s="267"/>
    </row>
    <row r="72" spans="1:11" s="152" customFormat="1" ht="15.9" customHeight="1" x14ac:dyDescent="0.3">
      <c r="A72" s="9"/>
      <c r="B72" s="220" t="s">
        <v>43</v>
      </c>
      <c r="C72" s="218" t="s">
        <v>105</v>
      </c>
      <c r="D72" s="289"/>
      <c r="E72" s="272"/>
      <c r="F72" s="189">
        <f t="shared" si="14"/>
        <v>0</v>
      </c>
      <c r="G72" s="267"/>
      <c r="H72" s="289"/>
      <c r="I72" s="272"/>
      <c r="J72" s="189">
        <f t="shared" si="15"/>
        <v>0</v>
      </c>
      <c r="K72" s="267"/>
    </row>
    <row r="73" spans="1:11" s="152" customFormat="1" ht="15.9" customHeight="1" x14ac:dyDescent="0.35">
      <c r="A73" s="9"/>
      <c r="B73" s="220" t="s">
        <v>44</v>
      </c>
      <c r="C73" s="218" t="s">
        <v>228</v>
      </c>
      <c r="D73" s="306"/>
      <c r="E73" s="272"/>
      <c r="F73" s="189"/>
      <c r="G73" s="267"/>
      <c r="H73" s="306"/>
      <c r="I73" s="272"/>
      <c r="J73" s="189"/>
      <c r="K73" s="267"/>
    </row>
    <row r="74" spans="1:11" s="152" customFormat="1" ht="15.9" customHeight="1" x14ac:dyDescent="0.35">
      <c r="A74" s="9"/>
      <c r="B74" s="220" t="s">
        <v>45</v>
      </c>
      <c r="C74" s="218" t="s">
        <v>229</v>
      </c>
      <c r="D74" s="306"/>
      <c r="E74" s="272"/>
      <c r="F74" s="189"/>
      <c r="G74" s="267"/>
      <c r="H74" s="306"/>
      <c r="I74" s="272"/>
      <c r="J74" s="189"/>
      <c r="K74" s="267"/>
    </row>
    <row r="75" spans="1:11" s="152" customFormat="1" ht="33" customHeight="1" x14ac:dyDescent="0.3">
      <c r="A75" s="151" t="s">
        <v>156</v>
      </c>
      <c r="B75" s="515" t="s">
        <v>158</v>
      </c>
      <c r="C75" s="515"/>
      <c r="D75" s="289">
        <f>+D69+D70</f>
        <v>0</v>
      </c>
      <c r="E75" s="272"/>
      <c r="F75" s="189">
        <f t="shared" si="14"/>
        <v>0</v>
      </c>
      <c r="G75" s="267"/>
      <c r="H75" s="289">
        <f>+H69+H70</f>
        <v>2800000</v>
      </c>
      <c r="I75" s="272">
        <v>2800000</v>
      </c>
      <c r="J75" s="189"/>
      <c r="K75" s="267"/>
    </row>
    <row r="76" spans="1:11" s="152" customFormat="1" ht="15.9" customHeight="1" x14ac:dyDescent="0.3">
      <c r="A76" s="151" t="s">
        <v>159</v>
      </c>
      <c r="B76" s="496" t="s">
        <v>160</v>
      </c>
      <c r="C76" s="496"/>
      <c r="D76" s="289">
        <f>+D68+D75</f>
        <v>62707974</v>
      </c>
      <c r="E76" s="272">
        <f>+E68+E75</f>
        <v>62707974</v>
      </c>
      <c r="F76" s="272">
        <f>+F68+F75</f>
        <v>0</v>
      </c>
      <c r="G76" s="267"/>
      <c r="H76" s="289">
        <f>+H68+H75</f>
        <v>65507974</v>
      </c>
      <c r="I76" s="272">
        <f>+I68+I75</f>
        <v>65507974</v>
      </c>
      <c r="J76" s="272"/>
      <c r="K76" s="267"/>
    </row>
    <row r="77" spans="1:11" s="152" customFormat="1" ht="15.9" customHeight="1" x14ac:dyDescent="0.3">
      <c r="A77" s="9" t="s">
        <v>184</v>
      </c>
      <c r="B77" s="489" t="s">
        <v>251</v>
      </c>
      <c r="C77" s="489"/>
      <c r="D77" s="289">
        <f>+E77+F77+G77</f>
        <v>100415352</v>
      </c>
      <c r="E77" s="272">
        <v>100415352</v>
      </c>
      <c r="F77" s="189"/>
      <c r="G77" s="267"/>
      <c r="H77" s="289">
        <f>+I77+J77+K77</f>
        <v>100415352</v>
      </c>
      <c r="I77" s="272">
        <v>100415352</v>
      </c>
      <c r="J77" s="189"/>
      <c r="K77" s="267"/>
    </row>
    <row r="78" spans="1:11" s="152" customFormat="1" ht="15.9" customHeight="1" x14ac:dyDescent="0.35">
      <c r="A78" s="9" t="s">
        <v>185</v>
      </c>
      <c r="B78" s="489" t="s">
        <v>390</v>
      </c>
      <c r="C78" s="489"/>
      <c r="D78" s="306">
        <f>E78+F78</f>
        <v>0</v>
      </c>
      <c r="E78" s="274">
        <f>E79+E80</f>
        <v>0</v>
      </c>
      <c r="F78" s="274">
        <f>F79+F80</f>
        <v>0</v>
      </c>
      <c r="G78" s="267"/>
      <c r="H78" s="306">
        <f>I78+J78</f>
        <v>2988900</v>
      </c>
      <c r="I78" s="274">
        <f>I79+I80</f>
        <v>2988900</v>
      </c>
      <c r="J78" s="274"/>
      <c r="K78" s="267"/>
    </row>
    <row r="79" spans="1:11" s="152" customFormat="1" ht="15.9" customHeight="1" x14ac:dyDescent="0.35">
      <c r="A79" s="9"/>
      <c r="B79" s="220" t="s">
        <v>30</v>
      </c>
      <c r="C79" s="445" t="s">
        <v>392</v>
      </c>
      <c r="D79" s="306"/>
      <c r="E79" s="274"/>
      <c r="F79" s="263">
        <f t="shared" si="14"/>
        <v>0</v>
      </c>
      <c r="G79" s="267"/>
      <c r="H79" s="306">
        <v>2800000</v>
      </c>
      <c r="I79" s="274">
        <v>2800000</v>
      </c>
      <c r="J79" s="263"/>
      <c r="K79" s="267"/>
    </row>
    <row r="80" spans="1:11" s="152" customFormat="1" ht="15.9" customHeight="1" x14ac:dyDescent="0.35">
      <c r="A80" s="9"/>
      <c r="B80" s="220" t="s">
        <v>43</v>
      </c>
      <c r="C80" s="218" t="s">
        <v>391</v>
      </c>
      <c r="D80" s="306"/>
      <c r="E80" s="274"/>
      <c r="F80" s="263">
        <f t="shared" si="14"/>
        <v>0</v>
      </c>
      <c r="G80" s="267"/>
      <c r="H80" s="306">
        <v>188900</v>
      </c>
      <c r="I80" s="274">
        <v>188900</v>
      </c>
      <c r="J80" s="263"/>
      <c r="K80" s="267"/>
    </row>
    <row r="81" spans="1:11" s="152" customFormat="1" ht="15.9" customHeight="1" x14ac:dyDescent="0.35">
      <c r="A81" s="9" t="s">
        <v>305</v>
      </c>
      <c r="B81" s="516" t="s">
        <v>349</v>
      </c>
      <c r="C81" s="517"/>
      <c r="D81" s="306">
        <f>E81+F81</f>
        <v>4903619</v>
      </c>
      <c r="E81" s="274">
        <v>4903619</v>
      </c>
      <c r="F81" s="263">
        <v>0</v>
      </c>
      <c r="G81" s="267"/>
      <c r="H81" s="306">
        <f>I81+J81</f>
        <v>4903619</v>
      </c>
      <c r="I81" s="274">
        <v>4903619</v>
      </c>
      <c r="J81" s="263">
        <v>0</v>
      </c>
      <c r="K81" s="267"/>
    </row>
    <row r="82" spans="1:11" s="152" customFormat="1" ht="15.9" customHeight="1" x14ac:dyDescent="0.3">
      <c r="A82" s="151" t="s">
        <v>162</v>
      </c>
      <c r="B82" s="496" t="s">
        <v>163</v>
      </c>
      <c r="C82" s="496"/>
      <c r="D82" s="289">
        <f>+D77+D78+D81</f>
        <v>105318971</v>
      </c>
      <c r="E82" s="272">
        <f>+E77+E78+E81</f>
        <v>105318971</v>
      </c>
      <c r="F82" s="272">
        <f>+F77+F78+F81</f>
        <v>0</v>
      </c>
      <c r="G82" s="267"/>
      <c r="H82" s="289">
        <f>+H77+H78+H81</f>
        <v>108307871</v>
      </c>
      <c r="I82" s="272">
        <f>+I77+I78+I81</f>
        <v>108307871</v>
      </c>
      <c r="J82" s="272">
        <f>+J77+J78+J81</f>
        <v>0</v>
      </c>
      <c r="K82" s="267"/>
    </row>
    <row r="83" spans="1:11" s="152" customFormat="1" ht="15.9" customHeight="1" x14ac:dyDescent="0.3">
      <c r="A83" s="151" t="s">
        <v>204</v>
      </c>
      <c r="B83" s="496" t="s">
        <v>206</v>
      </c>
      <c r="C83" s="496"/>
      <c r="D83" s="308">
        <f t="shared" ref="D83:K83" si="16">+D31+D82</f>
        <v>292828444</v>
      </c>
      <c r="E83" s="307">
        <f t="shared" si="16"/>
        <v>288096059</v>
      </c>
      <c r="F83" s="168">
        <f t="shared" si="16"/>
        <v>4732385</v>
      </c>
      <c r="G83" s="168">
        <f t="shared" si="16"/>
        <v>0</v>
      </c>
      <c r="H83" s="308">
        <f t="shared" si="16"/>
        <v>399478057</v>
      </c>
      <c r="I83" s="307">
        <f t="shared" si="16"/>
        <v>394545672</v>
      </c>
      <c r="J83" s="168">
        <f t="shared" si="16"/>
        <v>4932385</v>
      </c>
      <c r="K83" s="168">
        <f t="shared" si="16"/>
        <v>0</v>
      </c>
    </row>
    <row r="84" spans="1:11" s="152" customFormat="1" ht="15.9" customHeight="1" thickBot="1" x14ac:dyDescent="0.35">
      <c r="A84" s="169" t="s">
        <v>205</v>
      </c>
      <c r="B84" s="170" t="s">
        <v>207</v>
      </c>
      <c r="C84" s="170"/>
      <c r="D84" s="172">
        <f t="shared" ref="D84:K84" si="17">+D62+D76</f>
        <v>292828444</v>
      </c>
      <c r="E84" s="172">
        <f t="shared" si="17"/>
        <v>292828444</v>
      </c>
      <c r="F84" s="172">
        <f t="shared" si="17"/>
        <v>0</v>
      </c>
      <c r="G84" s="172">
        <f t="shared" si="17"/>
        <v>0</v>
      </c>
      <c r="H84" s="172">
        <f t="shared" si="17"/>
        <v>399478057</v>
      </c>
      <c r="I84" s="172">
        <f t="shared" si="17"/>
        <v>399478057</v>
      </c>
      <c r="J84" s="172">
        <f t="shared" si="17"/>
        <v>0</v>
      </c>
      <c r="K84" s="172">
        <f t="shared" si="17"/>
        <v>0</v>
      </c>
    </row>
    <row r="85" spans="1:11" ht="20.100000000000001" customHeight="1" x14ac:dyDescent="0.25">
      <c r="B85" s="15"/>
      <c r="C85" s="15"/>
      <c r="D85" s="16"/>
      <c r="E85" s="16"/>
      <c r="F85" s="16"/>
    </row>
    <row r="86" spans="1:11" ht="20.100000000000001" customHeight="1" x14ac:dyDescent="0.25">
      <c r="B86" s="15"/>
      <c r="C86" s="15"/>
      <c r="D86" s="176">
        <f t="shared" ref="D86:K86" si="18">+D84-D83</f>
        <v>0</v>
      </c>
      <c r="E86" s="176">
        <f t="shared" si="18"/>
        <v>4732385</v>
      </c>
      <c r="F86" s="176">
        <f t="shared" si="18"/>
        <v>-4732385</v>
      </c>
      <c r="G86" s="176">
        <f t="shared" si="18"/>
        <v>0</v>
      </c>
      <c r="H86" s="176">
        <f t="shared" si="18"/>
        <v>0</v>
      </c>
      <c r="I86" s="176">
        <f t="shared" si="18"/>
        <v>4932385</v>
      </c>
      <c r="J86" s="176">
        <f t="shared" si="18"/>
        <v>-4932385</v>
      </c>
      <c r="K86" s="176">
        <f t="shared" si="18"/>
        <v>0</v>
      </c>
    </row>
    <row r="87" spans="1:11" ht="20.100000000000001" customHeight="1" x14ac:dyDescent="0.25">
      <c r="B87" s="15"/>
      <c r="C87" s="15"/>
      <c r="D87" s="16"/>
      <c r="E87" s="16"/>
      <c r="F87" s="16"/>
    </row>
    <row r="88" spans="1:11" ht="20.100000000000001" customHeight="1" x14ac:dyDescent="0.25">
      <c r="B88" s="15"/>
      <c r="C88" s="15"/>
      <c r="D88" s="16"/>
      <c r="E88" s="16"/>
      <c r="F88" s="16"/>
    </row>
    <row r="89" spans="1:11" ht="20.100000000000001" customHeight="1" x14ac:dyDescent="0.25">
      <c r="B89" s="15"/>
      <c r="C89" s="15"/>
      <c r="D89" s="16"/>
      <c r="E89" s="16"/>
      <c r="F89" s="16"/>
    </row>
    <row r="90" spans="1:11" ht="20.100000000000001" customHeight="1" x14ac:dyDescent="0.25">
      <c r="B90" s="15"/>
      <c r="C90" s="15"/>
      <c r="D90" s="16"/>
      <c r="E90" s="16"/>
      <c r="F90" s="16"/>
    </row>
    <row r="91" spans="1:11" ht="20.100000000000001" customHeight="1" x14ac:dyDescent="0.25">
      <c r="B91" s="15"/>
      <c r="C91" s="15"/>
      <c r="D91" s="16"/>
      <c r="E91" s="16"/>
      <c r="F91" s="16"/>
    </row>
    <row r="92" spans="1:11" ht="20.100000000000001" customHeight="1" x14ac:dyDescent="0.25">
      <c r="B92" s="15"/>
      <c r="C92" s="15"/>
      <c r="D92" s="16"/>
      <c r="E92" s="16"/>
      <c r="F92" s="16"/>
    </row>
    <row r="93" spans="1:11" ht="20.100000000000001" customHeight="1" x14ac:dyDescent="0.25">
      <c r="B93" s="15"/>
      <c r="C93" s="15"/>
      <c r="D93" s="16"/>
      <c r="E93" s="16"/>
      <c r="F93" s="16"/>
    </row>
    <row r="94" spans="1:11" ht="20.100000000000001" customHeight="1" x14ac:dyDescent="0.25">
      <c r="B94" s="15"/>
      <c r="C94" s="15"/>
      <c r="D94" s="16"/>
      <c r="E94" s="16"/>
      <c r="F94" s="16"/>
    </row>
    <row r="95" spans="1:11" ht="20.100000000000001" customHeight="1" x14ac:dyDescent="0.25">
      <c r="B95" s="15"/>
      <c r="C95" s="15"/>
      <c r="D95" s="16"/>
      <c r="E95" s="16"/>
      <c r="F95" s="16"/>
    </row>
    <row r="96" spans="1:11" ht="20.100000000000001" customHeight="1" x14ac:dyDescent="0.25">
      <c r="B96" s="15"/>
      <c r="C96" s="15"/>
      <c r="D96" s="16"/>
      <c r="E96" s="16"/>
      <c r="F96" s="16"/>
    </row>
    <row r="97" spans="2:6" ht="20.100000000000001" customHeight="1" x14ac:dyDescent="0.25">
      <c r="B97" s="15"/>
      <c r="C97" s="15"/>
      <c r="D97" s="16"/>
      <c r="E97" s="16"/>
      <c r="F97" s="16"/>
    </row>
    <row r="98" spans="2:6" ht="20.100000000000001" customHeight="1" x14ac:dyDescent="0.25">
      <c r="B98" s="15"/>
      <c r="C98" s="15"/>
      <c r="D98" s="16"/>
      <c r="E98" s="16"/>
      <c r="F98" s="16"/>
    </row>
    <row r="99" spans="2:6" ht="20.100000000000001" customHeight="1" x14ac:dyDescent="0.25">
      <c r="B99" s="15"/>
      <c r="C99" s="15"/>
      <c r="D99" s="16"/>
      <c r="E99" s="16"/>
      <c r="F99" s="16"/>
    </row>
    <row r="100" spans="2:6" ht="20.100000000000001" customHeight="1" x14ac:dyDescent="0.25">
      <c r="B100" s="15"/>
      <c r="C100" s="15"/>
      <c r="D100" s="16"/>
      <c r="E100" s="16"/>
      <c r="F100" s="16"/>
    </row>
    <row r="101" spans="2:6" ht="20.100000000000001" customHeight="1" x14ac:dyDescent="0.25">
      <c r="B101" s="15"/>
      <c r="C101" s="15"/>
      <c r="D101" s="16"/>
      <c r="E101" s="16"/>
      <c r="F101" s="16"/>
    </row>
    <row r="102" spans="2:6" ht="20.100000000000001" customHeight="1" x14ac:dyDescent="0.25">
      <c r="B102" s="15"/>
      <c r="C102" s="15"/>
      <c r="D102" s="16"/>
      <c r="E102" s="16"/>
      <c r="F102" s="16"/>
    </row>
    <row r="103" spans="2:6" ht="20.100000000000001" customHeight="1" x14ac:dyDescent="0.25">
      <c r="B103" s="15"/>
      <c r="C103" s="15"/>
      <c r="D103" s="16"/>
      <c r="E103" s="16"/>
      <c r="F103" s="16"/>
    </row>
    <row r="104" spans="2:6" ht="20.100000000000001" customHeight="1" x14ac:dyDescent="0.25">
      <c r="B104" s="15"/>
      <c r="C104" s="15"/>
      <c r="D104" s="16"/>
      <c r="E104" s="16"/>
      <c r="F104" s="16"/>
    </row>
    <row r="105" spans="2:6" ht="20.100000000000001" customHeight="1" x14ac:dyDescent="0.25">
      <c r="B105" s="15"/>
      <c r="C105" s="15"/>
      <c r="D105" s="16"/>
      <c r="E105" s="16"/>
      <c r="F105" s="16"/>
    </row>
    <row r="106" spans="2:6" ht="20.100000000000001" customHeight="1" x14ac:dyDescent="0.25">
      <c r="B106" s="15"/>
      <c r="C106" s="15"/>
      <c r="D106" s="16"/>
      <c r="E106" s="16"/>
      <c r="F106" s="16"/>
    </row>
  </sheetData>
  <mergeCells count="65">
    <mergeCell ref="A1:F1"/>
    <mergeCell ref="A4:F4"/>
    <mergeCell ref="A3:F3"/>
    <mergeCell ref="A2:F2"/>
    <mergeCell ref="B64:C64"/>
    <mergeCell ref="F6:F7"/>
    <mergeCell ref="D6:D7"/>
    <mergeCell ref="D8:F8"/>
    <mergeCell ref="B77:C77"/>
    <mergeCell ref="B25:C25"/>
    <mergeCell ref="B43:C43"/>
    <mergeCell ref="B28:C28"/>
    <mergeCell ref="A6:A8"/>
    <mergeCell ref="B6:C8"/>
    <mergeCell ref="B24:C24"/>
    <mergeCell ref="B14:C14"/>
    <mergeCell ref="B19:C19"/>
    <mergeCell ref="B15:C15"/>
    <mergeCell ref="B16:C16"/>
    <mergeCell ref="I6:I7"/>
    <mergeCell ref="B22:C22"/>
    <mergeCell ref="E6:E7"/>
    <mergeCell ref="B18:C18"/>
    <mergeCell ref="B17:C17"/>
    <mergeCell ref="B13:C13"/>
    <mergeCell ref="B11:C11"/>
    <mergeCell ref="B12:C12"/>
    <mergeCell ref="B9:C9"/>
    <mergeCell ref="B10:C10"/>
    <mergeCell ref="B20:C20"/>
    <mergeCell ref="B21:C21"/>
    <mergeCell ref="H6:H7"/>
    <mergeCell ref="G6:G7"/>
    <mergeCell ref="B83:C83"/>
    <mergeCell ref="B32:C32"/>
    <mergeCell ref="B34:C34"/>
    <mergeCell ref="B49:C49"/>
    <mergeCell ref="B70:C70"/>
    <mergeCell ref="B75:C75"/>
    <mergeCell ref="B33:C33"/>
    <mergeCell ref="B60:C60"/>
    <mergeCell ref="B59:C59"/>
    <mergeCell ref="B82:C82"/>
    <mergeCell ref="B65:C65"/>
    <mergeCell ref="B78:C78"/>
    <mergeCell ref="B68:C68"/>
    <mergeCell ref="B69:C69"/>
    <mergeCell ref="B76:C76"/>
    <mergeCell ref="B81:C81"/>
    <mergeCell ref="J6:J7"/>
    <mergeCell ref="K6:K7"/>
    <mergeCell ref="H8:J8"/>
    <mergeCell ref="B63:C63"/>
    <mergeCell ref="B31:C31"/>
    <mergeCell ref="B26:C26"/>
    <mergeCell ref="B27:C27"/>
    <mergeCell ref="B30:C30"/>
    <mergeCell ref="B48:C48"/>
    <mergeCell ref="B55:C55"/>
    <mergeCell ref="B52:C52"/>
    <mergeCell ref="B39:C39"/>
    <mergeCell ref="B62:C62"/>
    <mergeCell ref="B29:C29"/>
    <mergeCell ref="B61:C61"/>
    <mergeCell ref="B35:C35"/>
  </mergeCells>
  <phoneticPr fontId="3" type="noConversion"/>
  <printOptions horizontalCentered="1"/>
  <pageMargins left="0.19685039370078741" right="0.15748031496062992" top="0.23622047244094491" bottom="0.15748031496062992" header="0.15748031496062992" footer="0.15748031496062992"/>
  <pageSetup paperSize="9" scale="44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67"/>
  <sheetViews>
    <sheetView showGridLines="0" topLeftCell="A4" zoomScaleNormal="100" zoomScaleSheetLayoutView="100" workbookViewId="0">
      <selection activeCell="A14" sqref="A14:S14"/>
    </sheetView>
  </sheetViews>
  <sheetFormatPr defaultColWidth="9.109375" defaultRowHeight="13.2" x14ac:dyDescent="0.25"/>
  <cols>
    <col min="1" max="6" width="3.33203125" style="21" customWidth="1"/>
    <col min="7" max="7" width="5.109375" style="21" customWidth="1"/>
    <col min="8" max="11" width="3.33203125" style="21" customWidth="1"/>
    <col min="12" max="12" width="4.33203125" style="21" customWidth="1"/>
    <col min="13" max="14" width="3.33203125" style="21" customWidth="1"/>
    <col min="15" max="15" width="4.44140625" style="21" customWidth="1"/>
    <col min="16" max="19" width="3.33203125" style="21" customWidth="1"/>
    <col min="20" max="20" width="2.44140625" style="21" customWidth="1"/>
    <col min="21" max="21" width="3.33203125" style="21" customWidth="1"/>
    <col min="22" max="22" width="16.5546875" style="378" customWidth="1"/>
    <col min="23" max="25" width="3.33203125" style="21" customWidth="1"/>
    <col min="26" max="26" width="1.88671875" style="21" customWidth="1"/>
    <col min="27" max="27" width="4.5546875" style="21" customWidth="1"/>
    <col min="28" max="35" width="3.33203125" style="21" hidden="1" customWidth="1"/>
    <col min="36" max="36" width="9.109375" style="21"/>
    <col min="37" max="37" width="15.33203125" style="21" bestFit="1" customWidth="1"/>
    <col min="38" max="38" width="11" style="21" bestFit="1" customWidth="1"/>
    <col min="39" max="16384" width="9.109375" style="21"/>
  </cols>
  <sheetData>
    <row r="1" spans="1:38" s="25" customFormat="1" ht="22.5" customHeight="1" x14ac:dyDescent="0.3">
      <c r="A1" s="532" t="s">
        <v>338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  <c r="R1" s="532"/>
      <c r="S1" s="532"/>
      <c r="T1" s="532"/>
      <c r="U1" s="532"/>
      <c r="V1" s="532"/>
      <c r="W1" s="532"/>
      <c r="X1" s="532"/>
      <c r="Y1" s="532"/>
      <c r="Z1" s="532"/>
      <c r="AA1" s="532"/>
      <c r="AB1" s="532"/>
      <c r="AC1" s="532"/>
      <c r="AD1" s="532"/>
      <c r="AE1" s="532"/>
      <c r="AF1" s="532"/>
      <c r="AG1" s="532"/>
      <c r="AH1" s="532"/>
      <c r="AI1" s="532"/>
    </row>
    <row r="2" spans="1:38" s="25" customFormat="1" ht="15.6" x14ac:dyDescent="0.3">
      <c r="A2" s="532"/>
      <c r="B2" s="532"/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  <c r="P2" s="532"/>
      <c r="Q2" s="532"/>
      <c r="R2" s="532"/>
      <c r="S2" s="532"/>
      <c r="T2" s="532"/>
      <c r="U2" s="532"/>
      <c r="V2" s="532"/>
      <c r="W2" s="532"/>
      <c r="X2" s="532"/>
      <c r="Y2" s="532"/>
      <c r="Z2" s="532"/>
      <c r="AA2" s="532"/>
      <c r="AB2" s="532"/>
      <c r="AC2" s="532"/>
      <c r="AD2" s="532"/>
      <c r="AE2" s="532"/>
      <c r="AF2" s="532"/>
      <c r="AG2" s="532"/>
      <c r="AH2" s="532"/>
      <c r="AI2" s="532"/>
    </row>
    <row r="3" spans="1:38" s="25" customFormat="1" ht="15.6" x14ac:dyDescent="0.3">
      <c r="A3" s="26"/>
      <c r="B3" s="26"/>
      <c r="C3" s="26"/>
      <c r="D3" s="26"/>
      <c r="E3" s="26"/>
      <c r="F3" s="532" t="s">
        <v>246</v>
      </c>
      <c r="G3" s="533"/>
      <c r="H3" s="532"/>
      <c r="I3" s="532"/>
      <c r="J3" s="532"/>
      <c r="K3" s="532"/>
      <c r="L3" s="532"/>
      <c r="M3" s="532"/>
      <c r="N3" s="532"/>
      <c r="O3" s="532"/>
      <c r="P3" s="532"/>
      <c r="Q3" s="532"/>
      <c r="R3" s="532"/>
      <c r="S3" s="532"/>
      <c r="T3" s="532"/>
      <c r="U3" s="532"/>
      <c r="V3" s="37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</row>
    <row r="4" spans="1:38" ht="15.6" x14ac:dyDescent="0.25">
      <c r="A4" s="536" t="s">
        <v>208</v>
      </c>
      <c r="B4" s="536"/>
      <c r="C4" s="536"/>
      <c r="D4" s="536"/>
      <c r="E4" s="536"/>
      <c r="F4" s="536"/>
      <c r="G4" s="536"/>
      <c r="H4" s="536"/>
      <c r="I4" s="536"/>
      <c r="J4" s="536"/>
      <c r="K4" s="536"/>
      <c r="L4" s="536"/>
      <c r="M4" s="536"/>
      <c r="N4" s="536"/>
      <c r="O4" s="536"/>
      <c r="P4" s="536"/>
      <c r="Q4" s="536"/>
      <c r="R4" s="536"/>
      <c r="S4" s="536"/>
      <c r="T4" s="536"/>
      <c r="U4" s="536"/>
      <c r="V4" s="536"/>
      <c r="W4" s="536"/>
      <c r="X4" s="536"/>
      <c r="Y4" s="536"/>
      <c r="Z4" s="536"/>
      <c r="AA4" s="536"/>
      <c r="AB4" s="536"/>
      <c r="AC4" s="536"/>
      <c r="AD4" s="536"/>
      <c r="AE4" s="536"/>
      <c r="AF4" s="536"/>
      <c r="AG4" s="536"/>
      <c r="AH4" s="536"/>
      <c r="AI4" s="536"/>
    </row>
    <row r="5" spans="1:38" ht="15.6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377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</row>
    <row r="6" spans="1:38" x14ac:dyDescent="0.25">
      <c r="X6" s="21" t="s">
        <v>253</v>
      </c>
      <c r="AH6" s="23" t="s">
        <v>203</v>
      </c>
    </row>
    <row r="7" spans="1:38" ht="24.75" customHeight="1" x14ac:dyDescent="0.25">
      <c r="A7" s="528" t="s">
        <v>326</v>
      </c>
      <c r="B7" s="528"/>
      <c r="C7" s="528"/>
      <c r="D7" s="528"/>
      <c r="E7" s="528"/>
      <c r="F7" s="528"/>
      <c r="G7" s="528"/>
      <c r="H7" s="528"/>
      <c r="I7" s="528"/>
      <c r="J7" s="528"/>
      <c r="K7" s="528"/>
      <c r="L7" s="528"/>
      <c r="M7" s="528"/>
      <c r="N7" s="528"/>
      <c r="O7" s="528"/>
      <c r="P7" s="528"/>
      <c r="Q7" s="528"/>
      <c r="R7" s="528"/>
      <c r="S7" s="528"/>
      <c r="T7" s="529">
        <v>1</v>
      </c>
      <c r="U7" s="529"/>
      <c r="V7" s="379">
        <v>4560000</v>
      </c>
      <c r="W7" s="530" t="s">
        <v>380</v>
      </c>
      <c r="X7" s="531"/>
      <c r="Y7" s="531"/>
      <c r="Z7" s="531"/>
      <c r="AA7" s="531"/>
      <c r="AB7" s="526"/>
      <c r="AC7" s="526"/>
      <c r="AD7" s="526"/>
      <c r="AE7" s="526"/>
      <c r="AF7" s="526"/>
      <c r="AG7" s="312"/>
      <c r="AH7" s="312"/>
      <c r="AI7" s="312"/>
    </row>
    <row r="8" spans="1:38" ht="22.5" customHeight="1" x14ac:dyDescent="0.25">
      <c r="A8" s="528" t="s">
        <v>327</v>
      </c>
      <c r="B8" s="528"/>
      <c r="C8" s="528"/>
      <c r="D8" s="528"/>
      <c r="E8" s="528"/>
      <c r="F8" s="528"/>
      <c r="G8" s="528"/>
      <c r="H8" s="528"/>
      <c r="I8" s="528"/>
      <c r="J8" s="528"/>
      <c r="K8" s="528"/>
      <c r="L8" s="528"/>
      <c r="M8" s="528"/>
      <c r="N8" s="528"/>
      <c r="O8" s="528"/>
      <c r="P8" s="528"/>
      <c r="Q8" s="528"/>
      <c r="R8" s="528"/>
      <c r="S8" s="528"/>
      <c r="T8" s="529">
        <v>2</v>
      </c>
      <c r="U8" s="529"/>
      <c r="V8" s="379">
        <v>192000</v>
      </c>
      <c r="W8" s="530" t="s">
        <v>381</v>
      </c>
      <c r="X8" s="531"/>
      <c r="Y8" s="531"/>
      <c r="Z8" s="531"/>
      <c r="AA8" s="531"/>
      <c r="AB8" s="312"/>
      <c r="AC8" s="312"/>
      <c r="AD8" s="312"/>
      <c r="AE8" s="312"/>
      <c r="AF8" s="312"/>
      <c r="AG8" s="312"/>
      <c r="AH8" s="312"/>
      <c r="AI8" s="312"/>
    </row>
    <row r="9" spans="1:38" ht="19.5" customHeight="1" x14ac:dyDescent="0.25">
      <c r="A9" s="528" t="s">
        <v>328</v>
      </c>
      <c r="B9" s="528"/>
      <c r="C9" s="528"/>
      <c r="D9" s="528"/>
      <c r="E9" s="528"/>
      <c r="F9" s="528"/>
      <c r="G9" s="528"/>
      <c r="H9" s="528"/>
      <c r="I9" s="528"/>
      <c r="J9" s="528"/>
      <c r="K9" s="528"/>
      <c r="L9" s="528"/>
      <c r="M9" s="528"/>
      <c r="N9" s="528"/>
      <c r="O9" s="528"/>
      <c r="P9" s="528"/>
      <c r="Q9" s="528"/>
      <c r="R9" s="528"/>
      <c r="S9" s="528"/>
      <c r="T9" s="529">
        <v>3</v>
      </c>
      <c r="U9" s="529"/>
      <c r="V9" s="379"/>
      <c r="W9" s="527"/>
      <c r="X9" s="527"/>
      <c r="Y9" s="527"/>
      <c r="Z9" s="527"/>
      <c r="AA9" s="527"/>
      <c r="AB9" s="526"/>
      <c r="AC9" s="526"/>
      <c r="AD9" s="526"/>
      <c r="AE9" s="526"/>
      <c r="AF9" s="526"/>
      <c r="AG9" s="312"/>
      <c r="AH9" s="312"/>
      <c r="AI9" s="312"/>
    </row>
    <row r="10" spans="1:38" ht="19.5" customHeight="1" x14ac:dyDescent="0.25">
      <c r="A10" s="528"/>
      <c r="B10" s="528"/>
      <c r="C10" s="528"/>
      <c r="D10" s="528"/>
      <c r="E10" s="528"/>
      <c r="F10" s="528"/>
      <c r="G10" s="528"/>
      <c r="H10" s="528"/>
      <c r="I10" s="528"/>
      <c r="J10" s="528"/>
      <c r="K10" s="528"/>
      <c r="L10" s="528"/>
      <c r="M10" s="528"/>
      <c r="N10" s="528"/>
      <c r="O10" s="528"/>
      <c r="P10" s="528"/>
      <c r="Q10" s="528"/>
      <c r="R10" s="528"/>
      <c r="S10" s="528"/>
      <c r="T10" s="529">
        <v>4</v>
      </c>
      <c r="U10" s="529"/>
      <c r="V10" s="379"/>
      <c r="W10" s="527"/>
      <c r="X10" s="527"/>
      <c r="Y10" s="527"/>
      <c r="Z10" s="527"/>
      <c r="AA10" s="527"/>
      <c r="AB10" s="526"/>
      <c r="AC10" s="526"/>
      <c r="AD10" s="526"/>
      <c r="AE10" s="526"/>
      <c r="AF10" s="526"/>
      <c r="AG10" s="312"/>
      <c r="AH10" s="312"/>
      <c r="AI10" s="312"/>
    </row>
    <row r="11" spans="1:38" ht="19.5" customHeight="1" x14ac:dyDescent="0.25">
      <c r="A11" s="534" t="s">
        <v>329</v>
      </c>
      <c r="B11" s="535"/>
      <c r="C11" s="535"/>
      <c r="D11" s="535"/>
      <c r="E11" s="535"/>
      <c r="F11" s="535"/>
      <c r="G11" s="535"/>
      <c r="H11" s="535"/>
      <c r="I11" s="535"/>
      <c r="J11" s="535"/>
      <c r="K11" s="535"/>
      <c r="L11" s="535"/>
      <c r="M11" s="535"/>
      <c r="N11" s="535"/>
      <c r="O11" s="535"/>
      <c r="P11" s="535"/>
      <c r="Q11" s="535"/>
      <c r="R11" s="535"/>
      <c r="S11" s="535"/>
      <c r="T11" s="529">
        <v>5</v>
      </c>
      <c r="U11" s="529"/>
      <c r="V11" s="381">
        <f>SUM(V7:V10)</f>
        <v>4752000</v>
      </c>
      <c r="W11" s="527"/>
      <c r="X11" s="527"/>
      <c r="Y11" s="527"/>
      <c r="Z11" s="527"/>
      <c r="AA11" s="527"/>
      <c r="AB11" s="526"/>
      <c r="AC11" s="526"/>
      <c r="AD11" s="526"/>
      <c r="AE11" s="526"/>
      <c r="AF11" s="526"/>
      <c r="AG11" s="312"/>
      <c r="AH11" s="312"/>
      <c r="AI11" s="312"/>
    </row>
    <row r="12" spans="1:38" ht="19.5" customHeight="1" x14ac:dyDescent="0.25">
      <c r="A12" s="528" t="s">
        <v>330</v>
      </c>
      <c r="B12" s="528"/>
      <c r="C12" s="528"/>
      <c r="D12" s="528"/>
      <c r="E12" s="528"/>
      <c r="F12" s="528"/>
      <c r="G12" s="528"/>
      <c r="H12" s="528"/>
      <c r="I12" s="528"/>
      <c r="J12" s="528"/>
      <c r="K12" s="528"/>
      <c r="L12" s="528"/>
      <c r="M12" s="528"/>
      <c r="N12" s="528"/>
      <c r="O12" s="528"/>
      <c r="P12" s="528"/>
      <c r="Q12" s="528"/>
      <c r="R12" s="528"/>
      <c r="S12" s="528"/>
      <c r="T12" s="529">
        <v>6</v>
      </c>
      <c r="U12" s="529"/>
      <c r="V12" s="379">
        <f>119029+338000+234000</f>
        <v>691029</v>
      </c>
      <c r="W12" s="527" t="s">
        <v>381</v>
      </c>
      <c r="X12" s="527"/>
      <c r="Y12" s="527"/>
      <c r="Z12" s="527"/>
      <c r="AA12" s="527"/>
      <c r="AB12" s="526"/>
      <c r="AC12" s="526"/>
      <c r="AD12" s="526"/>
      <c r="AE12" s="526"/>
      <c r="AF12" s="526"/>
      <c r="AG12" s="312"/>
      <c r="AH12" s="312"/>
      <c r="AI12" s="312"/>
    </row>
    <row r="13" spans="1:38" ht="19.5" customHeight="1" x14ac:dyDescent="0.25">
      <c r="A13" s="528" t="s">
        <v>400</v>
      </c>
      <c r="B13" s="528"/>
      <c r="C13" s="528"/>
      <c r="D13" s="528"/>
      <c r="E13" s="528"/>
      <c r="F13" s="528"/>
      <c r="G13" s="528"/>
      <c r="H13" s="528"/>
      <c r="I13" s="528"/>
      <c r="J13" s="528"/>
      <c r="K13" s="528"/>
      <c r="L13" s="528"/>
      <c r="M13" s="528"/>
      <c r="N13" s="528"/>
      <c r="O13" s="528"/>
      <c r="P13" s="528"/>
      <c r="Q13" s="528"/>
      <c r="R13" s="528"/>
      <c r="S13" s="528"/>
      <c r="T13" s="529">
        <v>7</v>
      </c>
      <c r="U13" s="529"/>
      <c r="V13" s="379">
        <f>2366000/7000*5000</f>
        <v>1690000</v>
      </c>
      <c r="W13" s="527" t="s">
        <v>381</v>
      </c>
      <c r="X13" s="527"/>
      <c r="Y13" s="527"/>
      <c r="Z13" s="527"/>
      <c r="AA13" s="527"/>
      <c r="AB13" s="526"/>
      <c r="AC13" s="526"/>
      <c r="AD13" s="526"/>
      <c r="AE13" s="526"/>
      <c r="AF13" s="526"/>
      <c r="AG13" s="312"/>
      <c r="AH13" s="312"/>
      <c r="AI13" s="312"/>
      <c r="AK13" s="378"/>
      <c r="AL13" s="439"/>
    </row>
    <row r="14" spans="1:38" ht="19.5" customHeight="1" x14ac:dyDescent="0.25">
      <c r="A14" s="528" t="s">
        <v>399</v>
      </c>
      <c r="B14" s="528"/>
      <c r="C14" s="528"/>
      <c r="D14" s="528"/>
      <c r="E14" s="528"/>
      <c r="F14" s="528"/>
      <c r="G14" s="528"/>
      <c r="H14" s="528"/>
      <c r="I14" s="528"/>
      <c r="J14" s="528"/>
      <c r="K14" s="528"/>
      <c r="L14" s="528"/>
      <c r="M14" s="528"/>
      <c r="N14" s="528"/>
      <c r="O14" s="528"/>
      <c r="P14" s="528"/>
      <c r="Q14" s="528"/>
      <c r="R14" s="528"/>
      <c r="S14" s="528"/>
      <c r="T14" s="529">
        <v>8</v>
      </c>
      <c r="U14" s="529"/>
      <c r="V14" s="379">
        <f>234*5000</f>
        <v>1170000</v>
      </c>
      <c r="W14" s="527" t="s">
        <v>381</v>
      </c>
      <c r="X14" s="527"/>
      <c r="Y14" s="527"/>
      <c r="Z14" s="527"/>
      <c r="AA14" s="527"/>
      <c r="AB14" s="526"/>
      <c r="AC14" s="526"/>
      <c r="AD14" s="526"/>
      <c r="AE14" s="526"/>
      <c r="AF14" s="526"/>
      <c r="AG14" s="312"/>
      <c r="AH14" s="312"/>
      <c r="AI14" s="312"/>
      <c r="AK14" s="378"/>
      <c r="AL14" s="439"/>
    </row>
    <row r="15" spans="1:38" ht="19.5" customHeight="1" x14ac:dyDescent="0.25">
      <c r="A15" s="528" t="s">
        <v>336</v>
      </c>
      <c r="B15" s="528"/>
      <c r="C15" s="528"/>
      <c r="D15" s="528"/>
      <c r="E15" s="528"/>
      <c r="F15" s="528"/>
      <c r="G15" s="528"/>
      <c r="H15" s="528"/>
      <c r="I15" s="528"/>
      <c r="J15" s="528"/>
      <c r="K15" s="528"/>
      <c r="L15" s="528"/>
      <c r="M15" s="528"/>
      <c r="N15" s="528"/>
      <c r="O15" s="528"/>
      <c r="P15" s="528"/>
      <c r="Q15" s="528"/>
      <c r="R15" s="528"/>
      <c r="S15" s="528"/>
      <c r="T15" s="529">
        <v>8</v>
      </c>
      <c r="U15" s="529"/>
      <c r="V15" s="379">
        <v>1000000</v>
      </c>
      <c r="W15" s="527" t="s">
        <v>381</v>
      </c>
      <c r="X15" s="527"/>
      <c r="Y15" s="527"/>
      <c r="Z15" s="527"/>
      <c r="AA15" s="527"/>
      <c r="AB15" s="312"/>
      <c r="AC15" s="312"/>
      <c r="AD15" s="312"/>
      <c r="AE15" s="312"/>
      <c r="AF15" s="312"/>
      <c r="AG15" s="312"/>
      <c r="AH15" s="312"/>
      <c r="AI15" s="312"/>
      <c r="AL15" s="439"/>
    </row>
    <row r="16" spans="1:38" ht="19.5" customHeight="1" x14ac:dyDescent="0.25">
      <c r="A16" s="539" t="s">
        <v>331</v>
      </c>
      <c r="B16" s="539"/>
      <c r="C16" s="539"/>
      <c r="D16" s="539"/>
      <c r="E16" s="539"/>
      <c r="F16" s="539"/>
      <c r="G16" s="539"/>
      <c r="H16" s="539"/>
      <c r="I16" s="539"/>
      <c r="J16" s="539"/>
      <c r="K16" s="539"/>
      <c r="L16" s="539"/>
      <c r="M16" s="539"/>
      <c r="N16" s="539"/>
      <c r="O16" s="539"/>
      <c r="P16" s="539"/>
      <c r="Q16" s="539"/>
      <c r="R16" s="539"/>
      <c r="S16" s="539"/>
      <c r="T16" s="529">
        <v>9</v>
      </c>
      <c r="U16" s="529"/>
      <c r="V16" s="381">
        <f>SUM(V12:V15)</f>
        <v>4551029</v>
      </c>
      <c r="W16" s="527"/>
      <c r="X16" s="527"/>
      <c r="Y16" s="527"/>
      <c r="Z16" s="527"/>
      <c r="AA16" s="527"/>
      <c r="AB16" s="526"/>
      <c r="AC16" s="526"/>
      <c r="AD16" s="526"/>
      <c r="AE16" s="526"/>
      <c r="AF16" s="526"/>
      <c r="AG16" s="312"/>
      <c r="AH16" s="312"/>
      <c r="AI16" s="312"/>
      <c r="AL16" s="439"/>
    </row>
    <row r="17" spans="1:35" ht="27" customHeight="1" x14ac:dyDescent="0.25">
      <c r="A17" s="543" t="s">
        <v>332</v>
      </c>
      <c r="B17" s="543"/>
      <c r="C17" s="543"/>
      <c r="D17" s="543"/>
      <c r="E17" s="543"/>
      <c r="F17" s="543"/>
      <c r="G17" s="543"/>
      <c r="H17" s="543"/>
      <c r="I17" s="543"/>
      <c r="J17" s="543"/>
      <c r="K17" s="543"/>
      <c r="L17" s="543"/>
      <c r="M17" s="543"/>
      <c r="N17" s="543"/>
      <c r="O17" s="543"/>
      <c r="P17" s="543"/>
      <c r="Q17" s="543"/>
      <c r="R17" s="543"/>
      <c r="S17" s="543"/>
      <c r="T17" s="529">
        <v>10</v>
      </c>
      <c r="U17" s="529"/>
      <c r="V17" s="382">
        <f>V16+V11</f>
        <v>9303029</v>
      </c>
      <c r="W17" s="540"/>
      <c r="X17" s="540"/>
      <c r="Y17" s="540"/>
      <c r="Z17" s="540"/>
      <c r="AA17" s="540"/>
      <c r="AB17" s="541"/>
      <c r="AC17" s="541"/>
      <c r="AD17" s="541"/>
      <c r="AE17" s="541"/>
      <c r="AF17" s="541"/>
      <c r="AG17" s="374"/>
      <c r="AH17" s="374"/>
      <c r="AI17" s="374"/>
    </row>
    <row r="18" spans="1:35" ht="20.25" customHeight="1" x14ac:dyDescent="0.25">
      <c r="A18" s="539" t="s">
        <v>333</v>
      </c>
      <c r="B18" s="539"/>
      <c r="C18" s="539"/>
      <c r="D18" s="539"/>
      <c r="E18" s="539"/>
      <c r="F18" s="539"/>
      <c r="G18" s="539"/>
      <c r="H18" s="539"/>
      <c r="I18" s="539"/>
      <c r="J18" s="539"/>
      <c r="K18" s="539"/>
      <c r="L18" s="539"/>
      <c r="M18" s="539"/>
      <c r="N18" s="539"/>
      <c r="O18" s="539"/>
      <c r="P18" s="539"/>
      <c r="Q18" s="539"/>
      <c r="R18" s="539"/>
      <c r="S18" s="539"/>
      <c r="T18" s="529">
        <v>11</v>
      </c>
      <c r="U18" s="529"/>
      <c r="V18" s="379">
        <v>974400</v>
      </c>
      <c r="W18" s="527" t="s">
        <v>382</v>
      </c>
      <c r="X18" s="527"/>
      <c r="Y18" s="527"/>
      <c r="Z18" s="527"/>
      <c r="AA18" s="527"/>
      <c r="AB18" s="526"/>
      <c r="AC18" s="526"/>
      <c r="AD18" s="526"/>
      <c r="AE18" s="526"/>
      <c r="AF18" s="526"/>
      <c r="AG18" s="312"/>
      <c r="AH18" s="312"/>
      <c r="AI18" s="312"/>
    </row>
    <row r="19" spans="1:35" ht="21.9" customHeight="1" x14ac:dyDescent="0.25">
      <c r="A19" s="539" t="s">
        <v>334</v>
      </c>
      <c r="B19" s="539"/>
      <c r="C19" s="539"/>
      <c r="D19" s="539"/>
      <c r="E19" s="539"/>
      <c r="F19" s="539"/>
      <c r="G19" s="539"/>
      <c r="H19" s="539"/>
      <c r="I19" s="539"/>
      <c r="J19" s="539"/>
      <c r="K19" s="539"/>
      <c r="L19" s="539"/>
      <c r="M19" s="539"/>
      <c r="N19" s="539"/>
      <c r="O19" s="539"/>
      <c r="P19" s="539"/>
      <c r="Q19" s="539"/>
      <c r="R19" s="539"/>
      <c r="S19" s="539"/>
      <c r="T19" s="529">
        <v>12</v>
      </c>
      <c r="U19" s="529"/>
      <c r="V19" s="379"/>
      <c r="W19" s="527"/>
      <c r="X19" s="527"/>
      <c r="Y19" s="527"/>
      <c r="Z19" s="527"/>
      <c r="AA19" s="527"/>
      <c r="AB19" s="526"/>
      <c r="AC19" s="526"/>
      <c r="AD19" s="526"/>
      <c r="AE19" s="526"/>
      <c r="AF19" s="526"/>
      <c r="AG19" s="312"/>
      <c r="AH19" s="312"/>
      <c r="AI19" s="312"/>
    </row>
    <row r="20" spans="1:35" ht="21.9" customHeight="1" x14ac:dyDescent="0.25">
      <c r="A20" s="542" t="s">
        <v>335</v>
      </c>
      <c r="B20" s="542"/>
      <c r="C20" s="542"/>
      <c r="D20" s="542"/>
      <c r="E20" s="542"/>
      <c r="F20" s="542"/>
      <c r="G20" s="542"/>
      <c r="H20" s="542"/>
      <c r="I20" s="542"/>
      <c r="J20" s="542"/>
      <c r="K20" s="542"/>
      <c r="L20" s="542"/>
      <c r="M20" s="542"/>
      <c r="N20" s="542"/>
      <c r="O20" s="542"/>
      <c r="P20" s="542"/>
      <c r="Q20" s="542"/>
      <c r="R20" s="542"/>
      <c r="S20" s="542"/>
      <c r="T20" s="529">
        <v>13</v>
      </c>
      <c r="U20" s="529"/>
      <c r="V20" s="380">
        <f>V17+V18+V19</f>
        <v>10277429</v>
      </c>
      <c r="W20" s="537"/>
      <c r="X20" s="537"/>
      <c r="Y20" s="537"/>
      <c r="Z20" s="537"/>
      <c r="AA20" s="537"/>
      <c r="AB20" s="538"/>
      <c r="AC20" s="538"/>
      <c r="AD20" s="538"/>
      <c r="AE20" s="538"/>
      <c r="AF20" s="538"/>
      <c r="AG20" s="375"/>
      <c r="AH20" s="375"/>
      <c r="AI20" s="375"/>
    </row>
    <row r="21" spans="1:35" ht="21.9" customHeight="1" x14ac:dyDescent="0.25"/>
    <row r="22" spans="1:35" ht="21.9" customHeight="1" x14ac:dyDescent="0.25"/>
    <row r="23" spans="1:35" ht="21.9" customHeight="1" x14ac:dyDescent="0.25"/>
    <row r="24" spans="1:35" ht="21.9" customHeight="1" x14ac:dyDescent="0.25"/>
    <row r="25" spans="1:35" ht="21.9" customHeight="1" x14ac:dyDescent="0.25"/>
    <row r="26" spans="1:35" ht="21.9" customHeight="1" x14ac:dyDescent="0.25"/>
    <row r="27" spans="1:35" ht="21.9" customHeight="1" x14ac:dyDescent="0.25"/>
    <row r="28" spans="1:35" ht="21.9" customHeight="1" x14ac:dyDescent="0.25"/>
    <row r="29" spans="1:35" ht="21.9" customHeight="1" x14ac:dyDescent="0.25"/>
    <row r="30" spans="1:35" ht="21.9" customHeight="1" x14ac:dyDescent="0.25"/>
    <row r="31" spans="1:35" ht="21.9" customHeight="1" x14ac:dyDescent="0.25"/>
    <row r="32" spans="1:35" ht="21.9" customHeight="1" x14ac:dyDescent="0.25"/>
    <row r="33" ht="21.9" customHeight="1" x14ac:dyDescent="0.25"/>
    <row r="34" ht="21.9" customHeight="1" x14ac:dyDescent="0.25"/>
    <row r="35" ht="21.9" customHeight="1" x14ac:dyDescent="0.25"/>
    <row r="36" ht="21.9" customHeight="1" x14ac:dyDescent="0.25"/>
    <row r="37" ht="21.9" customHeight="1" x14ac:dyDescent="0.25"/>
    <row r="38" ht="21.9" customHeight="1" x14ac:dyDescent="0.25"/>
    <row r="39" ht="21.9" customHeight="1" x14ac:dyDescent="0.25"/>
    <row r="40" ht="21.9" customHeight="1" x14ac:dyDescent="0.25"/>
    <row r="41" ht="21.9" customHeight="1" x14ac:dyDescent="0.25"/>
    <row r="42" ht="21.9" customHeight="1" x14ac:dyDescent="0.25"/>
    <row r="43" ht="21.9" customHeight="1" x14ac:dyDescent="0.25"/>
    <row r="44" ht="21.9" customHeight="1" x14ac:dyDescent="0.25"/>
    <row r="45" ht="21.9" customHeight="1" x14ac:dyDescent="0.25"/>
    <row r="46" ht="21.9" customHeight="1" x14ac:dyDescent="0.25"/>
    <row r="47" ht="21.9" customHeight="1" x14ac:dyDescent="0.25"/>
    <row r="48" ht="21.9" customHeight="1" x14ac:dyDescent="0.25"/>
    <row r="49" ht="21.9" customHeight="1" x14ac:dyDescent="0.25"/>
    <row r="50" ht="21.9" customHeight="1" x14ac:dyDescent="0.25"/>
    <row r="51" ht="21.9" customHeight="1" x14ac:dyDescent="0.25"/>
    <row r="52" ht="21.9" customHeight="1" x14ac:dyDescent="0.25"/>
    <row r="53" ht="21.9" customHeight="1" x14ac:dyDescent="0.25"/>
    <row r="54" ht="21.9" customHeight="1" x14ac:dyDescent="0.25"/>
    <row r="55" ht="21.9" customHeight="1" x14ac:dyDescent="0.25"/>
    <row r="56" ht="21.9" customHeight="1" x14ac:dyDescent="0.25"/>
    <row r="57" ht="21.9" customHeight="1" x14ac:dyDescent="0.25"/>
    <row r="58" ht="21.9" customHeight="1" x14ac:dyDescent="0.25"/>
    <row r="59" ht="21.9" customHeight="1" x14ac:dyDescent="0.25"/>
    <row r="60" ht="21.9" customHeight="1" x14ac:dyDescent="0.25"/>
    <row r="61" ht="21.9" customHeight="1" x14ac:dyDescent="0.25"/>
    <row r="62" ht="21.9" customHeight="1" x14ac:dyDescent="0.25"/>
    <row r="63" ht="21.9" customHeight="1" x14ac:dyDescent="0.25"/>
    <row r="64" ht="21.9" customHeight="1" x14ac:dyDescent="0.25"/>
    <row r="65" ht="21.9" customHeight="1" x14ac:dyDescent="0.25"/>
    <row r="66" ht="21.9" customHeight="1" x14ac:dyDescent="0.25"/>
    <row r="67" ht="21.9" customHeight="1" x14ac:dyDescent="0.25"/>
    <row r="68" ht="21.9" customHeight="1" x14ac:dyDescent="0.25"/>
    <row r="69" ht="21.9" customHeight="1" x14ac:dyDescent="0.25"/>
    <row r="70" ht="21.9" customHeight="1" x14ac:dyDescent="0.25"/>
    <row r="71" ht="21.9" customHeight="1" x14ac:dyDescent="0.25"/>
    <row r="72" ht="21.9" customHeight="1" x14ac:dyDescent="0.25"/>
    <row r="73" ht="21.9" customHeight="1" x14ac:dyDescent="0.25"/>
    <row r="74" ht="21.9" customHeight="1" x14ac:dyDescent="0.25"/>
    <row r="75" ht="21.9" customHeight="1" x14ac:dyDescent="0.25"/>
    <row r="76" ht="21.9" customHeight="1" x14ac:dyDescent="0.25"/>
    <row r="77" ht="21.9" customHeight="1" x14ac:dyDescent="0.25"/>
    <row r="78" ht="21.9" customHeight="1" x14ac:dyDescent="0.25"/>
    <row r="79" ht="21.9" customHeight="1" x14ac:dyDescent="0.25"/>
    <row r="80" ht="21.9" customHeight="1" x14ac:dyDescent="0.25"/>
    <row r="81" spans="1:4" ht="21.9" customHeight="1" x14ac:dyDescent="0.25"/>
    <row r="82" spans="1:4" ht="21.9" customHeight="1" x14ac:dyDescent="0.25"/>
    <row r="83" spans="1:4" ht="21.9" customHeight="1" x14ac:dyDescent="0.25"/>
    <row r="84" spans="1:4" ht="21.9" customHeight="1" x14ac:dyDescent="0.25"/>
    <row r="85" spans="1:4" ht="21.9" customHeight="1" x14ac:dyDescent="0.25">
      <c r="A85" s="24"/>
      <c r="B85" s="24"/>
      <c r="C85" s="24"/>
      <c r="D85" s="24"/>
    </row>
    <row r="86" spans="1:4" ht="21.9" customHeight="1" x14ac:dyDescent="0.25">
      <c r="A86" s="24"/>
      <c r="B86" s="24"/>
      <c r="C86" s="24"/>
      <c r="D86" s="24"/>
    </row>
    <row r="87" spans="1:4" ht="21.9" customHeight="1" x14ac:dyDescent="0.25">
      <c r="A87" s="24"/>
      <c r="B87" s="24"/>
      <c r="C87" s="24"/>
      <c r="D87" s="24"/>
    </row>
    <row r="88" spans="1:4" ht="21.9" customHeight="1" x14ac:dyDescent="0.25">
      <c r="A88" s="24"/>
      <c r="B88" s="24"/>
      <c r="C88" s="24"/>
      <c r="D88" s="24"/>
    </row>
    <row r="89" spans="1:4" ht="21.9" customHeight="1" x14ac:dyDescent="0.25">
      <c r="A89" s="24"/>
      <c r="B89" s="24"/>
      <c r="C89" s="24"/>
      <c r="D89" s="24"/>
    </row>
    <row r="90" spans="1:4" ht="21.9" customHeight="1" x14ac:dyDescent="0.25">
      <c r="A90" s="24"/>
      <c r="B90" s="24"/>
      <c r="C90" s="24"/>
      <c r="D90" s="24"/>
    </row>
    <row r="91" spans="1:4" ht="21.9" customHeight="1" x14ac:dyDescent="0.25">
      <c r="A91" s="24"/>
      <c r="B91" s="24"/>
      <c r="C91" s="24"/>
      <c r="D91" s="24"/>
    </row>
    <row r="92" spans="1:4" ht="21.9" customHeight="1" x14ac:dyDescent="0.25">
      <c r="A92" s="24"/>
      <c r="B92" s="24"/>
      <c r="C92" s="24"/>
      <c r="D92" s="24"/>
    </row>
    <row r="93" spans="1:4" ht="21.9" customHeight="1" x14ac:dyDescent="0.25">
      <c r="A93" s="24"/>
      <c r="B93" s="24"/>
      <c r="C93" s="24"/>
      <c r="D93" s="24"/>
    </row>
    <row r="94" spans="1:4" ht="21.9" customHeight="1" x14ac:dyDescent="0.25">
      <c r="A94" s="24"/>
      <c r="B94" s="24"/>
      <c r="C94" s="24"/>
      <c r="D94" s="24"/>
    </row>
    <row r="95" spans="1:4" ht="21.9" customHeight="1" x14ac:dyDescent="0.25">
      <c r="A95" s="24"/>
      <c r="B95" s="24"/>
      <c r="C95" s="24"/>
      <c r="D95" s="24"/>
    </row>
    <row r="96" spans="1:4" ht="21.9" customHeight="1" x14ac:dyDescent="0.25">
      <c r="A96" s="24"/>
      <c r="B96" s="24"/>
      <c r="C96" s="24"/>
      <c r="D96" s="24"/>
    </row>
    <row r="97" spans="1:4" ht="21.9" customHeight="1" x14ac:dyDescent="0.25">
      <c r="A97" s="24"/>
      <c r="B97" s="24"/>
      <c r="C97" s="24"/>
      <c r="D97" s="24"/>
    </row>
    <row r="98" spans="1:4" ht="21.9" customHeight="1" x14ac:dyDescent="0.25">
      <c r="A98" s="24"/>
      <c r="B98" s="24"/>
      <c r="C98" s="24"/>
      <c r="D98" s="24"/>
    </row>
    <row r="99" spans="1:4" ht="21.9" customHeight="1" x14ac:dyDescent="0.25">
      <c r="A99" s="24"/>
      <c r="B99" s="24"/>
      <c r="C99" s="24"/>
      <c r="D99" s="24"/>
    </row>
    <row r="100" spans="1:4" ht="21.9" customHeight="1" x14ac:dyDescent="0.25">
      <c r="A100" s="24"/>
      <c r="B100" s="24"/>
      <c r="C100" s="24"/>
      <c r="D100" s="24"/>
    </row>
    <row r="101" spans="1:4" ht="21.9" customHeight="1" x14ac:dyDescent="0.25">
      <c r="A101" s="24"/>
      <c r="B101" s="24"/>
      <c r="C101" s="24"/>
      <c r="D101" s="24"/>
    </row>
    <row r="102" spans="1:4" ht="21.9" customHeight="1" x14ac:dyDescent="0.25">
      <c r="A102" s="24"/>
      <c r="B102" s="24"/>
      <c r="C102" s="24"/>
      <c r="D102" s="24"/>
    </row>
    <row r="103" spans="1:4" ht="21.9" customHeight="1" x14ac:dyDescent="0.25">
      <c r="A103" s="24"/>
      <c r="B103" s="24"/>
      <c r="C103" s="24"/>
      <c r="D103" s="24"/>
    </row>
    <row r="104" spans="1:4" ht="21.9" customHeight="1" x14ac:dyDescent="0.25">
      <c r="A104" s="24"/>
      <c r="B104" s="24"/>
      <c r="C104" s="24"/>
      <c r="D104" s="24"/>
    </row>
    <row r="105" spans="1:4" ht="21.9" customHeight="1" x14ac:dyDescent="0.25">
      <c r="A105" s="24"/>
      <c r="B105" s="24"/>
      <c r="C105" s="24"/>
      <c r="D105" s="24"/>
    </row>
    <row r="106" spans="1:4" ht="21.9" customHeight="1" x14ac:dyDescent="0.25">
      <c r="A106" s="24"/>
      <c r="B106" s="24"/>
      <c r="C106" s="24"/>
      <c r="D106" s="24"/>
    </row>
    <row r="107" spans="1:4" ht="21.9" customHeight="1" x14ac:dyDescent="0.25">
      <c r="A107" s="24"/>
      <c r="B107" s="24"/>
      <c r="C107" s="24"/>
      <c r="D107" s="24"/>
    </row>
    <row r="108" spans="1:4" ht="21.9" customHeight="1" x14ac:dyDescent="0.25">
      <c r="A108" s="24"/>
      <c r="B108" s="24"/>
      <c r="C108" s="24"/>
      <c r="D108" s="24"/>
    </row>
    <row r="109" spans="1:4" ht="21.9" customHeight="1" x14ac:dyDescent="0.25">
      <c r="A109" s="24"/>
      <c r="B109" s="24"/>
      <c r="C109" s="24"/>
      <c r="D109" s="24"/>
    </row>
    <row r="110" spans="1:4" ht="21.9" customHeight="1" x14ac:dyDescent="0.25">
      <c r="A110" s="24"/>
      <c r="B110" s="24"/>
      <c r="C110" s="24"/>
      <c r="D110" s="24"/>
    </row>
    <row r="111" spans="1:4" ht="21.9" customHeight="1" x14ac:dyDescent="0.25">
      <c r="A111" s="24"/>
      <c r="B111" s="24"/>
      <c r="C111" s="24"/>
      <c r="D111" s="24"/>
    </row>
    <row r="112" spans="1:4" ht="21.9" customHeight="1" x14ac:dyDescent="0.25">
      <c r="A112" s="24"/>
      <c r="B112" s="24"/>
      <c r="C112" s="24"/>
      <c r="D112" s="24"/>
    </row>
    <row r="113" spans="1:4" ht="21.9" customHeight="1" x14ac:dyDescent="0.25">
      <c r="A113" s="24"/>
      <c r="B113" s="24"/>
      <c r="C113" s="24"/>
      <c r="D113" s="24"/>
    </row>
    <row r="114" spans="1:4" ht="21.9" customHeight="1" x14ac:dyDescent="0.25">
      <c r="A114" s="24"/>
      <c r="B114" s="24"/>
      <c r="C114" s="24"/>
      <c r="D114" s="24"/>
    </row>
    <row r="115" spans="1:4" ht="21.9" customHeight="1" x14ac:dyDescent="0.25">
      <c r="A115" s="24"/>
      <c r="B115" s="24"/>
      <c r="C115" s="24"/>
      <c r="D115" s="24"/>
    </row>
    <row r="116" spans="1:4" ht="21.9" customHeight="1" x14ac:dyDescent="0.25">
      <c r="A116" s="24"/>
      <c r="B116" s="24"/>
      <c r="C116" s="24"/>
      <c r="D116" s="24"/>
    </row>
    <row r="117" spans="1:4" ht="21.9" customHeight="1" x14ac:dyDescent="0.25">
      <c r="A117" s="24"/>
      <c r="B117" s="24"/>
      <c r="C117" s="24"/>
      <c r="D117" s="24"/>
    </row>
    <row r="118" spans="1:4" ht="21.9" customHeight="1" x14ac:dyDescent="0.25">
      <c r="A118" s="24"/>
      <c r="B118" s="24"/>
      <c r="C118" s="24"/>
      <c r="D118" s="24"/>
    </row>
    <row r="119" spans="1:4" ht="21.9" customHeight="1" x14ac:dyDescent="0.25">
      <c r="A119" s="24"/>
      <c r="B119" s="24"/>
      <c r="C119" s="24"/>
      <c r="D119" s="24"/>
    </row>
    <row r="120" spans="1:4" ht="21.9" customHeight="1" x14ac:dyDescent="0.25">
      <c r="A120" s="24"/>
      <c r="B120" s="24"/>
      <c r="C120" s="24"/>
      <c r="D120" s="24"/>
    </row>
    <row r="121" spans="1:4" ht="21.9" customHeight="1" x14ac:dyDescent="0.25">
      <c r="A121" s="24"/>
      <c r="B121" s="24"/>
      <c r="C121" s="24"/>
      <c r="D121" s="24"/>
    </row>
    <row r="122" spans="1:4" ht="21.9" customHeight="1" x14ac:dyDescent="0.25">
      <c r="A122" s="24"/>
      <c r="B122" s="24"/>
      <c r="C122" s="24"/>
      <c r="D122" s="24"/>
    </row>
    <row r="123" spans="1:4" ht="21.9" customHeight="1" x14ac:dyDescent="0.25">
      <c r="A123" s="24"/>
      <c r="B123" s="24"/>
      <c r="C123" s="24"/>
      <c r="D123" s="24"/>
    </row>
    <row r="124" spans="1:4" ht="21.9" customHeight="1" x14ac:dyDescent="0.25">
      <c r="A124" s="24"/>
      <c r="B124" s="24"/>
      <c r="C124" s="24"/>
      <c r="D124" s="24"/>
    </row>
    <row r="125" spans="1:4" ht="21.9" customHeight="1" x14ac:dyDescent="0.25">
      <c r="A125" s="24"/>
      <c r="B125" s="24"/>
      <c r="C125" s="24"/>
      <c r="D125" s="24"/>
    </row>
    <row r="126" spans="1:4" ht="21.9" customHeight="1" x14ac:dyDescent="0.25">
      <c r="A126" s="24"/>
      <c r="B126" s="24"/>
      <c r="C126" s="24"/>
      <c r="D126" s="24"/>
    </row>
    <row r="127" spans="1:4" ht="21.9" customHeight="1" x14ac:dyDescent="0.25">
      <c r="A127" s="24"/>
      <c r="B127" s="24"/>
      <c r="C127" s="24"/>
      <c r="D127" s="24"/>
    </row>
    <row r="128" spans="1:4" ht="21.9" customHeight="1" x14ac:dyDescent="0.25">
      <c r="A128" s="24"/>
      <c r="B128" s="24"/>
      <c r="C128" s="24"/>
      <c r="D128" s="24"/>
    </row>
    <row r="129" spans="1:4" ht="21.9" customHeight="1" x14ac:dyDescent="0.25">
      <c r="A129" s="24"/>
      <c r="B129" s="24"/>
      <c r="C129" s="24"/>
      <c r="D129" s="24"/>
    </row>
    <row r="130" spans="1:4" ht="21.9" customHeight="1" x14ac:dyDescent="0.25">
      <c r="A130" s="24"/>
      <c r="B130" s="24"/>
      <c r="C130" s="24"/>
      <c r="D130" s="24"/>
    </row>
    <row r="131" spans="1:4" ht="21.9" customHeight="1" x14ac:dyDescent="0.25">
      <c r="A131" s="24"/>
      <c r="B131" s="24"/>
      <c r="C131" s="24"/>
      <c r="D131" s="24"/>
    </row>
    <row r="132" spans="1:4" ht="21.9" customHeight="1" x14ac:dyDescent="0.25">
      <c r="A132" s="24"/>
      <c r="B132" s="24"/>
      <c r="C132" s="24"/>
      <c r="D132" s="24"/>
    </row>
    <row r="133" spans="1:4" ht="21.9" customHeight="1" x14ac:dyDescent="0.25">
      <c r="A133" s="24"/>
      <c r="B133" s="24"/>
      <c r="C133" s="24"/>
      <c r="D133" s="24"/>
    </row>
    <row r="134" spans="1:4" ht="21.9" customHeight="1" x14ac:dyDescent="0.25">
      <c r="A134" s="24"/>
      <c r="B134" s="24"/>
      <c r="C134" s="24"/>
      <c r="D134" s="24"/>
    </row>
    <row r="135" spans="1:4" ht="21.9" customHeight="1" x14ac:dyDescent="0.25">
      <c r="A135" s="24"/>
      <c r="B135" s="24"/>
      <c r="C135" s="24"/>
      <c r="D135" s="24"/>
    </row>
    <row r="136" spans="1:4" ht="21.9" customHeight="1" x14ac:dyDescent="0.25">
      <c r="A136" s="24"/>
      <c r="B136" s="24"/>
      <c r="C136" s="24"/>
      <c r="D136" s="24"/>
    </row>
    <row r="137" spans="1:4" ht="21.9" customHeight="1" x14ac:dyDescent="0.25">
      <c r="A137" s="24"/>
      <c r="B137" s="24"/>
      <c r="C137" s="24"/>
      <c r="D137" s="24"/>
    </row>
    <row r="138" spans="1:4" ht="21.9" customHeight="1" x14ac:dyDescent="0.25">
      <c r="A138" s="24"/>
      <c r="B138" s="24"/>
      <c r="C138" s="24"/>
      <c r="D138" s="24"/>
    </row>
    <row r="139" spans="1:4" ht="21.9" customHeight="1" x14ac:dyDescent="0.25">
      <c r="A139" s="24"/>
      <c r="B139" s="24"/>
      <c r="C139" s="24"/>
      <c r="D139" s="24"/>
    </row>
    <row r="140" spans="1:4" ht="21.9" customHeight="1" x14ac:dyDescent="0.25">
      <c r="A140" s="24"/>
      <c r="B140" s="24"/>
      <c r="C140" s="24"/>
      <c r="D140" s="24"/>
    </row>
    <row r="141" spans="1:4" ht="21.9" customHeight="1" x14ac:dyDescent="0.25">
      <c r="A141" s="24"/>
      <c r="B141" s="24"/>
      <c r="C141" s="24"/>
      <c r="D141" s="24"/>
    </row>
    <row r="142" spans="1:4" ht="21.9" customHeight="1" x14ac:dyDescent="0.25">
      <c r="A142" s="24"/>
      <c r="B142" s="24"/>
      <c r="C142" s="24"/>
      <c r="D142" s="24"/>
    </row>
    <row r="143" spans="1:4" ht="21.9" customHeight="1" x14ac:dyDescent="0.25">
      <c r="A143" s="24"/>
      <c r="B143" s="24"/>
      <c r="C143" s="24"/>
      <c r="D143" s="24"/>
    </row>
    <row r="144" spans="1:4" ht="21.9" customHeight="1" x14ac:dyDescent="0.25">
      <c r="A144" s="24"/>
      <c r="B144" s="24"/>
      <c r="C144" s="24"/>
      <c r="D144" s="24"/>
    </row>
    <row r="145" spans="1:4" ht="21.9" customHeight="1" x14ac:dyDescent="0.25">
      <c r="A145" s="24"/>
      <c r="B145" s="24"/>
      <c r="C145" s="24"/>
      <c r="D145" s="24"/>
    </row>
    <row r="146" spans="1:4" ht="21.9" customHeight="1" x14ac:dyDescent="0.25">
      <c r="A146" s="24"/>
      <c r="B146" s="24"/>
      <c r="C146" s="24"/>
      <c r="D146" s="24"/>
    </row>
    <row r="147" spans="1:4" ht="21.9" customHeight="1" x14ac:dyDescent="0.25">
      <c r="A147" s="24"/>
      <c r="B147" s="24"/>
      <c r="C147" s="24"/>
      <c r="D147" s="24"/>
    </row>
    <row r="148" spans="1:4" ht="21.9" customHeight="1" x14ac:dyDescent="0.25">
      <c r="A148" s="24"/>
      <c r="B148" s="24"/>
      <c r="C148" s="24"/>
      <c r="D148" s="24"/>
    </row>
    <row r="149" spans="1:4" ht="21.9" customHeight="1" x14ac:dyDescent="0.25">
      <c r="A149" s="24"/>
      <c r="B149" s="24"/>
      <c r="C149" s="24"/>
      <c r="D149" s="24"/>
    </row>
    <row r="150" spans="1:4" ht="21.9" customHeight="1" x14ac:dyDescent="0.25">
      <c r="A150" s="24"/>
      <c r="B150" s="24"/>
      <c r="C150" s="24"/>
      <c r="D150" s="24"/>
    </row>
    <row r="151" spans="1:4" ht="21.9" customHeight="1" x14ac:dyDescent="0.25">
      <c r="A151" s="24"/>
      <c r="B151" s="24"/>
      <c r="C151" s="24"/>
      <c r="D151" s="24"/>
    </row>
    <row r="152" spans="1:4" ht="21.9" customHeight="1" x14ac:dyDescent="0.25">
      <c r="A152" s="24"/>
      <c r="B152" s="24"/>
      <c r="C152" s="24"/>
      <c r="D152" s="24"/>
    </row>
    <row r="153" spans="1:4" ht="21.9" customHeight="1" x14ac:dyDescent="0.25">
      <c r="A153" s="24"/>
      <c r="B153" s="24"/>
      <c r="C153" s="24"/>
      <c r="D153" s="24"/>
    </row>
    <row r="154" spans="1:4" ht="21.9" customHeight="1" x14ac:dyDescent="0.25">
      <c r="A154" s="24"/>
      <c r="B154" s="24"/>
      <c r="C154" s="24"/>
      <c r="D154" s="24"/>
    </row>
    <row r="155" spans="1:4" ht="21.9" customHeight="1" x14ac:dyDescent="0.25">
      <c r="A155" s="24"/>
      <c r="B155" s="24"/>
      <c r="C155" s="24"/>
      <c r="D155" s="24"/>
    </row>
    <row r="156" spans="1:4" ht="21.9" customHeight="1" x14ac:dyDescent="0.25">
      <c r="A156" s="24"/>
      <c r="B156" s="24"/>
      <c r="C156" s="24"/>
      <c r="D156" s="24"/>
    </row>
    <row r="157" spans="1:4" ht="21.9" customHeight="1" x14ac:dyDescent="0.25">
      <c r="A157" s="24"/>
      <c r="B157" s="24"/>
      <c r="C157" s="24"/>
      <c r="D157" s="24"/>
    </row>
    <row r="158" spans="1:4" ht="21.9" customHeight="1" x14ac:dyDescent="0.25">
      <c r="A158" s="24"/>
      <c r="B158" s="24"/>
      <c r="C158" s="24"/>
      <c r="D158" s="24"/>
    </row>
    <row r="159" spans="1:4" ht="21.9" customHeight="1" x14ac:dyDescent="0.25">
      <c r="A159" s="24"/>
      <c r="B159" s="24"/>
      <c r="C159" s="24"/>
      <c r="D159" s="24"/>
    </row>
    <row r="160" spans="1:4" ht="21.9" customHeight="1" x14ac:dyDescent="0.25">
      <c r="A160" s="24"/>
      <c r="B160" s="24"/>
      <c r="C160" s="24"/>
      <c r="D160" s="24"/>
    </row>
    <row r="161" spans="1:4" x14ac:dyDescent="0.25">
      <c r="A161" s="24"/>
      <c r="B161" s="24"/>
      <c r="C161" s="24"/>
      <c r="D161" s="24"/>
    </row>
    <row r="162" spans="1:4" x14ac:dyDescent="0.25">
      <c r="A162" s="24"/>
      <c r="B162" s="24"/>
      <c r="C162" s="24"/>
      <c r="D162" s="24"/>
    </row>
    <row r="163" spans="1:4" x14ac:dyDescent="0.25">
      <c r="A163" s="24"/>
      <c r="B163" s="24"/>
      <c r="C163" s="24"/>
      <c r="D163" s="24"/>
    </row>
    <row r="164" spans="1:4" x14ac:dyDescent="0.25">
      <c r="A164" s="24"/>
      <c r="B164" s="24"/>
      <c r="C164" s="24"/>
      <c r="D164" s="24"/>
    </row>
    <row r="165" spans="1:4" x14ac:dyDescent="0.25">
      <c r="A165" s="24"/>
      <c r="B165" s="24"/>
      <c r="C165" s="24"/>
      <c r="D165" s="24"/>
    </row>
    <row r="166" spans="1:4" x14ac:dyDescent="0.25">
      <c r="A166" s="24"/>
      <c r="B166" s="24"/>
      <c r="C166" s="24"/>
      <c r="D166" s="24"/>
    </row>
    <row r="167" spans="1:4" x14ac:dyDescent="0.25">
      <c r="A167" s="24"/>
      <c r="B167" s="24"/>
      <c r="C167" s="24"/>
      <c r="D167" s="24"/>
    </row>
  </sheetData>
  <mergeCells count="58">
    <mergeCell ref="A15:S15"/>
    <mergeCell ref="T15:U15"/>
    <mergeCell ref="W15:AA15"/>
    <mergeCell ref="A19:S19"/>
    <mergeCell ref="A20:S20"/>
    <mergeCell ref="T19:U19"/>
    <mergeCell ref="W19:AA19"/>
    <mergeCell ref="A16:S16"/>
    <mergeCell ref="T16:U16"/>
    <mergeCell ref="A17:S17"/>
    <mergeCell ref="W16:AA16"/>
    <mergeCell ref="AB19:AF19"/>
    <mergeCell ref="T20:U20"/>
    <mergeCell ref="W20:AA20"/>
    <mergeCell ref="AB20:AF20"/>
    <mergeCell ref="A2:AI2"/>
    <mergeCell ref="W18:AA18"/>
    <mergeCell ref="A18:S18"/>
    <mergeCell ref="AB18:AF18"/>
    <mergeCell ref="W17:AA17"/>
    <mergeCell ref="AB17:AF17"/>
    <mergeCell ref="T18:U18"/>
    <mergeCell ref="AB10:AF10"/>
    <mergeCell ref="W7:AA7"/>
    <mergeCell ref="A7:S7"/>
    <mergeCell ref="A10:S10"/>
    <mergeCell ref="T7:U7"/>
    <mergeCell ref="A1:AI1"/>
    <mergeCell ref="AB16:AF16"/>
    <mergeCell ref="F3:U3"/>
    <mergeCell ref="T17:U17"/>
    <mergeCell ref="AB7:AF7"/>
    <mergeCell ref="W14:AA14"/>
    <mergeCell ref="AB14:AF14"/>
    <mergeCell ref="AB12:AF12"/>
    <mergeCell ref="W13:AA13"/>
    <mergeCell ref="AB13:AF13"/>
    <mergeCell ref="W12:AA12"/>
    <mergeCell ref="AB11:AF11"/>
    <mergeCell ref="A12:S12"/>
    <mergeCell ref="T12:U12"/>
    <mergeCell ref="A11:S11"/>
    <mergeCell ref="A4:AI4"/>
    <mergeCell ref="W8:AA8"/>
    <mergeCell ref="T14:U14"/>
    <mergeCell ref="A8:S8"/>
    <mergeCell ref="A14:S14"/>
    <mergeCell ref="T8:U8"/>
    <mergeCell ref="T13:U13"/>
    <mergeCell ref="T9:U9"/>
    <mergeCell ref="AB9:AF9"/>
    <mergeCell ref="W10:AA10"/>
    <mergeCell ref="A13:S13"/>
    <mergeCell ref="W11:AA11"/>
    <mergeCell ref="T11:U11"/>
    <mergeCell ref="W9:AA9"/>
    <mergeCell ref="T10:U10"/>
    <mergeCell ref="A9:S9"/>
  </mergeCells>
  <phoneticPr fontId="0" type="noConversion"/>
  <printOptions horizontalCentered="1"/>
  <pageMargins left="0.15748031496062992" right="0.19685039370078741" top="0.27559055118110237" bottom="0.35433070866141736" header="0.19685039370078741" footer="0.31496062992125984"/>
  <pageSetup paperSize="9" fitToHeight="0" orientation="landscape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O182"/>
  <sheetViews>
    <sheetView showGridLines="0" topLeftCell="A16" zoomScaleNormal="100" zoomScaleSheetLayoutView="100" workbookViewId="0">
      <selection activeCell="U29" sqref="U29:Y29"/>
    </sheetView>
  </sheetViews>
  <sheetFormatPr defaultColWidth="9.109375" defaultRowHeight="13.2" x14ac:dyDescent="0.25"/>
  <cols>
    <col min="1" max="1" width="5.33203125" style="21" customWidth="1"/>
    <col min="2" max="7" width="3.33203125" style="21" customWidth="1"/>
    <col min="8" max="8" width="5.109375" style="21" customWidth="1"/>
    <col min="9" max="12" width="3.33203125" style="21" customWidth="1"/>
    <col min="13" max="13" width="4.33203125" style="21" customWidth="1"/>
    <col min="14" max="15" width="3.33203125" style="21" customWidth="1"/>
    <col min="16" max="16" width="4.44140625" style="21" customWidth="1"/>
    <col min="17" max="19" width="3.33203125" style="21" customWidth="1"/>
    <col min="20" max="20" width="6.33203125" style="21" customWidth="1"/>
    <col min="21" max="24" width="3.33203125" style="21" customWidth="1"/>
    <col min="25" max="25" width="6.44140625" style="21" customWidth="1"/>
    <col min="26" max="26" width="3.44140625" style="21" customWidth="1"/>
    <col min="27" max="27" width="5.109375" style="21" customWidth="1"/>
    <col min="28" max="28" width="4.44140625" style="21" customWidth="1"/>
    <col min="29" max="29" width="4.6640625" style="21" customWidth="1"/>
    <col min="30" max="30" width="2" style="21" customWidth="1"/>
    <col min="31" max="31" width="5.109375" style="21" customWidth="1"/>
    <col min="32" max="32" width="2.44140625" style="21" customWidth="1"/>
    <col min="33" max="33" width="2.88671875" style="21" customWidth="1"/>
    <col min="34" max="34" width="4.109375" style="21" customWidth="1"/>
    <col min="35" max="36" width="9.109375" style="21"/>
    <col min="37" max="41" width="2.6640625" style="21" customWidth="1"/>
    <col min="42" max="16384" width="9.109375" style="21"/>
  </cols>
  <sheetData>
    <row r="1" spans="1:41" x14ac:dyDescent="0.25"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  <c r="R1" s="532"/>
      <c r="S1" s="532"/>
      <c r="T1" s="532"/>
      <c r="U1" s="532"/>
      <c r="V1" s="532"/>
      <c r="W1" s="532"/>
      <c r="X1" s="532"/>
      <c r="Y1" s="532"/>
      <c r="Z1" s="532"/>
      <c r="AA1" s="532"/>
      <c r="AB1" s="532"/>
      <c r="AC1" s="532"/>
      <c r="AD1" s="532"/>
      <c r="AE1" s="532"/>
      <c r="AF1" s="532"/>
      <c r="AG1" s="532"/>
      <c r="AH1" s="532"/>
    </row>
    <row r="2" spans="1:41" x14ac:dyDescent="0.25">
      <c r="B2" s="532"/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  <c r="P2" s="532"/>
      <c r="Q2" s="532"/>
      <c r="R2" s="532"/>
      <c r="S2" s="532"/>
      <c r="T2" s="532"/>
      <c r="U2" s="532"/>
      <c r="V2" s="532"/>
      <c r="W2" s="532"/>
      <c r="X2" s="532"/>
      <c r="Y2" s="532"/>
      <c r="Z2" s="532"/>
      <c r="AA2" s="532"/>
      <c r="AB2" s="532"/>
      <c r="AC2" s="532"/>
      <c r="AD2" s="532"/>
      <c r="AE2" s="532"/>
      <c r="AF2" s="532"/>
      <c r="AG2" s="532"/>
      <c r="AH2" s="532"/>
    </row>
    <row r="3" spans="1:41" s="25" customFormat="1" ht="26.25" customHeight="1" x14ac:dyDescent="0.3">
      <c r="B3" s="532" t="s">
        <v>338</v>
      </c>
      <c r="C3" s="532"/>
      <c r="D3" s="532"/>
      <c r="E3" s="532"/>
      <c r="F3" s="532"/>
      <c r="G3" s="532"/>
      <c r="H3" s="532"/>
      <c r="I3" s="532"/>
      <c r="J3" s="532"/>
      <c r="K3" s="532"/>
      <c r="L3" s="532"/>
      <c r="M3" s="532"/>
      <c r="N3" s="532"/>
      <c r="O3" s="532"/>
      <c r="P3" s="532"/>
      <c r="Q3" s="532"/>
      <c r="R3" s="532"/>
      <c r="S3" s="532"/>
      <c r="T3" s="532"/>
      <c r="U3" s="532"/>
      <c r="V3" s="532"/>
      <c r="W3" s="532"/>
      <c r="X3" s="532"/>
      <c r="Y3" s="532"/>
      <c r="Z3" s="532"/>
      <c r="AA3" s="532"/>
      <c r="AB3" s="532"/>
      <c r="AC3" s="532"/>
      <c r="AD3" s="532"/>
      <c r="AE3" s="532"/>
      <c r="AF3" s="532"/>
      <c r="AG3" s="532"/>
      <c r="AH3" s="532"/>
    </row>
    <row r="4" spans="1:41" s="25" customFormat="1" ht="19.5" customHeight="1" x14ac:dyDescent="0.3">
      <c r="B4" s="532"/>
      <c r="C4" s="532"/>
      <c r="D4" s="532"/>
      <c r="E4" s="532"/>
      <c r="F4" s="532"/>
      <c r="G4" s="532"/>
      <c r="H4" s="532"/>
      <c r="I4" s="532"/>
      <c r="J4" s="532"/>
      <c r="K4" s="532"/>
      <c r="L4" s="532"/>
      <c r="M4" s="532"/>
      <c r="N4" s="532"/>
      <c r="O4" s="532"/>
      <c r="P4" s="532"/>
      <c r="Q4" s="532"/>
      <c r="R4" s="532"/>
      <c r="S4" s="532"/>
      <c r="T4" s="532"/>
      <c r="U4" s="532"/>
      <c r="V4" s="532"/>
      <c r="W4" s="532"/>
      <c r="X4" s="532"/>
      <c r="Y4" s="532"/>
      <c r="Z4" s="532"/>
      <c r="AA4" s="532"/>
      <c r="AB4" s="532"/>
      <c r="AC4" s="532"/>
      <c r="AD4" s="532"/>
      <c r="AE4" s="532"/>
      <c r="AF4" s="532"/>
      <c r="AG4" s="532"/>
      <c r="AH4" s="532"/>
    </row>
    <row r="5" spans="1:41" s="25" customFormat="1" ht="15.6" x14ac:dyDescent="0.3">
      <c r="B5" s="26"/>
      <c r="C5" s="26"/>
      <c r="D5" s="26"/>
      <c r="E5" s="26"/>
      <c r="F5" s="26"/>
      <c r="G5" s="532" t="s">
        <v>246</v>
      </c>
      <c r="H5" s="533"/>
      <c r="I5" s="532"/>
      <c r="J5" s="532"/>
      <c r="K5" s="532"/>
      <c r="L5" s="532"/>
      <c r="M5" s="532"/>
      <c r="N5" s="532"/>
      <c r="O5" s="532"/>
      <c r="P5" s="532"/>
      <c r="Q5" s="532"/>
      <c r="R5" s="532"/>
      <c r="S5" s="532"/>
      <c r="T5" s="532"/>
      <c r="U5" s="532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</row>
    <row r="6" spans="1:41" ht="15.6" x14ac:dyDescent="0.25">
      <c r="B6" s="536" t="s">
        <v>210</v>
      </c>
      <c r="C6" s="536"/>
      <c r="D6" s="536"/>
      <c r="E6" s="536"/>
      <c r="F6" s="536"/>
      <c r="G6" s="536"/>
      <c r="H6" s="536"/>
      <c r="I6" s="536"/>
      <c r="J6" s="536"/>
      <c r="K6" s="536"/>
      <c r="L6" s="536"/>
      <c r="M6" s="536"/>
      <c r="N6" s="536"/>
      <c r="O6" s="536"/>
      <c r="P6" s="536"/>
      <c r="Q6" s="536"/>
      <c r="R6" s="536"/>
      <c r="S6" s="536"/>
      <c r="T6" s="536"/>
      <c r="U6" s="536"/>
      <c r="V6" s="536"/>
      <c r="W6" s="536"/>
      <c r="X6" s="536"/>
      <c r="Y6" s="536"/>
      <c r="Z6" s="536"/>
      <c r="AA6" s="536"/>
      <c r="AB6" s="536"/>
      <c r="AC6" s="536"/>
      <c r="AD6" s="536"/>
      <c r="AE6" s="536"/>
      <c r="AF6" s="536"/>
      <c r="AG6" s="536"/>
      <c r="AH6" s="536"/>
    </row>
    <row r="7" spans="1:41" ht="15.6" x14ac:dyDescent="0.25"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</row>
    <row r="8" spans="1:41" x14ac:dyDescent="0.25">
      <c r="V8" s="21" t="s">
        <v>242</v>
      </c>
      <c r="AF8" s="23" t="s">
        <v>386</v>
      </c>
    </row>
    <row r="9" spans="1:41" ht="31.5" customHeight="1" x14ac:dyDescent="0.25">
      <c r="A9" s="545"/>
      <c r="B9" s="561" t="s">
        <v>186</v>
      </c>
      <c r="C9" s="561"/>
      <c r="D9" s="561"/>
      <c r="E9" s="561"/>
      <c r="F9" s="561"/>
      <c r="G9" s="561"/>
      <c r="H9" s="561"/>
      <c r="I9" s="561"/>
      <c r="J9" s="561"/>
      <c r="K9" s="561"/>
      <c r="L9" s="561"/>
      <c r="M9" s="561"/>
      <c r="N9" s="561"/>
      <c r="O9" s="561"/>
      <c r="P9" s="561"/>
      <c r="Q9" s="561"/>
      <c r="R9" s="561"/>
      <c r="S9" s="561"/>
      <c r="T9" s="561"/>
      <c r="U9" s="561" t="s">
        <v>209</v>
      </c>
      <c r="V9" s="561"/>
      <c r="W9" s="561"/>
      <c r="X9" s="561"/>
      <c r="Y9" s="561"/>
      <c r="Z9" s="561" t="s">
        <v>385</v>
      </c>
      <c r="AA9" s="561"/>
      <c r="AB9" s="561"/>
      <c r="AC9" s="561"/>
      <c r="AD9" s="561"/>
      <c r="AE9" s="561"/>
      <c r="AF9" s="562"/>
      <c r="AG9" s="562"/>
      <c r="AH9" s="562"/>
    </row>
    <row r="10" spans="1:41" x14ac:dyDescent="0.25">
      <c r="A10" s="545"/>
      <c r="B10" s="373"/>
      <c r="C10" s="373"/>
      <c r="D10" s="373"/>
      <c r="E10" s="373"/>
      <c r="F10" s="373"/>
      <c r="G10" s="373"/>
      <c r="H10" s="373"/>
      <c r="I10" s="373"/>
      <c r="J10" s="373"/>
      <c r="K10" s="373"/>
      <c r="L10" s="373"/>
      <c r="M10" s="373"/>
      <c r="N10" s="373"/>
      <c r="O10" s="373"/>
      <c r="P10" s="373"/>
      <c r="Q10" s="373"/>
      <c r="R10" s="373"/>
      <c r="S10" s="373"/>
      <c r="T10" s="373"/>
      <c r="U10" s="561"/>
      <c r="V10" s="561"/>
      <c r="W10" s="561"/>
      <c r="X10" s="561"/>
      <c r="Y10" s="561"/>
      <c r="Z10" s="561"/>
      <c r="AA10" s="561"/>
      <c r="AB10" s="561"/>
      <c r="AC10" s="561"/>
      <c r="AD10" s="561"/>
      <c r="AE10" s="562"/>
      <c r="AF10" s="562"/>
      <c r="AG10" s="562"/>
      <c r="AH10" s="562"/>
    </row>
    <row r="11" spans="1:41" ht="24.75" customHeight="1" x14ac:dyDescent="0.25">
      <c r="A11" s="48"/>
      <c r="B11" s="555" t="s">
        <v>24</v>
      </c>
      <c r="C11" s="555"/>
      <c r="D11" s="555"/>
      <c r="E11" s="555"/>
      <c r="F11" s="555"/>
      <c r="G11" s="555"/>
      <c r="H11" s="555"/>
      <c r="I11" s="555"/>
      <c r="J11" s="555"/>
      <c r="K11" s="555"/>
      <c r="L11" s="555"/>
      <c r="M11" s="555"/>
      <c r="N11" s="555"/>
      <c r="O11" s="555"/>
      <c r="P11" s="555"/>
      <c r="Q11" s="555"/>
      <c r="R11" s="555"/>
      <c r="S11" s="555"/>
      <c r="T11" s="555"/>
      <c r="U11" s="550"/>
      <c r="V11" s="550"/>
      <c r="W11" s="550"/>
      <c r="X11" s="550"/>
      <c r="Y11" s="550"/>
      <c r="Z11" s="545"/>
      <c r="AA11" s="545"/>
      <c r="AB11" s="545"/>
      <c r="AC11" s="545"/>
      <c r="AD11" s="545"/>
      <c r="AE11" s="545"/>
      <c r="AF11" s="545"/>
      <c r="AG11" s="545"/>
      <c r="AH11" s="545"/>
    </row>
    <row r="12" spans="1:41" ht="24.75" customHeight="1" x14ac:dyDescent="0.25">
      <c r="A12" s="48"/>
      <c r="B12" s="528" t="s">
        <v>211</v>
      </c>
      <c r="C12" s="528"/>
      <c r="D12" s="528"/>
      <c r="E12" s="528"/>
      <c r="F12" s="528"/>
      <c r="G12" s="528"/>
      <c r="H12" s="528"/>
      <c r="I12" s="528"/>
      <c r="J12" s="528"/>
      <c r="K12" s="528"/>
      <c r="L12" s="528"/>
      <c r="M12" s="528"/>
      <c r="N12" s="528"/>
      <c r="O12" s="528"/>
      <c r="P12" s="528"/>
      <c r="Q12" s="528"/>
      <c r="R12" s="528"/>
      <c r="S12" s="528"/>
      <c r="T12" s="528"/>
      <c r="U12" s="553">
        <v>387500</v>
      </c>
      <c r="V12" s="553"/>
      <c r="W12" s="553"/>
      <c r="X12" s="553"/>
      <c r="Y12" s="553"/>
      <c r="Z12" s="527">
        <v>387500</v>
      </c>
      <c r="AA12" s="527"/>
      <c r="AB12" s="527"/>
      <c r="AC12" s="527"/>
      <c r="AD12" s="527"/>
      <c r="AE12" s="545"/>
      <c r="AF12" s="545"/>
      <c r="AG12" s="545"/>
      <c r="AH12" s="545"/>
      <c r="AK12" s="545" t="s">
        <v>301</v>
      </c>
      <c r="AL12" s="545"/>
      <c r="AM12" s="545"/>
      <c r="AN12" s="545"/>
      <c r="AO12" s="545"/>
    </row>
    <row r="13" spans="1:41" ht="24.75" customHeight="1" x14ac:dyDescent="0.25">
      <c r="A13" s="48"/>
      <c r="B13" s="558" t="s">
        <v>362</v>
      </c>
      <c r="C13" s="558"/>
      <c r="D13" s="558"/>
      <c r="E13" s="558"/>
      <c r="F13" s="558"/>
      <c r="G13" s="558"/>
      <c r="H13" s="558"/>
      <c r="I13" s="558"/>
      <c r="J13" s="558"/>
      <c r="K13" s="558"/>
      <c r="L13" s="558"/>
      <c r="M13" s="558"/>
      <c r="N13" s="558"/>
      <c r="O13" s="558"/>
      <c r="P13" s="558"/>
      <c r="Q13" s="558"/>
      <c r="R13" s="558"/>
      <c r="S13" s="558"/>
      <c r="T13" s="558"/>
      <c r="U13" s="527">
        <v>2436971</v>
      </c>
      <c r="V13" s="527"/>
      <c r="W13" s="527"/>
      <c r="X13" s="527"/>
      <c r="Y13" s="527"/>
      <c r="Z13" s="527">
        <v>2436971</v>
      </c>
      <c r="AA13" s="527"/>
      <c r="AB13" s="527"/>
      <c r="AC13" s="527"/>
      <c r="AD13" s="527"/>
      <c r="AE13" s="545"/>
      <c r="AF13" s="545"/>
      <c r="AG13" s="545"/>
      <c r="AH13" s="545"/>
      <c r="AK13" s="545" t="s">
        <v>296</v>
      </c>
      <c r="AL13" s="545"/>
      <c r="AM13" s="545"/>
      <c r="AN13" s="545"/>
      <c r="AO13" s="545"/>
    </row>
    <row r="14" spans="1:41" ht="24.75" customHeight="1" x14ac:dyDescent="0.25">
      <c r="A14" s="48"/>
      <c r="B14" s="548" t="s">
        <v>249</v>
      </c>
      <c r="C14" s="548"/>
      <c r="D14" s="548"/>
      <c r="E14" s="548"/>
      <c r="F14" s="548"/>
      <c r="G14" s="548"/>
      <c r="H14" s="548"/>
      <c r="I14" s="548"/>
      <c r="J14" s="548"/>
      <c r="K14" s="548"/>
      <c r="L14" s="548"/>
      <c r="M14" s="548"/>
      <c r="N14" s="548"/>
      <c r="O14" s="548"/>
      <c r="P14" s="548"/>
      <c r="Q14" s="548"/>
      <c r="R14" s="548"/>
      <c r="S14" s="548"/>
      <c r="T14" s="548"/>
      <c r="U14" s="553">
        <v>60000</v>
      </c>
      <c r="V14" s="553"/>
      <c r="W14" s="553"/>
      <c r="X14" s="553"/>
      <c r="Y14" s="553"/>
      <c r="Z14" s="527">
        <v>60000</v>
      </c>
      <c r="AA14" s="527"/>
      <c r="AB14" s="527"/>
      <c r="AC14" s="527"/>
      <c r="AD14" s="527"/>
      <c r="AE14" s="545"/>
      <c r="AF14" s="545"/>
      <c r="AG14" s="545"/>
      <c r="AH14" s="545"/>
      <c r="AK14" s="545" t="s">
        <v>299</v>
      </c>
      <c r="AL14" s="545"/>
      <c r="AM14" s="545"/>
      <c r="AN14" s="545"/>
      <c r="AO14" s="545"/>
    </row>
    <row r="15" spans="1:41" ht="24.75" customHeight="1" x14ac:dyDescent="0.25">
      <c r="A15" s="48"/>
      <c r="B15" s="558" t="s">
        <v>306</v>
      </c>
      <c r="C15" s="558"/>
      <c r="D15" s="558"/>
      <c r="E15" s="558"/>
      <c r="F15" s="558"/>
      <c r="G15" s="558"/>
      <c r="H15" s="558"/>
      <c r="I15" s="558"/>
      <c r="J15" s="558"/>
      <c r="K15" s="558"/>
      <c r="L15" s="558"/>
      <c r="M15" s="558"/>
      <c r="N15" s="558"/>
      <c r="O15" s="558"/>
      <c r="P15" s="558"/>
      <c r="Q15" s="558"/>
      <c r="R15" s="558"/>
      <c r="S15" s="558"/>
      <c r="T15" s="558"/>
      <c r="U15" s="553">
        <f>150000+984885</f>
        <v>1134885</v>
      </c>
      <c r="V15" s="553"/>
      <c r="W15" s="553"/>
      <c r="X15" s="553"/>
      <c r="Y15" s="553"/>
      <c r="Z15" s="527">
        <f>150000+984885</f>
        <v>1134885</v>
      </c>
      <c r="AA15" s="527"/>
      <c r="AB15" s="527"/>
      <c r="AC15" s="527"/>
      <c r="AD15" s="527"/>
      <c r="AE15" s="545"/>
      <c r="AF15" s="545"/>
      <c r="AG15" s="545"/>
      <c r="AH15" s="545"/>
      <c r="AK15" s="545" t="s">
        <v>296</v>
      </c>
      <c r="AL15" s="545"/>
      <c r="AM15" s="545"/>
      <c r="AN15" s="545"/>
      <c r="AO15" s="545"/>
    </row>
    <row r="16" spans="1:41" ht="23.25" customHeight="1" x14ac:dyDescent="0.25">
      <c r="A16" s="48"/>
      <c r="B16" s="558" t="s">
        <v>337</v>
      </c>
      <c r="C16" s="558"/>
      <c r="D16" s="558"/>
      <c r="E16" s="558"/>
      <c r="F16" s="558"/>
      <c r="G16" s="558"/>
      <c r="H16" s="558"/>
      <c r="I16" s="558"/>
      <c r="J16" s="558"/>
      <c r="K16" s="558"/>
      <c r="L16" s="558"/>
      <c r="M16" s="558"/>
      <c r="N16" s="558"/>
      <c r="O16" s="558"/>
      <c r="P16" s="558"/>
      <c r="Q16" s="558"/>
      <c r="R16" s="558"/>
      <c r="S16" s="558"/>
      <c r="T16" s="558"/>
      <c r="U16" s="527">
        <f>347500+17960</f>
        <v>365460</v>
      </c>
      <c r="V16" s="527"/>
      <c r="W16" s="527"/>
      <c r="X16" s="527"/>
      <c r="Y16" s="527"/>
      <c r="Z16" s="527">
        <f>347500+17960</f>
        <v>365460</v>
      </c>
      <c r="AA16" s="527"/>
      <c r="AB16" s="527"/>
      <c r="AC16" s="527"/>
      <c r="AD16" s="527"/>
      <c r="AE16" s="545"/>
      <c r="AF16" s="545"/>
      <c r="AG16" s="545"/>
      <c r="AH16" s="545"/>
      <c r="AK16" s="545" t="s">
        <v>296</v>
      </c>
      <c r="AL16" s="545"/>
      <c r="AM16" s="545"/>
      <c r="AN16" s="545"/>
      <c r="AO16" s="545"/>
    </row>
    <row r="17" spans="1:41" ht="23.25" customHeight="1" x14ac:dyDescent="0.25">
      <c r="A17" s="48"/>
      <c r="B17" s="528" t="s">
        <v>247</v>
      </c>
      <c r="C17" s="528"/>
      <c r="D17" s="528"/>
      <c r="E17" s="528"/>
      <c r="F17" s="528"/>
      <c r="G17" s="528"/>
      <c r="H17" s="528"/>
      <c r="I17" s="528"/>
      <c r="J17" s="528"/>
      <c r="K17" s="528"/>
      <c r="L17" s="528"/>
      <c r="M17" s="528"/>
      <c r="N17" s="528"/>
      <c r="O17" s="528"/>
      <c r="P17" s="528"/>
      <c r="Q17" s="528"/>
      <c r="R17" s="528"/>
      <c r="S17" s="528"/>
      <c r="T17" s="528"/>
      <c r="U17" s="527">
        <v>367731</v>
      </c>
      <c r="V17" s="527"/>
      <c r="W17" s="527"/>
      <c r="X17" s="527"/>
      <c r="Y17" s="527"/>
      <c r="Z17" s="527">
        <v>367731</v>
      </c>
      <c r="AA17" s="527"/>
      <c r="AB17" s="527"/>
      <c r="AC17" s="527"/>
      <c r="AD17" s="527"/>
      <c r="AE17" s="545"/>
      <c r="AF17" s="545"/>
      <c r="AG17" s="545"/>
      <c r="AH17" s="545"/>
      <c r="AK17" s="545" t="s">
        <v>296</v>
      </c>
      <c r="AL17" s="545"/>
      <c r="AM17" s="545"/>
      <c r="AN17" s="545"/>
      <c r="AO17" s="545"/>
    </row>
    <row r="18" spans="1:41" ht="19.5" customHeight="1" x14ac:dyDescent="0.25">
      <c r="A18" s="48"/>
      <c r="B18" s="554" t="s">
        <v>25</v>
      </c>
      <c r="C18" s="554"/>
      <c r="D18" s="554"/>
      <c r="E18" s="554"/>
      <c r="F18" s="554"/>
      <c r="G18" s="554"/>
      <c r="H18" s="554"/>
      <c r="I18" s="554"/>
      <c r="J18" s="554"/>
      <c r="K18" s="554"/>
      <c r="L18" s="554"/>
      <c r="M18" s="554"/>
      <c r="N18" s="554"/>
      <c r="O18" s="554"/>
      <c r="P18" s="554"/>
      <c r="Q18" s="554"/>
      <c r="R18" s="554"/>
      <c r="S18" s="554"/>
      <c r="T18" s="554"/>
      <c r="U18" s="557">
        <f>SUM(U12:Y17)</f>
        <v>4752547</v>
      </c>
      <c r="V18" s="557"/>
      <c r="W18" s="557"/>
      <c r="X18" s="557"/>
      <c r="Y18" s="557"/>
      <c r="Z18" s="557">
        <f>SUM(Z12:AD17)</f>
        <v>4752547</v>
      </c>
      <c r="AA18" s="557"/>
      <c r="AB18" s="557"/>
      <c r="AC18" s="557"/>
      <c r="AD18" s="557"/>
      <c r="AE18" s="545"/>
      <c r="AF18" s="545"/>
      <c r="AG18" s="545"/>
      <c r="AH18" s="545"/>
      <c r="AK18" s="175"/>
    </row>
    <row r="19" spans="1:41" ht="19.5" customHeight="1" x14ac:dyDescent="0.25">
      <c r="A19" s="48"/>
      <c r="B19" s="563"/>
      <c r="C19" s="563"/>
      <c r="D19" s="563"/>
      <c r="E19" s="563"/>
      <c r="F19" s="563"/>
      <c r="G19" s="563"/>
      <c r="H19" s="563"/>
      <c r="I19" s="563"/>
      <c r="J19" s="563"/>
      <c r="K19" s="563"/>
      <c r="L19" s="563"/>
      <c r="M19" s="563"/>
      <c r="N19" s="563"/>
      <c r="O19" s="563"/>
      <c r="P19" s="563"/>
      <c r="Q19" s="563"/>
      <c r="R19" s="563"/>
      <c r="S19" s="563"/>
      <c r="T19" s="563"/>
      <c r="U19" s="565"/>
      <c r="V19" s="565"/>
      <c r="W19" s="565"/>
      <c r="X19" s="565"/>
      <c r="Y19" s="565"/>
      <c r="Z19" s="565"/>
      <c r="AA19" s="565"/>
      <c r="AB19" s="565"/>
      <c r="AC19" s="565"/>
      <c r="AD19" s="565"/>
      <c r="AE19" s="545"/>
      <c r="AF19" s="545"/>
      <c r="AG19" s="545"/>
      <c r="AH19" s="545"/>
    </row>
    <row r="20" spans="1:41" ht="19.5" customHeight="1" x14ac:dyDescent="0.25">
      <c r="A20" s="48"/>
      <c r="B20" s="555" t="s">
        <v>26</v>
      </c>
      <c r="C20" s="555"/>
      <c r="D20" s="555"/>
      <c r="E20" s="555"/>
      <c r="F20" s="555"/>
      <c r="G20" s="555"/>
      <c r="H20" s="555"/>
      <c r="I20" s="555"/>
      <c r="J20" s="555"/>
      <c r="K20" s="555"/>
      <c r="L20" s="555"/>
      <c r="M20" s="555"/>
      <c r="N20" s="555"/>
      <c r="O20" s="555"/>
      <c r="P20" s="555"/>
      <c r="Q20" s="555"/>
      <c r="R20" s="555"/>
      <c r="S20" s="555"/>
      <c r="T20" s="555"/>
      <c r="U20" s="559"/>
      <c r="V20" s="559"/>
      <c r="W20" s="559"/>
      <c r="X20" s="559"/>
      <c r="Y20" s="559"/>
      <c r="Z20" s="545"/>
      <c r="AA20" s="545"/>
      <c r="AB20" s="545"/>
      <c r="AC20" s="545"/>
      <c r="AD20" s="545"/>
      <c r="AE20" s="545"/>
      <c r="AF20" s="545"/>
      <c r="AG20" s="545"/>
      <c r="AH20" s="545"/>
    </row>
    <row r="21" spans="1:41" ht="19.5" customHeight="1" x14ac:dyDescent="0.25">
      <c r="A21" s="48"/>
      <c r="B21" s="548" t="s">
        <v>252</v>
      </c>
      <c r="C21" s="466"/>
      <c r="D21" s="466"/>
      <c r="E21" s="466"/>
      <c r="F21" s="466"/>
      <c r="G21" s="466"/>
      <c r="H21" s="466"/>
      <c r="I21" s="466"/>
      <c r="J21" s="466"/>
      <c r="K21" s="466"/>
      <c r="L21" s="466"/>
      <c r="M21" s="466"/>
      <c r="N21" s="466"/>
      <c r="O21" s="466"/>
      <c r="P21" s="466"/>
      <c r="Q21" s="466"/>
      <c r="R21" s="466"/>
      <c r="S21" s="466"/>
      <c r="T21" s="549"/>
      <c r="U21" s="527">
        <v>450000</v>
      </c>
      <c r="V21" s="527"/>
      <c r="W21" s="527"/>
      <c r="X21" s="527"/>
      <c r="Y21" s="527"/>
      <c r="Z21" s="527">
        <v>450000</v>
      </c>
      <c r="AA21" s="527"/>
      <c r="AB21" s="527"/>
      <c r="AC21" s="527"/>
      <c r="AD21" s="527"/>
      <c r="AE21" s="545"/>
      <c r="AF21" s="545"/>
      <c r="AG21" s="545"/>
      <c r="AH21" s="545"/>
    </row>
    <row r="22" spans="1:41" ht="19.5" customHeight="1" x14ac:dyDescent="0.25">
      <c r="A22" s="48"/>
      <c r="B22" s="548" t="s">
        <v>248</v>
      </c>
      <c r="C22" s="548"/>
      <c r="D22" s="548"/>
      <c r="E22" s="548"/>
      <c r="F22" s="548"/>
      <c r="G22" s="548"/>
      <c r="H22" s="548"/>
      <c r="I22" s="548"/>
      <c r="J22" s="548"/>
      <c r="K22" s="548"/>
      <c r="L22" s="548"/>
      <c r="M22" s="548"/>
      <c r="N22" s="548"/>
      <c r="O22" s="548"/>
      <c r="P22" s="548"/>
      <c r="Q22" s="548"/>
      <c r="R22" s="548"/>
      <c r="S22" s="548"/>
      <c r="T22" s="556"/>
      <c r="U22" s="527">
        <f>2500000-850755</f>
        <v>1649245</v>
      </c>
      <c r="V22" s="527"/>
      <c r="W22" s="527"/>
      <c r="X22" s="527"/>
      <c r="Y22" s="527"/>
      <c r="Z22" s="527">
        <f>2500000-850755+150000</f>
        <v>1799245</v>
      </c>
      <c r="AA22" s="527"/>
      <c r="AB22" s="527"/>
      <c r="AC22" s="527"/>
      <c r="AD22" s="527"/>
      <c r="AE22" s="545"/>
      <c r="AF22" s="545"/>
      <c r="AG22" s="545"/>
      <c r="AH22" s="545"/>
      <c r="AK22" s="544" t="s">
        <v>298</v>
      </c>
      <c r="AL22" s="545"/>
      <c r="AM22" s="545"/>
      <c r="AN22" s="545"/>
      <c r="AO22" s="545"/>
    </row>
    <row r="23" spans="1:41" ht="19.5" customHeight="1" x14ac:dyDescent="0.25">
      <c r="A23" s="48"/>
      <c r="B23" s="548" t="s">
        <v>363</v>
      </c>
      <c r="C23" s="548"/>
      <c r="D23" s="548"/>
      <c r="E23" s="548"/>
      <c r="F23" s="548"/>
      <c r="G23" s="548"/>
      <c r="H23" s="548"/>
      <c r="I23" s="548"/>
      <c r="J23" s="548"/>
      <c r="K23" s="548"/>
      <c r="L23" s="548"/>
      <c r="M23" s="548"/>
      <c r="N23" s="548"/>
      <c r="O23" s="548"/>
      <c r="P23" s="548"/>
      <c r="Q23" s="548"/>
      <c r="R23" s="548"/>
      <c r="S23" s="548"/>
      <c r="T23" s="556"/>
      <c r="U23" s="527">
        <v>20000</v>
      </c>
      <c r="V23" s="527"/>
      <c r="W23" s="527"/>
      <c r="X23" s="527"/>
      <c r="Y23" s="527"/>
      <c r="Z23" s="527">
        <v>20000</v>
      </c>
      <c r="AA23" s="527"/>
      <c r="AB23" s="527"/>
      <c r="AC23" s="527"/>
      <c r="AD23" s="527"/>
      <c r="AE23" s="545"/>
      <c r="AF23" s="545"/>
      <c r="AG23" s="545"/>
      <c r="AH23" s="545"/>
      <c r="AK23" s="544" t="s">
        <v>297</v>
      </c>
      <c r="AL23" s="545"/>
      <c r="AM23" s="545"/>
      <c r="AN23" s="545"/>
      <c r="AO23" s="545"/>
    </row>
    <row r="24" spans="1:41" ht="19.5" customHeight="1" x14ac:dyDescent="0.25">
      <c r="A24" s="48"/>
      <c r="B24" s="548" t="s">
        <v>364</v>
      </c>
      <c r="C24" s="548"/>
      <c r="D24" s="548"/>
      <c r="E24" s="548"/>
      <c r="F24" s="548"/>
      <c r="G24" s="548"/>
      <c r="H24" s="548"/>
      <c r="I24" s="548"/>
      <c r="J24" s="548"/>
      <c r="K24" s="548"/>
      <c r="L24" s="548"/>
      <c r="M24" s="548"/>
      <c r="N24" s="548"/>
      <c r="O24" s="548"/>
      <c r="P24" s="548"/>
      <c r="Q24" s="548"/>
      <c r="R24" s="548"/>
      <c r="S24" s="548"/>
      <c r="T24" s="556"/>
      <c r="U24" s="527">
        <v>30000</v>
      </c>
      <c r="V24" s="527"/>
      <c r="W24" s="527"/>
      <c r="X24" s="527"/>
      <c r="Y24" s="527"/>
      <c r="Z24" s="527">
        <v>30000</v>
      </c>
      <c r="AA24" s="527"/>
      <c r="AB24" s="527"/>
      <c r="AC24" s="527"/>
      <c r="AD24" s="527"/>
      <c r="AE24" s="545"/>
      <c r="AF24" s="545"/>
      <c r="AG24" s="545"/>
      <c r="AH24" s="545"/>
      <c r="AK24" s="544" t="s">
        <v>297</v>
      </c>
      <c r="AL24" s="545"/>
      <c r="AM24" s="545"/>
      <c r="AN24" s="545"/>
      <c r="AO24" s="545"/>
    </row>
    <row r="25" spans="1:41" ht="19.5" customHeight="1" x14ac:dyDescent="0.25">
      <c r="A25" s="48"/>
      <c r="B25" s="548" t="s">
        <v>365</v>
      </c>
      <c r="C25" s="548"/>
      <c r="D25" s="548"/>
      <c r="E25" s="548"/>
      <c r="F25" s="548"/>
      <c r="G25" s="548"/>
      <c r="H25" s="548"/>
      <c r="I25" s="548"/>
      <c r="J25" s="548"/>
      <c r="K25" s="548"/>
      <c r="L25" s="548"/>
      <c r="M25" s="548"/>
      <c r="N25" s="548"/>
      <c r="O25" s="548"/>
      <c r="P25" s="548"/>
      <c r="Q25" s="548"/>
      <c r="R25" s="548"/>
      <c r="S25" s="548"/>
      <c r="T25" s="556"/>
      <c r="U25" s="527">
        <v>30000</v>
      </c>
      <c r="V25" s="527"/>
      <c r="W25" s="527"/>
      <c r="X25" s="527"/>
      <c r="Y25" s="527"/>
      <c r="Z25" s="527">
        <v>30000</v>
      </c>
      <c r="AA25" s="527"/>
      <c r="AB25" s="527"/>
      <c r="AC25" s="527"/>
      <c r="AD25" s="527"/>
      <c r="AE25" s="545"/>
      <c r="AF25" s="545"/>
      <c r="AG25" s="545"/>
      <c r="AH25" s="545"/>
      <c r="AK25" s="544"/>
      <c r="AL25" s="545"/>
      <c r="AM25" s="545"/>
      <c r="AN25" s="545"/>
      <c r="AO25" s="545"/>
    </row>
    <row r="26" spans="1:41" ht="19.5" customHeight="1" x14ac:dyDescent="0.25">
      <c r="A26" s="48"/>
      <c r="B26" s="548" t="s">
        <v>250</v>
      </c>
      <c r="C26" s="548"/>
      <c r="D26" s="548"/>
      <c r="E26" s="548"/>
      <c r="F26" s="548"/>
      <c r="G26" s="548"/>
      <c r="H26" s="548"/>
      <c r="I26" s="548"/>
      <c r="J26" s="548"/>
      <c r="K26" s="548"/>
      <c r="L26" s="548"/>
      <c r="M26" s="548"/>
      <c r="N26" s="548"/>
      <c r="O26" s="548"/>
      <c r="P26" s="548"/>
      <c r="Q26" s="548"/>
      <c r="R26" s="548"/>
      <c r="S26" s="548"/>
      <c r="T26" s="556"/>
      <c r="U26" s="527">
        <v>100000</v>
      </c>
      <c r="V26" s="527"/>
      <c r="W26" s="527"/>
      <c r="X26" s="527"/>
      <c r="Y26" s="527"/>
      <c r="Z26" s="527">
        <v>100000</v>
      </c>
      <c r="AA26" s="527"/>
      <c r="AB26" s="527"/>
      <c r="AC26" s="527"/>
      <c r="AD26" s="527"/>
      <c r="AE26" s="545"/>
      <c r="AF26" s="545"/>
      <c r="AG26" s="545"/>
      <c r="AH26" s="545"/>
      <c r="AK26" s="544" t="s">
        <v>300</v>
      </c>
      <c r="AL26" s="545"/>
      <c r="AM26" s="545"/>
      <c r="AN26" s="545"/>
      <c r="AO26" s="545"/>
    </row>
    <row r="27" spans="1:41" ht="19.5" customHeight="1" x14ac:dyDescent="0.25">
      <c r="A27" s="48"/>
      <c r="B27" s="528" t="s">
        <v>366</v>
      </c>
      <c r="C27" s="528"/>
      <c r="D27" s="528"/>
      <c r="E27" s="528"/>
      <c r="F27" s="528"/>
      <c r="G27" s="528"/>
      <c r="H27" s="528"/>
      <c r="I27" s="528"/>
      <c r="J27" s="528"/>
      <c r="K27" s="528"/>
      <c r="L27" s="528"/>
      <c r="M27" s="528"/>
      <c r="N27" s="528"/>
      <c r="O27" s="528"/>
      <c r="P27" s="528"/>
      <c r="Q27" s="528"/>
      <c r="R27" s="528"/>
      <c r="S27" s="528"/>
      <c r="T27" s="552"/>
      <c r="U27" s="527">
        <v>20000</v>
      </c>
      <c r="V27" s="527"/>
      <c r="W27" s="527"/>
      <c r="X27" s="527"/>
      <c r="Y27" s="527"/>
      <c r="Z27" s="527">
        <v>20000</v>
      </c>
      <c r="AA27" s="527"/>
      <c r="AB27" s="527"/>
      <c r="AC27" s="527"/>
      <c r="AD27" s="527"/>
      <c r="AE27" s="545"/>
      <c r="AF27" s="545"/>
      <c r="AG27" s="545"/>
      <c r="AH27" s="545"/>
    </row>
    <row r="28" spans="1:41" ht="19.5" customHeight="1" x14ac:dyDescent="0.25">
      <c r="A28" s="48"/>
      <c r="B28" s="528" t="s">
        <v>384</v>
      </c>
      <c r="C28" s="528"/>
      <c r="D28" s="528"/>
      <c r="E28" s="528"/>
      <c r="F28" s="528"/>
      <c r="G28" s="528"/>
      <c r="H28" s="528"/>
      <c r="I28" s="528"/>
      <c r="J28" s="528"/>
      <c r="K28" s="528"/>
      <c r="L28" s="528"/>
      <c r="M28" s="528"/>
      <c r="N28" s="528"/>
      <c r="O28" s="528"/>
      <c r="P28" s="528"/>
      <c r="Q28" s="528"/>
      <c r="R28" s="528"/>
      <c r="S28" s="528"/>
      <c r="T28" s="552"/>
      <c r="U28" s="527"/>
      <c r="V28" s="527"/>
      <c r="W28" s="527"/>
      <c r="X28" s="527"/>
      <c r="Y28" s="527"/>
      <c r="Z28" s="527">
        <v>50000</v>
      </c>
      <c r="AA28" s="527"/>
      <c r="AB28" s="527"/>
      <c r="AC28" s="527"/>
      <c r="AD28" s="527"/>
      <c r="AE28" s="545"/>
      <c r="AF28" s="545"/>
      <c r="AG28" s="545"/>
      <c r="AH28" s="545"/>
    </row>
    <row r="29" spans="1:41" ht="19.5" customHeight="1" x14ac:dyDescent="0.25">
      <c r="A29" s="48"/>
      <c r="B29" s="554" t="s">
        <v>27</v>
      </c>
      <c r="C29" s="554"/>
      <c r="D29" s="554"/>
      <c r="E29" s="554"/>
      <c r="F29" s="554"/>
      <c r="G29" s="554"/>
      <c r="H29" s="554"/>
      <c r="I29" s="554"/>
      <c r="J29" s="554"/>
      <c r="K29" s="554"/>
      <c r="L29" s="554"/>
      <c r="M29" s="554"/>
      <c r="N29" s="554"/>
      <c r="O29" s="554"/>
      <c r="P29" s="554"/>
      <c r="Q29" s="554"/>
      <c r="R29" s="554"/>
      <c r="S29" s="554"/>
      <c r="T29" s="554"/>
      <c r="U29" s="560">
        <f>SUM(U21:Y28)</f>
        <v>2299245</v>
      </c>
      <c r="V29" s="560"/>
      <c r="W29" s="560"/>
      <c r="X29" s="560"/>
      <c r="Y29" s="560"/>
      <c r="Z29" s="551">
        <f>SUM(Z21:AD28)</f>
        <v>2499245</v>
      </c>
      <c r="AA29" s="551"/>
      <c r="AB29" s="551"/>
      <c r="AC29" s="551"/>
      <c r="AD29" s="551"/>
      <c r="AE29" s="545"/>
      <c r="AF29" s="545"/>
      <c r="AG29" s="545"/>
      <c r="AH29" s="545"/>
      <c r="AK29" s="175"/>
    </row>
    <row r="30" spans="1:41" ht="19.5" customHeight="1" x14ac:dyDescent="0.25">
      <c r="A30" s="48"/>
      <c r="B30" s="554" t="s">
        <v>284</v>
      </c>
      <c r="C30" s="554"/>
      <c r="D30" s="554"/>
      <c r="E30" s="554"/>
      <c r="F30" s="554"/>
      <c r="G30" s="554"/>
      <c r="H30" s="554"/>
      <c r="I30" s="554"/>
      <c r="J30" s="554"/>
      <c r="K30" s="554"/>
      <c r="L30" s="554"/>
      <c r="M30" s="554"/>
      <c r="N30" s="554"/>
      <c r="O30" s="554"/>
      <c r="P30" s="554"/>
      <c r="Q30" s="554"/>
      <c r="R30" s="554"/>
      <c r="S30" s="554"/>
      <c r="T30" s="554"/>
      <c r="U30" s="557">
        <f>+U29+U18</f>
        <v>7051792</v>
      </c>
      <c r="V30" s="557"/>
      <c r="W30" s="557"/>
      <c r="X30" s="557"/>
      <c r="Y30" s="557"/>
      <c r="Z30" s="557">
        <f>+Z29+Z18</f>
        <v>7251792</v>
      </c>
      <c r="AA30" s="557"/>
      <c r="AB30" s="557"/>
      <c r="AC30" s="557"/>
      <c r="AD30" s="557"/>
      <c r="AE30" s="545"/>
      <c r="AF30" s="545"/>
      <c r="AG30" s="545"/>
      <c r="AH30" s="545"/>
      <c r="AK30" s="175"/>
    </row>
    <row r="31" spans="1:41" ht="19.5" customHeight="1" x14ac:dyDescent="0.25">
      <c r="A31" s="48"/>
      <c r="B31" s="548" t="s">
        <v>248</v>
      </c>
      <c r="C31" s="548"/>
      <c r="D31" s="548"/>
      <c r="E31" s="548"/>
      <c r="F31" s="548"/>
      <c r="G31" s="548"/>
      <c r="H31" s="548"/>
      <c r="I31" s="548"/>
      <c r="J31" s="548"/>
      <c r="K31" s="548"/>
      <c r="L31" s="548"/>
      <c r="M31" s="548"/>
      <c r="N31" s="548"/>
      <c r="O31" s="548"/>
      <c r="P31" s="548"/>
      <c r="Q31" s="548"/>
      <c r="R31" s="548"/>
      <c r="S31" s="548"/>
      <c r="T31" s="556"/>
      <c r="U31" s="550">
        <v>850755</v>
      </c>
      <c r="V31" s="550"/>
      <c r="W31" s="550"/>
      <c r="X31" s="550"/>
      <c r="Y31" s="550"/>
      <c r="Z31" s="550">
        <v>850755</v>
      </c>
      <c r="AA31" s="550"/>
      <c r="AB31" s="550"/>
      <c r="AC31" s="550"/>
      <c r="AD31" s="550"/>
      <c r="AE31" s="545"/>
      <c r="AF31" s="545"/>
      <c r="AG31" s="545"/>
      <c r="AH31" s="545"/>
      <c r="AK31" s="545" t="s">
        <v>303</v>
      </c>
      <c r="AL31" s="545"/>
      <c r="AM31" s="545"/>
      <c r="AN31" s="545"/>
      <c r="AO31" s="545"/>
    </row>
    <row r="32" spans="1:41" ht="19.5" customHeight="1" x14ac:dyDescent="0.25">
      <c r="A32" s="48"/>
      <c r="B32" s="558"/>
      <c r="C32" s="558"/>
      <c r="D32" s="558"/>
      <c r="E32" s="558"/>
      <c r="F32" s="558"/>
      <c r="G32" s="558"/>
      <c r="H32" s="558"/>
      <c r="I32" s="558"/>
      <c r="J32" s="558"/>
      <c r="K32" s="558"/>
      <c r="L32" s="558"/>
      <c r="M32" s="558"/>
      <c r="N32" s="558"/>
      <c r="O32" s="558"/>
      <c r="P32" s="558"/>
      <c r="Q32" s="558"/>
      <c r="R32" s="558"/>
      <c r="S32" s="558"/>
      <c r="T32" s="558"/>
      <c r="U32" s="550"/>
      <c r="V32" s="550"/>
      <c r="W32" s="550"/>
      <c r="X32" s="550"/>
      <c r="Y32" s="550"/>
      <c r="Z32" s="545"/>
      <c r="AA32" s="545"/>
      <c r="AB32" s="545"/>
      <c r="AC32" s="545"/>
      <c r="AD32" s="545"/>
      <c r="AE32" s="545"/>
      <c r="AF32" s="545"/>
      <c r="AG32" s="545"/>
      <c r="AH32" s="545"/>
      <c r="AK32" s="545" t="s">
        <v>302</v>
      </c>
      <c r="AL32" s="545"/>
      <c r="AM32" s="545"/>
      <c r="AN32" s="545"/>
      <c r="AO32" s="545"/>
    </row>
    <row r="33" spans="1:37" ht="19.5" customHeight="1" x14ac:dyDescent="0.25">
      <c r="A33" s="48"/>
      <c r="B33" s="554" t="s">
        <v>285</v>
      </c>
      <c r="C33" s="554"/>
      <c r="D33" s="554"/>
      <c r="E33" s="554"/>
      <c r="F33" s="554"/>
      <c r="G33" s="554"/>
      <c r="H33" s="554"/>
      <c r="I33" s="554"/>
      <c r="J33" s="554"/>
      <c r="K33" s="554"/>
      <c r="L33" s="554"/>
      <c r="M33" s="554"/>
      <c r="N33" s="554"/>
      <c r="O33" s="554"/>
      <c r="P33" s="554"/>
      <c r="Q33" s="554"/>
      <c r="R33" s="554"/>
      <c r="S33" s="554"/>
      <c r="T33" s="554"/>
      <c r="U33" s="557">
        <f>+U31+U32</f>
        <v>850755</v>
      </c>
      <c r="V33" s="557"/>
      <c r="W33" s="557"/>
      <c r="X33" s="557"/>
      <c r="Y33" s="557"/>
      <c r="Z33" s="557">
        <f>+Z31+Z32</f>
        <v>850755</v>
      </c>
      <c r="AA33" s="557"/>
      <c r="AB33" s="557"/>
      <c r="AC33" s="557"/>
      <c r="AD33" s="557"/>
      <c r="AE33" s="545"/>
      <c r="AF33" s="545"/>
      <c r="AG33" s="545"/>
      <c r="AH33" s="545"/>
      <c r="AK33" s="175"/>
    </row>
    <row r="34" spans="1:37" ht="21.9" customHeight="1" x14ac:dyDescent="0.25">
      <c r="AK34" s="175"/>
    </row>
    <row r="35" spans="1:37" ht="21.9" customHeight="1" x14ac:dyDescent="0.25">
      <c r="U35" s="564"/>
      <c r="V35" s="564"/>
      <c r="W35" s="564"/>
      <c r="X35" s="564"/>
      <c r="Y35" s="564"/>
    </row>
    <row r="36" spans="1:37" ht="21.9" customHeight="1" x14ac:dyDescent="0.25">
      <c r="U36" s="564"/>
      <c r="V36" s="564"/>
      <c r="W36" s="564"/>
      <c r="X36" s="564"/>
      <c r="Y36" s="564"/>
    </row>
    <row r="37" spans="1:37" ht="21.9" customHeight="1" x14ac:dyDescent="0.25">
      <c r="U37" s="546">
        <f>SUM(U35:Y36)</f>
        <v>0</v>
      </c>
      <c r="V37" s="547"/>
      <c r="W37" s="547"/>
      <c r="X37" s="547"/>
      <c r="Y37" s="547"/>
    </row>
    <row r="38" spans="1:37" ht="21.9" customHeight="1" x14ac:dyDescent="0.25"/>
    <row r="39" spans="1:37" ht="21.9" customHeight="1" x14ac:dyDescent="0.25"/>
    <row r="40" spans="1:37" ht="21.9" customHeight="1" x14ac:dyDescent="0.25"/>
    <row r="41" spans="1:37" ht="21.9" customHeight="1" x14ac:dyDescent="0.25"/>
    <row r="42" spans="1:37" ht="21.9" customHeight="1" x14ac:dyDescent="0.25"/>
    <row r="43" spans="1:37" ht="21.9" customHeight="1" x14ac:dyDescent="0.25"/>
    <row r="44" spans="1:37" ht="21.9" customHeight="1" x14ac:dyDescent="0.25"/>
    <row r="45" spans="1:37" ht="21.9" customHeight="1" x14ac:dyDescent="0.25"/>
    <row r="46" spans="1:37" ht="21.9" customHeight="1" x14ac:dyDescent="0.25"/>
    <row r="47" spans="1:37" ht="21.9" customHeight="1" x14ac:dyDescent="0.25"/>
    <row r="48" spans="1:37" ht="21.9" customHeight="1" x14ac:dyDescent="0.25"/>
    <row r="49" ht="21.9" customHeight="1" x14ac:dyDescent="0.25"/>
    <row r="50" ht="21.9" customHeight="1" x14ac:dyDescent="0.25"/>
    <row r="51" ht="21.9" customHeight="1" x14ac:dyDescent="0.25"/>
    <row r="52" ht="21.9" customHeight="1" x14ac:dyDescent="0.25"/>
    <row r="53" ht="21.9" customHeight="1" x14ac:dyDescent="0.25"/>
    <row r="54" ht="21.9" customHeight="1" x14ac:dyDescent="0.25"/>
    <row r="55" ht="21.9" customHeight="1" x14ac:dyDescent="0.25"/>
    <row r="56" ht="21.9" customHeight="1" x14ac:dyDescent="0.25"/>
    <row r="57" ht="21.9" customHeight="1" x14ac:dyDescent="0.25"/>
    <row r="58" ht="21.9" customHeight="1" x14ac:dyDescent="0.25"/>
    <row r="59" ht="21.9" customHeight="1" x14ac:dyDescent="0.25"/>
    <row r="60" ht="21.9" customHeight="1" x14ac:dyDescent="0.25"/>
    <row r="61" ht="21.9" customHeight="1" x14ac:dyDescent="0.25"/>
    <row r="62" ht="21.9" customHeight="1" x14ac:dyDescent="0.25"/>
    <row r="63" ht="21.9" customHeight="1" x14ac:dyDescent="0.25"/>
    <row r="64" ht="21.9" customHeight="1" x14ac:dyDescent="0.25"/>
    <row r="65" ht="21.9" customHeight="1" x14ac:dyDescent="0.25"/>
    <row r="66" ht="21.9" customHeight="1" x14ac:dyDescent="0.25"/>
    <row r="67" ht="21.9" customHeight="1" x14ac:dyDescent="0.25"/>
    <row r="68" ht="21.9" customHeight="1" x14ac:dyDescent="0.25"/>
    <row r="69" ht="21.9" customHeight="1" x14ac:dyDescent="0.25"/>
    <row r="70" ht="21.9" customHeight="1" x14ac:dyDescent="0.25"/>
    <row r="71" ht="21.9" customHeight="1" x14ac:dyDescent="0.25"/>
    <row r="72" ht="21.9" customHeight="1" x14ac:dyDescent="0.25"/>
    <row r="73" ht="21.9" customHeight="1" x14ac:dyDescent="0.25"/>
    <row r="74" ht="21.9" customHeight="1" x14ac:dyDescent="0.25"/>
    <row r="75" ht="21.9" customHeight="1" x14ac:dyDescent="0.25"/>
    <row r="76" ht="21.9" customHeight="1" x14ac:dyDescent="0.25"/>
    <row r="77" ht="21.9" customHeight="1" x14ac:dyDescent="0.25"/>
    <row r="78" ht="21.9" customHeight="1" x14ac:dyDescent="0.25"/>
    <row r="79" ht="21.9" customHeight="1" x14ac:dyDescent="0.25"/>
    <row r="80" ht="21.9" customHeight="1" x14ac:dyDescent="0.25"/>
    <row r="81" ht="21.9" customHeight="1" x14ac:dyDescent="0.25"/>
    <row r="82" ht="21.9" customHeight="1" x14ac:dyDescent="0.25"/>
    <row r="83" ht="21.9" customHeight="1" x14ac:dyDescent="0.25"/>
    <row r="84" ht="21.9" customHeight="1" x14ac:dyDescent="0.25"/>
    <row r="85" ht="21.9" customHeight="1" x14ac:dyDescent="0.25"/>
    <row r="86" ht="21.9" customHeight="1" x14ac:dyDescent="0.25"/>
    <row r="87" ht="21.9" customHeight="1" x14ac:dyDescent="0.25"/>
    <row r="88" ht="21.9" customHeight="1" x14ac:dyDescent="0.25"/>
    <row r="89" ht="21.9" customHeight="1" x14ac:dyDescent="0.25"/>
    <row r="90" ht="21.9" customHeight="1" x14ac:dyDescent="0.25"/>
    <row r="91" ht="21.9" customHeight="1" x14ac:dyDescent="0.25"/>
    <row r="92" ht="21.9" customHeight="1" x14ac:dyDescent="0.25"/>
    <row r="93" ht="21.9" customHeight="1" x14ac:dyDescent="0.25"/>
    <row r="94" ht="21.9" customHeight="1" x14ac:dyDescent="0.25"/>
    <row r="95" ht="21.9" customHeight="1" x14ac:dyDescent="0.25"/>
    <row r="96" ht="21.9" customHeight="1" x14ac:dyDescent="0.25"/>
    <row r="97" spans="2:5" ht="21.9" customHeight="1" x14ac:dyDescent="0.25"/>
    <row r="98" spans="2:5" ht="21.9" customHeight="1" x14ac:dyDescent="0.25"/>
    <row r="99" spans="2:5" ht="21.9" customHeight="1" x14ac:dyDescent="0.25"/>
    <row r="100" spans="2:5" ht="21.9" customHeight="1" x14ac:dyDescent="0.25">
      <c r="B100" s="24"/>
      <c r="C100" s="24"/>
      <c r="D100" s="24"/>
      <c r="E100" s="24"/>
    </row>
    <row r="101" spans="2:5" ht="21.9" customHeight="1" x14ac:dyDescent="0.25">
      <c r="B101" s="24"/>
      <c r="C101" s="24"/>
      <c r="D101" s="24"/>
      <c r="E101" s="24"/>
    </row>
    <row r="102" spans="2:5" ht="21.9" customHeight="1" x14ac:dyDescent="0.25">
      <c r="B102" s="24"/>
      <c r="C102" s="24"/>
      <c r="D102" s="24"/>
      <c r="E102" s="24"/>
    </row>
    <row r="103" spans="2:5" ht="21.9" customHeight="1" x14ac:dyDescent="0.25">
      <c r="B103" s="24"/>
      <c r="C103" s="24"/>
      <c r="D103" s="24"/>
      <c r="E103" s="24"/>
    </row>
    <row r="104" spans="2:5" ht="21.9" customHeight="1" x14ac:dyDescent="0.25">
      <c r="B104" s="24"/>
      <c r="C104" s="24"/>
      <c r="D104" s="24"/>
      <c r="E104" s="24"/>
    </row>
    <row r="105" spans="2:5" ht="21.9" customHeight="1" x14ac:dyDescent="0.25">
      <c r="B105" s="24"/>
      <c r="C105" s="24"/>
      <c r="D105" s="24"/>
      <c r="E105" s="24"/>
    </row>
    <row r="106" spans="2:5" ht="21.9" customHeight="1" x14ac:dyDescent="0.25">
      <c r="B106" s="24"/>
      <c r="C106" s="24"/>
      <c r="D106" s="24"/>
      <c r="E106" s="24"/>
    </row>
    <row r="107" spans="2:5" ht="21.9" customHeight="1" x14ac:dyDescent="0.25">
      <c r="B107" s="24"/>
      <c r="C107" s="24"/>
      <c r="D107" s="24"/>
      <c r="E107" s="24"/>
    </row>
    <row r="108" spans="2:5" ht="21.9" customHeight="1" x14ac:dyDescent="0.25">
      <c r="B108" s="24"/>
      <c r="C108" s="24"/>
      <c r="D108" s="24"/>
      <c r="E108" s="24"/>
    </row>
    <row r="109" spans="2:5" ht="21.9" customHeight="1" x14ac:dyDescent="0.25">
      <c r="B109" s="24"/>
      <c r="C109" s="24"/>
      <c r="D109" s="24"/>
      <c r="E109" s="24"/>
    </row>
    <row r="110" spans="2:5" ht="21.9" customHeight="1" x14ac:dyDescent="0.25">
      <c r="B110" s="24"/>
      <c r="C110" s="24"/>
      <c r="D110" s="24"/>
      <c r="E110" s="24"/>
    </row>
    <row r="111" spans="2:5" ht="21.9" customHeight="1" x14ac:dyDescent="0.25">
      <c r="B111" s="24"/>
      <c r="C111" s="24"/>
      <c r="D111" s="24"/>
      <c r="E111" s="24"/>
    </row>
    <row r="112" spans="2:5" ht="21.9" customHeight="1" x14ac:dyDescent="0.25">
      <c r="B112" s="24"/>
      <c r="C112" s="24"/>
      <c r="D112" s="24"/>
      <c r="E112" s="24"/>
    </row>
    <row r="113" spans="2:5" ht="21.9" customHeight="1" x14ac:dyDescent="0.25">
      <c r="B113" s="24"/>
      <c r="C113" s="24"/>
      <c r="D113" s="24"/>
      <c r="E113" s="24"/>
    </row>
    <row r="114" spans="2:5" ht="21.9" customHeight="1" x14ac:dyDescent="0.25">
      <c r="B114" s="24"/>
      <c r="C114" s="24"/>
      <c r="D114" s="24"/>
      <c r="E114" s="24"/>
    </row>
    <row r="115" spans="2:5" ht="21.9" customHeight="1" x14ac:dyDescent="0.25">
      <c r="B115" s="24"/>
      <c r="C115" s="24"/>
      <c r="D115" s="24"/>
      <c r="E115" s="24"/>
    </row>
    <row r="116" spans="2:5" ht="21.9" customHeight="1" x14ac:dyDescent="0.25">
      <c r="B116" s="24"/>
      <c r="C116" s="24"/>
      <c r="D116" s="24"/>
      <c r="E116" s="24"/>
    </row>
    <row r="117" spans="2:5" ht="21.9" customHeight="1" x14ac:dyDescent="0.25">
      <c r="B117" s="24"/>
      <c r="C117" s="24"/>
      <c r="D117" s="24"/>
      <c r="E117" s="24"/>
    </row>
    <row r="118" spans="2:5" ht="21.9" customHeight="1" x14ac:dyDescent="0.25">
      <c r="B118" s="24"/>
      <c r="C118" s="24"/>
      <c r="D118" s="24"/>
      <c r="E118" s="24"/>
    </row>
    <row r="119" spans="2:5" ht="21.9" customHeight="1" x14ac:dyDescent="0.25">
      <c r="B119" s="24"/>
      <c r="C119" s="24"/>
      <c r="D119" s="24"/>
      <c r="E119" s="24"/>
    </row>
    <row r="120" spans="2:5" ht="21.9" customHeight="1" x14ac:dyDescent="0.25">
      <c r="B120" s="24"/>
      <c r="C120" s="24"/>
      <c r="D120" s="24"/>
      <c r="E120" s="24"/>
    </row>
    <row r="121" spans="2:5" ht="21.9" customHeight="1" x14ac:dyDescent="0.25">
      <c r="B121" s="24"/>
      <c r="C121" s="24"/>
      <c r="D121" s="24"/>
      <c r="E121" s="24"/>
    </row>
    <row r="122" spans="2:5" ht="21.9" customHeight="1" x14ac:dyDescent="0.25">
      <c r="B122" s="24"/>
      <c r="C122" s="24"/>
      <c r="D122" s="24"/>
      <c r="E122" s="24"/>
    </row>
    <row r="123" spans="2:5" ht="21.9" customHeight="1" x14ac:dyDescent="0.25">
      <c r="B123" s="24"/>
      <c r="C123" s="24"/>
      <c r="D123" s="24"/>
      <c r="E123" s="24"/>
    </row>
    <row r="124" spans="2:5" ht="21.9" customHeight="1" x14ac:dyDescent="0.25">
      <c r="B124" s="24"/>
      <c r="C124" s="24"/>
      <c r="D124" s="24"/>
      <c r="E124" s="24"/>
    </row>
    <row r="125" spans="2:5" ht="21.9" customHeight="1" x14ac:dyDescent="0.25">
      <c r="B125" s="24"/>
      <c r="C125" s="24"/>
      <c r="D125" s="24"/>
      <c r="E125" s="24"/>
    </row>
    <row r="126" spans="2:5" ht="21.9" customHeight="1" x14ac:dyDescent="0.25">
      <c r="B126" s="24"/>
      <c r="C126" s="24"/>
      <c r="D126" s="24"/>
      <c r="E126" s="24"/>
    </row>
    <row r="127" spans="2:5" ht="21.9" customHeight="1" x14ac:dyDescent="0.25">
      <c r="B127" s="24"/>
      <c r="C127" s="24"/>
      <c r="D127" s="24"/>
      <c r="E127" s="24"/>
    </row>
    <row r="128" spans="2:5" ht="21.9" customHeight="1" x14ac:dyDescent="0.25">
      <c r="B128" s="24"/>
      <c r="C128" s="24"/>
      <c r="D128" s="24"/>
      <c r="E128" s="24"/>
    </row>
    <row r="129" spans="2:5" ht="21.9" customHeight="1" x14ac:dyDescent="0.25">
      <c r="B129" s="24"/>
      <c r="C129" s="24"/>
      <c r="D129" s="24"/>
      <c r="E129" s="24"/>
    </row>
    <row r="130" spans="2:5" ht="21.9" customHeight="1" x14ac:dyDescent="0.25">
      <c r="B130" s="24"/>
      <c r="C130" s="24"/>
      <c r="D130" s="24"/>
      <c r="E130" s="24"/>
    </row>
    <row r="131" spans="2:5" ht="21.9" customHeight="1" x14ac:dyDescent="0.25">
      <c r="B131" s="24"/>
      <c r="C131" s="24"/>
      <c r="D131" s="24"/>
      <c r="E131" s="24"/>
    </row>
    <row r="132" spans="2:5" ht="21.9" customHeight="1" x14ac:dyDescent="0.25">
      <c r="B132" s="24"/>
      <c r="C132" s="24"/>
      <c r="D132" s="24"/>
      <c r="E132" s="24"/>
    </row>
    <row r="133" spans="2:5" ht="21.9" customHeight="1" x14ac:dyDescent="0.25">
      <c r="B133" s="24"/>
      <c r="C133" s="24"/>
      <c r="D133" s="24"/>
      <c r="E133" s="24"/>
    </row>
    <row r="134" spans="2:5" ht="21.9" customHeight="1" x14ac:dyDescent="0.25">
      <c r="B134" s="24"/>
      <c r="C134" s="24"/>
      <c r="D134" s="24"/>
      <c r="E134" s="24"/>
    </row>
    <row r="135" spans="2:5" ht="21.9" customHeight="1" x14ac:dyDescent="0.25">
      <c r="B135" s="24"/>
      <c r="C135" s="24"/>
      <c r="D135" s="24"/>
      <c r="E135" s="24"/>
    </row>
    <row r="136" spans="2:5" ht="21.9" customHeight="1" x14ac:dyDescent="0.25">
      <c r="B136" s="24"/>
      <c r="C136" s="24"/>
      <c r="D136" s="24"/>
      <c r="E136" s="24"/>
    </row>
    <row r="137" spans="2:5" ht="21.9" customHeight="1" x14ac:dyDescent="0.25">
      <c r="B137" s="24"/>
      <c r="C137" s="24"/>
      <c r="D137" s="24"/>
      <c r="E137" s="24"/>
    </row>
    <row r="138" spans="2:5" ht="21.9" customHeight="1" x14ac:dyDescent="0.25">
      <c r="B138" s="24"/>
      <c r="C138" s="24"/>
      <c r="D138" s="24"/>
      <c r="E138" s="24"/>
    </row>
    <row r="139" spans="2:5" ht="21.9" customHeight="1" x14ac:dyDescent="0.25">
      <c r="B139" s="24"/>
      <c r="C139" s="24"/>
      <c r="D139" s="24"/>
      <c r="E139" s="24"/>
    </row>
    <row r="140" spans="2:5" ht="21.9" customHeight="1" x14ac:dyDescent="0.25">
      <c r="B140" s="24"/>
      <c r="C140" s="24"/>
      <c r="D140" s="24"/>
      <c r="E140" s="24"/>
    </row>
    <row r="141" spans="2:5" ht="21.9" customHeight="1" x14ac:dyDescent="0.25">
      <c r="B141" s="24"/>
      <c r="C141" s="24"/>
      <c r="D141" s="24"/>
      <c r="E141" s="24"/>
    </row>
    <row r="142" spans="2:5" ht="21.9" customHeight="1" x14ac:dyDescent="0.25">
      <c r="B142" s="24"/>
      <c r="C142" s="24"/>
      <c r="D142" s="24"/>
      <c r="E142" s="24"/>
    </row>
    <row r="143" spans="2:5" ht="21.9" customHeight="1" x14ac:dyDescent="0.25">
      <c r="B143" s="24"/>
      <c r="C143" s="24"/>
      <c r="D143" s="24"/>
      <c r="E143" s="24"/>
    </row>
    <row r="144" spans="2:5" ht="21.9" customHeight="1" x14ac:dyDescent="0.25">
      <c r="B144" s="24"/>
      <c r="C144" s="24"/>
      <c r="D144" s="24"/>
      <c r="E144" s="24"/>
    </row>
    <row r="145" spans="2:5" ht="21.9" customHeight="1" x14ac:dyDescent="0.25">
      <c r="B145" s="24"/>
      <c r="C145" s="24"/>
      <c r="D145" s="24"/>
      <c r="E145" s="24"/>
    </row>
    <row r="146" spans="2:5" ht="21.9" customHeight="1" x14ac:dyDescent="0.25">
      <c r="B146" s="24"/>
      <c r="C146" s="24"/>
      <c r="D146" s="24"/>
      <c r="E146" s="24"/>
    </row>
    <row r="147" spans="2:5" ht="21.9" customHeight="1" x14ac:dyDescent="0.25">
      <c r="B147" s="24"/>
      <c r="C147" s="24"/>
      <c r="D147" s="24"/>
      <c r="E147" s="24"/>
    </row>
    <row r="148" spans="2:5" ht="21.9" customHeight="1" x14ac:dyDescent="0.25">
      <c r="B148" s="24"/>
      <c r="C148" s="24"/>
      <c r="D148" s="24"/>
      <c r="E148" s="24"/>
    </row>
    <row r="149" spans="2:5" ht="21.9" customHeight="1" x14ac:dyDescent="0.25">
      <c r="B149" s="24"/>
      <c r="C149" s="24"/>
      <c r="D149" s="24"/>
      <c r="E149" s="24"/>
    </row>
    <row r="150" spans="2:5" ht="21.9" customHeight="1" x14ac:dyDescent="0.25">
      <c r="B150" s="24"/>
      <c r="C150" s="24"/>
      <c r="D150" s="24"/>
      <c r="E150" s="24"/>
    </row>
    <row r="151" spans="2:5" ht="21.9" customHeight="1" x14ac:dyDescent="0.25">
      <c r="B151" s="24"/>
      <c r="C151" s="24"/>
      <c r="D151" s="24"/>
      <c r="E151" s="24"/>
    </row>
    <row r="152" spans="2:5" ht="21.9" customHeight="1" x14ac:dyDescent="0.25">
      <c r="B152" s="24"/>
      <c r="C152" s="24"/>
      <c r="D152" s="24"/>
      <c r="E152" s="24"/>
    </row>
    <row r="153" spans="2:5" ht="21.9" customHeight="1" x14ac:dyDescent="0.25">
      <c r="B153" s="24"/>
      <c r="C153" s="24"/>
      <c r="D153" s="24"/>
      <c r="E153" s="24"/>
    </row>
    <row r="154" spans="2:5" ht="21.9" customHeight="1" x14ac:dyDescent="0.25">
      <c r="B154" s="24"/>
      <c r="C154" s="24"/>
      <c r="D154" s="24"/>
      <c r="E154" s="24"/>
    </row>
    <row r="155" spans="2:5" ht="21.9" customHeight="1" x14ac:dyDescent="0.25">
      <c r="B155" s="24"/>
      <c r="C155" s="24"/>
      <c r="D155" s="24"/>
      <c r="E155" s="24"/>
    </row>
    <row r="156" spans="2:5" ht="21.9" customHeight="1" x14ac:dyDescent="0.25">
      <c r="B156" s="24"/>
      <c r="C156" s="24"/>
      <c r="D156" s="24"/>
      <c r="E156" s="24"/>
    </row>
    <row r="157" spans="2:5" ht="21.9" customHeight="1" x14ac:dyDescent="0.25">
      <c r="B157" s="24"/>
      <c r="C157" s="24"/>
      <c r="D157" s="24"/>
      <c r="E157" s="24"/>
    </row>
    <row r="158" spans="2:5" ht="21.9" customHeight="1" x14ac:dyDescent="0.25">
      <c r="B158" s="24"/>
      <c r="C158" s="24"/>
      <c r="D158" s="24"/>
      <c r="E158" s="24"/>
    </row>
    <row r="159" spans="2:5" ht="21.9" customHeight="1" x14ac:dyDescent="0.25">
      <c r="B159" s="24"/>
      <c r="C159" s="24"/>
      <c r="D159" s="24"/>
      <c r="E159" s="24"/>
    </row>
    <row r="160" spans="2:5" ht="21.9" customHeight="1" x14ac:dyDescent="0.25">
      <c r="B160" s="24"/>
      <c r="C160" s="24"/>
      <c r="D160" s="24"/>
      <c r="E160" s="24"/>
    </row>
    <row r="161" spans="2:5" ht="21.9" customHeight="1" x14ac:dyDescent="0.25">
      <c r="B161" s="24"/>
      <c r="C161" s="24"/>
      <c r="D161" s="24"/>
      <c r="E161" s="24"/>
    </row>
    <row r="162" spans="2:5" ht="21.9" customHeight="1" x14ac:dyDescent="0.25">
      <c r="B162" s="24"/>
      <c r="C162" s="24"/>
      <c r="D162" s="24"/>
      <c r="E162" s="24"/>
    </row>
    <row r="163" spans="2:5" ht="21.9" customHeight="1" x14ac:dyDescent="0.25">
      <c r="B163" s="24"/>
      <c r="C163" s="24"/>
      <c r="D163" s="24"/>
      <c r="E163" s="24"/>
    </row>
    <row r="164" spans="2:5" ht="21.9" customHeight="1" x14ac:dyDescent="0.25">
      <c r="B164" s="24"/>
      <c r="C164" s="24"/>
      <c r="D164" s="24"/>
      <c r="E164" s="24"/>
    </row>
    <row r="165" spans="2:5" ht="21.9" customHeight="1" x14ac:dyDescent="0.25">
      <c r="B165" s="24"/>
      <c r="C165" s="24"/>
      <c r="D165" s="24"/>
      <c r="E165" s="24"/>
    </row>
    <row r="166" spans="2:5" ht="21.9" customHeight="1" x14ac:dyDescent="0.25">
      <c r="B166" s="24"/>
      <c r="C166" s="24"/>
      <c r="D166" s="24"/>
      <c r="E166" s="24"/>
    </row>
    <row r="167" spans="2:5" ht="21.9" customHeight="1" x14ac:dyDescent="0.25">
      <c r="B167" s="24"/>
      <c r="C167" s="24"/>
      <c r="D167" s="24"/>
      <c r="E167" s="24"/>
    </row>
    <row r="168" spans="2:5" ht="21.9" customHeight="1" x14ac:dyDescent="0.25">
      <c r="B168" s="24"/>
      <c r="C168" s="24"/>
      <c r="D168" s="24"/>
      <c r="E168" s="24"/>
    </row>
    <row r="169" spans="2:5" ht="21.9" customHeight="1" x14ac:dyDescent="0.25">
      <c r="B169" s="24"/>
      <c r="C169" s="24"/>
      <c r="D169" s="24"/>
      <c r="E169" s="24"/>
    </row>
    <row r="170" spans="2:5" ht="21.9" customHeight="1" x14ac:dyDescent="0.25">
      <c r="B170" s="24"/>
      <c r="C170" s="24"/>
      <c r="D170" s="24"/>
      <c r="E170" s="24"/>
    </row>
    <row r="171" spans="2:5" ht="21.9" customHeight="1" x14ac:dyDescent="0.25">
      <c r="B171" s="24"/>
      <c r="C171" s="24"/>
      <c r="D171" s="24"/>
      <c r="E171" s="24"/>
    </row>
    <row r="172" spans="2:5" ht="21.9" customHeight="1" x14ac:dyDescent="0.25">
      <c r="B172" s="24"/>
      <c r="C172" s="24"/>
      <c r="D172" s="24"/>
      <c r="E172" s="24"/>
    </row>
    <row r="173" spans="2:5" ht="21.9" customHeight="1" x14ac:dyDescent="0.25">
      <c r="B173" s="24"/>
      <c r="C173" s="24"/>
      <c r="D173" s="24"/>
      <c r="E173" s="24"/>
    </row>
    <row r="174" spans="2:5" ht="21.9" customHeight="1" x14ac:dyDescent="0.25">
      <c r="B174" s="24"/>
      <c r="C174" s="24"/>
      <c r="D174" s="24"/>
      <c r="E174" s="24"/>
    </row>
    <row r="175" spans="2:5" ht="21.9" customHeight="1" x14ac:dyDescent="0.25">
      <c r="B175" s="24"/>
      <c r="C175" s="24"/>
      <c r="D175" s="24"/>
      <c r="E175" s="24"/>
    </row>
    <row r="176" spans="2:5" x14ac:dyDescent="0.25">
      <c r="B176" s="24"/>
      <c r="C176" s="24"/>
      <c r="D176" s="24"/>
      <c r="E176" s="24"/>
    </row>
    <row r="177" spans="2:5" x14ac:dyDescent="0.25">
      <c r="B177" s="24"/>
      <c r="C177" s="24"/>
      <c r="D177" s="24"/>
      <c r="E177" s="24"/>
    </row>
    <row r="178" spans="2:5" x14ac:dyDescent="0.25">
      <c r="B178" s="24"/>
      <c r="C178" s="24"/>
      <c r="D178" s="24"/>
      <c r="E178" s="24"/>
    </row>
    <row r="179" spans="2:5" x14ac:dyDescent="0.25">
      <c r="B179" s="24"/>
      <c r="C179" s="24"/>
      <c r="D179" s="24"/>
      <c r="E179" s="24"/>
    </row>
    <row r="180" spans="2:5" x14ac:dyDescent="0.25">
      <c r="B180" s="24"/>
      <c r="C180" s="24"/>
      <c r="D180" s="24"/>
      <c r="E180" s="24"/>
    </row>
    <row r="181" spans="2:5" x14ac:dyDescent="0.25">
      <c r="B181" s="24"/>
      <c r="C181" s="24"/>
      <c r="D181" s="24"/>
      <c r="E181" s="24"/>
    </row>
    <row r="182" spans="2:5" x14ac:dyDescent="0.25">
      <c r="B182" s="24"/>
      <c r="C182" s="24"/>
      <c r="D182" s="24"/>
      <c r="E182" s="24"/>
    </row>
  </sheetData>
  <mergeCells count="118">
    <mergeCell ref="Z14:AD14"/>
    <mergeCell ref="Z20:AD20"/>
    <mergeCell ref="U36:Y36"/>
    <mergeCell ref="AE30:AH30"/>
    <mergeCell ref="AE31:AH31"/>
    <mergeCell ref="AE32:AH32"/>
    <mergeCell ref="U35:Y35"/>
    <mergeCell ref="U33:Y33"/>
    <mergeCell ref="Z33:AD33"/>
    <mergeCell ref="AE33:AH33"/>
    <mergeCell ref="U19:Y19"/>
    <mergeCell ref="Z19:AD19"/>
    <mergeCell ref="AE19:AH19"/>
    <mergeCell ref="U18:Y18"/>
    <mergeCell ref="Z18:AD18"/>
    <mergeCell ref="AE18:AH18"/>
    <mergeCell ref="Z17:AD17"/>
    <mergeCell ref="AE17:AH17"/>
    <mergeCell ref="U23:Y23"/>
    <mergeCell ref="U27:Y27"/>
    <mergeCell ref="AE13:AH13"/>
    <mergeCell ref="AE16:AH16"/>
    <mergeCell ref="Z16:AD16"/>
    <mergeCell ref="Z15:AD15"/>
    <mergeCell ref="AE15:AH15"/>
    <mergeCell ref="AE12:AH12"/>
    <mergeCell ref="U32:Y32"/>
    <mergeCell ref="A9:A10"/>
    <mergeCell ref="U12:Y12"/>
    <mergeCell ref="B17:T17"/>
    <mergeCell ref="U17:Y17"/>
    <mergeCell ref="U16:Y16"/>
    <mergeCell ref="B12:T12"/>
    <mergeCell ref="U22:Y22"/>
    <mergeCell ref="B15:T15"/>
    <mergeCell ref="U15:Y15"/>
    <mergeCell ref="B19:T19"/>
    <mergeCell ref="B18:T18"/>
    <mergeCell ref="B16:T16"/>
    <mergeCell ref="B13:T13"/>
    <mergeCell ref="U13:Y13"/>
    <mergeCell ref="Z12:AD12"/>
    <mergeCell ref="Z13:AD13"/>
    <mergeCell ref="Z30:AD30"/>
    <mergeCell ref="B1:AH2"/>
    <mergeCell ref="U9:Y10"/>
    <mergeCell ref="B6:AH6"/>
    <mergeCell ref="AE11:AH11"/>
    <mergeCell ref="B3:AH3"/>
    <mergeCell ref="B4:AH4"/>
    <mergeCell ref="U11:Y11"/>
    <mergeCell ref="B9:T9"/>
    <mergeCell ref="B11:T11"/>
    <mergeCell ref="G5:U5"/>
    <mergeCell ref="AE9:AH10"/>
    <mergeCell ref="Z9:AD10"/>
    <mergeCell ref="Z11:AD11"/>
    <mergeCell ref="B14:T14"/>
    <mergeCell ref="U14:Y14"/>
    <mergeCell ref="AE14:AH14"/>
    <mergeCell ref="B33:T33"/>
    <mergeCell ref="B27:T27"/>
    <mergeCell ref="B20:T20"/>
    <mergeCell ref="B29:T29"/>
    <mergeCell ref="B22:T22"/>
    <mergeCell ref="B24:T24"/>
    <mergeCell ref="B25:T25"/>
    <mergeCell ref="B31:T31"/>
    <mergeCell ref="B26:T26"/>
    <mergeCell ref="AE20:AH20"/>
    <mergeCell ref="U31:Y31"/>
    <mergeCell ref="B30:T30"/>
    <mergeCell ref="U30:Y30"/>
    <mergeCell ref="B32:T32"/>
    <mergeCell ref="U24:Y24"/>
    <mergeCell ref="U25:Y25"/>
    <mergeCell ref="U20:Y20"/>
    <mergeCell ref="U29:Y29"/>
    <mergeCell ref="Z22:AD22"/>
    <mergeCell ref="AE29:AH29"/>
    <mergeCell ref="B23:T23"/>
    <mergeCell ref="B21:T21"/>
    <mergeCell ref="U21:Y21"/>
    <mergeCell ref="Z31:AD31"/>
    <mergeCell ref="Z32:AD32"/>
    <mergeCell ref="Z23:AD23"/>
    <mergeCell ref="Z24:AD24"/>
    <mergeCell ref="Z25:AD25"/>
    <mergeCell ref="Z26:AD26"/>
    <mergeCell ref="Z29:AD29"/>
    <mergeCell ref="B28:T28"/>
    <mergeCell ref="U37:Y37"/>
    <mergeCell ref="U26:Y26"/>
    <mergeCell ref="Z27:AD27"/>
    <mergeCell ref="Z21:AD21"/>
    <mergeCell ref="AE24:AH24"/>
    <mergeCell ref="AE26:AH26"/>
    <mergeCell ref="AE27:AH27"/>
    <mergeCell ref="AE23:AH23"/>
    <mergeCell ref="AE21:AH21"/>
    <mergeCell ref="AE22:AH22"/>
    <mergeCell ref="AE25:AH25"/>
    <mergeCell ref="U28:Y28"/>
    <mergeCell ref="Z28:AD28"/>
    <mergeCell ref="AE28:AH28"/>
    <mergeCell ref="AK25:AO25"/>
    <mergeCell ref="AK26:AO26"/>
    <mergeCell ref="AK31:AO31"/>
    <mergeCell ref="AK32:AO32"/>
    <mergeCell ref="AK12:AO12"/>
    <mergeCell ref="AK13:AO13"/>
    <mergeCell ref="AK14:AO14"/>
    <mergeCell ref="AK15:AO15"/>
    <mergeCell ref="AK16:AO16"/>
    <mergeCell ref="AK17:AO17"/>
    <mergeCell ref="AK22:AO22"/>
    <mergeCell ref="AK23:AO23"/>
    <mergeCell ref="AK24:AO24"/>
  </mergeCells>
  <phoneticPr fontId="0" type="noConversion"/>
  <printOptions horizontalCentered="1"/>
  <pageMargins left="0.17" right="0.19685039370078741" top="0.59055118110236227" bottom="0.59055118110236227" header="0.5" footer="0.5"/>
  <pageSetup paperSize="9" scale="82" fitToHeight="0" orientation="portrait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43"/>
  <sheetViews>
    <sheetView zoomScaleNormal="100" zoomScaleSheetLayoutView="100" workbookViewId="0">
      <selection activeCell="B13" sqref="B13"/>
    </sheetView>
  </sheetViews>
  <sheetFormatPr defaultRowHeight="13.2" x14ac:dyDescent="0.25"/>
  <cols>
    <col min="1" max="1" width="38.109375" style="42" customWidth="1"/>
    <col min="2" max="2" width="16.6640625" style="239" bestFit="1" customWidth="1"/>
    <col min="3" max="3" width="18" style="239" bestFit="1" customWidth="1"/>
    <col min="4" max="4" width="15.5546875" style="239" bestFit="1" customWidth="1"/>
    <col min="5" max="5" width="18" style="239" bestFit="1" customWidth="1"/>
    <col min="6" max="7" width="9.109375" style="42" customWidth="1"/>
  </cols>
  <sheetData>
    <row r="1" spans="1:5" ht="17.399999999999999" x14ac:dyDescent="0.3">
      <c r="A1" s="568" t="s">
        <v>340</v>
      </c>
      <c r="B1" s="569"/>
      <c r="C1" s="569"/>
      <c r="D1" s="569"/>
      <c r="E1" s="569"/>
    </row>
    <row r="2" spans="1:5" ht="17.399999999999999" x14ac:dyDescent="0.3">
      <c r="A2" s="570" t="s">
        <v>246</v>
      </c>
      <c r="B2" s="570"/>
      <c r="C2" s="570"/>
      <c r="D2" s="570"/>
      <c r="E2" s="570"/>
    </row>
    <row r="4" spans="1:5" ht="45" customHeight="1" x14ac:dyDescent="0.25">
      <c r="A4" s="567" t="s">
        <v>123</v>
      </c>
      <c r="B4" s="567"/>
      <c r="C4" s="567"/>
      <c r="D4" s="567"/>
      <c r="E4" s="567"/>
    </row>
    <row r="5" spans="1:5" ht="29.25" customHeight="1" x14ac:dyDescent="0.25"/>
    <row r="6" spans="1:5" ht="18" customHeight="1" x14ac:dyDescent="0.25"/>
    <row r="7" spans="1:5" ht="15.6" x14ac:dyDescent="0.25">
      <c r="B7" s="571"/>
      <c r="C7" s="571"/>
      <c r="D7" s="571"/>
      <c r="E7" s="571"/>
    </row>
    <row r="8" spans="1:5" ht="19.5" customHeight="1" x14ac:dyDescent="0.3">
      <c r="B8" s="566"/>
      <c r="C8" s="566"/>
      <c r="D8" s="566"/>
      <c r="E8" s="566"/>
    </row>
    <row r="9" spans="1:5" ht="31.8" thickBot="1" x14ac:dyDescent="0.3">
      <c r="A9" s="125" t="s">
        <v>398</v>
      </c>
      <c r="E9" s="239" t="s">
        <v>243</v>
      </c>
    </row>
    <row r="10" spans="1:5" ht="16.2" thickBot="1" x14ac:dyDescent="0.35">
      <c r="A10" s="126" t="s">
        <v>125</v>
      </c>
      <c r="B10" s="240">
        <v>2017</v>
      </c>
      <c r="C10" s="240">
        <v>2018</v>
      </c>
      <c r="D10" s="240">
        <v>2019</v>
      </c>
      <c r="E10" s="241" t="s">
        <v>41</v>
      </c>
    </row>
    <row r="11" spans="1:5" ht="15.6" x14ac:dyDescent="0.3">
      <c r="A11" s="127" t="s">
        <v>126</v>
      </c>
      <c r="B11" s="242">
        <v>0</v>
      </c>
      <c r="C11" s="242"/>
      <c r="D11" s="242"/>
      <c r="E11" s="243">
        <f t="shared" ref="E11:E17" si="0">SUM(B11:D11)</f>
        <v>0</v>
      </c>
    </row>
    <row r="12" spans="1:5" ht="15.6" x14ac:dyDescent="0.3">
      <c r="A12" s="128" t="s">
        <v>127</v>
      </c>
      <c r="B12" s="244"/>
      <c r="C12" s="244"/>
      <c r="D12" s="244"/>
      <c r="E12" s="243">
        <f t="shared" si="0"/>
        <v>0</v>
      </c>
    </row>
    <row r="13" spans="1:5" ht="15.6" x14ac:dyDescent="0.3">
      <c r="A13" s="130" t="s">
        <v>128</v>
      </c>
      <c r="B13" s="244">
        <f>14152880+86980279</f>
        <v>101133159</v>
      </c>
      <c r="C13" s="244"/>
      <c r="D13" s="244"/>
      <c r="E13" s="243">
        <f t="shared" si="0"/>
        <v>101133159</v>
      </c>
    </row>
    <row r="14" spans="1:5" ht="15.6" x14ac:dyDescent="0.3">
      <c r="A14" s="130" t="s">
        <v>129</v>
      </c>
      <c r="B14" s="244"/>
      <c r="C14" s="244"/>
      <c r="D14" s="244"/>
      <c r="E14" s="243">
        <f t="shared" si="0"/>
        <v>0</v>
      </c>
    </row>
    <row r="15" spans="1:5" ht="15.6" x14ac:dyDescent="0.3">
      <c r="A15" s="130" t="s">
        <v>130</v>
      </c>
      <c r="B15" s="244"/>
      <c r="C15" s="244"/>
      <c r="D15" s="244"/>
      <c r="E15" s="243">
        <f t="shared" si="0"/>
        <v>0</v>
      </c>
    </row>
    <row r="16" spans="1:5" ht="16.2" thickBot="1" x14ac:dyDescent="0.35">
      <c r="A16" s="131" t="s">
        <v>32</v>
      </c>
      <c r="B16" s="245"/>
      <c r="C16" s="245"/>
      <c r="D16" s="245"/>
      <c r="E16" s="246">
        <f t="shared" si="0"/>
        <v>0</v>
      </c>
    </row>
    <row r="17" spans="1:5" ht="16.2" thickBot="1" x14ac:dyDescent="0.35">
      <c r="A17" s="126" t="s">
        <v>131</v>
      </c>
      <c r="B17" s="247">
        <f>SUM(B11:B16)</f>
        <v>101133159</v>
      </c>
      <c r="C17" s="247">
        <f>SUM(C11:C16)</f>
        <v>0</v>
      </c>
      <c r="D17" s="247">
        <f>SUM(D11:D16)</f>
        <v>0</v>
      </c>
      <c r="E17" s="248">
        <f t="shared" si="0"/>
        <v>101133159</v>
      </c>
    </row>
    <row r="18" spans="1:5" ht="16.2" thickBot="1" x14ac:dyDescent="0.35">
      <c r="A18" s="43"/>
      <c r="B18" s="249"/>
      <c r="C18" s="249"/>
      <c r="D18" s="249"/>
      <c r="E18" s="249"/>
    </row>
    <row r="19" spans="1:5" ht="16.2" thickBot="1" x14ac:dyDescent="0.35">
      <c r="A19" s="126" t="s">
        <v>132</v>
      </c>
      <c r="B19" s="240">
        <v>2017</v>
      </c>
      <c r="C19" s="240">
        <v>2018</v>
      </c>
      <c r="D19" s="240">
        <v>2019</v>
      </c>
      <c r="E19" s="241" t="s">
        <v>41</v>
      </c>
    </row>
    <row r="20" spans="1:5" ht="15.6" x14ac:dyDescent="0.3">
      <c r="A20" s="127" t="s">
        <v>133</v>
      </c>
      <c r="B20" s="242"/>
      <c r="C20" s="242"/>
      <c r="D20" s="242"/>
      <c r="E20" s="243"/>
    </row>
    <row r="21" spans="1:5" ht="15.6" x14ac:dyDescent="0.3">
      <c r="A21" s="130" t="s">
        <v>134</v>
      </c>
      <c r="B21" s="244">
        <f>'4'!F24+'4'!F12</f>
        <v>86980279</v>
      </c>
      <c r="C21" s="244"/>
      <c r="D21" s="244"/>
      <c r="E21" s="243">
        <f>SUM(B21:D21)</f>
        <v>86980279</v>
      </c>
    </row>
    <row r="22" spans="1:5" ht="15.6" x14ac:dyDescent="0.3">
      <c r="A22" s="130" t="s">
        <v>135</v>
      </c>
      <c r="B22" s="244">
        <f>101133159-B21-B23</f>
        <v>9098280</v>
      </c>
      <c r="C22" s="244"/>
      <c r="D22" s="244"/>
      <c r="E22" s="243">
        <f>SUM(B22:D22)</f>
        <v>9098280</v>
      </c>
    </row>
    <row r="23" spans="1:5" ht="16.2" thickBot="1" x14ac:dyDescent="0.35">
      <c r="A23" s="131" t="s">
        <v>226</v>
      </c>
      <c r="B23" s="245">
        <v>5054600</v>
      </c>
      <c r="C23" s="245"/>
      <c r="D23" s="245"/>
      <c r="E23" s="246">
        <f>SUM(B23:D23)</f>
        <v>5054600</v>
      </c>
    </row>
    <row r="24" spans="1:5" ht="16.2" thickBot="1" x14ac:dyDescent="0.35">
      <c r="A24" s="126" t="s">
        <v>41</v>
      </c>
      <c r="B24" s="247">
        <f>SUM(B20:B23)</f>
        <v>101133159</v>
      </c>
      <c r="C24" s="247">
        <f>SUM(C20:C23)</f>
        <v>0</v>
      </c>
      <c r="D24" s="247">
        <f>SUM(D20:D23)</f>
        <v>0</v>
      </c>
      <c r="E24" s="248">
        <f>SUM(B24:D24)</f>
        <v>101133159</v>
      </c>
    </row>
    <row r="27" spans="1:5" ht="15.6" x14ac:dyDescent="0.3">
      <c r="A27" s="125" t="s">
        <v>124</v>
      </c>
      <c r="B27" s="566"/>
      <c r="C27" s="566"/>
      <c r="D27" s="566"/>
      <c r="E27" s="566"/>
    </row>
    <row r="28" spans="1:5" ht="13.8" thickBot="1" x14ac:dyDescent="0.3">
      <c r="E28" s="239" t="s">
        <v>243</v>
      </c>
    </row>
    <row r="29" spans="1:5" ht="16.2" thickBot="1" x14ac:dyDescent="0.35">
      <c r="A29" s="126" t="s">
        <v>125</v>
      </c>
      <c r="B29" s="240">
        <v>2014</v>
      </c>
      <c r="C29" s="240">
        <v>2015</v>
      </c>
      <c r="D29" s="240">
        <v>2016</v>
      </c>
      <c r="E29" s="241" t="s">
        <v>41</v>
      </c>
    </row>
    <row r="30" spans="1:5" ht="15.6" x14ac:dyDescent="0.3">
      <c r="A30" s="127" t="s">
        <v>126</v>
      </c>
      <c r="B30" s="242"/>
      <c r="C30" s="242"/>
      <c r="D30" s="242"/>
      <c r="E30" s="243">
        <f t="shared" ref="E30:E36" si="1">SUM(B30:D30)</f>
        <v>0</v>
      </c>
    </row>
    <row r="31" spans="1:5" ht="15.6" x14ac:dyDescent="0.3">
      <c r="A31" s="128" t="s">
        <v>127</v>
      </c>
      <c r="B31" s="244"/>
      <c r="C31" s="244"/>
      <c r="D31" s="244"/>
      <c r="E31" s="243">
        <f t="shared" si="1"/>
        <v>0</v>
      </c>
    </row>
    <row r="32" spans="1:5" ht="15.6" x14ac:dyDescent="0.3">
      <c r="A32" s="130" t="s">
        <v>128</v>
      </c>
      <c r="B32" s="244"/>
      <c r="C32" s="244"/>
      <c r="D32" s="244"/>
      <c r="E32" s="243">
        <f t="shared" si="1"/>
        <v>0</v>
      </c>
    </row>
    <row r="33" spans="1:5" ht="15.6" x14ac:dyDescent="0.3">
      <c r="A33" s="130" t="s">
        <v>129</v>
      </c>
      <c r="B33" s="244"/>
      <c r="C33" s="244"/>
      <c r="D33" s="244"/>
      <c r="E33" s="243">
        <f t="shared" si="1"/>
        <v>0</v>
      </c>
    </row>
    <row r="34" spans="1:5" ht="15.6" x14ac:dyDescent="0.3">
      <c r="A34" s="130" t="s">
        <v>130</v>
      </c>
      <c r="B34" s="244"/>
      <c r="C34" s="244"/>
      <c r="D34" s="244"/>
      <c r="E34" s="243">
        <f t="shared" si="1"/>
        <v>0</v>
      </c>
    </row>
    <row r="35" spans="1:5" ht="16.2" thickBot="1" x14ac:dyDescent="0.35">
      <c r="A35" s="131" t="s">
        <v>32</v>
      </c>
      <c r="B35" s="245"/>
      <c r="C35" s="245"/>
      <c r="D35" s="245"/>
      <c r="E35" s="246">
        <f t="shared" si="1"/>
        <v>0</v>
      </c>
    </row>
    <row r="36" spans="1:5" ht="16.2" thickBot="1" x14ac:dyDescent="0.35">
      <c r="A36" s="126" t="s">
        <v>131</v>
      </c>
      <c r="B36" s="247">
        <f>SUM(B30:B35)</f>
        <v>0</v>
      </c>
      <c r="C36" s="247">
        <f>SUM(C30:C35)</f>
        <v>0</v>
      </c>
      <c r="D36" s="247">
        <f>SUM(D30:D35)</f>
        <v>0</v>
      </c>
      <c r="E36" s="248">
        <f t="shared" si="1"/>
        <v>0</v>
      </c>
    </row>
    <row r="37" spans="1:5" ht="16.2" thickBot="1" x14ac:dyDescent="0.35">
      <c r="A37" s="43"/>
      <c r="B37" s="249"/>
      <c r="C37" s="249"/>
      <c r="D37" s="249"/>
      <c r="E37" s="249"/>
    </row>
    <row r="38" spans="1:5" ht="16.2" thickBot="1" x14ac:dyDescent="0.35">
      <c r="A38" s="126" t="s">
        <v>132</v>
      </c>
      <c r="B38" s="240">
        <v>2014</v>
      </c>
      <c r="C38" s="240">
        <v>2015</v>
      </c>
      <c r="D38" s="240">
        <v>2016</v>
      </c>
      <c r="E38" s="241" t="s">
        <v>41</v>
      </c>
    </row>
    <row r="39" spans="1:5" ht="15.6" x14ac:dyDescent="0.3">
      <c r="A39" s="127" t="s">
        <v>133</v>
      </c>
      <c r="B39" s="242"/>
      <c r="C39" s="242"/>
      <c r="D39" s="242"/>
      <c r="E39" s="243"/>
    </row>
    <row r="40" spans="1:5" ht="15.6" x14ac:dyDescent="0.3">
      <c r="A40" s="130" t="s">
        <v>134</v>
      </c>
      <c r="B40" s="244"/>
      <c r="C40" s="244"/>
      <c r="D40" s="244"/>
      <c r="E40" s="243"/>
    </row>
    <row r="41" spans="1:5" ht="15.6" x14ac:dyDescent="0.3">
      <c r="A41" s="130" t="s">
        <v>135</v>
      </c>
      <c r="B41" s="244"/>
      <c r="C41" s="244"/>
      <c r="D41" s="244"/>
      <c r="E41" s="243"/>
    </row>
    <row r="42" spans="1:5" ht="16.2" thickBot="1" x14ac:dyDescent="0.35">
      <c r="A42" s="131" t="s">
        <v>226</v>
      </c>
      <c r="B42" s="245"/>
      <c r="C42" s="245"/>
      <c r="D42" s="245"/>
      <c r="E42" s="246">
        <f>SUM(B42:D42)</f>
        <v>0</v>
      </c>
    </row>
    <row r="43" spans="1:5" ht="16.2" thickBot="1" x14ac:dyDescent="0.35">
      <c r="A43" s="126" t="s">
        <v>41</v>
      </c>
      <c r="B43" s="247">
        <f>SUM(B39:B42)</f>
        <v>0</v>
      </c>
      <c r="C43" s="247">
        <f>SUM(C39:C42)</f>
        <v>0</v>
      </c>
      <c r="D43" s="247">
        <f>SUM(D39:D42)</f>
        <v>0</v>
      </c>
      <c r="E43" s="248">
        <f>SUM(B43:D43)</f>
        <v>0</v>
      </c>
    </row>
  </sheetData>
  <mergeCells count="6">
    <mergeCell ref="B27:E27"/>
    <mergeCell ref="A4:E4"/>
    <mergeCell ref="A1:E1"/>
    <mergeCell ref="A2:E2"/>
    <mergeCell ref="B8:E8"/>
    <mergeCell ref="B7:E7"/>
  </mergeCells>
  <phoneticPr fontId="20" type="noConversion"/>
  <pageMargins left="0.75" right="0.18" top="0.56999999999999995" bottom="1" header="0.5" footer="0.5"/>
  <pageSetup paperSize="9" scale="8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41"/>
  <sheetViews>
    <sheetView topLeftCell="A6" workbookViewId="0">
      <selection activeCell="F13" sqref="F13"/>
    </sheetView>
  </sheetViews>
  <sheetFormatPr defaultRowHeight="13.2" x14ac:dyDescent="0.25"/>
  <cols>
    <col min="1" max="1" width="52" style="49" customWidth="1"/>
    <col min="2" max="2" width="13.44140625" style="50" customWidth="1"/>
    <col min="3" max="3" width="14" style="50" customWidth="1"/>
    <col min="4" max="4" width="15.44140625" style="50" customWidth="1"/>
    <col min="5" max="6" width="14.33203125" style="50" customWidth="1"/>
    <col min="7" max="7" width="12.109375" style="50" customWidth="1"/>
    <col min="8" max="8" width="17.5546875" style="235" customWidth="1"/>
    <col min="9" max="9" width="6.5546875" style="235" customWidth="1"/>
    <col min="10" max="10" width="15.6640625" style="235" bestFit="1" customWidth="1"/>
    <col min="12" max="12" width="14.33203125" customWidth="1"/>
  </cols>
  <sheetData>
    <row r="1" spans="1:12" ht="18" x14ac:dyDescent="0.25">
      <c r="A1" s="572" t="s">
        <v>340</v>
      </c>
      <c r="B1" s="572"/>
      <c r="C1" s="572"/>
      <c r="D1" s="572"/>
      <c r="E1" s="572"/>
      <c r="F1" s="446"/>
    </row>
    <row r="2" spans="1:12" ht="18" x14ac:dyDescent="0.25">
      <c r="A2" s="572" t="s">
        <v>246</v>
      </c>
      <c r="B2" s="573"/>
      <c r="C2" s="573"/>
      <c r="D2" s="573"/>
      <c r="E2" s="573"/>
      <c r="F2" s="447"/>
      <c r="G2" s="50" t="s">
        <v>308</v>
      </c>
    </row>
    <row r="4" spans="1:12" ht="18" x14ac:dyDescent="0.25">
      <c r="A4" s="572" t="s">
        <v>221</v>
      </c>
      <c r="B4" s="573"/>
      <c r="C4" s="573"/>
      <c r="D4" s="573"/>
      <c r="E4" s="573"/>
      <c r="F4" s="447"/>
      <c r="G4" s="233" t="s">
        <v>241</v>
      </c>
    </row>
    <row r="5" spans="1:12" ht="18.600000000000001" thickBot="1" x14ac:dyDescent="0.35">
      <c r="A5" s="231"/>
      <c r="B5" s="232"/>
      <c r="C5" s="232"/>
      <c r="D5" s="232"/>
      <c r="E5" s="232"/>
      <c r="F5" s="447"/>
      <c r="G5" s="132"/>
    </row>
    <row r="6" spans="1:12" ht="34.799999999999997" thickBot="1" x14ac:dyDescent="0.3">
      <c r="A6" s="133" t="s">
        <v>136</v>
      </c>
      <c r="B6" s="134" t="s">
        <v>137</v>
      </c>
      <c r="C6" s="134" t="s">
        <v>138</v>
      </c>
      <c r="D6" s="134" t="s">
        <v>316</v>
      </c>
      <c r="E6" s="134" t="s">
        <v>395</v>
      </c>
      <c r="F6" s="134" t="s">
        <v>396</v>
      </c>
      <c r="G6" s="135" t="s">
        <v>318</v>
      </c>
    </row>
    <row r="7" spans="1:12" ht="13.8" thickBot="1" x14ac:dyDescent="0.3">
      <c r="A7" s="136">
        <v>1</v>
      </c>
      <c r="B7" s="137">
        <v>2</v>
      </c>
      <c r="C7" s="137">
        <v>3</v>
      </c>
      <c r="D7" s="137">
        <v>4</v>
      </c>
      <c r="E7" s="137">
        <v>5</v>
      </c>
      <c r="F7" s="448">
        <v>6</v>
      </c>
      <c r="G7" s="138">
        <v>7</v>
      </c>
    </row>
    <row r="8" spans="1:12" ht="20.25" customHeight="1" x14ac:dyDescent="0.3">
      <c r="A8" s="139" t="s">
        <v>139</v>
      </c>
      <c r="B8" s="140"/>
      <c r="C8" s="141"/>
      <c r="D8" s="140"/>
      <c r="E8" s="348">
        <f>SUM(E9:E13)</f>
        <v>1958340</v>
      </c>
      <c r="F8" s="348">
        <f>SUM(F9:F13)</f>
        <v>78272604</v>
      </c>
      <c r="G8" s="142"/>
      <c r="H8" s="438"/>
      <c r="I8" s="438"/>
      <c r="J8" s="438"/>
    </row>
    <row r="9" spans="1:12" ht="20.25" customHeight="1" x14ac:dyDescent="0.25">
      <c r="A9" s="372" t="s">
        <v>321</v>
      </c>
      <c r="B9" s="140">
        <f>595000*1.27</f>
        <v>755650</v>
      </c>
      <c r="C9" s="141"/>
      <c r="D9" s="140"/>
      <c r="E9" s="140">
        <v>755650</v>
      </c>
      <c r="F9" s="140">
        <v>755650</v>
      </c>
      <c r="G9" s="142"/>
      <c r="L9" s="259"/>
    </row>
    <row r="10" spans="1:12" ht="20.25" customHeight="1" x14ac:dyDescent="0.25">
      <c r="A10" s="372" t="s">
        <v>322</v>
      </c>
      <c r="B10" s="140">
        <f>675000*1.27</f>
        <v>857250</v>
      </c>
      <c r="C10" s="141"/>
      <c r="D10" s="140"/>
      <c r="E10" s="140">
        <f>375000*1.27</f>
        <v>476250</v>
      </c>
      <c r="F10" s="140">
        <f>375000*1.27</f>
        <v>476250</v>
      </c>
      <c r="G10" s="142"/>
      <c r="L10" s="259"/>
    </row>
    <row r="11" spans="1:12" ht="20.25" customHeight="1" x14ac:dyDescent="0.25">
      <c r="A11" s="372" t="s">
        <v>387</v>
      </c>
      <c r="B11" s="140"/>
      <c r="C11" s="141"/>
      <c r="D11" s="140"/>
      <c r="E11" s="140">
        <v>726440</v>
      </c>
      <c r="F11" s="140">
        <v>726440</v>
      </c>
      <c r="G11" s="142"/>
    </row>
    <row r="12" spans="1:12" ht="20.25" customHeight="1" thickBot="1" x14ac:dyDescent="0.3">
      <c r="A12" s="353" t="s">
        <v>394</v>
      </c>
      <c r="B12" s="140">
        <f>36356653+9816296+2955000+797850+19982319+5395226+796000+214920</f>
        <v>76314264</v>
      </c>
      <c r="C12" s="141"/>
      <c r="D12" s="140"/>
      <c r="E12" s="140"/>
      <c r="F12" s="449">
        <v>76314264</v>
      </c>
      <c r="G12" s="142"/>
    </row>
    <row r="13" spans="1:12" ht="20.25" customHeight="1" x14ac:dyDescent="0.3">
      <c r="A13" s="143"/>
      <c r="B13" s="140"/>
      <c r="C13" s="141"/>
      <c r="D13" s="140"/>
      <c r="E13" s="140"/>
      <c r="F13" s="449"/>
      <c r="G13" s="142">
        <f>B13-D13-E13</f>
        <v>0</v>
      </c>
      <c r="H13" s="438"/>
      <c r="I13" s="438"/>
    </row>
    <row r="14" spans="1:12" ht="20.25" customHeight="1" x14ac:dyDescent="0.3">
      <c r="A14" s="139" t="s">
        <v>140</v>
      </c>
      <c r="B14" s="140"/>
      <c r="C14" s="141"/>
      <c r="D14" s="140"/>
      <c r="E14" s="368">
        <f>SUM(E15:E24)</f>
        <v>21445750</v>
      </c>
      <c r="F14" s="368">
        <f>SUM(F15:F24)</f>
        <v>32111765</v>
      </c>
      <c r="G14" s="142"/>
      <c r="H14" s="438"/>
      <c r="I14" s="438"/>
      <c r="J14" s="438"/>
    </row>
    <row r="15" spans="1:12" ht="20.25" customHeight="1" x14ac:dyDescent="0.25">
      <c r="A15" s="143" t="s">
        <v>307</v>
      </c>
      <c r="B15" s="140">
        <v>676910</v>
      </c>
      <c r="C15" s="150"/>
      <c r="D15" s="140"/>
      <c r="E15" s="369">
        <v>676910</v>
      </c>
      <c r="F15" s="369">
        <v>676910</v>
      </c>
      <c r="G15" s="142"/>
      <c r="L15" s="259"/>
    </row>
    <row r="16" spans="1:12" ht="20.25" customHeight="1" x14ac:dyDescent="0.25">
      <c r="A16" s="144" t="s">
        <v>312</v>
      </c>
      <c r="B16" s="140">
        <v>1800000</v>
      </c>
      <c r="C16" s="141"/>
      <c r="D16" s="140"/>
      <c r="E16" s="369">
        <v>1800000</v>
      </c>
      <c r="F16" s="369">
        <v>1800000</v>
      </c>
      <c r="G16" s="142"/>
      <c r="L16" s="259"/>
    </row>
    <row r="17" spans="1:12" ht="26.4" x14ac:dyDescent="0.25">
      <c r="A17" s="371" t="s">
        <v>319</v>
      </c>
      <c r="B17" s="140">
        <v>769366</v>
      </c>
      <c r="C17" s="141"/>
      <c r="D17" s="140"/>
      <c r="E17" s="367">
        <v>477266</v>
      </c>
      <c r="F17" s="367">
        <v>477266</v>
      </c>
      <c r="G17" s="142">
        <v>0</v>
      </c>
      <c r="L17" s="259"/>
    </row>
    <row r="18" spans="1:12" ht="20.25" customHeight="1" x14ac:dyDescent="0.25">
      <c r="A18" s="370" t="s">
        <v>320</v>
      </c>
      <c r="B18" s="140"/>
      <c r="C18" s="141"/>
      <c r="D18" s="140"/>
      <c r="E18" s="140"/>
      <c r="F18" s="140"/>
      <c r="G18" s="142"/>
      <c r="L18" s="259"/>
    </row>
    <row r="19" spans="1:12" ht="20.25" customHeight="1" x14ac:dyDescent="0.25">
      <c r="A19" s="372" t="s">
        <v>323</v>
      </c>
      <c r="B19" s="140">
        <v>2000000</v>
      </c>
      <c r="C19" s="141"/>
      <c r="D19" s="140"/>
      <c r="E19" s="140">
        <v>2000000</v>
      </c>
      <c r="F19" s="140">
        <v>2000000</v>
      </c>
      <c r="G19" s="142"/>
      <c r="L19" s="259"/>
    </row>
    <row r="20" spans="1:12" ht="20.25" customHeight="1" x14ac:dyDescent="0.25">
      <c r="A20" s="144" t="s">
        <v>324</v>
      </c>
      <c r="B20" s="140">
        <v>2500000</v>
      </c>
      <c r="C20" s="141"/>
      <c r="D20" s="140"/>
      <c r="E20" s="140">
        <v>2500000</v>
      </c>
      <c r="F20" s="140">
        <v>2500000</v>
      </c>
      <c r="G20" s="142"/>
      <c r="L20" s="259"/>
    </row>
    <row r="21" spans="1:12" ht="20.25" customHeight="1" x14ac:dyDescent="0.25">
      <c r="A21" s="144" t="s">
        <v>325</v>
      </c>
      <c r="B21" s="140">
        <v>280000</v>
      </c>
      <c r="C21" s="141"/>
      <c r="D21" s="140"/>
      <c r="E21" s="140">
        <v>280000</v>
      </c>
      <c r="F21" s="140">
        <v>280000</v>
      </c>
      <c r="G21" s="142"/>
      <c r="L21" s="259"/>
    </row>
    <row r="22" spans="1:12" ht="20.25" customHeight="1" x14ac:dyDescent="0.25">
      <c r="A22" s="144" t="s">
        <v>351</v>
      </c>
      <c r="B22" s="140">
        <v>9500000</v>
      </c>
      <c r="C22" s="141"/>
      <c r="D22" s="140"/>
      <c r="E22" s="140">
        <f>5946094+800000+1965903</f>
        <v>8711997</v>
      </c>
      <c r="F22" s="140">
        <f>5946094+800000+1965903</f>
        <v>8711997</v>
      </c>
      <c r="G22" s="142"/>
      <c r="H22" s="383"/>
      <c r="L22" s="259"/>
    </row>
    <row r="23" spans="1:12" ht="20.25" customHeight="1" x14ac:dyDescent="0.25">
      <c r="A23" s="144" t="s">
        <v>352</v>
      </c>
      <c r="B23" s="140">
        <v>4999577</v>
      </c>
      <c r="C23" s="141"/>
      <c r="D23" s="140"/>
      <c r="E23" s="140">
        <v>4999577</v>
      </c>
      <c r="F23" s="140">
        <v>4999577</v>
      </c>
      <c r="G23" s="142"/>
      <c r="L23" s="259"/>
    </row>
    <row r="24" spans="1:12" ht="20.25" customHeight="1" thickBot="1" x14ac:dyDescent="0.3">
      <c r="A24" s="353" t="s">
        <v>394</v>
      </c>
      <c r="B24" s="354">
        <f>1066000+287820+4378887+1182299+2953550+797459</f>
        <v>10666015</v>
      </c>
      <c r="C24" s="355"/>
      <c r="D24" s="354"/>
      <c r="E24" s="354"/>
      <c r="F24" s="450">
        <v>10666015</v>
      </c>
      <c r="G24" s="356"/>
      <c r="L24" s="259"/>
    </row>
    <row r="25" spans="1:12" ht="13.8" thickBot="1" x14ac:dyDescent="0.3">
      <c r="A25" s="145" t="s">
        <v>141</v>
      </c>
      <c r="B25" s="146">
        <f>SUM(B9:B24)</f>
        <v>111119032</v>
      </c>
      <c r="C25" s="147"/>
      <c r="D25" s="146">
        <f>SUM(D8:D17)</f>
        <v>0</v>
      </c>
      <c r="E25" s="146">
        <f>E8+E14</f>
        <v>23404090</v>
      </c>
      <c r="F25" s="146">
        <f>F8+F14</f>
        <v>110384369</v>
      </c>
      <c r="G25" s="148">
        <f>SUM(G8:G17)</f>
        <v>0</v>
      </c>
      <c r="L25" s="259"/>
    </row>
    <row r="33" spans="1:4" x14ac:dyDescent="0.25">
      <c r="B33" s="238"/>
      <c r="C33" s="238"/>
      <c r="D33" s="238"/>
    </row>
    <row r="34" spans="1:4" ht="15.6" x14ac:dyDescent="0.25">
      <c r="A34" s="251"/>
      <c r="B34" s="250"/>
      <c r="C34" s="256"/>
      <c r="D34" s="257"/>
    </row>
    <row r="35" spans="1:4" ht="15.6" x14ac:dyDescent="0.25">
      <c r="A35" s="251"/>
      <c r="B35" s="252"/>
      <c r="C35" s="253"/>
      <c r="D35" s="257"/>
    </row>
    <row r="36" spans="1:4" ht="15.6" x14ac:dyDescent="0.25">
      <c r="A36" s="310"/>
      <c r="B36" s="252"/>
      <c r="C36" s="253"/>
      <c r="D36" s="257"/>
    </row>
    <row r="37" spans="1:4" ht="15.6" x14ac:dyDescent="0.25">
      <c r="A37" s="251"/>
      <c r="B37" s="252"/>
      <c r="C37" s="253"/>
    </row>
    <row r="38" spans="1:4" x14ac:dyDescent="0.25">
      <c r="A38" s="254"/>
      <c r="B38" s="252"/>
      <c r="C38" s="255"/>
    </row>
    <row r="39" spans="1:4" ht="15.6" x14ac:dyDescent="0.3">
      <c r="A39" s="258"/>
      <c r="B39" s="252"/>
      <c r="C39" s="253"/>
      <c r="D39" s="257"/>
    </row>
    <row r="40" spans="1:4" ht="15.6" x14ac:dyDescent="0.3">
      <c r="A40" s="258"/>
      <c r="C40" s="257"/>
      <c r="D40" s="257"/>
    </row>
    <row r="41" spans="1:4" ht="15.6" x14ac:dyDescent="0.3">
      <c r="A41" s="258"/>
      <c r="C41" s="257"/>
      <c r="D41" s="257"/>
    </row>
  </sheetData>
  <mergeCells count="3">
    <mergeCell ref="A1:E1"/>
    <mergeCell ref="A2:E2"/>
    <mergeCell ref="A4:E4"/>
  </mergeCells>
  <phoneticPr fontId="20" type="noConversion"/>
  <printOptions horizontalCentered="1" gridLines="1"/>
  <pageMargins left="0.15748031496062992" right="0.15748031496062992" top="0.55118110236220474" bottom="0.98425196850393704" header="0.51181102362204722" footer="0.15748031496062992"/>
  <pageSetup paperSize="9" scale="8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view="pageBreakPreview" zoomScaleNormal="100" workbookViewId="0"/>
  </sheetViews>
  <sheetFormatPr defaultColWidth="8" defaultRowHeight="13.2" x14ac:dyDescent="0.25"/>
  <cols>
    <col min="1" max="1" width="5" style="124" customWidth="1"/>
    <col min="2" max="2" width="47" style="111" customWidth="1"/>
    <col min="3" max="4" width="15.109375" style="111" customWidth="1"/>
    <col min="5" max="16384" width="8" style="111"/>
  </cols>
  <sheetData>
    <row r="1" spans="1:4" ht="17.399999999999999" x14ac:dyDescent="0.25">
      <c r="B1" s="575" t="s">
        <v>341</v>
      </c>
      <c r="C1" s="576"/>
    </row>
    <row r="3" spans="1:4" ht="37.5" customHeight="1" x14ac:dyDescent="0.25">
      <c r="B3" s="575" t="s">
        <v>246</v>
      </c>
      <c r="C3" s="576"/>
    </row>
    <row r="4" spans="1:4" ht="36.75" customHeight="1" x14ac:dyDescent="0.25">
      <c r="B4" s="575" t="s">
        <v>222</v>
      </c>
      <c r="C4" s="576"/>
    </row>
    <row r="5" spans="1:4" s="99" customFormat="1" ht="14.4" thickBot="1" x14ac:dyDescent="0.3">
      <c r="A5" s="98"/>
      <c r="D5" s="234" t="s">
        <v>254</v>
      </c>
    </row>
    <row r="6" spans="1:4" s="103" customFormat="1" ht="48" customHeight="1" thickBot="1" x14ac:dyDescent="0.3">
      <c r="A6" s="100" t="s">
        <v>200</v>
      </c>
      <c r="B6" s="101" t="s">
        <v>60</v>
      </c>
      <c r="C6" s="101" t="s">
        <v>61</v>
      </c>
      <c r="D6" s="102" t="s">
        <v>62</v>
      </c>
    </row>
    <row r="7" spans="1:4" s="103" customFormat="1" ht="14.1" customHeight="1" thickBot="1" x14ac:dyDescent="0.3">
      <c r="A7" s="104">
        <v>1</v>
      </c>
      <c r="B7" s="105">
        <v>2</v>
      </c>
      <c r="C7" s="105">
        <v>3</v>
      </c>
      <c r="D7" s="106">
        <v>4</v>
      </c>
    </row>
    <row r="8" spans="1:4" ht="18" customHeight="1" x14ac:dyDescent="0.25">
      <c r="A8" s="107" t="s">
        <v>30</v>
      </c>
      <c r="B8" s="108" t="s">
        <v>63</v>
      </c>
      <c r="C8" s="109"/>
      <c r="D8" s="110"/>
    </row>
    <row r="9" spans="1:4" ht="18" customHeight="1" x14ac:dyDescent="0.25">
      <c r="A9" s="112" t="s">
        <v>43</v>
      </c>
      <c r="B9" s="113" t="s">
        <v>64</v>
      </c>
      <c r="C9" s="114"/>
      <c r="D9" s="115"/>
    </row>
    <row r="10" spans="1:4" ht="18" customHeight="1" x14ac:dyDescent="0.25">
      <c r="A10" s="112" t="s">
        <v>44</v>
      </c>
      <c r="B10" s="113" t="s">
        <v>65</v>
      </c>
      <c r="C10" s="114"/>
      <c r="D10" s="115"/>
    </row>
    <row r="11" spans="1:4" ht="18" customHeight="1" x14ac:dyDescent="0.25">
      <c r="A11" s="112" t="s">
        <v>45</v>
      </c>
      <c r="B11" s="113" t="s">
        <v>66</v>
      </c>
      <c r="C11" s="114"/>
      <c r="D11" s="115"/>
    </row>
    <row r="12" spans="1:4" ht="18" customHeight="1" x14ac:dyDescent="0.25">
      <c r="A12" s="112" t="s">
        <v>47</v>
      </c>
      <c r="B12" s="113" t="s">
        <v>67</v>
      </c>
      <c r="C12" s="114"/>
      <c r="D12" s="115"/>
    </row>
    <row r="13" spans="1:4" ht="18" customHeight="1" x14ac:dyDescent="0.25">
      <c r="A13" s="112" t="s">
        <v>48</v>
      </c>
      <c r="B13" s="113" t="s">
        <v>68</v>
      </c>
      <c r="C13" s="114"/>
      <c r="D13" s="115"/>
    </row>
    <row r="14" spans="1:4" ht="18" customHeight="1" x14ac:dyDescent="0.25">
      <c r="A14" s="112" t="s">
        <v>49</v>
      </c>
      <c r="B14" s="116" t="s">
        <v>69</v>
      </c>
      <c r="C14" s="114"/>
      <c r="D14" s="115"/>
    </row>
    <row r="15" spans="1:4" ht="18" customHeight="1" x14ac:dyDescent="0.25">
      <c r="A15" s="112" t="s">
        <v>51</v>
      </c>
      <c r="B15" s="116" t="s">
        <v>70</v>
      </c>
      <c r="C15" s="114"/>
      <c r="D15" s="115"/>
    </row>
    <row r="16" spans="1:4" ht="18" customHeight="1" x14ac:dyDescent="0.25">
      <c r="A16" s="112" t="s">
        <v>52</v>
      </c>
      <c r="B16" s="116" t="s">
        <v>71</v>
      </c>
      <c r="C16" s="114">
        <v>8918250</v>
      </c>
      <c r="D16" s="115">
        <f>398475+492334</f>
        <v>890809</v>
      </c>
    </row>
    <row r="17" spans="1:4" ht="18" customHeight="1" x14ac:dyDescent="0.25">
      <c r="A17" s="112" t="s">
        <v>31</v>
      </c>
      <c r="B17" s="116" t="s">
        <v>72</v>
      </c>
      <c r="C17" s="114"/>
      <c r="D17" s="115"/>
    </row>
    <row r="18" spans="1:4" ht="18" customHeight="1" x14ac:dyDescent="0.25">
      <c r="A18" s="112" t="s">
        <v>55</v>
      </c>
      <c r="B18" s="116" t="s">
        <v>109</v>
      </c>
      <c r="C18" s="114"/>
      <c r="D18" s="115"/>
    </row>
    <row r="19" spans="1:4" ht="22.5" customHeight="1" x14ac:dyDescent="0.25">
      <c r="A19" s="112" t="s">
        <v>57</v>
      </c>
      <c r="B19" s="116" t="s">
        <v>110</v>
      </c>
      <c r="C19" s="114"/>
      <c r="D19" s="115"/>
    </row>
    <row r="20" spans="1:4" ht="18" customHeight="1" x14ac:dyDescent="0.25">
      <c r="A20" s="112" t="s">
        <v>111</v>
      </c>
      <c r="B20" s="113" t="s">
        <v>112</v>
      </c>
      <c r="C20" s="114"/>
      <c r="D20" s="115"/>
    </row>
    <row r="21" spans="1:4" ht="18" customHeight="1" x14ac:dyDescent="0.25">
      <c r="A21" s="112" t="s">
        <v>113</v>
      </c>
      <c r="B21" s="113" t="s">
        <v>114</v>
      </c>
      <c r="C21" s="114"/>
      <c r="D21" s="115"/>
    </row>
    <row r="22" spans="1:4" ht="18" customHeight="1" x14ac:dyDescent="0.25">
      <c r="A22" s="112" t="s">
        <v>115</v>
      </c>
      <c r="B22" s="113" t="s">
        <v>116</v>
      </c>
      <c r="C22" s="114"/>
      <c r="D22" s="115"/>
    </row>
    <row r="23" spans="1:4" ht="18" customHeight="1" x14ac:dyDescent="0.25">
      <c r="A23" s="112" t="s">
        <v>117</v>
      </c>
      <c r="B23" s="113" t="s">
        <v>118</v>
      </c>
      <c r="C23" s="114"/>
      <c r="D23" s="115"/>
    </row>
    <row r="24" spans="1:4" ht="18" customHeight="1" x14ac:dyDescent="0.25">
      <c r="A24" s="112" t="s">
        <v>119</v>
      </c>
      <c r="B24" s="113" t="s">
        <v>120</v>
      </c>
      <c r="C24" s="114"/>
      <c r="D24" s="115"/>
    </row>
    <row r="25" spans="1:4" ht="18" customHeight="1" thickBot="1" x14ac:dyDescent="0.3">
      <c r="A25" s="112" t="s">
        <v>121</v>
      </c>
      <c r="B25" s="117"/>
      <c r="C25" s="118"/>
      <c r="D25" s="115"/>
    </row>
    <row r="26" spans="1:4" ht="18" customHeight="1" thickBot="1" x14ac:dyDescent="0.3">
      <c r="A26" s="119" t="s">
        <v>122</v>
      </c>
      <c r="B26" s="120" t="s">
        <v>59</v>
      </c>
      <c r="C26" s="121">
        <f>SUM(C8:C25)</f>
        <v>8918250</v>
      </c>
      <c r="D26" s="122">
        <f>SUM(D8:D25)</f>
        <v>890809</v>
      </c>
    </row>
    <row r="27" spans="1:4" ht="8.25" customHeight="1" x14ac:dyDescent="0.25">
      <c r="A27" s="123"/>
      <c r="B27" s="574"/>
      <c r="C27" s="574"/>
      <c r="D27" s="574"/>
    </row>
  </sheetData>
  <mergeCells count="4">
    <mergeCell ref="B27:D27"/>
    <mergeCell ref="B1:C1"/>
    <mergeCell ref="B3:C3"/>
    <mergeCell ref="B4:C4"/>
  </mergeCells>
  <phoneticPr fontId="31" type="noConversion"/>
  <printOptions horizontalCentered="1"/>
  <pageMargins left="0.78740157480314965" right="0.78740157480314965" top="1.63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view="pageBreakPreview" zoomScaleNormal="100" workbookViewId="0">
      <selection activeCell="F16" sqref="F16"/>
    </sheetView>
  </sheetViews>
  <sheetFormatPr defaultColWidth="8" defaultRowHeight="13.2" x14ac:dyDescent="0.25"/>
  <cols>
    <col min="1" max="1" width="5.88671875" style="49" customWidth="1"/>
    <col min="2" max="2" width="42.5546875" style="50" customWidth="1"/>
    <col min="3" max="3" width="12.109375" style="50" bestFit="1" customWidth="1"/>
    <col min="4" max="8" width="11" style="50" customWidth="1"/>
    <col min="9" max="9" width="11.88671875" style="50" customWidth="1"/>
    <col min="10" max="16384" width="8" style="50"/>
  </cols>
  <sheetData>
    <row r="1" spans="1:9" ht="17.399999999999999" x14ac:dyDescent="0.25">
      <c r="B1" s="572" t="s">
        <v>342</v>
      </c>
      <c r="C1" s="584"/>
      <c r="D1" s="584"/>
      <c r="E1" s="584"/>
      <c r="F1" s="584"/>
      <c r="G1" s="584"/>
      <c r="H1" s="584"/>
    </row>
    <row r="2" spans="1:9" ht="18" x14ac:dyDescent="0.25">
      <c r="B2" s="572" t="s">
        <v>246</v>
      </c>
      <c r="C2" s="572"/>
      <c r="D2" s="572"/>
      <c r="E2" s="572"/>
      <c r="F2" s="572"/>
      <c r="G2" s="572"/>
      <c r="H2" s="572"/>
      <c r="I2" s="238" t="s">
        <v>255</v>
      </c>
    </row>
    <row r="3" spans="1:9" ht="17.399999999999999" x14ac:dyDescent="0.25">
      <c r="B3" s="572" t="s">
        <v>223</v>
      </c>
      <c r="C3" s="584"/>
      <c r="D3" s="584"/>
      <c r="E3" s="584"/>
      <c r="F3" s="584"/>
      <c r="G3" s="584"/>
      <c r="H3" s="584"/>
    </row>
    <row r="5" spans="1:9" ht="14.4" thickBot="1" x14ac:dyDescent="0.35">
      <c r="I5" s="236" t="s">
        <v>0</v>
      </c>
    </row>
    <row r="6" spans="1:9" x14ac:dyDescent="0.25">
      <c r="A6" s="585" t="s">
        <v>37</v>
      </c>
      <c r="B6" s="580" t="s">
        <v>38</v>
      </c>
      <c r="C6" s="585" t="s">
        <v>39</v>
      </c>
      <c r="D6" s="585" t="s">
        <v>344</v>
      </c>
      <c r="E6" s="577" t="s">
        <v>40</v>
      </c>
      <c r="F6" s="578"/>
      <c r="G6" s="578"/>
      <c r="H6" s="579"/>
      <c r="I6" s="580" t="s">
        <v>41</v>
      </c>
    </row>
    <row r="7" spans="1:9" ht="13.8" thickBot="1" x14ac:dyDescent="0.3">
      <c r="A7" s="586"/>
      <c r="B7" s="581"/>
      <c r="C7" s="581"/>
      <c r="D7" s="586"/>
      <c r="E7" s="51" t="s">
        <v>345</v>
      </c>
      <c r="F7" s="51" t="s">
        <v>346</v>
      </c>
      <c r="G7" s="51" t="s">
        <v>347</v>
      </c>
      <c r="H7" s="52" t="s">
        <v>348</v>
      </c>
      <c r="I7" s="581"/>
    </row>
    <row r="8" spans="1:9" ht="13.8" thickBot="1" x14ac:dyDescent="0.3">
      <c r="A8" s="53">
        <v>1</v>
      </c>
      <c r="B8" s="54">
        <v>2</v>
      </c>
      <c r="C8" s="55">
        <v>3</v>
      </c>
      <c r="D8" s="54">
        <v>4</v>
      </c>
      <c r="E8" s="53">
        <v>5</v>
      </c>
      <c r="F8" s="55">
        <v>6</v>
      </c>
      <c r="G8" s="55">
        <v>7</v>
      </c>
      <c r="H8" s="56">
        <v>8</v>
      </c>
      <c r="I8" s="57" t="s">
        <v>42</v>
      </c>
    </row>
    <row r="9" spans="1:9" ht="13.8" thickBot="1" x14ac:dyDescent="0.3">
      <c r="A9" s="58" t="s">
        <v>30</v>
      </c>
      <c r="B9" s="59" t="s">
        <v>227</v>
      </c>
      <c r="C9" s="60"/>
      <c r="D9" s="61">
        <f>SUM(D10:D11)</f>
        <v>0</v>
      </c>
      <c r="E9" s="62"/>
      <c r="F9" s="63"/>
      <c r="G9" s="63"/>
      <c r="H9" s="64"/>
      <c r="I9" s="65"/>
    </row>
    <row r="10" spans="1:9" x14ac:dyDescent="0.25">
      <c r="A10" s="66" t="s">
        <v>43</v>
      </c>
      <c r="B10" s="67"/>
      <c r="C10" s="68"/>
      <c r="D10" s="69"/>
      <c r="E10" s="70"/>
      <c r="F10" s="71"/>
      <c r="G10" s="71"/>
      <c r="H10" s="72"/>
      <c r="I10" s="73">
        <f t="shared" ref="I10:I21" si="0">SUM(D10:H10)</f>
        <v>0</v>
      </c>
    </row>
    <row r="11" spans="1:9" ht="13.8" thickBot="1" x14ac:dyDescent="0.3">
      <c r="A11" s="66" t="s">
        <v>44</v>
      </c>
      <c r="B11" s="67"/>
      <c r="C11" s="68"/>
      <c r="D11" s="69"/>
      <c r="E11" s="70"/>
      <c r="F11" s="71"/>
      <c r="G11" s="71"/>
      <c r="H11" s="72"/>
      <c r="I11" s="73">
        <f t="shared" si="0"/>
        <v>0</v>
      </c>
    </row>
    <row r="12" spans="1:9" ht="13.8" thickBot="1" x14ac:dyDescent="0.3">
      <c r="A12" s="58" t="s">
        <v>45</v>
      </c>
      <c r="B12" s="74" t="s">
        <v>46</v>
      </c>
      <c r="C12" s="75"/>
      <c r="D12" s="61">
        <f>SUM(D13:D14)</f>
        <v>0</v>
      </c>
      <c r="E12" s="62">
        <f>SUM(E13:E14)</f>
        <v>0</v>
      </c>
      <c r="F12" s="63">
        <f>SUM(F13:F14)</f>
        <v>0</v>
      </c>
      <c r="G12" s="63">
        <f>SUM(G13:G14)</f>
        <v>0</v>
      </c>
      <c r="H12" s="64">
        <f>SUM(H13:H14)</f>
        <v>0</v>
      </c>
      <c r="I12" s="65">
        <f t="shared" si="0"/>
        <v>0</v>
      </c>
    </row>
    <row r="13" spans="1:9" x14ac:dyDescent="0.25">
      <c r="A13" s="66" t="s">
        <v>47</v>
      </c>
      <c r="B13" s="67"/>
      <c r="C13" s="173"/>
      <c r="D13" s="69"/>
      <c r="E13" s="70"/>
      <c r="F13" s="71"/>
      <c r="G13" s="71"/>
      <c r="H13" s="72"/>
      <c r="I13" s="73">
        <f t="shared" si="0"/>
        <v>0</v>
      </c>
    </row>
    <row r="14" spans="1:9" ht="13.8" thickBot="1" x14ac:dyDescent="0.3">
      <c r="A14" s="66" t="s">
        <v>48</v>
      </c>
      <c r="B14" s="67"/>
      <c r="C14" s="68"/>
      <c r="D14" s="69"/>
      <c r="E14" s="70"/>
      <c r="F14" s="71"/>
      <c r="G14" s="71"/>
      <c r="H14" s="72"/>
      <c r="I14" s="73">
        <f t="shared" si="0"/>
        <v>0</v>
      </c>
    </row>
    <row r="15" spans="1:9" ht="13.8" thickBot="1" x14ac:dyDescent="0.3">
      <c r="A15" s="58" t="s">
        <v>49</v>
      </c>
      <c r="B15" s="74" t="s">
        <v>50</v>
      </c>
      <c r="C15" s="75"/>
      <c r="D15" s="61">
        <f>SUM(D16:D16)</f>
        <v>0</v>
      </c>
      <c r="E15" s="62"/>
      <c r="F15" s="63"/>
      <c r="G15" s="63"/>
      <c r="H15" s="64">
        <f>SUM(H16:H16)</f>
        <v>0</v>
      </c>
      <c r="I15" s="65">
        <f t="shared" si="0"/>
        <v>0</v>
      </c>
    </row>
    <row r="16" spans="1:9" ht="13.8" thickBot="1" x14ac:dyDescent="0.3">
      <c r="A16" s="66" t="s">
        <v>51</v>
      </c>
      <c r="B16" s="370"/>
      <c r="C16" s="68"/>
      <c r="D16" s="69"/>
      <c r="E16" s="140"/>
      <c r="F16" s="142"/>
      <c r="G16" s="71"/>
      <c r="H16" s="72"/>
      <c r="I16" s="73">
        <f t="shared" si="0"/>
        <v>0</v>
      </c>
    </row>
    <row r="17" spans="1:9" ht="13.8" thickBot="1" x14ac:dyDescent="0.3">
      <c r="A17" s="58" t="s">
        <v>52</v>
      </c>
      <c r="B17" s="74" t="s">
        <v>53</v>
      </c>
      <c r="C17" s="75"/>
      <c r="D17" s="61">
        <f>SUM(D18:D18)</f>
        <v>0</v>
      </c>
      <c r="E17" s="62">
        <f>SUM(E18:E18)</f>
        <v>0</v>
      </c>
      <c r="F17" s="63">
        <f>SUM(F18:F18)</f>
        <v>0</v>
      </c>
      <c r="G17" s="63">
        <f>SUM(G18:G18)</f>
        <v>0</v>
      </c>
      <c r="H17" s="64">
        <f>SUM(H18:H18)</f>
        <v>0</v>
      </c>
      <c r="I17" s="65">
        <f t="shared" si="0"/>
        <v>0</v>
      </c>
    </row>
    <row r="18" spans="1:9" ht="13.8" thickBot="1" x14ac:dyDescent="0.3">
      <c r="A18" s="76" t="s">
        <v>31</v>
      </c>
      <c r="B18" s="77" t="s">
        <v>54</v>
      </c>
      <c r="C18" s="78"/>
      <c r="D18" s="79"/>
      <c r="E18" s="80"/>
      <c r="F18" s="81"/>
      <c r="G18" s="81"/>
      <c r="H18" s="82"/>
      <c r="I18" s="83">
        <f t="shared" si="0"/>
        <v>0</v>
      </c>
    </row>
    <row r="19" spans="1:9" ht="13.8" thickBot="1" x14ac:dyDescent="0.3">
      <c r="A19" s="58" t="s">
        <v>55</v>
      </c>
      <c r="B19" s="84" t="s">
        <v>56</v>
      </c>
      <c r="C19" s="75"/>
      <c r="D19" s="85">
        <f>SUM(D20:D20)</f>
        <v>0</v>
      </c>
      <c r="E19" s="86">
        <f>SUM(E20:E20)</f>
        <v>0</v>
      </c>
      <c r="F19" s="87"/>
      <c r="G19" s="87"/>
      <c r="H19" s="88"/>
      <c r="I19" s="65">
        <f t="shared" si="0"/>
        <v>0</v>
      </c>
    </row>
    <row r="20" spans="1:9" ht="13.8" thickBot="1" x14ac:dyDescent="0.3">
      <c r="A20" s="89" t="s">
        <v>57</v>
      </c>
      <c r="B20" s="90"/>
      <c r="C20" s="91"/>
      <c r="D20" s="92"/>
      <c r="E20" s="93"/>
      <c r="F20" s="94"/>
      <c r="G20" s="94"/>
      <c r="H20" s="95"/>
      <c r="I20" s="96">
        <f t="shared" si="0"/>
        <v>0</v>
      </c>
    </row>
    <row r="21" spans="1:9" ht="13.8" thickBot="1" x14ac:dyDescent="0.3">
      <c r="A21" s="582" t="s">
        <v>58</v>
      </c>
      <c r="B21" s="583"/>
      <c r="C21" s="97"/>
      <c r="D21" s="61">
        <f>D9+D12+D15+D17+D19</f>
        <v>0</v>
      </c>
      <c r="E21" s="62">
        <f>E9+E12+E15+E17+E19</f>
        <v>0</v>
      </c>
      <c r="F21" s="63">
        <f>F9+F12+F15+F17+F19</f>
        <v>0</v>
      </c>
      <c r="G21" s="63">
        <f>G9+G12+G15+G17+G19</f>
        <v>0</v>
      </c>
      <c r="H21" s="64">
        <f>H9+H12+H15+H17+H19</f>
        <v>0</v>
      </c>
      <c r="I21" s="65">
        <f t="shared" si="0"/>
        <v>0</v>
      </c>
    </row>
    <row r="31" spans="1:9" x14ac:dyDescent="0.25">
      <c r="B31" s="237"/>
    </row>
  </sheetData>
  <mergeCells count="10">
    <mergeCell ref="E6:H6"/>
    <mergeCell ref="I6:I7"/>
    <mergeCell ref="A21:B21"/>
    <mergeCell ref="B1:H1"/>
    <mergeCell ref="B2:H2"/>
    <mergeCell ref="B3:H3"/>
    <mergeCell ref="A6:A7"/>
    <mergeCell ref="B6:B7"/>
    <mergeCell ref="C6:C7"/>
    <mergeCell ref="D6:D7"/>
  </mergeCells>
  <phoneticPr fontId="31" type="noConversion"/>
  <printOptions horizontalCentered="1"/>
  <pageMargins left="0.78740157480314965" right="0.78740157480314965" top="1.1811023622047245" bottom="0.98425196850393704" header="0.78740157480314965" footer="0.78740157480314965"/>
  <pageSetup paperSize="9" scale="95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6</vt:i4>
      </vt:variant>
    </vt:vector>
  </HeadingPairs>
  <TitlesOfParts>
    <vt:vector size="24" baseType="lpstr">
      <vt:lpstr>1</vt:lpstr>
      <vt:lpstr>3</vt:lpstr>
      <vt:lpstr>15</vt:lpstr>
      <vt:lpstr>5</vt:lpstr>
      <vt:lpstr>6</vt:lpstr>
      <vt:lpstr>7</vt:lpstr>
      <vt:lpstr>4</vt:lpstr>
      <vt:lpstr>8</vt:lpstr>
      <vt:lpstr>9</vt:lpstr>
      <vt:lpstr>14</vt:lpstr>
      <vt:lpstr>18</vt:lpstr>
      <vt:lpstr>13</vt:lpstr>
      <vt:lpstr>12</vt:lpstr>
      <vt:lpstr>11</vt:lpstr>
      <vt:lpstr>10</vt:lpstr>
      <vt:lpstr>2</vt:lpstr>
      <vt:lpstr>16</vt:lpstr>
      <vt:lpstr>17</vt:lpstr>
      <vt:lpstr>'5'!Nyomtatási_cím</vt:lpstr>
      <vt:lpstr>'6'!Nyomtatási_cím</vt:lpstr>
      <vt:lpstr>'15'!Nyomtatási_terület</vt:lpstr>
      <vt:lpstr>'16'!Nyomtatási_terület</vt:lpstr>
      <vt:lpstr>'5'!Nyomtatási_terület</vt:lpstr>
      <vt:lpstr>'6'!Nyomtatási_terület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2017-08-24T12:30:45Z</cp:lastPrinted>
  <dcterms:created xsi:type="dcterms:W3CDTF">1997-01-17T14:02:09Z</dcterms:created>
  <dcterms:modified xsi:type="dcterms:W3CDTF">2017-08-24T12:30:51Z</dcterms:modified>
</cp:coreProperties>
</file>