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0" yWindow="300" windowWidth="15750" windowHeight="8760" activeTab="0"/>
  </bookViews>
  <sheets>
    <sheet name="kiadás" sheetId="1" r:id="rId1"/>
    <sheet name="bevétel" sheetId="2" r:id="rId2"/>
  </sheets>
  <definedNames>
    <definedName name="_xlnm.Print_Area" localSheetId="1">'bevétel'!$A$1:$P$38</definedName>
    <definedName name="_xlnm.Print_Area" localSheetId="0">'kiadás'!$A$7:$P$51</definedName>
  </definedNames>
  <calcPr fullCalcOnLoad="1"/>
</workbook>
</file>

<file path=xl/sharedStrings.xml><?xml version="1.0" encoding="utf-8"?>
<sst xmlns="http://schemas.openxmlformats.org/spreadsheetml/2006/main" count="127" uniqueCount="104">
  <si>
    <t>ezer Ft-ban</t>
  </si>
  <si>
    <t>Megnevezés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</si>
  <si>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</si>
  <si>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</si>
  <si>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</si>
  <si>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</si>
  <si>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</si>
  <si>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</si>
  <si>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</si>
  <si>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</si>
  <si>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</si>
  <si>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</si>
  <si>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</si>
  <si>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</si>
  <si>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ÖSSZESEN</t>
  </si>
  <si>
    <t>1.</t>
  </si>
  <si>
    <t>a.) személyi juttatások</t>
  </si>
  <si>
    <t>2.</t>
  </si>
  <si>
    <t>3.</t>
  </si>
  <si>
    <t>4.</t>
  </si>
  <si>
    <t>Kiadások összesen:</t>
  </si>
  <si>
    <t>Kiadások mindösszesen</t>
  </si>
  <si>
    <t>ezer  forintban</t>
  </si>
  <si>
    <t xml:space="preserve">        V  á  r  h  a  t  ó     t  e  l  j  e  s  í  t  é  s</t>
  </si>
  <si>
    <t>I.</t>
  </si>
  <si>
    <t>II.</t>
  </si>
  <si>
    <t>III.</t>
  </si>
  <si>
    <t>IV.</t>
  </si>
  <si>
    <t>V.</t>
  </si>
  <si>
    <t>VI.</t>
  </si>
  <si>
    <t>VII.</t>
  </si>
  <si>
    <t>IX.</t>
  </si>
  <si>
    <t>X.</t>
  </si>
  <si>
    <t>XI.</t>
  </si>
  <si>
    <t>XII.</t>
  </si>
  <si>
    <t>Összesen</t>
  </si>
  <si>
    <t>Helyi adók</t>
  </si>
  <si>
    <t>BEVÉTELEK MINDÖSSZESEN</t>
  </si>
  <si>
    <t>d.) dologi kiadások</t>
  </si>
  <si>
    <t>e.) ellátottak pénzbeli juttatásai</t>
  </si>
  <si>
    <t>11.sz.melléklet</t>
  </si>
  <si>
    <t>Tárgyi eszközök, immat.javak értékesítése</t>
  </si>
  <si>
    <t>Közhatalmi bevételek</t>
  </si>
  <si>
    <t>Önkormányzat költségvetési támogatása</t>
  </si>
  <si>
    <t>Működési célú támog.Áh-n belülről</t>
  </si>
  <si>
    <t>Működési célú pénzeszközátvétel Áh-n kív.</t>
  </si>
  <si>
    <t>Felhalmozási kölcsön visszatérülése</t>
  </si>
  <si>
    <t>Felhalmozási célú átvett pénzeszköz</t>
  </si>
  <si>
    <t>MŰKÖDÉSI BEVÉTELEK ÖSSZESEN</t>
  </si>
  <si>
    <t>FELHALMOZÁSI BEVÉTELEK ÖSSZESEN</t>
  </si>
  <si>
    <t>Működési finanszírozás miatti korrekció</t>
  </si>
  <si>
    <t>Felhalmozási finanszírozás miatti korrekció</t>
  </si>
  <si>
    <t>f.) egyéb működési kiadások</t>
  </si>
  <si>
    <t>c.) egyéb felhalmozási kiadások</t>
  </si>
  <si>
    <t>Parkolási tevékenység elszámolása miatti korr.</t>
  </si>
  <si>
    <t>Működési célú támogatások Áh-n belülről</t>
  </si>
  <si>
    <t>Egyéb közhatalmi bevételek</t>
  </si>
  <si>
    <t>Működési bevételek</t>
  </si>
  <si>
    <t>Felhalmozási c.támog.Áh-n belülről</t>
  </si>
  <si>
    <t>Felhalm.célú átvett pénzeszköz összesen</t>
  </si>
  <si>
    <t>KÖLTSÉGVETÉSI BEVÉTELEK ÖSSZESEN</t>
  </si>
  <si>
    <t>Költségvetési működési pénzmaradvány</t>
  </si>
  <si>
    <t>Irányítószervi működési támogatás</t>
  </si>
  <si>
    <t>MŰKÖDÉSI FINANSZÍROZÁSI BEVÉTELEK</t>
  </si>
  <si>
    <t>Költségvetési felhalm. pénzmaradvány</t>
  </si>
  <si>
    <t>Irányítószervi felhalmozási támogatás</t>
  </si>
  <si>
    <t>FELHALM. FINANSZÍROZÁSI BEVÉTELEK</t>
  </si>
  <si>
    <t>VIII.</t>
  </si>
  <si>
    <t>b.) munkaadót terh.jár.és szoc.hj.adó</t>
  </si>
  <si>
    <t>a.) beruházások</t>
  </si>
  <si>
    <t xml:space="preserve">b.) felújítások </t>
  </si>
  <si>
    <t xml:space="preserve">        -egyéb működési támogatás Áh-n belülre</t>
  </si>
  <si>
    <t xml:space="preserve">        -egyéb működési támogatás Áh-n kívülre</t>
  </si>
  <si>
    <t xml:space="preserve">        -általános tartalék</t>
  </si>
  <si>
    <t xml:space="preserve">        -működési céltartalék</t>
  </si>
  <si>
    <t xml:space="preserve">        -felhalm.kölcsön nyújtása Áh-n kívülre</t>
  </si>
  <si>
    <t xml:space="preserve">    -egyéb felhalmozási támog.Áh-n kívülre</t>
  </si>
  <si>
    <t xml:space="preserve">    -felhalmozási céltartalék</t>
  </si>
  <si>
    <t>Működési költségvetési kiadások</t>
  </si>
  <si>
    <t>Felhalmozási költségvetési kiadások</t>
  </si>
  <si>
    <t>Költségvetési kiadások összesen</t>
  </si>
  <si>
    <t>Irányító szervi működési támogatás</t>
  </si>
  <si>
    <t>Működési finanszírozási kiadás összesen</t>
  </si>
  <si>
    <t xml:space="preserve">   a.) felhalmozási célú kötvény beváltása</t>
  </si>
  <si>
    <t xml:space="preserve">   b.) irányítószervi felhalmozási támogatás</t>
  </si>
  <si>
    <t>Felhalmozási finanszírozás kiadás összesen</t>
  </si>
  <si>
    <t xml:space="preserve">        -elvonások és befizetések</t>
  </si>
  <si>
    <t xml:space="preserve">        -működési kölcsön nyújtása</t>
  </si>
  <si>
    <t xml:space="preserve">    -pénzügyi befektetések</t>
  </si>
  <si>
    <t>5.</t>
  </si>
  <si>
    <t>Finanszírozási kiadások összesen</t>
  </si>
  <si>
    <t>a.) Pénzeszköz betétként elhelyezése</t>
  </si>
  <si>
    <t>Finanszírozási bevételek összesen</t>
  </si>
  <si>
    <t>10.sz melléklet</t>
  </si>
  <si>
    <t>10.számú melléklet</t>
  </si>
  <si>
    <t>ÁH- n belüli megelőlegezések visszafizetése</t>
  </si>
  <si>
    <t>ÁH- n belüli megelőlegezések</t>
  </si>
  <si>
    <t>ei</t>
  </si>
  <si>
    <t>Belföldi értékpapírok beváltása működési</t>
  </si>
  <si>
    <t>Belföldi értékpapírok beváltása finanszírozási</t>
  </si>
  <si>
    <t>Belváros-Lipótváros Önkormányzata 2018.évi kiadásainak előirányzat-felhasználási ütemterve</t>
  </si>
  <si>
    <r>
      <t xml:space="preserve"> </t>
    </r>
    <r>
      <rPr>
        <b/>
        <sz val="12"/>
        <rFont val="Arial CE"/>
        <family val="2"/>
      </rPr>
      <t>Belváros-Lipótváros Önkormányzata 2018. évi bevételeinek előirányzat felhasználási ütemterve</t>
    </r>
    <r>
      <rPr>
        <b/>
        <sz val="11"/>
        <rFont val="Arial CE"/>
        <family val="2"/>
      </rPr>
      <t xml:space="preserve">                                                    </t>
    </r>
  </si>
  <si>
    <t>2018. évi ei</t>
  </si>
  <si>
    <t>2018.évi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</si>
</sst>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</numFmts>
  <fonts count="49">
    <font>
      <sz val="10"/>
      <name val="Arial CE"/>
      <family val="0"/>
    </font>
    <font>
      <sz val="7"/>
      <name val="Arial CE"/>
      <family val="2"/>
    </font>
    <font>
      <b/>
      <sz val="12"/>
      <name val="Arial CE"/>
      <family val="2"/>
    </font>
    <font>
      <b/>
      <sz val="7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Lucida Sans Unicode"/>
      <family val="2"/>
    </font>
    <font>
      <b/>
      <sz val="11"/>
      <name val="Arial CE"/>
      <family val="2"/>
    </font>
    <font>
      <sz val="8"/>
      <name val="Lucida Sans Unicod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 CE"/>
      <family val="2"/>
    </font>
    <font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>
        <color indexed="8"/>
      </bottom>
    </border>
    <border>
      <left style="thin"/>
      <right style="thin"/>
      <top style="medium"/>
      <bottom style="thin">
        <color indexed="8"/>
      </bottom>
    </border>
    <border>
      <left style="thin"/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thin"/>
    </border>
    <border>
      <left style="medium"/>
      <right style="medium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9" borderId="1" applyNumberFormat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 shrinkToFit="1"/>
    </xf>
    <xf numFmtId="3" fontId="7" fillId="0" borderId="11" xfId="0" applyNumberFormat="1" applyFont="1" applyFill="1" applyBorder="1" applyAlignment="1">
      <alignment horizontal="center" vertical="center" shrinkToFit="1"/>
    </xf>
    <xf numFmtId="3" fontId="7" fillId="0" borderId="12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Alignment="1">
      <alignment/>
    </xf>
    <xf numFmtId="3" fontId="6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0" fontId="1" fillId="0" borderId="20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3" fontId="7" fillId="0" borderId="13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49" fontId="5" fillId="0" borderId="24" xfId="0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7" fillId="0" borderId="22" xfId="0" applyNumberFormat="1" applyFont="1" applyFill="1" applyBorder="1" applyAlignment="1">
      <alignment horizontal="left" vertical="center" indent="1"/>
    </xf>
    <xf numFmtId="0" fontId="5" fillId="0" borderId="25" xfId="0" applyFont="1" applyFill="1" applyBorder="1" applyAlignment="1">
      <alignment horizontal="center"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" fontId="5" fillId="0" borderId="27" xfId="0" applyNumberFormat="1" applyFont="1" applyFill="1" applyBorder="1" applyAlignment="1">
      <alignment vertical="center" shrinkToFit="1"/>
    </xf>
    <xf numFmtId="3" fontId="5" fillId="0" borderId="27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horizontal="right" vertical="center"/>
    </xf>
    <xf numFmtId="49" fontId="5" fillId="0" borderId="28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 shrinkToFit="1"/>
    </xf>
    <xf numFmtId="3" fontId="5" fillId="0" borderId="29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5" fillId="0" borderId="26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horizontal="center" vertical="center" shrinkToFit="1"/>
    </xf>
    <xf numFmtId="3" fontId="5" fillId="0" borderId="31" xfId="0" applyNumberFormat="1" applyFont="1" applyFill="1" applyBorder="1" applyAlignment="1">
      <alignment vertical="center" shrinkToFit="1"/>
    </xf>
    <xf numFmtId="3" fontId="5" fillId="0" borderId="13" xfId="0" applyNumberFormat="1" applyFont="1" applyFill="1" applyBorder="1" applyAlignment="1">
      <alignment vertical="center" shrinkToFit="1"/>
    </xf>
    <xf numFmtId="0" fontId="5" fillId="0" borderId="32" xfId="0" applyFont="1" applyFill="1" applyBorder="1" applyAlignment="1">
      <alignment horizontal="center" vertical="center" shrinkToFit="1"/>
    </xf>
    <xf numFmtId="3" fontId="5" fillId="0" borderId="14" xfId="0" applyNumberFormat="1" applyFont="1" applyFill="1" applyBorder="1" applyAlignment="1">
      <alignment vertical="center" shrinkToFit="1"/>
    </xf>
    <xf numFmtId="0" fontId="5" fillId="0" borderId="33" xfId="0" applyFont="1" applyFill="1" applyBorder="1" applyAlignment="1">
      <alignment horizontal="center" vertical="center" shrinkToFit="1"/>
    </xf>
    <xf numFmtId="49" fontId="7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49" fontId="5" fillId="0" borderId="34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49" fontId="5" fillId="0" borderId="35" xfId="0" applyNumberFormat="1" applyFont="1" applyFill="1" applyBorder="1" applyAlignment="1">
      <alignment horizontal="center" vertical="center" shrinkToFit="1"/>
    </xf>
    <xf numFmtId="49" fontId="5" fillId="0" borderId="36" xfId="0" applyNumberFormat="1" applyFont="1" applyFill="1" applyBorder="1" applyAlignment="1">
      <alignment horizontal="center" vertical="center" shrinkToFit="1"/>
    </xf>
    <xf numFmtId="49" fontId="7" fillId="0" borderId="35" xfId="0" applyNumberFormat="1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7" fillId="0" borderId="39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vertical="center" shrinkToFit="1"/>
    </xf>
    <xf numFmtId="0" fontId="5" fillId="0" borderId="36" xfId="0" applyFont="1" applyFill="1" applyBorder="1" applyAlignment="1">
      <alignment vertical="center" shrinkToFit="1"/>
    </xf>
    <xf numFmtId="0" fontId="7" fillId="0" borderId="34" xfId="0" applyFont="1" applyFill="1" applyBorder="1" applyAlignment="1">
      <alignment vertical="center" shrinkToFit="1"/>
    </xf>
    <xf numFmtId="0" fontId="7" fillId="0" borderId="36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5" fillId="0" borderId="32" xfId="0" applyFont="1" applyFill="1" applyBorder="1" applyAlignment="1">
      <alignment vertical="center" shrinkToFit="1"/>
    </xf>
    <xf numFmtId="0" fontId="7" fillId="0" borderId="37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3" fontId="7" fillId="0" borderId="13" xfId="0" applyNumberFormat="1" applyFont="1" applyFill="1" applyBorder="1" applyAlignment="1">
      <alignment vertical="center" shrinkToFit="1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7" fillId="0" borderId="42" xfId="0" applyNumberFormat="1" applyFont="1" applyFill="1" applyBorder="1" applyAlignment="1">
      <alignment horizontal="center" vertical="center" shrinkToFit="1"/>
    </xf>
    <xf numFmtId="3" fontId="7" fillId="0" borderId="43" xfId="0" applyNumberFormat="1" applyFont="1" applyFill="1" applyBorder="1" applyAlignment="1">
      <alignment vertical="center" shrinkToFit="1"/>
    </xf>
    <xf numFmtId="3" fontId="7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4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5" fillId="0" borderId="46" xfId="0" applyNumberFormat="1" applyFont="1" applyFill="1" applyBorder="1" applyAlignment="1">
      <alignment vertical="center" shrinkToFit="1"/>
    </xf>
    <xf numFmtId="3" fontId="5" fillId="0" borderId="45" xfId="0" applyNumberFormat="1" applyFont="1" applyFill="1" applyBorder="1" applyAlignment="1">
      <alignment vertical="center" shrinkToFit="1"/>
    </xf>
    <xf numFmtId="3" fontId="7" fillId="0" borderId="46" xfId="0" applyNumberFormat="1" applyFont="1" applyFill="1" applyBorder="1" applyAlignment="1">
      <alignment vertical="center" shrinkToFit="1"/>
    </xf>
    <xf numFmtId="3" fontId="7" fillId="0" borderId="30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3" fontId="5" fillId="0" borderId="16" xfId="0" applyNumberFormat="1" applyFont="1" applyFill="1" applyBorder="1" applyAlignment="1">
      <alignment vertical="center" shrinkToFit="1"/>
    </xf>
    <xf numFmtId="0" fontId="1" fillId="0" borderId="23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left" vertical="center" indent="1"/>
    </xf>
    <xf numFmtId="3" fontId="0" fillId="0" borderId="21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5" fillId="0" borderId="40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0" fontId="4" fillId="0" borderId="0" xfId="0" applyFont="1" applyFill="1" applyAlignment="1">
      <alignment/>
    </xf>
    <xf numFmtId="3" fontId="7" fillId="0" borderId="47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5" fillId="0" borderId="48" xfId="0" applyNumberFormat="1" applyFont="1" applyFill="1" applyBorder="1" applyAlignment="1">
      <alignment vertical="center" shrinkToFit="1"/>
    </xf>
    <xf numFmtId="3" fontId="5" fillId="0" borderId="50" xfId="0" applyNumberFormat="1" applyFont="1" applyFill="1" applyBorder="1" applyAlignment="1">
      <alignment vertical="center" shrinkToFit="1"/>
    </xf>
    <xf numFmtId="3" fontId="5" fillId="0" borderId="49" xfId="0" applyNumberFormat="1" applyFont="1" applyFill="1" applyBorder="1" applyAlignment="1">
      <alignment vertical="center" shrinkToFit="1"/>
    </xf>
    <xf numFmtId="3" fontId="5" fillId="0" borderId="42" xfId="0" applyNumberFormat="1" applyFont="1" applyFill="1" applyBorder="1" applyAlignment="1">
      <alignment horizontal="center" vertical="center" shrinkToFit="1"/>
    </xf>
    <xf numFmtId="0" fontId="1" fillId="0" borderId="5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52" xfId="0" applyFont="1" applyFill="1" applyBorder="1" applyAlignment="1">
      <alignment vertical="center" shrinkToFit="1"/>
    </xf>
    <xf numFmtId="0" fontId="7" fillId="0" borderId="53" xfId="0" applyFont="1" applyFill="1" applyBorder="1" applyAlignment="1">
      <alignment vertical="center" shrinkToFit="1"/>
    </xf>
    <xf numFmtId="0" fontId="7" fillId="0" borderId="28" xfId="0" applyFont="1" applyFill="1" applyBorder="1" applyAlignment="1">
      <alignment vertical="center" shrinkToFi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/>
    </xf>
    <xf numFmtId="0" fontId="7" fillId="0" borderId="20" xfId="0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 vertical="center"/>
    </xf>
    <xf numFmtId="49" fontId="7" fillId="0" borderId="24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/>
    </xf>
    <xf numFmtId="0" fontId="5" fillId="0" borderId="54" xfId="0" applyFont="1" applyFill="1" applyBorder="1" applyAlignment="1">
      <alignment vertical="center" shrinkToFit="1"/>
    </xf>
    <xf numFmtId="3" fontId="5" fillId="0" borderId="55" xfId="0" applyNumberFormat="1" applyFont="1" applyFill="1" applyBorder="1" applyAlignment="1">
      <alignment vertical="center" shrinkToFit="1"/>
    </xf>
    <xf numFmtId="0" fontId="5" fillId="0" borderId="23" xfId="0" applyFont="1" applyFill="1" applyBorder="1" applyAlignment="1">
      <alignment vertical="center" shrinkToFit="1"/>
    </xf>
    <xf numFmtId="3" fontId="5" fillId="0" borderId="21" xfId="0" applyNumberFormat="1" applyFont="1" applyFill="1" applyBorder="1" applyAlignment="1">
      <alignment vertical="center" shrinkToFit="1"/>
    </xf>
    <xf numFmtId="3" fontId="5" fillId="0" borderId="56" xfId="0" applyNumberFormat="1" applyFont="1" applyFill="1" applyBorder="1" applyAlignment="1">
      <alignment vertical="center" shrinkToFit="1"/>
    </xf>
    <xf numFmtId="3" fontId="5" fillId="0" borderId="57" xfId="0" applyNumberFormat="1" applyFont="1" applyFill="1" applyBorder="1" applyAlignment="1">
      <alignment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center" vertical="center"/>
    </xf>
    <xf numFmtId="3" fontId="1" fillId="0" borderId="0" xfId="0" applyNumberFormat="1" applyFont="1" applyFill="1" applyAlignment="1">
      <alignment/>
    </xf>
    <xf numFmtId="3" fontId="7" fillId="0" borderId="58" xfId="0" applyNumberFormat="1" applyFont="1" applyFill="1" applyBorder="1" applyAlignment="1">
      <alignment vertical="center" shrinkToFit="1"/>
    </xf>
    <xf numFmtId="3" fontId="7" fillId="0" borderId="59" xfId="0" applyNumberFormat="1" applyFont="1" applyFill="1" applyBorder="1" applyAlignment="1">
      <alignment vertical="center" shrinkToFit="1"/>
    </xf>
    <xf numFmtId="3" fontId="5" fillId="0" borderId="58" xfId="0" applyNumberFormat="1" applyFont="1" applyFill="1" applyBorder="1" applyAlignment="1">
      <alignment vertical="center" shrinkToFit="1"/>
    </xf>
    <xf numFmtId="3" fontId="5" fillId="0" borderId="59" xfId="0" applyNumberFormat="1" applyFont="1" applyFill="1" applyBorder="1" applyAlignment="1">
      <alignment vertical="center" shrinkToFit="1"/>
    </xf>
    <xf numFmtId="3" fontId="5" fillId="0" borderId="60" xfId="0" applyNumberFormat="1" applyFont="1" applyFill="1" applyBorder="1" applyAlignment="1">
      <alignment vertical="center" shrinkToFit="1"/>
    </xf>
    <xf numFmtId="3" fontId="5" fillId="0" borderId="61" xfId="0" applyNumberFormat="1" applyFont="1" applyFill="1" applyBorder="1" applyAlignment="1">
      <alignment vertical="center" shrinkToFit="1"/>
    </xf>
    <xf numFmtId="3" fontId="5" fillId="0" borderId="62" xfId="0" applyNumberFormat="1" applyFont="1" applyFill="1" applyBorder="1" applyAlignment="1">
      <alignment vertical="center" shrinkToFit="1"/>
    </xf>
    <xf numFmtId="3" fontId="5" fillId="0" borderId="63" xfId="0" applyNumberFormat="1" applyFont="1" applyFill="1" applyBorder="1" applyAlignment="1">
      <alignment vertical="center" shrinkToFit="1"/>
    </xf>
    <xf numFmtId="3" fontId="5" fillId="0" borderId="41" xfId="0" applyNumberFormat="1" applyFont="1" applyFill="1" applyBorder="1" applyAlignment="1">
      <alignment vertical="center" shrinkToFit="1"/>
    </xf>
    <xf numFmtId="3" fontId="5" fillId="0" borderId="64" xfId="0" applyNumberFormat="1" applyFont="1" applyFill="1" applyBorder="1" applyAlignment="1">
      <alignment vertical="center" shrinkToFit="1"/>
    </xf>
    <xf numFmtId="3" fontId="5" fillId="0" borderId="65" xfId="0" applyNumberFormat="1" applyFont="1" applyFill="1" applyBorder="1" applyAlignment="1">
      <alignment vertical="center" shrinkToFit="1"/>
    </xf>
    <xf numFmtId="3" fontId="5" fillId="0" borderId="66" xfId="0" applyNumberFormat="1" applyFont="1" applyFill="1" applyBorder="1" applyAlignment="1">
      <alignment vertical="center" shrinkToFit="1"/>
    </xf>
    <xf numFmtId="3" fontId="5" fillId="0" borderId="30" xfId="0" applyNumberFormat="1" applyFont="1" applyFill="1" applyBorder="1" applyAlignment="1">
      <alignment vertical="center" shrinkToFit="1"/>
    </xf>
    <xf numFmtId="3" fontId="7" fillId="0" borderId="61" xfId="0" applyNumberFormat="1" applyFont="1" applyFill="1" applyBorder="1" applyAlignment="1">
      <alignment vertical="center" shrinkToFit="1"/>
    </xf>
    <xf numFmtId="3" fontId="7" fillId="0" borderId="62" xfId="0" applyNumberFormat="1" applyFont="1" applyFill="1" applyBorder="1" applyAlignment="1">
      <alignment vertical="center" shrinkToFit="1"/>
    </xf>
    <xf numFmtId="3" fontId="7" fillId="0" borderId="67" xfId="0" applyNumberFormat="1" applyFont="1" applyFill="1" applyBorder="1" applyAlignment="1">
      <alignment vertical="center" shrinkToFit="1"/>
    </xf>
    <xf numFmtId="3" fontId="7" fillId="0" borderId="68" xfId="0" applyNumberFormat="1" applyFont="1" applyFill="1" applyBorder="1" applyAlignment="1">
      <alignment vertical="center" shrinkToFit="1"/>
    </xf>
    <xf numFmtId="3" fontId="5" fillId="0" borderId="69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vertical="center" shrinkToFit="1"/>
    </xf>
    <xf numFmtId="3" fontId="0" fillId="0" borderId="21" xfId="0" applyNumberFormat="1" applyFont="1" applyFill="1" applyBorder="1" applyAlignment="1">
      <alignment vertical="center"/>
    </xf>
    <xf numFmtId="3" fontId="5" fillId="0" borderId="70" xfId="0" applyNumberFormat="1" applyFont="1" applyFill="1" applyBorder="1" applyAlignment="1">
      <alignment vertical="center" shrinkToFit="1"/>
    </xf>
    <xf numFmtId="3" fontId="5" fillId="0" borderId="15" xfId="0" applyNumberFormat="1" applyFont="1" applyFill="1" applyBorder="1" applyAlignment="1">
      <alignment vertical="center" shrinkToFit="1"/>
    </xf>
    <xf numFmtId="3" fontId="5" fillId="0" borderId="71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Alignment="1">
      <alignment/>
    </xf>
    <xf numFmtId="0" fontId="7" fillId="0" borderId="54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3" fontId="5" fillId="0" borderId="22" xfId="0" applyNumberFormat="1" applyFont="1" applyFill="1" applyBorder="1" applyAlignment="1">
      <alignment vertical="center" shrinkToFit="1"/>
    </xf>
    <xf numFmtId="3" fontId="7" fillId="0" borderId="72" xfId="0" applyNumberFormat="1" applyFont="1" applyFill="1" applyBorder="1" applyAlignment="1">
      <alignment vertical="center" shrinkToFit="1"/>
    </xf>
    <xf numFmtId="3" fontId="5" fillId="0" borderId="73" xfId="0" applyNumberFormat="1" applyFont="1" applyFill="1" applyBorder="1" applyAlignment="1">
      <alignment vertical="center" shrinkToFit="1"/>
    </xf>
    <xf numFmtId="3" fontId="5" fillId="0" borderId="74" xfId="0" applyNumberFormat="1" applyFont="1" applyFill="1" applyBorder="1" applyAlignment="1">
      <alignment vertical="center" shrinkToFit="1"/>
    </xf>
    <xf numFmtId="3" fontId="5" fillId="0" borderId="75" xfId="0" applyNumberFormat="1" applyFont="1" applyFill="1" applyBorder="1" applyAlignment="1">
      <alignment vertical="center" shrinkToFit="1"/>
    </xf>
    <xf numFmtId="3" fontId="5" fillId="0" borderId="76" xfId="0" applyNumberFormat="1" applyFont="1" applyFill="1" applyBorder="1" applyAlignment="1">
      <alignment vertical="center" shrinkToFit="1"/>
    </xf>
    <xf numFmtId="3" fontId="7" fillId="0" borderId="40" xfId="0" applyNumberFormat="1" applyFont="1" applyFill="1" applyBorder="1" applyAlignment="1">
      <alignment vertical="center" shrinkToFit="1"/>
    </xf>
    <xf numFmtId="3" fontId="7" fillId="0" borderId="75" xfId="0" applyNumberFormat="1" applyFont="1" applyFill="1" applyBorder="1" applyAlignment="1">
      <alignment vertical="center" shrinkToFit="1"/>
    </xf>
    <xf numFmtId="3" fontId="7" fillId="0" borderId="56" xfId="0" applyNumberFormat="1" applyFont="1" applyFill="1" applyBorder="1" applyAlignment="1">
      <alignment vertical="center" shrinkToFit="1"/>
    </xf>
    <xf numFmtId="3" fontId="5" fillId="0" borderId="77" xfId="0" applyNumberFormat="1" applyFont="1" applyFill="1" applyBorder="1" applyAlignment="1">
      <alignment vertical="center" shrinkToFit="1"/>
    </xf>
    <xf numFmtId="3" fontId="5" fillId="0" borderId="78" xfId="0" applyNumberFormat="1" applyFont="1" applyFill="1" applyBorder="1" applyAlignment="1">
      <alignment vertical="center" shrinkToFit="1"/>
    </xf>
    <xf numFmtId="3" fontId="7" fillId="0" borderId="49" xfId="0" applyNumberFormat="1" applyFont="1" applyFill="1" applyBorder="1" applyAlignment="1">
      <alignment vertical="center" shrinkToFit="1"/>
    </xf>
    <xf numFmtId="3" fontId="11" fillId="0" borderId="72" xfId="43" applyNumberFormat="1" applyFill="1" applyBorder="1" applyAlignment="1" applyProtection="1">
      <alignment vertical="center" shrinkToFit="1"/>
      <protection/>
    </xf>
    <xf numFmtId="3" fontId="7" fillId="0" borderId="0" xfId="0" applyNumberFormat="1" applyFont="1" applyFill="1" applyBorder="1" applyAlignment="1">
      <alignment vertical="center" shrinkToFit="1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shrinkToFit="1"/>
    </xf>
    <xf numFmtId="3" fontId="7" fillId="0" borderId="34" xfId="0" applyNumberFormat="1" applyFont="1" applyFill="1" applyBorder="1" applyAlignment="1">
      <alignment vertical="center" shrinkToFit="1"/>
    </xf>
    <xf numFmtId="3" fontId="7" fillId="0" borderId="73" xfId="0" applyNumberFormat="1" applyFont="1" applyFill="1" applyBorder="1" applyAlignment="1">
      <alignment vertical="center" shrinkToFit="1"/>
    </xf>
    <xf numFmtId="3" fontId="7" fillId="0" borderId="79" xfId="0" applyNumberFormat="1" applyFont="1" applyFill="1" applyBorder="1" applyAlignment="1">
      <alignment vertical="center" shrinkToFit="1"/>
    </xf>
    <xf numFmtId="3" fontId="7" fillId="0" borderId="80" xfId="0" applyNumberFormat="1" applyFont="1" applyFill="1" applyBorder="1" applyAlignment="1">
      <alignment vertical="center" shrinkToFit="1"/>
    </xf>
    <xf numFmtId="3" fontId="7" fillId="0" borderId="81" xfId="0" applyNumberFormat="1" applyFont="1" applyFill="1" applyBorder="1" applyAlignment="1">
      <alignment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5" fillId="0" borderId="32" xfId="0" applyNumberFormat="1" applyFont="1" applyFill="1" applyBorder="1" applyAlignment="1">
      <alignment horizontal="center" vertical="center"/>
    </xf>
    <xf numFmtId="49" fontId="5" fillId="0" borderId="82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82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82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 shrinkToFit="1"/>
    </xf>
    <xf numFmtId="0" fontId="5" fillId="0" borderId="84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horizontal="right" vertical="center"/>
    </xf>
    <xf numFmtId="3" fontId="5" fillId="0" borderId="85" xfId="0" applyNumberFormat="1" applyFont="1" applyFill="1" applyBorder="1" applyAlignment="1">
      <alignment horizontal="center" vertical="center"/>
    </xf>
    <xf numFmtId="3" fontId="5" fillId="0" borderId="86" xfId="0" applyNumberFormat="1" applyFont="1" applyFill="1" applyBorder="1" applyAlignment="1">
      <alignment horizontal="center" vertical="center"/>
    </xf>
    <xf numFmtId="3" fontId="5" fillId="0" borderId="68" xfId="0" applyNumberFormat="1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87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88" xfId="0" applyFont="1" applyFill="1" applyBorder="1" applyAlignment="1">
      <alignment horizontal="center" vertical="center"/>
    </xf>
    <xf numFmtId="3" fontId="5" fillId="0" borderId="89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center" vertical="center"/>
    </xf>
    <xf numFmtId="3" fontId="5" fillId="0" borderId="90" xfId="0" applyNumberFormat="1" applyFont="1" applyFill="1" applyBorder="1" applyAlignment="1">
      <alignment horizontal="center" vertical="center"/>
    </xf>
    <xf numFmtId="3" fontId="5" fillId="0" borderId="47" xfId="0" applyNumberFormat="1" applyFont="1" applyFill="1" applyBorder="1" applyAlignment="1">
      <alignment horizontal="center" vertical="center"/>
    </xf>
    <xf numFmtId="3" fontId="5" fillId="0" borderId="29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0" fontId="7" fillId="0" borderId="91" xfId="0" applyFont="1" applyFill="1" applyBorder="1" applyAlignment="1">
      <alignment horizontal="center" vertical="center" shrinkToFit="1"/>
    </xf>
    <xf numFmtId="0" fontId="7" fillId="0" borderId="92" xfId="0" applyFont="1" applyFill="1" applyBorder="1" applyAlignment="1">
      <alignment horizontal="center" vertical="center" shrinkToFi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zoomScale="80" zoomScaleNormal="80" zoomScalePageLayoutView="0" workbookViewId="0" topLeftCell="A7">
      <pane ySplit="10" topLeftCell="A17" activePane="bottomLeft" state="frozen"/>
      <selection pane="topLeft" activeCell="A7" sqref="A7"/>
      <selection pane="bottomLeft" activeCell="V31" sqref="V31"/>
    </sheetView>
  </sheetViews>
  <sheetFormatPr defaultColWidth="9.00390625" defaultRowHeight="12.75"/>
  <cols>
    <col min="1" max="1" width="3.125" style="36" customWidth="1"/>
    <col min="2" max="2" width="36.625" style="17" customWidth="1"/>
    <col min="3" max="3" width="12.25390625" style="21" customWidth="1"/>
    <col min="4" max="4" width="10.625" style="21" customWidth="1"/>
    <col min="5" max="5" width="10.00390625" style="21" customWidth="1"/>
    <col min="6" max="6" width="10.625" style="21" customWidth="1"/>
    <col min="7" max="7" width="10.00390625" style="21" customWidth="1"/>
    <col min="8" max="8" width="10.625" style="21" customWidth="1"/>
    <col min="9" max="9" width="11.125" style="21" customWidth="1"/>
    <col min="10" max="15" width="10.00390625" style="21" customWidth="1"/>
    <col min="16" max="16" width="11.125" style="21" customWidth="1"/>
    <col min="17" max="17" width="11.375" style="132" customWidth="1"/>
    <col min="18" max="16384" width="9.125" style="21" customWidth="1"/>
  </cols>
  <sheetData>
    <row r="1" spans="1:16" ht="12.75">
      <c r="A1" s="19"/>
      <c r="B1" s="42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12.75">
      <c r="A2" s="19"/>
      <c r="B2" s="42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96" t="s">
        <v>40</v>
      </c>
      <c r="P2" s="196"/>
    </row>
    <row r="3" spans="1:16" ht="12.75">
      <c r="A3" s="19"/>
      <c r="B3" s="42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6" ht="12.75">
      <c r="A4" s="19"/>
      <c r="B4" s="42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1:16" ht="12.75">
      <c r="A5" s="19"/>
      <c r="B5" s="42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spans="1:16" ht="12.75">
      <c r="A6" s="19"/>
      <c r="B6" s="42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2.75">
      <c r="A7" s="19"/>
      <c r="B7" s="42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97" t="s">
        <v>93</v>
      </c>
      <c r="P7" s="197"/>
    </row>
    <row r="8" spans="1:16" ht="21" customHeight="1">
      <c r="A8" s="198" t="s">
        <v>100</v>
      </c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</row>
    <row r="9" spans="1:16" ht="12.75">
      <c r="A9" s="22"/>
      <c r="B9" s="43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spans="1:16" ht="12.75">
      <c r="A10" s="22"/>
      <c r="B10" s="43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144"/>
      <c r="N10" s="22"/>
      <c r="O10" s="22"/>
      <c r="P10" s="22"/>
    </row>
    <row r="11" spans="1:16" ht="12.75">
      <c r="A11" s="22"/>
      <c r="B11" s="43"/>
      <c r="C11" s="22"/>
      <c r="D11" s="47"/>
      <c r="E11" s="48"/>
      <c r="F11" s="47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spans="1:16" ht="15" customHeight="1">
      <c r="A12" s="22"/>
      <c r="B12" s="43"/>
      <c r="C12" s="48"/>
      <c r="D12" s="47"/>
      <c r="E12" s="48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</row>
    <row r="13" spans="1:16" ht="13.5" thickBot="1">
      <c r="A13" s="19"/>
      <c r="B13" s="42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51" t="s">
        <v>0</v>
      </c>
    </row>
    <row r="14" spans="1:16" ht="17.25" customHeight="1" thickBot="1">
      <c r="A14" s="201" t="s">
        <v>1</v>
      </c>
      <c r="B14" s="201"/>
      <c r="C14" s="204" t="s">
        <v>102</v>
      </c>
      <c r="D14" s="194" t="s">
        <v>2</v>
      </c>
      <c r="E14" s="194" t="s">
        <v>3</v>
      </c>
      <c r="F14" s="194" t="s">
        <v>4</v>
      </c>
      <c r="G14" s="194" t="s">
        <v>5</v>
      </c>
      <c r="H14" s="194" t="s">
        <v>6</v>
      </c>
      <c r="I14" s="194" t="s">
        <v>7</v>
      </c>
      <c r="J14" s="194" t="s">
        <v>8</v>
      </c>
      <c r="K14" s="194" t="s">
        <v>9</v>
      </c>
      <c r="L14" s="194" t="s">
        <v>10</v>
      </c>
      <c r="M14" s="194" t="s">
        <v>11</v>
      </c>
      <c r="N14" s="194" t="s">
        <v>12</v>
      </c>
      <c r="O14" s="194" t="s">
        <v>13</v>
      </c>
      <c r="P14" s="194" t="s">
        <v>14</v>
      </c>
    </row>
    <row r="15" spans="1:16" ht="13.5" thickBot="1">
      <c r="A15" s="201"/>
      <c r="B15" s="201"/>
      <c r="C15" s="20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  <c r="P15" s="195"/>
    </row>
    <row r="16" spans="1:16" ht="15" customHeight="1" thickBot="1">
      <c r="A16" s="202">
        <v>1</v>
      </c>
      <c r="B16" s="203"/>
      <c r="C16" s="23">
        <v>2</v>
      </c>
      <c r="D16" s="23">
        <v>3</v>
      </c>
      <c r="E16" s="23">
        <v>4</v>
      </c>
      <c r="F16" s="23">
        <v>5</v>
      </c>
      <c r="G16" s="23">
        <v>6</v>
      </c>
      <c r="H16" s="23">
        <v>7</v>
      </c>
      <c r="I16" s="23">
        <v>8</v>
      </c>
      <c r="J16" s="23">
        <v>9</v>
      </c>
      <c r="K16" s="23">
        <v>10</v>
      </c>
      <c r="L16" s="23">
        <v>11</v>
      </c>
      <c r="M16" s="23">
        <v>12</v>
      </c>
      <c r="N16" s="23">
        <v>13</v>
      </c>
      <c r="O16" s="23">
        <v>14</v>
      </c>
      <c r="P16" s="23">
        <v>15</v>
      </c>
    </row>
    <row r="17" spans="1:16" ht="15" customHeight="1">
      <c r="A17" s="24" t="s">
        <v>15</v>
      </c>
      <c r="B17" s="25" t="s">
        <v>78</v>
      </c>
      <c r="C17" s="26">
        <f>SUM(C18:C22)</f>
        <v>18299515</v>
      </c>
      <c r="D17" s="26">
        <f aca="true" t="shared" si="0" ref="D17:N17">SUM(D18:D22)</f>
        <v>1345168.3333333333</v>
      </c>
      <c r="E17" s="26">
        <f t="shared" si="0"/>
        <v>1450448.3333333333</v>
      </c>
      <c r="F17" s="26">
        <f t="shared" si="0"/>
        <v>1405159.3333333333</v>
      </c>
      <c r="G17" s="26">
        <f t="shared" si="0"/>
        <v>1383922.3333333333</v>
      </c>
      <c r="H17" s="26">
        <f t="shared" si="0"/>
        <v>1349774.3333333333</v>
      </c>
      <c r="I17" s="26">
        <f t="shared" si="0"/>
        <v>1367046.3333333333</v>
      </c>
      <c r="J17" s="26">
        <f t="shared" si="0"/>
        <v>1482469.3333333333</v>
      </c>
      <c r="K17" s="26">
        <f t="shared" si="0"/>
        <v>1435637.3333333333</v>
      </c>
      <c r="L17" s="26">
        <f t="shared" si="0"/>
        <v>1438704.3333333333</v>
      </c>
      <c r="M17" s="26">
        <f t="shared" si="0"/>
        <v>1424733.3333333333</v>
      </c>
      <c r="N17" s="26">
        <f t="shared" si="0"/>
        <v>1567952.3333333333</v>
      </c>
      <c r="O17" s="26">
        <f>SUM(O18:O22)+1</f>
        <v>2648500.333333333</v>
      </c>
      <c r="P17" s="108">
        <f>SUM(D17:O17)</f>
        <v>18299516</v>
      </c>
    </row>
    <row r="18" spans="1:16" ht="15" customHeight="1">
      <c r="A18" s="28"/>
      <c r="B18" s="44" t="s">
        <v>16</v>
      </c>
      <c r="C18" s="130">
        <v>3911400</v>
      </c>
      <c r="D18" s="29">
        <f>300784+8000</f>
        <v>308784</v>
      </c>
      <c r="E18" s="29">
        <f>300784+8000</f>
        <v>308784</v>
      </c>
      <c r="F18" s="29">
        <f>300784+8000</f>
        <v>308784</v>
      </c>
      <c r="G18" s="29">
        <f>300784+8000</f>
        <v>308784</v>
      </c>
      <c r="H18" s="29">
        <f>300784+8000</f>
        <v>308784</v>
      </c>
      <c r="I18" s="29">
        <f>300784+8000+6223-787</f>
        <v>314220</v>
      </c>
      <c r="J18" s="29">
        <f>300784+8000+6223+13000+41387</f>
        <v>369394</v>
      </c>
      <c r="K18" s="29">
        <f>300784+8000+6223</f>
        <v>315007</v>
      </c>
      <c r="L18" s="29">
        <f>300784+8000+6223+4144+3293</f>
        <v>322444</v>
      </c>
      <c r="M18" s="29">
        <f>300784+8000+6223+4143+3293+1553</f>
        <v>323996</v>
      </c>
      <c r="N18" s="29">
        <f>300784+8000+6223+4144+3292+1553</f>
        <v>323996</v>
      </c>
      <c r="O18" s="29">
        <f>300784+8000+6223+4144+3292+1555+74425</f>
        <v>398423</v>
      </c>
      <c r="P18" s="18">
        <f aca="true" t="shared" si="1" ref="P18:P49">SUM(D18:O18)</f>
        <v>3911400</v>
      </c>
    </row>
    <row r="19" spans="1:16" ht="15" customHeight="1">
      <c r="A19" s="28"/>
      <c r="B19" s="44" t="s">
        <v>68</v>
      </c>
      <c r="C19" s="130">
        <v>862562</v>
      </c>
      <c r="D19" s="29">
        <v>68326</v>
      </c>
      <c r="E19" s="29">
        <v>68326</v>
      </c>
      <c r="F19" s="29">
        <v>68326</v>
      </c>
      <c r="G19" s="29">
        <v>68326</v>
      </c>
      <c r="H19" s="29">
        <v>68326</v>
      </c>
      <c r="I19" s="29">
        <f>68326+1321</f>
        <v>69647</v>
      </c>
      <c r="J19" s="29">
        <f>68326+1321+2535+9221</f>
        <v>81403</v>
      </c>
      <c r="K19" s="29">
        <f>68326+1321</f>
        <v>69647</v>
      </c>
      <c r="L19" s="29">
        <f>68326+1321+783+971</f>
        <v>71401</v>
      </c>
      <c r="M19" s="29">
        <f>68326+1321+783+971+281</f>
        <v>71682</v>
      </c>
      <c r="N19" s="29">
        <f>68326+1321+783+971+281</f>
        <v>71682</v>
      </c>
      <c r="O19" s="29">
        <f>68326+1321+635+783+974+283+13148</f>
        <v>85470</v>
      </c>
      <c r="P19" s="18">
        <f t="shared" si="1"/>
        <v>862562</v>
      </c>
    </row>
    <row r="20" spans="1:16" ht="15" customHeight="1">
      <c r="A20" s="28"/>
      <c r="B20" s="44" t="s">
        <v>38</v>
      </c>
      <c r="C20" s="130">
        <v>10779868</v>
      </c>
      <c r="D20" s="29">
        <v>799159</v>
      </c>
      <c r="E20" s="29">
        <f>799159+80000</f>
        <v>879159</v>
      </c>
      <c r="F20" s="29">
        <f>799159+40123</f>
        <v>839282</v>
      </c>
      <c r="G20" s="29">
        <f>799159+65231</f>
        <v>864390</v>
      </c>
      <c r="H20" s="29">
        <f>799159+45222</f>
        <v>844381</v>
      </c>
      <c r="I20" s="29">
        <f>799159+80000-41210</f>
        <v>837949</v>
      </c>
      <c r="J20" s="29">
        <f>799159+63213+31559</f>
        <v>893931</v>
      </c>
      <c r="K20" s="29">
        <f>799159+79123+31559</f>
        <v>909841</v>
      </c>
      <c r="L20" s="29">
        <f>799159+80000+31558</f>
        <v>910717</v>
      </c>
      <c r="M20" s="29">
        <f>799159+80000+31559</f>
        <v>910718</v>
      </c>
      <c r="N20" s="29">
        <f>799159+74123+31559+135213</f>
        <v>1040054</v>
      </c>
      <c r="O20" s="29">
        <f>799159+75213+31559+144356</f>
        <v>1050287</v>
      </c>
      <c r="P20" s="18">
        <f t="shared" si="1"/>
        <v>10779868</v>
      </c>
    </row>
    <row r="21" spans="1:16" ht="15" customHeight="1">
      <c r="A21" s="28"/>
      <c r="B21" s="44" t="s">
        <v>39</v>
      </c>
      <c r="C21" s="130">
        <v>605341</v>
      </c>
      <c r="D21" s="29">
        <f>50000+30515+3000</f>
        <v>83515</v>
      </c>
      <c r="E21" s="29">
        <f>50000+30515+3500+437</f>
        <v>84452</v>
      </c>
      <c r="F21" s="29">
        <f>50000+30515+3516</f>
        <v>84031</v>
      </c>
      <c r="G21" s="29">
        <f>30515+2300+5000</f>
        <v>37815</v>
      </c>
      <c r="H21" s="29">
        <f>30515+2300+5000</f>
        <v>37815</v>
      </c>
      <c r="I21" s="29">
        <f>30515+2217+5000+162</f>
        <v>37894</v>
      </c>
      <c r="J21" s="29">
        <f>30515</f>
        <v>30515</v>
      </c>
      <c r="K21" s="29">
        <f>30515+7000+162</f>
        <v>37677</v>
      </c>
      <c r="L21" s="29">
        <f>30515+162</f>
        <v>30677</v>
      </c>
      <c r="M21" s="29">
        <f>30515+4476+162</f>
        <v>35153</v>
      </c>
      <c r="N21" s="29">
        <v>41805</v>
      </c>
      <c r="O21" s="29">
        <f>50000+30515+24205-15920-23996+162+2-976</f>
        <v>63992</v>
      </c>
      <c r="P21" s="18">
        <f>SUM(D21:O21)</f>
        <v>605341</v>
      </c>
    </row>
    <row r="22" spans="1:16" ht="15" customHeight="1">
      <c r="A22" s="28"/>
      <c r="B22" s="44" t="s">
        <v>52</v>
      </c>
      <c r="C22" s="130">
        <f>SUM(C24:C29)</f>
        <v>2140344</v>
      </c>
      <c r="D22" s="130">
        <f>SUM(D24:D29)</f>
        <v>85384.33333333333</v>
      </c>
      <c r="E22" s="130">
        <f aca="true" t="shared" si="2" ref="E22:O22">SUM(E24:E29)</f>
        <v>109727.33333333333</v>
      </c>
      <c r="F22" s="130">
        <f t="shared" si="2"/>
        <v>104736.33333333333</v>
      </c>
      <c r="G22" s="130">
        <f t="shared" si="2"/>
        <v>104607.33333333333</v>
      </c>
      <c r="H22" s="130">
        <f t="shared" si="2"/>
        <v>90468.33333333333</v>
      </c>
      <c r="I22" s="130">
        <f t="shared" si="2"/>
        <v>107336.33333333333</v>
      </c>
      <c r="J22" s="130">
        <f t="shared" si="2"/>
        <v>107226.33333333333</v>
      </c>
      <c r="K22" s="130">
        <f t="shared" si="2"/>
        <v>103465.33333333333</v>
      </c>
      <c r="L22" s="130">
        <f t="shared" si="2"/>
        <v>103465.33333333333</v>
      </c>
      <c r="M22" s="130">
        <f t="shared" si="2"/>
        <v>83184.33333333333</v>
      </c>
      <c r="N22" s="130">
        <f t="shared" si="2"/>
        <v>90415.33333333333</v>
      </c>
      <c r="O22" s="130">
        <f t="shared" si="2"/>
        <v>1050327.3333333333</v>
      </c>
      <c r="P22" s="18">
        <f>SUM(D22:O22)</f>
        <v>2140344</v>
      </c>
    </row>
    <row r="23" spans="1:16" ht="12.75" customHeight="1" hidden="1">
      <c r="A23" s="120"/>
      <c r="B23" s="121"/>
      <c r="C23" s="165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0"/>
      <c r="P23" s="18">
        <f t="shared" si="1"/>
        <v>0</v>
      </c>
    </row>
    <row r="24" spans="1:17" ht="12.75" customHeight="1">
      <c r="A24" s="105"/>
      <c r="B24" s="121" t="s">
        <v>86</v>
      </c>
      <c r="C24" s="165">
        <v>2200</v>
      </c>
      <c r="D24" s="31">
        <v>2200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0"/>
      <c r="P24" s="18">
        <f t="shared" si="1"/>
        <v>2200</v>
      </c>
      <c r="Q24" s="136"/>
    </row>
    <row r="25" spans="1:17" ht="12.75" customHeight="1">
      <c r="A25" s="105"/>
      <c r="B25" s="121" t="s">
        <v>71</v>
      </c>
      <c r="C25" s="165">
        <v>377761</v>
      </c>
      <c r="D25" s="31">
        <f>308500/12</f>
        <v>25708.333333333332</v>
      </c>
      <c r="E25" s="31">
        <f>308500/12+5221</f>
        <v>30929.333333333332</v>
      </c>
      <c r="F25" s="31">
        <f aca="true" t="shared" si="3" ref="F25:M25">308500/12</f>
        <v>25708.333333333332</v>
      </c>
      <c r="G25" s="31">
        <f t="shared" si="3"/>
        <v>25708.333333333332</v>
      </c>
      <c r="H25" s="31">
        <f t="shared" si="3"/>
        <v>25708.333333333332</v>
      </c>
      <c r="I25" s="31">
        <f>308500/12+24152</f>
        <v>49860.33333333333</v>
      </c>
      <c r="J25" s="31">
        <f>308500/12+24042</f>
        <v>49750.33333333333</v>
      </c>
      <c r="K25" s="31">
        <f t="shared" si="3"/>
        <v>25708.333333333332</v>
      </c>
      <c r="L25" s="31">
        <f t="shared" si="3"/>
        <v>25708.333333333332</v>
      </c>
      <c r="M25" s="31">
        <f t="shared" si="3"/>
        <v>25708.333333333332</v>
      </c>
      <c r="N25" s="31">
        <f>308500/12+7231</f>
        <v>32939.33333333333</v>
      </c>
      <c r="O25" s="31">
        <f>308500/12+8615</f>
        <v>34323.33333333333</v>
      </c>
      <c r="P25" s="18">
        <f t="shared" si="1"/>
        <v>377760.99999999994</v>
      </c>
      <c r="Q25" s="136"/>
    </row>
    <row r="26" spans="1:17" ht="12.75" customHeight="1">
      <c r="A26" s="105"/>
      <c r="B26" s="121" t="s">
        <v>87</v>
      </c>
      <c r="C26" s="165">
        <v>0</v>
      </c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107"/>
      <c r="P26" s="18">
        <f t="shared" si="1"/>
        <v>0</v>
      </c>
      <c r="Q26" s="136"/>
    </row>
    <row r="27" spans="1:17" ht="12.75" customHeight="1">
      <c r="A27" s="105"/>
      <c r="B27" s="121" t="s">
        <v>72</v>
      </c>
      <c r="C27" s="165">
        <v>812671</v>
      </c>
      <c r="D27" s="31">
        <f>689712/12</f>
        <v>57476</v>
      </c>
      <c r="E27" s="31">
        <f>689712/12+21322</f>
        <v>78798</v>
      </c>
      <c r="F27" s="31">
        <f>689712/12+21552</f>
        <v>79028</v>
      </c>
      <c r="G27" s="31">
        <f>689712/12+21423</f>
        <v>78899</v>
      </c>
      <c r="H27" s="31">
        <f>689712/12+22998-15714</f>
        <v>64760</v>
      </c>
      <c r="I27" s="31">
        <f aca="true" t="shared" si="4" ref="I27:N27">689712/12</f>
        <v>57476</v>
      </c>
      <c r="J27" s="31">
        <f t="shared" si="4"/>
        <v>57476</v>
      </c>
      <c r="K27" s="31">
        <f>689712/12+(45000-4438)/2</f>
        <v>77757</v>
      </c>
      <c r="L27" s="31">
        <f>689712/12+(45000-4438)/2</f>
        <v>77757</v>
      </c>
      <c r="M27" s="31">
        <f t="shared" si="4"/>
        <v>57476</v>
      </c>
      <c r="N27" s="31">
        <f t="shared" si="4"/>
        <v>57476</v>
      </c>
      <c r="O27" s="31">
        <f>689712/12+10816</f>
        <v>68292</v>
      </c>
      <c r="P27" s="18">
        <f t="shared" si="1"/>
        <v>812671</v>
      </c>
      <c r="Q27" s="136"/>
    </row>
    <row r="28" spans="1:17" ht="12.75" customHeight="1">
      <c r="A28" s="105"/>
      <c r="B28" s="121" t="s">
        <v>73</v>
      </c>
      <c r="C28" s="165">
        <v>63962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107">
        <v>63962</v>
      </c>
      <c r="P28" s="18">
        <f t="shared" si="1"/>
        <v>63962</v>
      </c>
      <c r="Q28" s="136"/>
    </row>
    <row r="29" spans="1:17" ht="12.75" customHeight="1">
      <c r="A29" s="105"/>
      <c r="B29" s="121" t="s">
        <v>74</v>
      </c>
      <c r="C29" s="165">
        <v>883750</v>
      </c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>
        <v>883750</v>
      </c>
      <c r="P29" s="18">
        <f t="shared" si="1"/>
        <v>883750</v>
      </c>
      <c r="Q29" s="136"/>
    </row>
    <row r="30" spans="1:16" ht="15" customHeight="1">
      <c r="A30" s="32" t="s">
        <v>17</v>
      </c>
      <c r="B30" s="33" t="s">
        <v>79</v>
      </c>
      <c r="C30" s="18">
        <f aca="true" t="shared" si="5" ref="C30:O30">SUM(C31:C33)</f>
        <v>17096299</v>
      </c>
      <c r="D30" s="18">
        <f>SUM(D31:D33)</f>
        <v>102281.25</v>
      </c>
      <c r="E30" s="18">
        <f t="shared" si="5"/>
        <v>171047.25</v>
      </c>
      <c r="F30" s="18">
        <f t="shared" si="5"/>
        <v>476494.25</v>
      </c>
      <c r="G30" s="18">
        <f t="shared" si="5"/>
        <v>157972.25</v>
      </c>
      <c r="H30" s="18">
        <f t="shared" si="5"/>
        <v>103577</v>
      </c>
      <c r="I30" s="18">
        <f t="shared" si="5"/>
        <v>659568</v>
      </c>
      <c r="J30" s="18">
        <f t="shared" si="5"/>
        <v>1291296</v>
      </c>
      <c r="K30" s="18">
        <f t="shared" si="5"/>
        <v>1607561</v>
      </c>
      <c r="L30" s="18">
        <f t="shared" si="5"/>
        <v>2691227</v>
      </c>
      <c r="M30" s="18">
        <f t="shared" si="5"/>
        <v>3515951</v>
      </c>
      <c r="N30" s="18">
        <f t="shared" si="5"/>
        <v>2185087</v>
      </c>
      <c r="O30" s="18">
        <f t="shared" si="5"/>
        <v>4134237</v>
      </c>
      <c r="P30" s="18">
        <f>SUM(D30:O30)</f>
        <v>17096299</v>
      </c>
    </row>
    <row r="31" spans="1:16" ht="15" customHeight="1">
      <c r="A31" s="28"/>
      <c r="B31" s="44" t="s">
        <v>69</v>
      </c>
      <c r="C31" s="130">
        <v>13633436</v>
      </c>
      <c r="D31" s="130">
        <f>314961/4+1092+120000+1000-100000-4000</f>
        <v>96832.25</v>
      </c>
      <c r="E31" s="130">
        <f>314961/4+1092+11276+1000-10000</f>
        <v>82108.25</v>
      </c>
      <c r="F31" s="130">
        <f>314961/4+1092+11000+1000-10000+300000</f>
        <v>381832.25</v>
      </c>
      <c r="G31" s="130">
        <f>314961/4+1092+12000+1000-10000</f>
        <v>82832.25</v>
      </c>
      <c r="H31" s="130">
        <f>1092+12000+1000</f>
        <v>14092</v>
      </c>
      <c r="I31" s="130">
        <f>1092+1000+3000+75121+300000+150000</f>
        <v>530213</v>
      </c>
      <c r="J31" s="130">
        <f>1092+1000+2000+25256+300000-80000-6641-123623+900000+150000</f>
        <v>1169084</v>
      </c>
      <c r="K31" s="130">
        <f>1092+1000+5000+15032+200000-112351+1200333+146597</f>
        <v>1456703</v>
      </c>
      <c r="L31" s="130">
        <f>1092+1000+3000+124+214300+150000-80000-132421+2433333-69000+1150</f>
        <v>2522578</v>
      </c>
      <c r="M31" s="130">
        <f>1092+1000+7000+147+50000+136500+125322+3000252</f>
        <v>3321313</v>
      </c>
      <c r="N31" s="130">
        <f>1092+1000+1000+1896+37650+3520+120000-60000+1532652+406897-52738</f>
        <v>1992969</v>
      </c>
      <c r="O31" s="130">
        <f>1092+1000+15092+50000+10015+103072-70000+1872608</f>
        <v>1982879</v>
      </c>
      <c r="P31" s="18">
        <f t="shared" si="1"/>
        <v>13633436</v>
      </c>
    </row>
    <row r="32" spans="1:16" ht="15" customHeight="1">
      <c r="A32" s="28"/>
      <c r="B32" s="44" t="s">
        <v>70</v>
      </c>
      <c r="C32" s="130">
        <v>483504</v>
      </c>
      <c r="D32" s="130">
        <f>3782+1667</f>
        <v>5449</v>
      </c>
      <c r="E32" s="130">
        <f>3497+8000+1667</f>
        <v>13164</v>
      </c>
      <c r="F32" s="130">
        <f>3495+1667</f>
        <v>5162</v>
      </c>
      <c r="G32" s="130">
        <f>3473+1667</f>
        <v>5140</v>
      </c>
      <c r="H32" s="130">
        <f>3459+1667+40000-35641</f>
        <v>9485</v>
      </c>
      <c r="I32" s="130">
        <f>3438+1667+40000</f>
        <v>45105</v>
      </c>
      <c r="J32" s="130">
        <f>3423+1667+40000-8380</f>
        <v>36710</v>
      </c>
      <c r="K32" s="130">
        <f>3405+1667+40000</f>
        <v>45072</v>
      </c>
      <c r="L32" s="130">
        <f>3387+1667-1+40000+86000+90000-150000-23541</f>
        <v>47512</v>
      </c>
      <c r="M32" s="130">
        <f>3086+1667-1+43644+91235+23005-100000-26412+50123</f>
        <v>86347</v>
      </c>
      <c r="N32" s="130">
        <f>1666+62142+70090+23542-100000-21432+45632+23512</f>
        <v>105152</v>
      </c>
      <c r="O32" s="130">
        <f>1666+56836+86000+22560-162000+48074+26070</f>
        <v>79206</v>
      </c>
      <c r="P32" s="18">
        <f t="shared" si="1"/>
        <v>483504</v>
      </c>
    </row>
    <row r="33" spans="1:16" ht="15" customHeight="1">
      <c r="A33" s="28"/>
      <c r="B33" s="44" t="s">
        <v>53</v>
      </c>
      <c r="C33" s="130">
        <f>SUM(C34:C37)</f>
        <v>2979359</v>
      </c>
      <c r="D33" s="130">
        <f aca="true" t="shared" si="6" ref="D33:N33">SUM(D34:D37)</f>
        <v>0</v>
      </c>
      <c r="E33" s="130">
        <f t="shared" si="6"/>
        <v>75775</v>
      </c>
      <c r="F33" s="130">
        <f t="shared" si="6"/>
        <v>89500</v>
      </c>
      <c r="G33" s="130">
        <f t="shared" si="6"/>
        <v>70000</v>
      </c>
      <c r="H33" s="130">
        <f t="shared" si="6"/>
        <v>80000</v>
      </c>
      <c r="I33" s="130">
        <f t="shared" si="6"/>
        <v>84250</v>
      </c>
      <c r="J33" s="130">
        <f t="shared" si="6"/>
        <v>85502</v>
      </c>
      <c r="K33" s="130">
        <f t="shared" si="6"/>
        <v>105786</v>
      </c>
      <c r="L33" s="130">
        <f t="shared" si="6"/>
        <v>121137</v>
      </c>
      <c r="M33" s="130">
        <f t="shared" si="6"/>
        <v>108291</v>
      </c>
      <c r="N33" s="130">
        <f t="shared" si="6"/>
        <v>86966</v>
      </c>
      <c r="O33" s="130">
        <f>SUM(O34:O37)</f>
        <v>2072152</v>
      </c>
      <c r="P33" s="18">
        <f t="shared" si="1"/>
        <v>2979359</v>
      </c>
    </row>
    <row r="34" spans="1:17" ht="15" customHeight="1">
      <c r="A34" s="32"/>
      <c r="B34" s="129" t="s">
        <v>75</v>
      </c>
      <c r="C34" s="130">
        <v>10000</v>
      </c>
      <c r="D34" s="130"/>
      <c r="E34" s="130">
        <v>1250</v>
      </c>
      <c r="F34" s="130">
        <v>4500</v>
      </c>
      <c r="G34" s="130"/>
      <c r="H34" s="130"/>
      <c r="I34" s="130">
        <v>4250</v>
      </c>
      <c r="J34" s="130"/>
      <c r="K34" s="130"/>
      <c r="L34" s="130"/>
      <c r="M34" s="130"/>
      <c r="N34" s="130"/>
      <c r="O34" s="130"/>
      <c r="P34" s="18">
        <f t="shared" si="1"/>
        <v>10000</v>
      </c>
      <c r="Q34" s="136"/>
    </row>
    <row r="35" spans="1:17" ht="15" customHeight="1">
      <c r="A35" s="28"/>
      <c r="B35" s="44" t="s">
        <v>76</v>
      </c>
      <c r="C35" s="130">
        <v>986041</v>
      </c>
      <c r="D35" s="130"/>
      <c r="E35" s="130">
        <f>15000+36975+22550</f>
        <v>74525</v>
      </c>
      <c r="F35" s="130">
        <f>20000+29750-4750+40000</f>
        <v>85000</v>
      </c>
      <c r="G35" s="130">
        <f>30000+40000</f>
        <v>70000</v>
      </c>
      <c r="H35" s="130">
        <f>40000+40000</f>
        <v>80000</v>
      </c>
      <c r="I35" s="130">
        <f>40000+40000</f>
        <v>80000</v>
      </c>
      <c r="J35" s="130">
        <f>40000+40000+5502</f>
        <v>85502</v>
      </c>
      <c r="K35" s="130">
        <f>30000+40000+21234+12333+4438/2</f>
        <v>105786</v>
      </c>
      <c r="L35" s="130">
        <f>30000+40000+25312+21423+2183+4438/2</f>
        <v>121137</v>
      </c>
      <c r="M35" s="130">
        <f>30000+40000+21325+16966</f>
        <v>108291</v>
      </c>
      <c r="N35" s="130">
        <f>20000+40000+12356-10000+769-7682+31523</f>
        <v>86966</v>
      </c>
      <c r="O35" s="130">
        <f>24750-3000+40000+20181-10000-356+9652-23333+30940</f>
        <v>88834</v>
      </c>
      <c r="P35" s="18">
        <f t="shared" si="1"/>
        <v>986041</v>
      </c>
      <c r="Q35" s="136"/>
    </row>
    <row r="36" spans="1:17" ht="15" customHeight="1">
      <c r="A36" s="28"/>
      <c r="B36" s="44" t="s">
        <v>88</v>
      </c>
      <c r="C36" s="130">
        <v>0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8">
        <f t="shared" si="1"/>
        <v>0</v>
      </c>
      <c r="Q36" s="136"/>
    </row>
    <row r="37" spans="1:17" ht="15" customHeight="1">
      <c r="A37" s="28"/>
      <c r="B37" s="44" t="s">
        <v>77</v>
      </c>
      <c r="C37" s="130">
        <v>1983318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>
        <v>1983318</v>
      </c>
      <c r="P37" s="18">
        <f>SUM(D37:O37)</f>
        <v>1983318</v>
      </c>
      <c r="Q37" s="136"/>
    </row>
    <row r="38" spans="1:16" ht="15" customHeight="1">
      <c r="A38" s="105"/>
      <c r="B38" s="106" t="s">
        <v>80</v>
      </c>
      <c r="C38" s="30">
        <f>SUM(C17,C30)</f>
        <v>35395814</v>
      </c>
      <c r="D38" s="30">
        <f>SUM(D17,D30)</f>
        <v>1447449.5833333333</v>
      </c>
      <c r="E38" s="30">
        <f aca="true" t="shared" si="7" ref="E38:N38">SUM(E17,E30)</f>
        <v>1621495.5833333333</v>
      </c>
      <c r="F38" s="30">
        <f t="shared" si="7"/>
        <v>1881653.5833333333</v>
      </c>
      <c r="G38" s="30">
        <f t="shared" si="7"/>
        <v>1541894.5833333333</v>
      </c>
      <c r="H38" s="30">
        <f t="shared" si="7"/>
        <v>1453351.3333333333</v>
      </c>
      <c r="I38" s="30">
        <f t="shared" si="7"/>
        <v>2026614.3333333333</v>
      </c>
      <c r="J38" s="30">
        <f t="shared" si="7"/>
        <v>2773765.333333333</v>
      </c>
      <c r="K38" s="30">
        <f t="shared" si="7"/>
        <v>3043198.333333333</v>
      </c>
      <c r="L38" s="30">
        <f t="shared" si="7"/>
        <v>4129931.333333333</v>
      </c>
      <c r="M38" s="30">
        <f t="shared" si="7"/>
        <v>4940684.333333333</v>
      </c>
      <c r="N38" s="30">
        <f t="shared" si="7"/>
        <v>3753039.333333333</v>
      </c>
      <c r="O38" s="30">
        <f>SUM(O17,O30)-1</f>
        <v>6782736.333333333</v>
      </c>
      <c r="P38" s="18">
        <f>SUM(D38:O38)</f>
        <v>35395813.99999999</v>
      </c>
    </row>
    <row r="39" spans="1:16" ht="15" customHeight="1">
      <c r="A39" s="32"/>
      <c r="B39" s="129" t="s">
        <v>81</v>
      </c>
      <c r="C39" s="130">
        <v>5574041</v>
      </c>
      <c r="D39" s="95">
        <f>5064888/12</f>
        <v>422074</v>
      </c>
      <c r="E39" s="95">
        <f>5064888/12</f>
        <v>422074</v>
      </c>
      <c r="F39" s="95">
        <f>5064888/12+33122</f>
        <v>455196</v>
      </c>
      <c r="G39" s="95">
        <f>5064888/12+33122</f>
        <v>455196</v>
      </c>
      <c r="H39" s="95">
        <f>5064888/12+33122</f>
        <v>455196</v>
      </c>
      <c r="I39" s="95">
        <f>5064888/12+33122</f>
        <v>455196</v>
      </c>
      <c r="J39" s="95">
        <f>5064888/12+33122+16018</f>
        <v>471214</v>
      </c>
      <c r="K39" s="95">
        <f>5064888/12+33122+16018</f>
        <v>471214</v>
      </c>
      <c r="L39" s="95">
        <f>5064888/12+33122+16018+1376</f>
        <v>472590</v>
      </c>
      <c r="M39" s="95">
        <f>5064888/12+33122+16018+1377</f>
        <v>472591</v>
      </c>
      <c r="N39" s="95">
        <f>5064888/12+33122+16018+1376+35621</f>
        <v>508211</v>
      </c>
      <c r="O39" s="95">
        <f>5064888/12+33122+4357+16018+1377+36341</f>
        <v>513289</v>
      </c>
      <c r="P39" s="18">
        <f t="shared" si="1"/>
        <v>5574041</v>
      </c>
    </row>
    <row r="40" spans="1:16" ht="15" customHeight="1">
      <c r="A40" s="32"/>
      <c r="B40" s="129" t="s">
        <v>95</v>
      </c>
      <c r="C40" s="130">
        <v>82953</v>
      </c>
      <c r="D40" s="101">
        <v>82953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8">
        <f t="shared" si="1"/>
        <v>82953</v>
      </c>
    </row>
    <row r="41" spans="1:16" ht="15" customHeight="1">
      <c r="A41" s="32" t="s">
        <v>18</v>
      </c>
      <c r="B41" s="33" t="s">
        <v>82</v>
      </c>
      <c r="C41" s="18">
        <f>SUM(C39)+C40</f>
        <v>5656994</v>
      </c>
      <c r="D41" s="18">
        <f>SUM(D39)+D40</f>
        <v>505027</v>
      </c>
      <c r="E41" s="18">
        <f aca="true" t="shared" si="8" ref="E41:O41">SUM(E39)+E40</f>
        <v>422074</v>
      </c>
      <c r="F41" s="18">
        <f t="shared" si="8"/>
        <v>455196</v>
      </c>
      <c r="G41" s="18">
        <f t="shared" si="8"/>
        <v>455196</v>
      </c>
      <c r="H41" s="18">
        <f t="shared" si="8"/>
        <v>455196</v>
      </c>
      <c r="I41" s="18">
        <f t="shared" si="8"/>
        <v>455196</v>
      </c>
      <c r="J41" s="18">
        <f t="shared" si="8"/>
        <v>471214</v>
      </c>
      <c r="K41" s="18">
        <f t="shared" si="8"/>
        <v>471214</v>
      </c>
      <c r="L41" s="18">
        <f t="shared" si="8"/>
        <v>472590</v>
      </c>
      <c r="M41" s="18">
        <f t="shared" si="8"/>
        <v>472591</v>
      </c>
      <c r="N41" s="18">
        <f t="shared" si="8"/>
        <v>508211</v>
      </c>
      <c r="O41" s="18">
        <f t="shared" si="8"/>
        <v>513289</v>
      </c>
      <c r="P41" s="18">
        <f>SUM(P39)+P40</f>
        <v>5656994</v>
      </c>
    </row>
    <row r="42" spans="1:16" ht="15" customHeight="1">
      <c r="A42" s="32"/>
      <c r="B42" s="129" t="s">
        <v>83</v>
      </c>
      <c r="C42" s="18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8">
        <f t="shared" si="1"/>
        <v>0</v>
      </c>
    </row>
    <row r="43" spans="1:16" ht="15" customHeight="1">
      <c r="A43" s="35"/>
      <c r="B43" s="135" t="s">
        <v>84</v>
      </c>
      <c r="C43" s="165">
        <v>127042</v>
      </c>
      <c r="D43" s="102"/>
      <c r="E43" s="102"/>
      <c r="F43" s="102"/>
      <c r="G43" s="102">
        <f>24621-6069</f>
        <v>18552</v>
      </c>
      <c r="H43" s="102">
        <f>9288+720</f>
        <v>10008</v>
      </c>
      <c r="I43" s="102">
        <f>15000+474</f>
        <v>15474</v>
      </c>
      <c r="J43" s="102"/>
      <c r="K43" s="102">
        <f>20000+11710</f>
        <v>31710</v>
      </c>
      <c r="L43" s="102">
        <f>6900+1150</f>
        <v>8050</v>
      </c>
      <c r="M43" s="102">
        <f>20000-10967</f>
        <v>9033</v>
      </c>
      <c r="N43" s="102">
        <f>12201+121+12313</f>
        <v>24635</v>
      </c>
      <c r="O43" s="102">
        <f>19080+445-9945</f>
        <v>9580</v>
      </c>
      <c r="P43" s="18">
        <f t="shared" si="1"/>
        <v>127042</v>
      </c>
    </row>
    <row r="44" spans="1:16" ht="15" customHeight="1">
      <c r="A44" s="35" t="s">
        <v>19</v>
      </c>
      <c r="B44" s="40" t="s">
        <v>85</v>
      </c>
      <c r="C44" s="30">
        <f>SUM(C42:C43)</f>
        <v>127042</v>
      </c>
      <c r="D44" s="30">
        <f>SUM(D42:D43)</f>
        <v>0</v>
      </c>
      <c r="E44" s="30">
        <f aca="true" t="shared" si="9" ref="E44:O44">SUM(E42:E43)</f>
        <v>0</v>
      </c>
      <c r="F44" s="30">
        <f t="shared" si="9"/>
        <v>0</v>
      </c>
      <c r="G44" s="30">
        <f t="shared" si="9"/>
        <v>18552</v>
      </c>
      <c r="H44" s="30">
        <f t="shared" si="9"/>
        <v>10008</v>
      </c>
      <c r="I44" s="30">
        <f t="shared" si="9"/>
        <v>15474</v>
      </c>
      <c r="J44" s="30">
        <f t="shared" si="9"/>
        <v>0</v>
      </c>
      <c r="K44" s="30">
        <f t="shared" si="9"/>
        <v>31710</v>
      </c>
      <c r="L44" s="30">
        <f t="shared" si="9"/>
        <v>8050</v>
      </c>
      <c r="M44" s="30">
        <f t="shared" si="9"/>
        <v>9033</v>
      </c>
      <c r="N44" s="30">
        <f t="shared" si="9"/>
        <v>24635</v>
      </c>
      <c r="O44" s="30">
        <f t="shared" si="9"/>
        <v>9580</v>
      </c>
      <c r="P44" s="18">
        <f>SUM(D44:O44)</f>
        <v>127042</v>
      </c>
    </row>
    <row r="45" spans="1:17" s="131" customFormat="1" ht="15" customHeight="1">
      <c r="A45" s="128"/>
      <c r="B45" s="129" t="s">
        <v>91</v>
      </c>
      <c r="C45" s="134">
        <v>13000000</v>
      </c>
      <c r="D45" s="130">
        <v>2500000</v>
      </c>
      <c r="E45" s="130">
        <v>500000</v>
      </c>
      <c r="F45" s="130">
        <v>2000000</v>
      </c>
      <c r="G45" s="130">
        <v>800000</v>
      </c>
      <c r="H45" s="130">
        <v>1000000</v>
      </c>
      <c r="I45" s="130">
        <v>500000</v>
      </c>
      <c r="J45" s="130">
        <v>700000</v>
      </c>
      <c r="K45" s="130"/>
      <c r="L45" s="130">
        <v>3000000</v>
      </c>
      <c r="M45" s="130">
        <v>2000000</v>
      </c>
      <c r="N45" s="130"/>
      <c r="O45" s="130"/>
      <c r="P45" s="18">
        <f>SUM(D45:O45)</f>
        <v>13000000</v>
      </c>
      <c r="Q45" s="133"/>
    </row>
    <row r="46" spans="1:16" ht="15" customHeight="1" thickBot="1">
      <c r="A46" s="45" t="s">
        <v>89</v>
      </c>
      <c r="B46" s="52" t="s">
        <v>90</v>
      </c>
      <c r="C46" s="46">
        <f>+C41+C44+C45</f>
        <v>18784036</v>
      </c>
      <c r="D46" s="46">
        <f>+D41+D43+D45</f>
        <v>3005027</v>
      </c>
      <c r="E46" s="46">
        <f aca="true" t="shared" si="10" ref="E46:O46">+E41+E43+E45</f>
        <v>922074</v>
      </c>
      <c r="F46" s="46">
        <f t="shared" si="10"/>
        <v>2455196</v>
      </c>
      <c r="G46" s="46">
        <f t="shared" si="10"/>
        <v>1273748</v>
      </c>
      <c r="H46" s="46">
        <f t="shared" si="10"/>
        <v>1465204</v>
      </c>
      <c r="I46" s="46">
        <f t="shared" si="10"/>
        <v>970670</v>
      </c>
      <c r="J46" s="46">
        <f t="shared" si="10"/>
        <v>1171214</v>
      </c>
      <c r="K46" s="46">
        <f t="shared" si="10"/>
        <v>502924</v>
      </c>
      <c r="L46" s="46">
        <f t="shared" si="10"/>
        <v>3480640</v>
      </c>
      <c r="M46" s="46">
        <f t="shared" si="10"/>
        <v>2481624</v>
      </c>
      <c r="N46" s="46">
        <f t="shared" si="10"/>
        <v>532846</v>
      </c>
      <c r="O46" s="46">
        <f t="shared" si="10"/>
        <v>522869</v>
      </c>
      <c r="P46" s="46">
        <f>SUM(D46:O46)</f>
        <v>18784036</v>
      </c>
    </row>
    <row r="47" spans="1:16" ht="15" customHeight="1" thickBot="1">
      <c r="A47" s="206" t="s">
        <v>20</v>
      </c>
      <c r="B47" s="207"/>
      <c r="C47" s="34">
        <f>SUM(C38,C41,C44)+C45</f>
        <v>54179850</v>
      </c>
      <c r="D47" s="34">
        <f>SUM(D38,D41,D44)+1+D45</f>
        <v>4452477.583333333</v>
      </c>
      <c r="E47" s="34">
        <f aca="true" t="shared" si="11" ref="E47:N47">SUM(E38,E41,E44)+1+E45</f>
        <v>2543570.583333333</v>
      </c>
      <c r="F47" s="34">
        <f t="shared" si="11"/>
        <v>4336850.583333333</v>
      </c>
      <c r="G47" s="34">
        <f t="shared" si="11"/>
        <v>2815643.583333333</v>
      </c>
      <c r="H47" s="34">
        <f t="shared" si="11"/>
        <v>2918556.333333333</v>
      </c>
      <c r="I47" s="34">
        <f t="shared" si="11"/>
        <v>2997285.333333333</v>
      </c>
      <c r="J47" s="34">
        <f t="shared" si="11"/>
        <v>3944980.333333333</v>
      </c>
      <c r="K47" s="34">
        <f t="shared" si="11"/>
        <v>3546123.333333333</v>
      </c>
      <c r="L47" s="34">
        <f t="shared" si="11"/>
        <v>7610572.333333333</v>
      </c>
      <c r="M47" s="34">
        <f t="shared" si="11"/>
        <v>7422309.333333333</v>
      </c>
      <c r="N47" s="34">
        <f t="shared" si="11"/>
        <v>4285886.333333333</v>
      </c>
      <c r="O47" s="34">
        <f>SUM(O38,O41,O44)+O45</f>
        <v>7305605.333333333</v>
      </c>
      <c r="P47" s="34">
        <f>SUM(P38,P41,P44)+P45</f>
        <v>54179849.99999999</v>
      </c>
    </row>
    <row r="48" spans="1:17" s="16" customFormat="1" ht="15" customHeight="1">
      <c r="A48" s="75"/>
      <c r="B48" s="122" t="s">
        <v>50</v>
      </c>
      <c r="C48" s="54">
        <v>-5574041</v>
      </c>
      <c r="D48" s="18">
        <f>-D39</f>
        <v>-422074</v>
      </c>
      <c r="E48" s="18">
        <f aca="true" t="shared" si="12" ref="E48:N48">-E39</f>
        <v>-422074</v>
      </c>
      <c r="F48" s="18">
        <f t="shared" si="12"/>
        <v>-455196</v>
      </c>
      <c r="G48" s="18">
        <f t="shared" si="12"/>
        <v>-455196</v>
      </c>
      <c r="H48" s="18">
        <f t="shared" si="12"/>
        <v>-455196</v>
      </c>
      <c r="I48" s="18">
        <f t="shared" si="12"/>
        <v>-455196</v>
      </c>
      <c r="J48" s="18">
        <f t="shared" si="12"/>
        <v>-471214</v>
      </c>
      <c r="K48" s="18">
        <f t="shared" si="12"/>
        <v>-471214</v>
      </c>
      <c r="L48" s="18">
        <f t="shared" si="12"/>
        <v>-472590</v>
      </c>
      <c r="M48" s="18">
        <f t="shared" si="12"/>
        <v>-472591</v>
      </c>
      <c r="N48" s="18">
        <f t="shared" si="12"/>
        <v>-508211</v>
      </c>
      <c r="O48" s="18">
        <f>-O39</f>
        <v>-513289</v>
      </c>
      <c r="P48" s="109">
        <f t="shared" si="1"/>
        <v>-5574041</v>
      </c>
      <c r="Q48" s="126"/>
    </row>
    <row r="49" spans="1:17" s="16" customFormat="1" ht="15" customHeight="1">
      <c r="A49" s="76"/>
      <c r="B49" s="123" t="s">
        <v>51</v>
      </c>
      <c r="C49" s="55">
        <f>-C43</f>
        <v>-127042</v>
      </c>
      <c r="D49" s="55">
        <f aca="true" t="shared" si="13" ref="D49:M49">-SUM(D43)</f>
        <v>0</v>
      </c>
      <c r="E49" s="55">
        <f t="shared" si="13"/>
        <v>0</v>
      </c>
      <c r="F49" s="55">
        <f t="shared" si="13"/>
        <v>0</v>
      </c>
      <c r="G49" s="55">
        <f t="shared" si="13"/>
        <v>-18552</v>
      </c>
      <c r="H49" s="55">
        <f t="shared" si="13"/>
        <v>-10008</v>
      </c>
      <c r="I49" s="55">
        <f t="shared" si="13"/>
        <v>-15474</v>
      </c>
      <c r="J49" s="55">
        <f t="shared" si="13"/>
        <v>0</v>
      </c>
      <c r="K49" s="55">
        <f t="shared" si="13"/>
        <v>-31710</v>
      </c>
      <c r="L49" s="55">
        <f t="shared" si="13"/>
        <v>-8050</v>
      </c>
      <c r="M49" s="55">
        <f t="shared" si="13"/>
        <v>-9033</v>
      </c>
      <c r="N49" s="55">
        <f>-SUM(N43)</f>
        <v>-24635</v>
      </c>
      <c r="O49" s="55">
        <f>-SUM(O43)</f>
        <v>-9580</v>
      </c>
      <c r="P49" s="111">
        <f t="shared" si="1"/>
        <v>-127042</v>
      </c>
      <c r="Q49" s="126"/>
    </row>
    <row r="50" spans="1:17" s="16" customFormat="1" ht="15" customHeight="1" thickBot="1">
      <c r="A50" s="53"/>
      <c r="B50" s="124" t="s">
        <v>54</v>
      </c>
      <c r="C50" s="56">
        <v>-380000</v>
      </c>
      <c r="D50" s="142">
        <f>$C$50/12</f>
        <v>-31666.666666666668</v>
      </c>
      <c r="E50" s="142">
        <f aca="true" t="shared" si="14" ref="E50:O50">$C$50/12</f>
        <v>-31666.666666666668</v>
      </c>
      <c r="F50" s="142">
        <f t="shared" si="14"/>
        <v>-31666.666666666668</v>
      </c>
      <c r="G50" s="142">
        <f t="shared" si="14"/>
        <v>-31666.666666666668</v>
      </c>
      <c r="H50" s="142">
        <f t="shared" si="14"/>
        <v>-31666.666666666668</v>
      </c>
      <c r="I50" s="142">
        <f t="shared" si="14"/>
        <v>-31666.666666666668</v>
      </c>
      <c r="J50" s="142">
        <f t="shared" si="14"/>
        <v>-31666.666666666668</v>
      </c>
      <c r="K50" s="142">
        <f t="shared" si="14"/>
        <v>-31666.666666666668</v>
      </c>
      <c r="L50" s="142">
        <f t="shared" si="14"/>
        <v>-31666.666666666668</v>
      </c>
      <c r="M50" s="142">
        <f t="shared" si="14"/>
        <v>-31666.666666666668</v>
      </c>
      <c r="N50" s="142">
        <f t="shared" si="14"/>
        <v>-31666.666666666668</v>
      </c>
      <c r="O50" s="142">
        <f t="shared" si="14"/>
        <v>-31666.666666666668</v>
      </c>
      <c r="P50" s="110">
        <f>SUM(D50:O50)</f>
        <v>-380000.00000000006</v>
      </c>
      <c r="Q50" s="126"/>
    </row>
    <row r="51" spans="1:16" ht="15" customHeight="1" thickBot="1">
      <c r="A51" s="199" t="s">
        <v>21</v>
      </c>
      <c r="B51" s="200"/>
      <c r="C51" s="34">
        <f>SUM(C47:C50)</f>
        <v>48098767</v>
      </c>
      <c r="D51" s="34">
        <f aca="true" t="shared" si="15" ref="D51:N51">SUM(D47:D50)-1</f>
        <v>3998735.9166666665</v>
      </c>
      <c r="E51" s="34">
        <f t="shared" si="15"/>
        <v>2089828.9166666663</v>
      </c>
      <c r="F51" s="34">
        <f t="shared" si="15"/>
        <v>3849986.9166666665</v>
      </c>
      <c r="G51" s="34">
        <f t="shared" si="15"/>
        <v>2310227.9166666665</v>
      </c>
      <c r="H51" s="34">
        <f t="shared" si="15"/>
        <v>2421684.6666666665</v>
      </c>
      <c r="I51" s="34">
        <f t="shared" si="15"/>
        <v>2494947.6666666665</v>
      </c>
      <c r="J51" s="34">
        <f t="shared" si="15"/>
        <v>3442098.6666666665</v>
      </c>
      <c r="K51" s="34">
        <f t="shared" si="15"/>
        <v>3011531.6666666665</v>
      </c>
      <c r="L51" s="34">
        <f t="shared" si="15"/>
        <v>7098264.666666666</v>
      </c>
      <c r="M51" s="34">
        <f t="shared" si="15"/>
        <v>6909017.666666666</v>
      </c>
      <c r="N51" s="34">
        <f t="shared" si="15"/>
        <v>3721372.6666666665</v>
      </c>
      <c r="O51" s="34">
        <f>SUM(O47:O50)</f>
        <v>6751069.666666666</v>
      </c>
      <c r="P51" s="34">
        <f>SUM(D51:O51)</f>
        <v>48098766.99999999</v>
      </c>
    </row>
    <row r="52" spans="3:12" ht="15">
      <c r="C52" s="169"/>
      <c r="L52" s="27"/>
    </row>
    <row r="54" spans="3:15" ht="12.75">
      <c r="C54" s="27"/>
      <c r="D54" s="112"/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</row>
    <row r="55" ht="12.75">
      <c r="C55" s="127"/>
    </row>
    <row r="56" ht="12.75">
      <c r="C56" s="125"/>
    </row>
    <row r="57" spans="3:5" ht="12.75">
      <c r="C57" s="127"/>
      <c r="E57" s="145"/>
    </row>
    <row r="58" ht="12.75">
      <c r="C58" s="125"/>
    </row>
    <row r="59" ht="12.75">
      <c r="C59" s="127"/>
    </row>
  </sheetData>
  <sheetProtection/>
  <mergeCells count="21">
    <mergeCell ref="A47:B47"/>
    <mergeCell ref="A8:P8"/>
    <mergeCell ref="E14:E15"/>
    <mergeCell ref="K14:K15"/>
    <mergeCell ref="A51:B51"/>
    <mergeCell ref="L14:L15"/>
    <mergeCell ref="N14:N15"/>
    <mergeCell ref="A14:B15"/>
    <mergeCell ref="I14:I15"/>
    <mergeCell ref="A16:B16"/>
    <mergeCell ref="C14:C15"/>
    <mergeCell ref="G14:G15"/>
    <mergeCell ref="D14:D15"/>
    <mergeCell ref="J14:J15"/>
    <mergeCell ref="F14:F15"/>
    <mergeCell ref="O2:P2"/>
    <mergeCell ref="H14:H15"/>
    <mergeCell ref="M14:M15"/>
    <mergeCell ref="O14:O15"/>
    <mergeCell ref="P14:P15"/>
    <mergeCell ref="O7:P7"/>
  </mergeCells>
  <printOptions horizontalCentered="1"/>
  <pageMargins left="0.2" right="0.1968503937007874" top="0.67" bottom="0.1968503937007874" header="1.09" footer="0.5118110236220472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PageLayoutView="0" workbookViewId="0" topLeftCell="A1">
      <selection activeCell="D42" sqref="D42"/>
    </sheetView>
  </sheetViews>
  <sheetFormatPr defaultColWidth="9.00390625" defaultRowHeight="12.75"/>
  <cols>
    <col min="1" max="1" width="2.875" style="3" customWidth="1"/>
    <col min="2" max="2" width="30.00390625" style="4" customWidth="1"/>
    <col min="3" max="3" width="8.75390625" style="5" customWidth="1"/>
    <col min="4" max="4" width="11.00390625" style="6" customWidth="1"/>
    <col min="5" max="5" width="7.875" style="6" customWidth="1"/>
    <col min="6" max="6" width="8.25390625" style="6" customWidth="1"/>
    <col min="7" max="7" width="8.375" style="6" customWidth="1"/>
    <col min="8" max="8" width="8.125" style="6" customWidth="1"/>
    <col min="9" max="9" width="8.625" style="6" customWidth="1"/>
    <col min="10" max="10" width="10.75390625" style="6" customWidth="1"/>
    <col min="11" max="11" width="10.375" style="6" customWidth="1"/>
    <col min="12" max="13" width="7.875" style="6" customWidth="1"/>
    <col min="14" max="14" width="10.375" style="6" customWidth="1"/>
    <col min="15" max="15" width="7.875" style="6" customWidth="1"/>
    <col min="16" max="16" width="9.375" style="6" customWidth="1"/>
    <col min="17" max="17" width="9.125" style="186" customWidth="1"/>
    <col min="18" max="16384" width="9.125" style="2" customWidth="1"/>
  </cols>
  <sheetData>
    <row r="1" spans="1:16" ht="14.25" customHeight="1">
      <c r="A1" s="210" t="s">
        <v>101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6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11" t="s">
        <v>94</v>
      </c>
      <c r="O2" s="211"/>
      <c r="P2" s="211"/>
    </row>
    <row r="3" spans="14:16" ht="12.75" customHeight="1" thickBot="1">
      <c r="N3" s="212" t="s">
        <v>22</v>
      </c>
      <c r="O3" s="212"/>
      <c r="P3" s="212"/>
    </row>
    <row r="4" spans="2:16" ht="10.5" customHeight="1" thickBot="1">
      <c r="B4" s="2"/>
      <c r="D4" s="213" t="s">
        <v>23</v>
      </c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7"/>
    </row>
    <row r="5" spans="1:17" s="8" customFormat="1" ht="8.25" customHeight="1" thickBot="1">
      <c r="A5" s="216" t="s">
        <v>1</v>
      </c>
      <c r="B5" s="217"/>
      <c r="C5" s="91" t="s">
        <v>103</v>
      </c>
      <c r="D5" s="220" t="s">
        <v>24</v>
      </c>
      <c r="E5" s="214" t="s">
        <v>25</v>
      </c>
      <c r="F5" s="214" t="s">
        <v>26</v>
      </c>
      <c r="G5" s="214" t="s">
        <v>27</v>
      </c>
      <c r="H5" s="214" t="s">
        <v>28</v>
      </c>
      <c r="I5" s="214" t="s">
        <v>29</v>
      </c>
      <c r="J5" s="214" t="s">
        <v>30</v>
      </c>
      <c r="K5" s="214" t="s">
        <v>67</v>
      </c>
      <c r="L5" s="214" t="s">
        <v>31</v>
      </c>
      <c r="M5" s="214" t="s">
        <v>32</v>
      </c>
      <c r="N5" s="214" t="s">
        <v>33</v>
      </c>
      <c r="O5" s="222" t="s">
        <v>34</v>
      </c>
      <c r="P5" s="224" t="s">
        <v>35</v>
      </c>
      <c r="Q5" s="187"/>
    </row>
    <row r="6" spans="1:17" s="8" customFormat="1" ht="8.25" customHeight="1">
      <c r="A6" s="218"/>
      <c r="B6" s="219"/>
      <c r="C6" s="92" t="s">
        <v>97</v>
      </c>
      <c r="D6" s="221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23"/>
      <c r="P6" s="225"/>
      <c r="Q6" s="187"/>
    </row>
    <row r="7" spans="1:17" s="12" customFormat="1" ht="12" thickBot="1">
      <c r="A7" s="226">
        <v>1</v>
      </c>
      <c r="B7" s="227"/>
      <c r="C7" s="93">
        <v>2</v>
      </c>
      <c r="D7" s="9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1">
        <v>14</v>
      </c>
      <c r="P7" s="119">
        <v>15</v>
      </c>
      <c r="Q7" s="188"/>
    </row>
    <row r="8" spans="1:17" s="14" customFormat="1" ht="12.75" customHeight="1">
      <c r="A8" s="62" t="s">
        <v>15</v>
      </c>
      <c r="B8" s="77" t="s">
        <v>43</v>
      </c>
      <c r="C8" s="95">
        <v>2296676</v>
      </c>
      <c r="D8" s="37">
        <f>2184321/12</f>
        <v>182026.75</v>
      </c>
      <c r="E8" s="37">
        <f>2184321/12+1637</f>
        <v>183663.75</v>
      </c>
      <c r="F8" s="37">
        <f>2184321/12+1637</f>
        <v>183663.75</v>
      </c>
      <c r="G8" s="37">
        <f>2184321/12+1637</f>
        <v>183663.75</v>
      </c>
      <c r="H8" s="37">
        <f>2184321/12+1637</f>
        <v>183663.75</v>
      </c>
      <c r="I8" s="37">
        <f>2184321/12+1637+3608</f>
        <v>187271.75</v>
      </c>
      <c r="J8" s="37">
        <f>2184321/12+1637+3608</f>
        <v>187271.75</v>
      </c>
      <c r="K8" s="37">
        <f>2184321/12+1637+3608</f>
        <v>187271.75</v>
      </c>
      <c r="L8" s="37">
        <f>2184321/12+1637+3608</f>
        <v>187271.75</v>
      </c>
      <c r="M8" s="37">
        <f>2184321/12+1637+3608</f>
        <v>187271.75</v>
      </c>
      <c r="N8" s="37">
        <f>2184321/12+1637+3608+35000</f>
        <v>222271.75</v>
      </c>
      <c r="O8" s="37">
        <f>2184321/12+1637+3614+34086</f>
        <v>221363.75</v>
      </c>
      <c r="P8" s="94">
        <f>SUM(D8:O8)</f>
        <v>2296676</v>
      </c>
      <c r="Q8" s="185"/>
    </row>
    <row r="9" spans="1:17" s="38" customFormat="1" ht="12.75" customHeight="1">
      <c r="A9" s="63" t="s">
        <v>17</v>
      </c>
      <c r="B9" s="78" t="s">
        <v>44</v>
      </c>
      <c r="C9" s="95">
        <v>1427253</v>
      </c>
      <c r="D9" s="37">
        <f>116578-6000-2000+21002</f>
        <v>129580</v>
      </c>
      <c r="E9" s="37">
        <f>116578-6000-2000+23334</f>
        <v>131912</v>
      </c>
      <c r="F9" s="37">
        <f>116578-6000-2000+19234</f>
        <v>127812</v>
      </c>
      <c r="G9" s="37">
        <f>116578-6000-2000+25341+26332</f>
        <v>160251</v>
      </c>
      <c r="H9" s="37">
        <f>116578-6000-2000+23451+65213</f>
        <v>197242</v>
      </c>
      <c r="I9" s="37">
        <f>116578+2172-6000-2000-2000+12345+51223-71428</f>
        <v>100890</v>
      </c>
      <c r="J9" s="37">
        <f>116578+1500-6000-2000-2000+12365+31434-71428+25181</f>
        <v>105630</v>
      </c>
      <c r="K9" s="37">
        <f>116578+1500-6000-2000-2000+11233-71428+25182</f>
        <v>73065</v>
      </c>
      <c r="L9" s="37">
        <f>116578+10-6000-2000+24111-71428+25181</f>
        <v>86452</v>
      </c>
      <c r="M9" s="37">
        <f>116578+10-6000-2000+12345-71428+25182</f>
        <v>74687</v>
      </c>
      <c r="N9" s="37">
        <f>116578+11+18730-20000-2000-3000-753+16596-71428+25181+36523</f>
        <v>116438</v>
      </c>
      <c r="O9" s="37">
        <f>116581+32007-20000-10000-5000-3000-71432+25182+58956</f>
        <v>123294</v>
      </c>
      <c r="P9" s="95">
        <f>SUM(D9:O9)</f>
        <v>1427253</v>
      </c>
      <c r="Q9" s="185"/>
    </row>
    <row r="10" spans="1:17" s="38" customFormat="1" ht="12.75" customHeight="1">
      <c r="A10" s="64" t="s">
        <v>24</v>
      </c>
      <c r="B10" s="79" t="s">
        <v>55</v>
      </c>
      <c r="C10" s="96">
        <f>SUM(C8:C9)</f>
        <v>3723929</v>
      </c>
      <c r="D10" s="59">
        <f aca="true" t="shared" si="0" ref="D10:P10">SUM(D8:D9)</f>
        <v>311606.75</v>
      </c>
      <c r="E10" s="59">
        <f t="shared" si="0"/>
        <v>315575.75</v>
      </c>
      <c r="F10" s="59">
        <f t="shared" si="0"/>
        <v>311475.75</v>
      </c>
      <c r="G10" s="59">
        <f t="shared" si="0"/>
        <v>343914.75</v>
      </c>
      <c r="H10" s="59">
        <f t="shared" si="0"/>
        <v>380905.75</v>
      </c>
      <c r="I10" s="59">
        <f t="shared" si="0"/>
        <v>288161.75</v>
      </c>
      <c r="J10" s="59">
        <f t="shared" si="0"/>
        <v>292901.75</v>
      </c>
      <c r="K10" s="59">
        <f t="shared" si="0"/>
        <v>260336.75</v>
      </c>
      <c r="L10" s="59">
        <f t="shared" si="0"/>
        <v>273723.75</v>
      </c>
      <c r="M10" s="59">
        <f t="shared" si="0"/>
        <v>261958.75</v>
      </c>
      <c r="N10" s="59">
        <f t="shared" si="0"/>
        <v>338709.75</v>
      </c>
      <c r="O10" s="114">
        <f t="shared" si="0"/>
        <v>344657.75</v>
      </c>
      <c r="P10" s="96">
        <f t="shared" si="0"/>
        <v>3723929</v>
      </c>
      <c r="Q10" s="185"/>
    </row>
    <row r="11" spans="1:17" s="16" customFormat="1" ht="12.75" customHeight="1">
      <c r="A11" s="63" t="s">
        <v>15</v>
      </c>
      <c r="B11" s="78" t="s">
        <v>36</v>
      </c>
      <c r="C11" s="95">
        <v>6345692</v>
      </c>
      <c r="D11" s="90">
        <v>18676</v>
      </c>
      <c r="E11" s="15">
        <v>192134</v>
      </c>
      <c r="F11" s="15">
        <f>990100+70000+102333</f>
        <v>1162433</v>
      </c>
      <c r="G11" s="15">
        <v>673500</v>
      </c>
      <c r="H11" s="15">
        <v>222485</v>
      </c>
      <c r="I11" s="15">
        <v>221240</v>
      </c>
      <c r="J11" s="15">
        <v>176884</v>
      </c>
      <c r="K11" s="15">
        <v>210375</v>
      </c>
      <c r="L11" s="15">
        <f>1025799+69873+114783</f>
        <v>1210455</v>
      </c>
      <c r="M11" s="15">
        <f>788654+210332+153623</f>
        <v>1152609</v>
      </c>
      <c r="N11" s="15">
        <f>229399+221498+159623</f>
        <v>610520</v>
      </c>
      <c r="O11" s="115">
        <f>288602+205779</f>
        <v>494381</v>
      </c>
      <c r="P11" s="97">
        <f>SUM(D11:O11)</f>
        <v>6345692</v>
      </c>
      <c r="Q11" s="185"/>
    </row>
    <row r="12" spans="1:17" s="16" customFormat="1" ht="12.75" customHeight="1">
      <c r="A12" s="63" t="s">
        <v>17</v>
      </c>
      <c r="B12" s="78" t="s">
        <v>56</v>
      </c>
      <c r="C12" s="95">
        <v>193415</v>
      </c>
      <c r="D12" s="90">
        <v>10300</v>
      </c>
      <c r="E12" s="15">
        <f>12917+125-2354</f>
        <v>10688</v>
      </c>
      <c r="F12" s="15">
        <f>12917+1250-2354</f>
        <v>11813</v>
      </c>
      <c r="G12" s="15">
        <v>11922</v>
      </c>
      <c r="H12" s="15">
        <f>12917+1250+300-2541</f>
        <v>11926</v>
      </c>
      <c r="I12" s="15">
        <f>12917+23</f>
        <v>12940</v>
      </c>
      <c r="J12" s="15">
        <v>10531</v>
      </c>
      <c r="K12" s="15">
        <v>10326</v>
      </c>
      <c r="L12" s="15">
        <v>10512</v>
      </c>
      <c r="M12" s="15">
        <f>12917+1250-3211</f>
        <v>10956</v>
      </c>
      <c r="N12" s="15">
        <f>12917+1250-3321+32142</f>
        <v>42988</v>
      </c>
      <c r="O12" s="115">
        <f>12917+36-3322+28882</f>
        <v>38513</v>
      </c>
      <c r="P12" s="97">
        <f>SUM(D12:O12)</f>
        <v>193415</v>
      </c>
      <c r="Q12" s="185"/>
    </row>
    <row r="13" spans="1:17" s="16" customFormat="1" ht="12.75" customHeight="1">
      <c r="A13" s="65" t="s">
        <v>25</v>
      </c>
      <c r="B13" s="79" t="s">
        <v>42</v>
      </c>
      <c r="C13" s="97">
        <f>SUM(C11:C12)</f>
        <v>6539107</v>
      </c>
      <c r="D13" s="13">
        <f>SUM(D11:D12)</f>
        <v>28976</v>
      </c>
      <c r="E13" s="13">
        <f aca="true" t="shared" si="1" ref="E13:P13">SUM(E11:E12)</f>
        <v>202822</v>
      </c>
      <c r="F13" s="13">
        <f t="shared" si="1"/>
        <v>1174246</v>
      </c>
      <c r="G13" s="13">
        <f t="shared" si="1"/>
        <v>685422</v>
      </c>
      <c r="H13" s="13">
        <f t="shared" si="1"/>
        <v>234411</v>
      </c>
      <c r="I13" s="13">
        <f t="shared" si="1"/>
        <v>234180</v>
      </c>
      <c r="J13" s="13">
        <f t="shared" si="1"/>
        <v>187415</v>
      </c>
      <c r="K13" s="13">
        <f t="shared" si="1"/>
        <v>220701</v>
      </c>
      <c r="L13" s="13">
        <f t="shared" si="1"/>
        <v>1220967</v>
      </c>
      <c r="M13" s="13">
        <f t="shared" si="1"/>
        <v>1163565</v>
      </c>
      <c r="N13" s="13">
        <f t="shared" si="1"/>
        <v>653508</v>
      </c>
      <c r="O13" s="116">
        <f t="shared" si="1"/>
        <v>532894</v>
      </c>
      <c r="P13" s="97">
        <f t="shared" si="1"/>
        <v>6539107</v>
      </c>
      <c r="Q13" s="185"/>
    </row>
    <row r="14" spans="1:17" s="14" customFormat="1" ht="12.75" customHeight="1">
      <c r="A14" s="66" t="s">
        <v>26</v>
      </c>
      <c r="B14" s="80" t="s">
        <v>57</v>
      </c>
      <c r="C14" s="97">
        <v>7500724</v>
      </c>
      <c r="D14" s="37">
        <v>481987</v>
      </c>
      <c r="E14" s="37">
        <f>481987+125632</f>
        <v>607619</v>
      </c>
      <c r="F14" s="37">
        <f>481987+123411</f>
        <v>605398</v>
      </c>
      <c r="G14" s="37">
        <v>481987</v>
      </c>
      <c r="H14" s="37">
        <f>481987+1000+54213</f>
        <v>537200</v>
      </c>
      <c r="I14" s="37">
        <f>481987+3000+37539+71428+108000</f>
        <v>701954</v>
      </c>
      <c r="J14" s="37">
        <f>481987+3000+55563+71428+108000</f>
        <v>719978</v>
      </c>
      <c r="K14" s="37">
        <f>481987+3000+44437+71428+108000</f>
        <v>708852</v>
      </c>
      <c r="L14" s="37">
        <f>481987+3000+71428+108000+59400</f>
        <v>723815</v>
      </c>
      <c r="M14" s="37">
        <f>481987+10000+3000+71428+108000</f>
        <v>674415</v>
      </c>
      <c r="N14" s="37">
        <f>481987+10000+3000+130209-150000+71428+108000+50000</f>
        <v>704624</v>
      </c>
      <c r="O14" s="37">
        <f>481986+12026+3000+21126-139546-56541+71428+108000+1416+50000</f>
        <v>552895</v>
      </c>
      <c r="P14" s="97">
        <f>SUM(D14:O14)</f>
        <v>7500724</v>
      </c>
      <c r="Q14" s="185"/>
    </row>
    <row r="15" spans="1:17" s="16" customFormat="1" ht="12.75" customHeight="1" thickBot="1">
      <c r="A15" s="65" t="s">
        <v>27</v>
      </c>
      <c r="B15" s="79" t="s">
        <v>45</v>
      </c>
      <c r="C15" s="97">
        <v>482</v>
      </c>
      <c r="D15" s="90"/>
      <c r="E15" s="15"/>
      <c r="F15" s="15"/>
      <c r="G15" s="15"/>
      <c r="H15" s="15"/>
      <c r="I15" s="15">
        <v>482</v>
      </c>
      <c r="J15" s="15"/>
      <c r="K15" s="15"/>
      <c r="L15" s="15"/>
      <c r="M15" s="15"/>
      <c r="N15" s="15"/>
      <c r="O15" s="115"/>
      <c r="P15" s="97">
        <f>SUM(D15:O15)</f>
        <v>482</v>
      </c>
      <c r="Q15" s="185"/>
    </row>
    <row r="16" spans="1:17" s="16" customFormat="1" ht="12.75" customHeight="1" thickBot="1">
      <c r="A16" s="67"/>
      <c r="B16" s="81" t="s">
        <v>48</v>
      </c>
      <c r="C16" s="98">
        <f>SUM(C10+C13+C14+C15)</f>
        <v>17764242</v>
      </c>
      <c r="D16" s="98">
        <f aca="true" t="shared" si="2" ref="D16:P16">SUM(D10+D13+D14+D15)</f>
        <v>822569.75</v>
      </c>
      <c r="E16" s="98">
        <f t="shared" si="2"/>
        <v>1126016.75</v>
      </c>
      <c r="F16" s="98">
        <f t="shared" si="2"/>
        <v>2091119.75</v>
      </c>
      <c r="G16" s="98">
        <f t="shared" si="2"/>
        <v>1511323.75</v>
      </c>
      <c r="H16" s="98">
        <f t="shared" si="2"/>
        <v>1152516.75</v>
      </c>
      <c r="I16" s="98">
        <f t="shared" si="2"/>
        <v>1224777.75</v>
      </c>
      <c r="J16" s="98">
        <f t="shared" si="2"/>
        <v>1200294.75</v>
      </c>
      <c r="K16" s="98">
        <f t="shared" si="2"/>
        <v>1189889.75</v>
      </c>
      <c r="L16" s="98">
        <f t="shared" si="2"/>
        <v>2218505.75</v>
      </c>
      <c r="M16" s="98">
        <f t="shared" si="2"/>
        <v>2099938.75</v>
      </c>
      <c r="N16" s="98">
        <f t="shared" si="2"/>
        <v>1696841.75</v>
      </c>
      <c r="O16" s="98">
        <f t="shared" si="2"/>
        <v>1430446.75</v>
      </c>
      <c r="P16" s="98">
        <f t="shared" si="2"/>
        <v>17764242</v>
      </c>
      <c r="Q16" s="185"/>
    </row>
    <row r="17" spans="1:17" s="16" customFormat="1" ht="12.75" customHeight="1">
      <c r="A17" s="68" t="s">
        <v>28</v>
      </c>
      <c r="B17" s="82" t="s">
        <v>58</v>
      </c>
      <c r="C17" s="99">
        <v>3458968</v>
      </c>
      <c r="D17" s="59">
        <v>1500000</v>
      </c>
      <c r="E17" s="61"/>
      <c r="F17" s="61"/>
      <c r="G17" s="61">
        <v>30000</v>
      </c>
      <c r="H17" s="61">
        <v>1627896</v>
      </c>
      <c r="I17" s="61"/>
      <c r="J17" s="61">
        <v>1072</v>
      </c>
      <c r="K17" s="61"/>
      <c r="L17" s="61">
        <v>300000</v>
      </c>
      <c r="M17" s="61"/>
      <c r="N17" s="163"/>
      <c r="O17" s="164"/>
      <c r="P17" s="97">
        <f>SUM(D17:O17)</f>
        <v>3458968</v>
      </c>
      <c r="Q17" s="185"/>
    </row>
    <row r="18" spans="1:17" s="16" customFormat="1" ht="12.75" customHeight="1">
      <c r="A18" s="65" t="s">
        <v>29</v>
      </c>
      <c r="B18" s="79" t="s">
        <v>41</v>
      </c>
      <c r="C18" s="97">
        <v>1995054</v>
      </c>
      <c r="D18" s="59">
        <f>12500+275103</f>
        <v>287603</v>
      </c>
      <c r="E18" s="61">
        <v>123444</v>
      </c>
      <c r="F18" s="61">
        <v>132222</v>
      </c>
      <c r="G18" s="61">
        <f>12500+400000-177222</f>
        <v>235278</v>
      </c>
      <c r="H18" s="61">
        <v>174909</v>
      </c>
      <c r="I18" s="61">
        <v>52240</v>
      </c>
      <c r="J18" s="61">
        <v>628152</v>
      </c>
      <c r="K18" s="61">
        <v>74828</v>
      </c>
      <c r="L18" s="61"/>
      <c r="M18" s="61">
        <v>286378</v>
      </c>
      <c r="N18" s="61"/>
      <c r="O18" s="118"/>
      <c r="P18" s="97">
        <f>SUM(D18:O18)</f>
        <v>1995054</v>
      </c>
      <c r="Q18" s="185"/>
    </row>
    <row r="19" spans="1:17" s="16" customFormat="1" ht="12.75" customHeight="1">
      <c r="A19" s="63" t="s">
        <v>15</v>
      </c>
      <c r="B19" s="78" t="s">
        <v>46</v>
      </c>
      <c r="C19" s="95">
        <v>247638</v>
      </c>
      <c r="D19" s="90">
        <v>2303.1666666666665</v>
      </c>
      <c r="E19" s="90">
        <v>2303.1666666666665</v>
      </c>
      <c r="F19" s="90">
        <v>2303.1666666666665</v>
      </c>
      <c r="G19" s="90">
        <v>2303.1666666666665</v>
      </c>
      <c r="H19" s="90">
        <v>2303.1666666666665</v>
      </c>
      <c r="I19" s="90">
        <v>2303.1666666666665</v>
      </c>
      <c r="J19" s="90">
        <v>2303.1666666666665</v>
      </c>
      <c r="K19" s="90">
        <v>2303.1666666666665</v>
      </c>
      <c r="L19" s="90">
        <f>2303.16666666667+220000</f>
        <v>222303.16666666666</v>
      </c>
      <c r="M19" s="90">
        <v>2303.1666666666665</v>
      </c>
      <c r="N19" s="90">
        <v>2303.1666666666665</v>
      </c>
      <c r="O19" s="90">
        <v>2303.1666666666665</v>
      </c>
      <c r="P19" s="97">
        <f>SUM(D19:O19)</f>
        <v>247637.99999999997</v>
      </c>
      <c r="Q19" s="185"/>
    </row>
    <row r="20" spans="1:17" s="14" customFormat="1" ht="12.75" customHeight="1">
      <c r="A20" s="63" t="s">
        <v>17</v>
      </c>
      <c r="B20" s="83" t="s">
        <v>47</v>
      </c>
      <c r="C20" s="95"/>
      <c r="D20" s="37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183"/>
      <c r="P20" s="97">
        <f>SUM(D20:O20)</f>
        <v>0</v>
      </c>
      <c r="Q20" s="185"/>
    </row>
    <row r="21" spans="1:17" s="16" customFormat="1" ht="12.75" customHeight="1" thickBot="1">
      <c r="A21" s="64" t="s">
        <v>30</v>
      </c>
      <c r="B21" s="79" t="s">
        <v>59</v>
      </c>
      <c r="C21" s="97">
        <f>SUM(C19:C20)</f>
        <v>247638</v>
      </c>
      <c r="D21" s="13">
        <f>SUM(D19:D20)</f>
        <v>2303.1666666666665</v>
      </c>
      <c r="E21" s="13">
        <f aca="true" t="shared" si="3" ref="E21:O21">SUM(E19:E20)</f>
        <v>2303.1666666666665</v>
      </c>
      <c r="F21" s="13">
        <f t="shared" si="3"/>
        <v>2303.1666666666665</v>
      </c>
      <c r="G21" s="13">
        <f t="shared" si="3"/>
        <v>2303.1666666666665</v>
      </c>
      <c r="H21" s="13">
        <f t="shared" si="3"/>
        <v>2303.1666666666665</v>
      </c>
      <c r="I21" s="13">
        <f t="shared" si="3"/>
        <v>2303.1666666666665</v>
      </c>
      <c r="J21" s="13">
        <f t="shared" si="3"/>
        <v>2303.1666666666665</v>
      </c>
      <c r="K21" s="13">
        <f t="shared" si="3"/>
        <v>2303.1666666666665</v>
      </c>
      <c r="L21" s="13">
        <f t="shared" si="3"/>
        <v>222303.16666666666</v>
      </c>
      <c r="M21" s="13">
        <f t="shared" si="3"/>
        <v>2303.1666666666665</v>
      </c>
      <c r="N21" s="13">
        <f t="shared" si="3"/>
        <v>2303.1666666666665</v>
      </c>
      <c r="O21" s="116">
        <f t="shared" si="3"/>
        <v>2303.1666666666665</v>
      </c>
      <c r="P21" s="97">
        <f>SUM(P19:P20)</f>
        <v>247637.99999999997</v>
      </c>
      <c r="Q21" s="185"/>
    </row>
    <row r="22" spans="1:17" s="16" customFormat="1" ht="12.75" customHeight="1" thickBot="1">
      <c r="A22" s="69"/>
      <c r="B22" s="81" t="s">
        <v>49</v>
      </c>
      <c r="C22" s="98">
        <f>SUM(C17+C18+C21)</f>
        <v>5701660</v>
      </c>
      <c r="D22" s="49">
        <f>SUM(D17+D18+D21)</f>
        <v>1789906.1666666667</v>
      </c>
      <c r="E22" s="49">
        <f aca="true" t="shared" si="4" ref="E22:O22">SUM(E17+E18+E21)</f>
        <v>125747.16666666667</v>
      </c>
      <c r="F22" s="49">
        <f t="shared" si="4"/>
        <v>134525.16666666666</v>
      </c>
      <c r="G22" s="49">
        <f t="shared" si="4"/>
        <v>267581.1666666667</v>
      </c>
      <c r="H22" s="49">
        <f t="shared" si="4"/>
        <v>1805108.1666666667</v>
      </c>
      <c r="I22" s="49">
        <f t="shared" si="4"/>
        <v>54543.166666666664</v>
      </c>
      <c r="J22" s="49">
        <f t="shared" si="4"/>
        <v>631527.1666666666</v>
      </c>
      <c r="K22" s="49">
        <f t="shared" si="4"/>
        <v>77131.16666666667</v>
      </c>
      <c r="L22" s="49">
        <f t="shared" si="4"/>
        <v>522303.1666666666</v>
      </c>
      <c r="M22" s="49">
        <f t="shared" si="4"/>
        <v>288681.1666666667</v>
      </c>
      <c r="N22" s="49">
        <f t="shared" si="4"/>
        <v>2303.1666666666665</v>
      </c>
      <c r="O22" s="49">
        <f t="shared" si="4"/>
        <v>2303.1666666666665</v>
      </c>
      <c r="P22" s="98">
        <f>SUM(P17+P18+P21)</f>
        <v>5701660</v>
      </c>
      <c r="Q22" s="185"/>
    </row>
    <row r="23" spans="1:17" s="39" customFormat="1" ht="12.75" customHeight="1" thickBot="1">
      <c r="A23" s="70"/>
      <c r="B23" s="81" t="s">
        <v>60</v>
      </c>
      <c r="C23" s="177">
        <f>SUM(C16,C22)</f>
        <v>23465902</v>
      </c>
      <c r="D23" s="50">
        <f aca="true" t="shared" si="5" ref="D23:P23">SUM(D16,D22)</f>
        <v>2612475.916666667</v>
      </c>
      <c r="E23" s="50">
        <f t="shared" si="5"/>
        <v>1251763.9166666667</v>
      </c>
      <c r="F23" s="50">
        <f t="shared" si="5"/>
        <v>2225644.9166666665</v>
      </c>
      <c r="G23" s="50">
        <f t="shared" si="5"/>
        <v>1778904.9166666667</v>
      </c>
      <c r="H23" s="50">
        <f t="shared" si="5"/>
        <v>2957624.916666667</v>
      </c>
      <c r="I23" s="50">
        <f t="shared" si="5"/>
        <v>1279320.9166666667</v>
      </c>
      <c r="J23" s="50">
        <f t="shared" si="5"/>
        <v>1831821.9166666665</v>
      </c>
      <c r="K23" s="50">
        <f t="shared" si="5"/>
        <v>1267020.9166666667</v>
      </c>
      <c r="L23" s="50">
        <f t="shared" si="5"/>
        <v>2740808.9166666665</v>
      </c>
      <c r="M23" s="50">
        <f t="shared" si="5"/>
        <v>2388619.9166666665</v>
      </c>
      <c r="N23" s="50">
        <f t="shared" si="5"/>
        <v>1699144.9166666667</v>
      </c>
      <c r="O23" s="117">
        <f t="shared" si="5"/>
        <v>1432749.9166666667</v>
      </c>
      <c r="P23" s="100">
        <f t="shared" si="5"/>
        <v>23465902</v>
      </c>
      <c r="Q23" s="185"/>
    </row>
    <row r="24" spans="1:17" s="39" customFormat="1" ht="12.75" customHeight="1">
      <c r="A24" s="71" t="s">
        <v>15</v>
      </c>
      <c r="B24" s="84" t="s">
        <v>61</v>
      </c>
      <c r="C24" s="178">
        <v>768064</v>
      </c>
      <c r="D24" s="161">
        <v>60000</v>
      </c>
      <c r="E24" s="162">
        <v>40000</v>
      </c>
      <c r="F24" s="162">
        <f>35212+245125</f>
        <v>280337</v>
      </c>
      <c r="G24" s="162">
        <f>26241+361486</f>
        <v>387727</v>
      </c>
      <c r="H24" s="162"/>
      <c r="I24" s="162"/>
      <c r="J24" s="162"/>
      <c r="K24" s="162"/>
      <c r="L24" s="162"/>
      <c r="M24" s="191"/>
      <c r="N24" s="162"/>
      <c r="O24" s="113"/>
      <c r="P24" s="166">
        <f>SUM(D24:O24)</f>
        <v>768064</v>
      </c>
      <c r="Q24" s="185"/>
    </row>
    <row r="25" spans="1:17" s="39" customFormat="1" ht="12.75" customHeight="1">
      <c r="A25" s="73" t="s">
        <v>17</v>
      </c>
      <c r="B25" s="83" t="s">
        <v>62</v>
      </c>
      <c r="C25" s="95">
        <v>5574041</v>
      </c>
      <c r="D25" s="95">
        <f>5064888/12</f>
        <v>422074</v>
      </c>
      <c r="E25" s="95">
        <f>5064888/12</f>
        <v>422074</v>
      </c>
      <c r="F25" s="95">
        <f>5064888/12+33122</f>
        <v>455196</v>
      </c>
      <c r="G25" s="95">
        <f>5064888/12+33122</f>
        <v>455196</v>
      </c>
      <c r="H25" s="95">
        <f>5064888/12+33122</f>
        <v>455196</v>
      </c>
      <c r="I25" s="95">
        <f>5064888/12+33122</f>
        <v>455196</v>
      </c>
      <c r="J25" s="95">
        <f>5064888/12+33122+16935</f>
        <v>472131</v>
      </c>
      <c r="K25" s="95">
        <f>5064888/12+33122+16936</f>
        <v>472132</v>
      </c>
      <c r="L25" s="189">
        <f>5064888/12+33122+16935</f>
        <v>472131</v>
      </c>
      <c r="M25" s="193">
        <f>5064888/12+33122+16936</f>
        <v>472132</v>
      </c>
      <c r="N25" s="190">
        <f>5064888/12+33122+16935+35000</f>
        <v>507131</v>
      </c>
      <c r="O25" s="95">
        <f>5064888/12+33122+4357+16937+36962</f>
        <v>513452</v>
      </c>
      <c r="P25" s="167">
        <f>SUM(D25:O25)</f>
        <v>5574041</v>
      </c>
      <c r="Q25" s="185"/>
    </row>
    <row r="26" spans="1:17" s="39" customFormat="1" ht="12.75" customHeight="1">
      <c r="A26" s="73" t="s">
        <v>18</v>
      </c>
      <c r="B26" s="83" t="s">
        <v>96</v>
      </c>
      <c r="C26" s="95"/>
      <c r="D26" s="173"/>
      <c r="E26" s="146"/>
      <c r="F26" s="146"/>
      <c r="G26" s="146"/>
      <c r="H26" s="146"/>
      <c r="I26" s="146"/>
      <c r="J26" s="146"/>
      <c r="K26" s="146"/>
      <c r="L26" s="146"/>
      <c r="M26" s="192"/>
      <c r="N26" s="146"/>
      <c r="O26" s="147"/>
      <c r="P26" s="168">
        <f>SUM(D26:O26)</f>
        <v>0</v>
      </c>
      <c r="Q26" s="185"/>
    </row>
    <row r="27" spans="1:17" s="39" customFormat="1" ht="12.75" customHeight="1">
      <c r="A27" s="72"/>
      <c r="B27" s="79" t="s">
        <v>63</v>
      </c>
      <c r="C27" s="96">
        <f>SUM(C24:C26)</f>
        <v>6342105</v>
      </c>
      <c r="D27" s="174">
        <f>SUM(D24:D26)</f>
        <v>482074</v>
      </c>
      <c r="E27" s="149">
        <f aca="true" t="shared" si="6" ref="E27:N27">SUM(E24:E26)</f>
        <v>462074</v>
      </c>
      <c r="F27" s="149">
        <f t="shared" si="6"/>
        <v>735533</v>
      </c>
      <c r="G27" s="149">
        <f t="shared" si="6"/>
        <v>842923</v>
      </c>
      <c r="H27" s="149">
        <f t="shared" si="6"/>
        <v>455196</v>
      </c>
      <c r="I27" s="149">
        <f t="shared" si="6"/>
        <v>455196</v>
      </c>
      <c r="J27" s="149">
        <f t="shared" si="6"/>
        <v>472131</v>
      </c>
      <c r="K27" s="149">
        <f t="shared" si="6"/>
        <v>472132</v>
      </c>
      <c r="L27" s="149">
        <f t="shared" si="6"/>
        <v>472131</v>
      </c>
      <c r="M27" s="149">
        <f t="shared" si="6"/>
        <v>472132</v>
      </c>
      <c r="N27" s="149">
        <f t="shared" si="6"/>
        <v>507131</v>
      </c>
      <c r="O27" s="149">
        <f>SUM(O24:O26)</f>
        <v>513452</v>
      </c>
      <c r="P27" s="96">
        <f>SUM(P24:P26)</f>
        <v>6342105</v>
      </c>
      <c r="Q27" s="185"/>
    </row>
    <row r="28" spans="1:17" s="39" customFormat="1" ht="12.75" customHeight="1">
      <c r="A28" s="73" t="s">
        <v>15</v>
      </c>
      <c r="B28" s="83" t="s">
        <v>64</v>
      </c>
      <c r="C28" s="96">
        <v>2644801</v>
      </c>
      <c r="D28" s="184"/>
      <c r="E28" s="148"/>
      <c r="F28" s="146">
        <v>2644801</v>
      </c>
      <c r="G28" s="148"/>
      <c r="H28" s="148"/>
      <c r="I28" s="148"/>
      <c r="J28" s="148"/>
      <c r="K28" s="148"/>
      <c r="L28" s="148"/>
      <c r="M28" s="148"/>
      <c r="N28" s="148"/>
      <c r="O28" s="149"/>
      <c r="P28" s="96">
        <f>SUM(D28:O28)</f>
        <v>2644801</v>
      </c>
      <c r="Q28" s="185"/>
    </row>
    <row r="29" spans="1:17" s="39" customFormat="1" ht="12.75" customHeight="1">
      <c r="A29" s="72" t="s">
        <v>17</v>
      </c>
      <c r="B29" s="85" t="s">
        <v>65</v>
      </c>
      <c r="C29" s="102">
        <v>127042</v>
      </c>
      <c r="D29" s="175"/>
      <c r="E29" s="159"/>
      <c r="F29" s="159">
        <v>720</v>
      </c>
      <c r="G29" s="159">
        <v>15000</v>
      </c>
      <c r="H29" s="159"/>
      <c r="I29" s="159"/>
      <c r="J29" s="159">
        <v>20000</v>
      </c>
      <c r="K29" s="159">
        <f>15000+14546-9945</f>
        <v>19601</v>
      </c>
      <c r="L29" s="159">
        <f>6900+14000+11710</f>
        <v>32610</v>
      </c>
      <c r="M29" s="159">
        <f>20000+1150</f>
        <v>21150</v>
      </c>
      <c r="N29" s="159"/>
      <c r="O29" s="160">
        <f>31281-18784+445+121+10967-6069</f>
        <v>17961</v>
      </c>
      <c r="P29" s="96">
        <f>SUM(D29:O29)</f>
        <v>127042</v>
      </c>
      <c r="Q29" s="185"/>
    </row>
    <row r="30" spans="1:17" s="39" customFormat="1" ht="12.75" customHeight="1">
      <c r="A30" s="74"/>
      <c r="B30" s="139" t="s">
        <v>66</v>
      </c>
      <c r="C30" s="140">
        <f>SUM(C28:C29)</f>
        <v>2771843</v>
      </c>
      <c r="D30" s="176">
        <f>SUM(D28:D29)</f>
        <v>0</v>
      </c>
      <c r="E30" s="141">
        <f aca="true" t="shared" si="7" ref="E30:O30">SUM(E28:E29)</f>
        <v>0</v>
      </c>
      <c r="F30" s="141">
        <f t="shared" si="7"/>
        <v>2645521</v>
      </c>
      <c r="G30" s="141">
        <f t="shared" si="7"/>
        <v>15000</v>
      </c>
      <c r="H30" s="141">
        <f t="shared" si="7"/>
        <v>0</v>
      </c>
      <c r="I30" s="141">
        <f t="shared" si="7"/>
        <v>0</v>
      </c>
      <c r="J30" s="141">
        <f t="shared" si="7"/>
        <v>20000</v>
      </c>
      <c r="K30" s="141">
        <f t="shared" si="7"/>
        <v>19601</v>
      </c>
      <c r="L30" s="141">
        <f t="shared" si="7"/>
        <v>32610</v>
      </c>
      <c r="M30" s="141">
        <f t="shared" si="7"/>
        <v>21150</v>
      </c>
      <c r="N30" s="141">
        <f t="shared" si="7"/>
        <v>0</v>
      </c>
      <c r="O30" s="153">
        <f t="shared" si="7"/>
        <v>17961</v>
      </c>
      <c r="P30" s="140">
        <f>SUM(P28:P29)</f>
        <v>2771843</v>
      </c>
      <c r="Q30" s="185"/>
    </row>
    <row r="31" spans="1:17" s="39" customFormat="1" ht="12.75" customHeight="1" thickBot="1">
      <c r="A31" s="74">
        <v>1</v>
      </c>
      <c r="B31" s="171" t="s">
        <v>98</v>
      </c>
      <c r="C31" s="140">
        <v>0</v>
      </c>
      <c r="D31" s="179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72">
        <f>SUM(D31:O31)</f>
        <v>0</v>
      </c>
      <c r="Q31" s="185"/>
    </row>
    <row r="32" spans="1:17" s="39" customFormat="1" ht="12.75" customHeight="1" thickBot="1">
      <c r="A32" s="74">
        <v>2</v>
      </c>
      <c r="B32" s="170" t="s">
        <v>99</v>
      </c>
      <c r="C32" s="103">
        <v>21600000</v>
      </c>
      <c r="D32" s="181">
        <v>2000000</v>
      </c>
      <c r="E32" s="182">
        <v>1000000</v>
      </c>
      <c r="F32" s="182">
        <v>800000</v>
      </c>
      <c r="G32" s="182">
        <v>1000000</v>
      </c>
      <c r="H32" s="182"/>
      <c r="I32" s="182"/>
      <c r="J32" s="182">
        <v>1000000</v>
      </c>
      <c r="K32" s="182">
        <v>1000000</v>
      </c>
      <c r="L32" s="182">
        <v>2000000</v>
      </c>
      <c r="M32" s="182">
        <f>2000000+3000000</f>
        <v>5000000</v>
      </c>
      <c r="N32" s="182">
        <f>800000+2000000</f>
        <v>2800000</v>
      </c>
      <c r="O32" s="103">
        <v>5000000</v>
      </c>
      <c r="P32" s="167">
        <f>SUM(D32:O32)</f>
        <v>21600000</v>
      </c>
      <c r="Q32" s="185"/>
    </row>
    <row r="33" spans="1:17" s="39" customFormat="1" ht="12.75" customHeight="1" thickBot="1">
      <c r="A33" s="143"/>
      <c r="B33" s="137" t="s">
        <v>92</v>
      </c>
      <c r="C33" s="138">
        <f>+C27+C30+C31+C32</f>
        <v>30713948</v>
      </c>
      <c r="D33" s="138">
        <f aca="true" t="shared" si="8" ref="D33:O33">+D27+D30+D31+D32</f>
        <v>2482074</v>
      </c>
      <c r="E33" s="138">
        <f t="shared" si="8"/>
        <v>1462074</v>
      </c>
      <c r="F33" s="138">
        <f t="shared" si="8"/>
        <v>4181054</v>
      </c>
      <c r="G33" s="138">
        <f t="shared" si="8"/>
        <v>1857923</v>
      </c>
      <c r="H33" s="138">
        <f t="shared" si="8"/>
        <v>455196</v>
      </c>
      <c r="I33" s="138">
        <f t="shared" si="8"/>
        <v>455196</v>
      </c>
      <c r="J33" s="138">
        <f t="shared" si="8"/>
        <v>1492131</v>
      </c>
      <c r="K33" s="138">
        <f t="shared" si="8"/>
        <v>1491733</v>
      </c>
      <c r="L33" s="138">
        <f t="shared" si="8"/>
        <v>2504741</v>
      </c>
      <c r="M33" s="138">
        <f t="shared" si="8"/>
        <v>5493282</v>
      </c>
      <c r="N33" s="138">
        <f t="shared" si="8"/>
        <v>3307131</v>
      </c>
      <c r="O33" s="138">
        <f t="shared" si="8"/>
        <v>5531413</v>
      </c>
      <c r="P33" s="138">
        <f>+P27+P30+P31+P32</f>
        <v>30713948</v>
      </c>
      <c r="Q33" s="185"/>
    </row>
    <row r="34" spans="1:17" s="39" customFormat="1" ht="12.75" customHeight="1" thickBot="1">
      <c r="A34" s="60"/>
      <c r="B34" s="86" t="s">
        <v>37</v>
      </c>
      <c r="C34" s="103">
        <f>SUM(C23,C27,C30)+C31+C32</f>
        <v>54179850</v>
      </c>
      <c r="D34" s="103">
        <f aca="true" t="shared" si="9" ref="D34:P34">SUM(D23,D27,D30)+D31+D32</f>
        <v>5094549.916666667</v>
      </c>
      <c r="E34" s="103">
        <f t="shared" si="9"/>
        <v>2713837.916666667</v>
      </c>
      <c r="F34" s="103">
        <f t="shared" si="9"/>
        <v>6406698.916666666</v>
      </c>
      <c r="G34" s="103">
        <f t="shared" si="9"/>
        <v>3636827.916666667</v>
      </c>
      <c r="H34" s="103">
        <f t="shared" si="9"/>
        <v>3412820.916666667</v>
      </c>
      <c r="I34" s="103">
        <f t="shared" si="9"/>
        <v>1734516.9166666667</v>
      </c>
      <c r="J34" s="103">
        <f t="shared" si="9"/>
        <v>3323952.9166666665</v>
      </c>
      <c r="K34" s="103">
        <f t="shared" si="9"/>
        <v>2758753.916666667</v>
      </c>
      <c r="L34" s="103">
        <f t="shared" si="9"/>
        <v>5245549.916666666</v>
      </c>
      <c r="M34" s="103">
        <f t="shared" si="9"/>
        <v>7881901.916666666</v>
      </c>
      <c r="N34" s="103">
        <f t="shared" si="9"/>
        <v>5006275.916666667</v>
      </c>
      <c r="O34" s="103">
        <f t="shared" si="9"/>
        <v>6964162.916666667</v>
      </c>
      <c r="P34" s="103">
        <f t="shared" si="9"/>
        <v>54179850</v>
      </c>
      <c r="Q34" s="185"/>
    </row>
    <row r="35" spans="1:17" s="16" customFormat="1" ht="11.25" customHeight="1">
      <c r="A35" s="75"/>
      <c r="B35" s="87" t="s">
        <v>50</v>
      </c>
      <c r="C35" s="154">
        <f>-C25</f>
        <v>-5574041</v>
      </c>
      <c r="D35" s="155">
        <f>-SUM(D25)</f>
        <v>-422074</v>
      </c>
      <c r="E35" s="156">
        <f aca="true" t="shared" si="10" ref="E35:O35">-SUM(E25)</f>
        <v>-422074</v>
      </c>
      <c r="F35" s="156">
        <f t="shared" si="10"/>
        <v>-455196</v>
      </c>
      <c r="G35" s="156">
        <f t="shared" si="10"/>
        <v>-455196</v>
      </c>
      <c r="H35" s="156">
        <f t="shared" si="10"/>
        <v>-455196</v>
      </c>
      <c r="I35" s="156">
        <f t="shared" si="10"/>
        <v>-455196</v>
      </c>
      <c r="J35" s="156">
        <f t="shared" si="10"/>
        <v>-472131</v>
      </c>
      <c r="K35" s="156">
        <f t="shared" si="10"/>
        <v>-472132</v>
      </c>
      <c r="L35" s="156">
        <f t="shared" si="10"/>
        <v>-472131</v>
      </c>
      <c r="M35" s="156">
        <f t="shared" si="10"/>
        <v>-472132</v>
      </c>
      <c r="N35" s="156">
        <f t="shared" si="10"/>
        <v>-507131</v>
      </c>
      <c r="O35" s="157">
        <f t="shared" si="10"/>
        <v>-513452</v>
      </c>
      <c r="P35" s="110">
        <f>SUM(D35:O35)</f>
        <v>-5574041</v>
      </c>
      <c r="Q35" s="185"/>
    </row>
    <row r="36" spans="1:17" s="16" customFormat="1" ht="12.75" customHeight="1">
      <c r="A36" s="76"/>
      <c r="B36" s="88" t="s">
        <v>51</v>
      </c>
      <c r="C36" s="158">
        <f>-C29</f>
        <v>-127042</v>
      </c>
      <c r="D36" s="150">
        <f aca="true" t="shared" si="11" ref="D36:O36">-SUM(D29)</f>
        <v>0</v>
      </c>
      <c r="E36" s="151">
        <f t="shared" si="11"/>
        <v>0</v>
      </c>
      <c r="F36" s="151">
        <f t="shared" si="11"/>
        <v>-720</v>
      </c>
      <c r="G36" s="151">
        <f t="shared" si="11"/>
        <v>-15000</v>
      </c>
      <c r="H36" s="151">
        <f t="shared" si="11"/>
        <v>0</v>
      </c>
      <c r="I36" s="151">
        <f t="shared" si="11"/>
        <v>0</v>
      </c>
      <c r="J36" s="151">
        <f t="shared" si="11"/>
        <v>-20000</v>
      </c>
      <c r="K36" s="151">
        <f t="shared" si="11"/>
        <v>-19601</v>
      </c>
      <c r="L36" s="151">
        <f t="shared" si="11"/>
        <v>-32610</v>
      </c>
      <c r="M36" s="151">
        <f t="shared" si="11"/>
        <v>-21150</v>
      </c>
      <c r="N36" s="151">
        <f>-SUM(N29)</f>
        <v>0</v>
      </c>
      <c r="O36" s="152">
        <f t="shared" si="11"/>
        <v>-17961</v>
      </c>
      <c r="P36" s="55">
        <f>SUM(D36:O36)</f>
        <v>-127042</v>
      </c>
      <c r="Q36" s="185"/>
    </row>
    <row r="37" spans="1:17" s="16" customFormat="1" ht="15" customHeight="1" thickBot="1">
      <c r="A37" s="57"/>
      <c r="B37" s="89" t="s">
        <v>54</v>
      </c>
      <c r="C37" s="140">
        <v>-380000</v>
      </c>
      <c r="D37" s="142">
        <f>$C$37/12</f>
        <v>-31666.666666666668</v>
      </c>
      <c r="E37" s="142">
        <f aca="true" t="shared" si="12" ref="E37:O37">$C$37/12</f>
        <v>-31666.666666666668</v>
      </c>
      <c r="F37" s="142">
        <f t="shared" si="12"/>
        <v>-31666.666666666668</v>
      </c>
      <c r="G37" s="142">
        <f t="shared" si="12"/>
        <v>-31666.666666666668</v>
      </c>
      <c r="H37" s="142">
        <f t="shared" si="12"/>
        <v>-31666.666666666668</v>
      </c>
      <c r="I37" s="142">
        <f t="shared" si="12"/>
        <v>-31666.666666666668</v>
      </c>
      <c r="J37" s="142">
        <f t="shared" si="12"/>
        <v>-31666.666666666668</v>
      </c>
      <c r="K37" s="142">
        <f t="shared" si="12"/>
        <v>-31666.666666666668</v>
      </c>
      <c r="L37" s="142">
        <f t="shared" si="12"/>
        <v>-31666.666666666668</v>
      </c>
      <c r="M37" s="142">
        <f t="shared" si="12"/>
        <v>-31666.666666666668</v>
      </c>
      <c r="N37" s="142">
        <f t="shared" si="12"/>
        <v>-31666.666666666668</v>
      </c>
      <c r="O37" s="142">
        <f t="shared" si="12"/>
        <v>-31666.666666666668</v>
      </c>
      <c r="P37" s="55">
        <f>SUM(D37:O37)</f>
        <v>-380000.00000000006</v>
      </c>
      <c r="Q37" s="185"/>
    </row>
    <row r="38" spans="1:17" s="16" customFormat="1" ht="10.5" customHeight="1" thickBot="1">
      <c r="A38" s="208" t="s">
        <v>37</v>
      </c>
      <c r="B38" s="209"/>
      <c r="C38" s="104">
        <f>SUM(C34:C37)</f>
        <v>48098767</v>
      </c>
      <c r="D38" s="58">
        <f>SUM(D34:D37)</f>
        <v>4640809.25</v>
      </c>
      <c r="E38" s="58">
        <f aca="true" t="shared" si="13" ref="E38:O38">SUM(E34:E37)</f>
        <v>2260097.2500000005</v>
      </c>
      <c r="F38" s="58">
        <f t="shared" si="13"/>
        <v>5919116.249999999</v>
      </c>
      <c r="G38" s="58">
        <f t="shared" si="13"/>
        <v>3134965.2500000005</v>
      </c>
      <c r="H38" s="58">
        <f t="shared" si="13"/>
        <v>2925958.2500000005</v>
      </c>
      <c r="I38" s="58">
        <f t="shared" si="13"/>
        <v>1247654.25</v>
      </c>
      <c r="J38" s="58">
        <f t="shared" si="13"/>
        <v>2800155.25</v>
      </c>
      <c r="K38" s="58">
        <f t="shared" si="13"/>
        <v>2235354.2500000005</v>
      </c>
      <c r="L38" s="58">
        <f t="shared" si="13"/>
        <v>4709142.249999999</v>
      </c>
      <c r="M38" s="58">
        <f t="shared" si="13"/>
        <v>7356953.249999999</v>
      </c>
      <c r="N38" s="58">
        <f t="shared" si="13"/>
        <v>4467478.25</v>
      </c>
      <c r="O38" s="58">
        <f t="shared" si="13"/>
        <v>6401083.25</v>
      </c>
      <c r="P38" s="104">
        <f>SUM(P34:P37)</f>
        <v>48098767</v>
      </c>
      <c r="Q38" s="185"/>
    </row>
  </sheetData>
  <sheetProtection/>
  <mergeCells count="20">
    <mergeCell ref="O5:O6"/>
    <mergeCell ref="P5:P6"/>
    <mergeCell ref="A7:B7"/>
    <mergeCell ref="K5:K6"/>
    <mergeCell ref="L5:L6"/>
    <mergeCell ref="M5:M6"/>
    <mergeCell ref="N5:N6"/>
    <mergeCell ref="G5:G6"/>
    <mergeCell ref="H5:H6"/>
    <mergeCell ref="I5:I6"/>
    <mergeCell ref="A38:B38"/>
    <mergeCell ref="A1:P1"/>
    <mergeCell ref="N2:P2"/>
    <mergeCell ref="N3:P3"/>
    <mergeCell ref="D4:O4"/>
    <mergeCell ref="J5:J6"/>
    <mergeCell ref="A5:B6"/>
    <mergeCell ref="D5:D6"/>
    <mergeCell ref="E5:E6"/>
    <mergeCell ref="F5:F6"/>
  </mergeCells>
  <printOptions horizontalCentered="1" verticalCentered="1"/>
  <pageMargins left="0.2" right="0.2" top="0.1968503937007874" bottom="0.1968503937007874" header="0.5118110236220472" footer="0.5118110236220472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novaki_g</dc:creator>
  <cp:keywords/>
  <dc:description/>
  <cp:lastModifiedBy>Harkai Gábor</cp:lastModifiedBy>
  <cp:lastPrinted>2018-05-31T08:17:03Z</cp:lastPrinted>
  <dcterms:created xsi:type="dcterms:W3CDTF">2009-02-16T12:26:31Z</dcterms:created>
  <dcterms:modified xsi:type="dcterms:W3CDTF">2018-12-05T12:53:15Z</dcterms:modified>
  <cp:category/>
  <cp:version/>
  <cp:contentType/>
  <cp:contentStatus/>
</cp:coreProperties>
</file>