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zárszámadás\Elfogadott rendelet\"/>
    </mc:Choice>
  </mc:AlternateContent>
  <bookViews>
    <workbookView xWindow="0" yWindow="0" windowWidth="15345" windowHeight="6135"/>
  </bookViews>
  <sheets>
    <sheet name="Működés 2017. évi zárszámadás" sheetId="9" r:id="rId1"/>
  </sheets>
  <definedNames>
    <definedName name="_xlnm.Print_Titles" localSheetId="0">'Működés 2017. évi zárszámadás'!$4:$11</definedName>
    <definedName name="_xlnm.Print_Area" localSheetId="0">'Működés 2017. évi zárszámadás'!$A$1:$I$471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8" i="9" l="1"/>
  <c r="G471" i="9" s="1"/>
  <c r="F468" i="9"/>
  <c r="H468" i="9" s="1"/>
  <c r="E468" i="9"/>
  <c r="E471" i="9" s="1"/>
  <c r="E37" i="9" s="1"/>
  <c r="H466" i="9"/>
  <c r="H465" i="9"/>
  <c r="G457" i="9"/>
  <c r="H457" i="9" s="1"/>
  <c r="F457" i="9"/>
  <c r="F459" i="9" s="1"/>
  <c r="F35" i="9" s="1"/>
  <c r="E457" i="9"/>
  <c r="E459" i="9" s="1"/>
  <c r="E35" i="9" s="1"/>
  <c r="H455" i="9"/>
  <c r="H451" i="9"/>
  <c r="E445" i="9"/>
  <c r="G443" i="9"/>
  <c r="G445" i="9" s="1"/>
  <c r="G33" i="9" s="1"/>
  <c r="F443" i="9"/>
  <c r="F445" i="9" s="1"/>
  <c r="F33" i="9" s="1"/>
  <c r="E443" i="9"/>
  <c r="H438" i="9"/>
  <c r="G430" i="9"/>
  <c r="G432" i="9" s="1"/>
  <c r="E430" i="9"/>
  <c r="H428" i="9"/>
  <c r="H427" i="9"/>
  <c r="H426" i="9"/>
  <c r="H425" i="9"/>
  <c r="H424" i="9"/>
  <c r="H423" i="9"/>
  <c r="H422" i="9"/>
  <c r="H421" i="9"/>
  <c r="H420" i="9"/>
  <c r="H419" i="9"/>
  <c r="F419" i="9"/>
  <c r="F418" i="9"/>
  <c r="H418" i="9" s="1"/>
  <c r="H417" i="9"/>
  <c r="F416" i="9"/>
  <c r="F430" i="9" s="1"/>
  <c r="H430" i="9" s="1"/>
  <c r="H415" i="9"/>
  <c r="H413" i="9"/>
  <c r="H411" i="9"/>
  <c r="H410" i="9"/>
  <c r="H409" i="9"/>
  <c r="H405" i="9"/>
  <c r="H403" i="9"/>
  <c r="H402" i="9"/>
  <c r="H401" i="9"/>
  <c r="G395" i="9"/>
  <c r="E395" i="9"/>
  <c r="E432" i="9" s="1"/>
  <c r="E31" i="9" s="1"/>
  <c r="H392" i="9"/>
  <c r="H391" i="9"/>
  <c r="H390" i="9"/>
  <c r="H389" i="9"/>
  <c r="F389" i="9"/>
  <c r="H387" i="9"/>
  <c r="F386" i="9"/>
  <c r="F395" i="9" s="1"/>
  <c r="H384" i="9"/>
  <c r="H382" i="9"/>
  <c r="H381" i="9"/>
  <c r="H380" i="9"/>
  <c r="H379" i="9"/>
  <c r="H378" i="9"/>
  <c r="H377" i="9"/>
  <c r="H375" i="9"/>
  <c r="H374" i="9"/>
  <c r="F374" i="9"/>
  <c r="H373" i="9"/>
  <c r="H371" i="9"/>
  <c r="H370" i="9"/>
  <c r="H369" i="9"/>
  <c r="H368" i="9"/>
  <c r="H367" i="9"/>
  <c r="H366" i="9"/>
  <c r="H365" i="9"/>
  <c r="H364" i="9"/>
  <c r="H363" i="9"/>
  <c r="G354" i="9"/>
  <c r="E354" i="9"/>
  <c r="E356" i="9" s="1"/>
  <c r="E29" i="9" s="1"/>
  <c r="H352" i="9"/>
  <c r="H351" i="9"/>
  <c r="H350" i="9"/>
  <c r="H349" i="9"/>
  <c r="H348" i="9"/>
  <c r="H347" i="9"/>
  <c r="H346" i="9"/>
  <c r="H345" i="9"/>
  <c r="H344" i="9"/>
  <c r="H343" i="9"/>
  <c r="H341" i="9"/>
  <c r="H340" i="9"/>
  <c r="H339" i="9"/>
  <c r="F338" i="9"/>
  <c r="F354" i="9" s="1"/>
  <c r="H354" i="9" s="1"/>
  <c r="H337" i="9"/>
  <c r="H335" i="9"/>
  <c r="H332" i="9"/>
  <c r="H331" i="9"/>
  <c r="H330" i="9"/>
  <c r="H329" i="9"/>
  <c r="F329" i="9"/>
  <c r="H328" i="9"/>
  <c r="H327" i="9"/>
  <c r="H325" i="9"/>
  <c r="G321" i="9"/>
  <c r="G356" i="9" s="1"/>
  <c r="F321" i="9"/>
  <c r="F356" i="9" s="1"/>
  <c r="F29" i="9" s="1"/>
  <c r="E321" i="9"/>
  <c r="H319" i="9"/>
  <c r="H317" i="9"/>
  <c r="H315" i="9"/>
  <c r="H314" i="9"/>
  <c r="H313" i="9"/>
  <c r="H312" i="9"/>
  <c r="H311" i="9"/>
  <c r="H310" i="9"/>
  <c r="G301" i="9"/>
  <c r="H301" i="9" s="1"/>
  <c r="F301" i="9"/>
  <c r="E301" i="9"/>
  <c r="H299" i="9"/>
  <c r="F298" i="9"/>
  <c r="H298" i="9" s="1"/>
  <c r="H297" i="9"/>
  <c r="H295" i="9"/>
  <c r="H294" i="9"/>
  <c r="H292" i="9"/>
  <c r="F292" i="9"/>
  <c r="F291" i="9"/>
  <c r="H291" i="9" s="1"/>
  <c r="H290" i="9"/>
  <c r="F290" i="9"/>
  <c r="H289" i="9"/>
  <c r="H287" i="9"/>
  <c r="H286" i="9"/>
  <c r="F286" i="9"/>
  <c r="H285" i="9"/>
  <c r="H284" i="9"/>
  <c r="H282" i="9"/>
  <c r="H280" i="9"/>
  <c r="H279" i="9"/>
  <c r="H278" i="9"/>
  <c r="H277" i="9"/>
  <c r="F277" i="9"/>
  <c r="H275" i="9"/>
  <c r="H274" i="9"/>
  <c r="H273" i="9"/>
  <c r="F273" i="9"/>
  <c r="G268" i="9"/>
  <c r="E268" i="9"/>
  <c r="E303" i="9" s="1"/>
  <c r="E27" i="9" s="1"/>
  <c r="H266" i="9"/>
  <c r="F264" i="9"/>
  <c r="H264" i="9" s="1"/>
  <c r="F263" i="9"/>
  <c r="H263" i="9" s="1"/>
  <c r="F262" i="9"/>
  <c r="H262" i="9" s="1"/>
  <c r="F261" i="9"/>
  <c r="H261" i="9" s="1"/>
  <c r="H260" i="9"/>
  <c r="H259" i="9"/>
  <c r="H257" i="9"/>
  <c r="G246" i="9"/>
  <c r="E246" i="9"/>
  <c r="H244" i="9"/>
  <c r="H243" i="9"/>
  <c r="H242" i="9"/>
  <c r="H240" i="9"/>
  <c r="H239" i="9"/>
  <c r="F238" i="9"/>
  <c r="H238" i="9" s="1"/>
  <c r="H237" i="9"/>
  <c r="F235" i="9"/>
  <c r="H235" i="9" s="1"/>
  <c r="H234" i="9"/>
  <c r="H233" i="9"/>
  <c r="H232" i="9"/>
  <c r="G226" i="9"/>
  <c r="G248" i="9" s="1"/>
  <c r="E226" i="9"/>
  <c r="E248" i="9" s="1"/>
  <c r="H224" i="9"/>
  <c r="F223" i="9"/>
  <c r="F226" i="9" s="1"/>
  <c r="G214" i="9"/>
  <c r="H214" i="9" s="1"/>
  <c r="E214" i="9"/>
  <c r="E216" i="9" s="1"/>
  <c r="E23" i="9" s="1"/>
  <c r="H212" i="9"/>
  <c r="H211" i="9"/>
  <c r="F210" i="9"/>
  <c r="H210" i="9" s="1"/>
  <c r="F209" i="9"/>
  <c r="H209" i="9" s="1"/>
  <c r="H208" i="9"/>
  <c r="H207" i="9"/>
  <c r="F206" i="9"/>
  <c r="H206" i="9" s="1"/>
  <c r="F204" i="9"/>
  <c r="H204" i="9" s="1"/>
  <c r="H202" i="9"/>
  <c r="H199" i="9"/>
  <c r="H198" i="9"/>
  <c r="H197" i="9"/>
  <c r="H196" i="9"/>
  <c r="F194" i="9"/>
  <c r="F214" i="9" s="1"/>
  <c r="E189" i="9"/>
  <c r="H187" i="9"/>
  <c r="G187" i="9"/>
  <c r="G189" i="9" s="1"/>
  <c r="H186" i="9"/>
  <c r="H185" i="9"/>
  <c r="F184" i="9"/>
  <c r="H183" i="9"/>
  <c r="F181" i="9"/>
  <c r="H181" i="9" s="1"/>
  <c r="H180" i="9"/>
  <c r="H178" i="9"/>
  <c r="H177" i="9"/>
  <c r="F175" i="9"/>
  <c r="H175" i="9" s="1"/>
  <c r="H173" i="9"/>
  <c r="G164" i="9"/>
  <c r="G47" i="9" s="1"/>
  <c r="E164" i="9"/>
  <c r="H162" i="9"/>
  <c r="F161" i="9"/>
  <c r="F164" i="9" s="1"/>
  <c r="H160" i="9"/>
  <c r="G156" i="9"/>
  <c r="H156" i="9" s="1"/>
  <c r="F156" i="9"/>
  <c r="E156" i="9"/>
  <c r="E166" i="9" s="1"/>
  <c r="E21" i="9" s="1"/>
  <c r="H153" i="9"/>
  <c r="H152" i="9"/>
  <c r="H144" i="9"/>
  <c r="G144" i="9"/>
  <c r="F144" i="9"/>
  <c r="E144" i="9"/>
  <c r="E146" i="9" s="1"/>
  <c r="E19" i="9" s="1"/>
  <c r="H142" i="9"/>
  <c r="H141" i="9"/>
  <c r="G137" i="9"/>
  <c r="G146" i="9" s="1"/>
  <c r="F137" i="9"/>
  <c r="F146" i="9" s="1"/>
  <c r="F19" i="9" s="1"/>
  <c r="E137" i="9"/>
  <c r="H135" i="9"/>
  <c r="H134" i="9"/>
  <c r="H133" i="9"/>
  <c r="H132" i="9"/>
  <c r="H131" i="9"/>
  <c r="H130" i="9"/>
  <c r="H129" i="9"/>
  <c r="F129" i="9"/>
  <c r="H128" i="9"/>
  <c r="H126" i="9"/>
  <c r="G118" i="9"/>
  <c r="E118" i="9"/>
  <c r="E120" i="9" s="1"/>
  <c r="H116" i="9"/>
  <c r="F116" i="9"/>
  <c r="F115" i="9"/>
  <c r="F118" i="9" s="1"/>
  <c r="H118" i="9" s="1"/>
  <c r="H114" i="9"/>
  <c r="F114" i="9"/>
  <c r="G110" i="9"/>
  <c r="G120" i="9" s="1"/>
  <c r="E110" i="9"/>
  <c r="H108" i="9"/>
  <c r="F107" i="9"/>
  <c r="H107" i="9" s="1"/>
  <c r="F106" i="9"/>
  <c r="H106" i="9" s="1"/>
  <c r="F105" i="9"/>
  <c r="H105" i="9" s="1"/>
  <c r="H104" i="9"/>
  <c r="F103" i="9"/>
  <c r="H103" i="9" s="1"/>
  <c r="G95" i="9"/>
  <c r="E95" i="9"/>
  <c r="H93" i="9"/>
  <c r="H92" i="9"/>
  <c r="H91" i="9"/>
  <c r="H90" i="9"/>
  <c r="H89" i="9"/>
  <c r="H88" i="9"/>
  <c r="F87" i="9"/>
  <c r="H87" i="9" s="1"/>
  <c r="H86" i="9"/>
  <c r="F86" i="9"/>
  <c r="F95" i="9" s="1"/>
  <c r="H84" i="9"/>
  <c r="H81" i="9"/>
  <c r="G76" i="9"/>
  <c r="G97" i="9" s="1"/>
  <c r="E76" i="9"/>
  <c r="E97" i="9" s="1"/>
  <c r="E15" i="9" s="1"/>
  <c r="H74" i="9"/>
  <c r="H73" i="9"/>
  <c r="H72" i="9"/>
  <c r="H71" i="9"/>
  <c r="H70" i="9"/>
  <c r="H69" i="9"/>
  <c r="H67" i="9"/>
  <c r="F66" i="9"/>
  <c r="H66" i="9" s="1"/>
  <c r="H65" i="9"/>
  <c r="H64" i="9"/>
  <c r="H63" i="9"/>
  <c r="H62" i="9"/>
  <c r="F61" i="9"/>
  <c r="H61" i="9" s="1"/>
  <c r="F60" i="9"/>
  <c r="H60" i="9" s="1"/>
  <c r="F59" i="9"/>
  <c r="H59" i="9" s="1"/>
  <c r="F58" i="9"/>
  <c r="H58" i="9" s="1"/>
  <c r="F57" i="9"/>
  <c r="H57" i="9" s="1"/>
  <c r="H54" i="9"/>
  <c r="H43" i="9"/>
  <c r="H42" i="9"/>
  <c r="H41" i="9"/>
  <c r="H40" i="9"/>
  <c r="C35" i="9"/>
  <c r="E33" i="9"/>
  <c r="C33" i="9"/>
  <c r="C31" i="9"/>
  <c r="G29" i="9"/>
  <c r="C29" i="9"/>
  <c r="C27" i="9"/>
  <c r="E25" i="9"/>
  <c r="C25" i="9"/>
  <c r="C23" i="9"/>
  <c r="C21" i="9"/>
  <c r="C19" i="9"/>
  <c r="E17" i="9"/>
  <c r="C17" i="9"/>
  <c r="C15" i="9"/>
  <c r="G15" i="9" l="1"/>
  <c r="H189" i="9"/>
  <c r="G216" i="9"/>
  <c r="H395" i="9"/>
  <c r="F432" i="9"/>
  <c r="F31" i="9" s="1"/>
  <c r="G37" i="9"/>
  <c r="H29" i="9"/>
  <c r="G17" i="9"/>
  <c r="G19" i="9"/>
  <c r="H19" i="9" s="1"/>
  <c r="H146" i="9"/>
  <c r="H356" i="9"/>
  <c r="H432" i="9"/>
  <c r="G31" i="9"/>
  <c r="H31" i="9" s="1"/>
  <c r="H33" i="9"/>
  <c r="G25" i="9"/>
  <c r="E39" i="9"/>
  <c r="E44" i="9" s="1"/>
  <c r="H95" i="9"/>
  <c r="F166" i="9"/>
  <c r="F21" i="9" s="1"/>
  <c r="E47" i="9"/>
  <c r="H161" i="9"/>
  <c r="G166" i="9"/>
  <c r="H226" i="9"/>
  <c r="G303" i="9"/>
  <c r="F76" i="9"/>
  <c r="H115" i="9"/>
  <c r="H137" i="9"/>
  <c r="H164" i="9"/>
  <c r="F189" i="9"/>
  <c r="F216" i="9" s="1"/>
  <c r="F23" i="9" s="1"/>
  <c r="H194" i="9"/>
  <c r="H321" i="9"/>
  <c r="H338" i="9"/>
  <c r="H416" i="9"/>
  <c r="F110" i="9"/>
  <c r="F120" i="9" s="1"/>
  <c r="F17" i="9" s="1"/>
  <c r="F246" i="9"/>
  <c r="F248" i="9" s="1"/>
  <c r="F268" i="9"/>
  <c r="F303" i="9" s="1"/>
  <c r="F27" i="9" s="1"/>
  <c r="G459" i="9"/>
  <c r="E46" i="9"/>
  <c r="H386" i="9"/>
  <c r="F471" i="9"/>
  <c r="F37" i="9" s="1"/>
  <c r="G46" i="9"/>
  <c r="F25" i="9" l="1"/>
  <c r="H25" i="9" s="1"/>
  <c r="H248" i="9"/>
  <c r="H76" i="9"/>
  <c r="F97" i="9"/>
  <c r="F46" i="9"/>
  <c r="H46" i="9" s="1"/>
  <c r="G27" i="9"/>
  <c r="H27" i="9" s="1"/>
  <c r="H303" i="9"/>
  <c r="F47" i="9"/>
  <c r="H47" i="9" s="1"/>
  <c r="H37" i="9"/>
  <c r="H216" i="9"/>
  <c r="G23" i="9"/>
  <c r="H23" i="9" s="1"/>
  <c r="H246" i="9"/>
  <c r="H268" i="9"/>
  <c r="H120" i="9"/>
  <c r="H471" i="9"/>
  <c r="G35" i="9"/>
  <c r="H35" i="9" s="1"/>
  <c r="H459" i="9"/>
  <c r="H110" i="9"/>
  <c r="H166" i="9"/>
  <c r="G21" i="9"/>
  <c r="H21" i="9" s="1"/>
  <c r="H17" i="9"/>
  <c r="F15" i="9" l="1"/>
  <c r="H97" i="9"/>
  <c r="G39" i="9"/>
  <c r="F39" i="9" l="1"/>
  <c r="F44" i="9" s="1"/>
  <c r="H15" i="9"/>
  <c r="G44" i="9"/>
  <c r="H39" i="9" l="1"/>
  <c r="H44" i="9"/>
</calcChain>
</file>

<file path=xl/sharedStrings.xml><?xml version="1.0" encoding="utf-8"?>
<sst xmlns="http://schemas.openxmlformats.org/spreadsheetml/2006/main" count="751" uniqueCount="544">
  <si>
    <t>Megnevezés</t>
  </si>
  <si>
    <t>01101435</t>
  </si>
  <si>
    <t>01101632</t>
  </si>
  <si>
    <t>01101633</t>
  </si>
  <si>
    <t>01104050</t>
  </si>
  <si>
    <t>01104052</t>
  </si>
  <si>
    <t>01104053</t>
  </si>
  <si>
    <t>01104055</t>
  </si>
  <si>
    <t>01104064</t>
  </si>
  <si>
    <t>01104065</t>
  </si>
  <si>
    <t>01104066</t>
  </si>
  <si>
    <t>01104067</t>
  </si>
  <si>
    <t>01104069</t>
  </si>
  <si>
    <t>01104071</t>
  </si>
  <si>
    <t>01104076</t>
  </si>
  <si>
    <t>01104077</t>
  </si>
  <si>
    <t>01104078</t>
  </si>
  <si>
    <t>01104079</t>
  </si>
  <si>
    <t>01104080</t>
  </si>
  <si>
    <t>01114001</t>
  </si>
  <si>
    <t>01114005</t>
  </si>
  <si>
    <t>01114008</t>
  </si>
  <si>
    <t>01114011</t>
  </si>
  <si>
    <t>01114012</t>
  </si>
  <si>
    <t>01114014</t>
  </si>
  <si>
    <t>01114016</t>
  </si>
  <si>
    <t>01114017</t>
  </si>
  <si>
    <t>01114018</t>
  </si>
  <si>
    <t>02102003</t>
  </si>
  <si>
    <t>02102004</t>
  </si>
  <si>
    <t>02102006</t>
  </si>
  <si>
    <t>02102007</t>
  </si>
  <si>
    <t>02102008</t>
  </si>
  <si>
    <t>02102009</t>
  </si>
  <si>
    <t>02102011</t>
  </si>
  <si>
    <t>02102019</t>
  </si>
  <si>
    <t>02102021</t>
  </si>
  <si>
    <t>03104003</t>
  </si>
  <si>
    <t>03104004</t>
  </si>
  <si>
    <t>03105002</t>
  </si>
  <si>
    <t>03105003</t>
  </si>
  <si>
    <t>03105008</t>
  </si>
  <si>
    <t>03105013</t>
  </si>
  <si>
    <t>03105015</t>
  </si>
  <si>
    <t>03105018</t>
  </si>
  <si>
    <t>03105019</t>
  </si>
  <si>
    <t>03105020</t>
  </si>
  <si>
    <t>04106001</t>
  </si>
  <si>
    <t>04106002</t>
  </si>
  <si>
    <t>04106005</t>
  </si>
  <si>
    <t>04106011</t>
  </si>
  <si>
    <t>04106020</t>
  </si>
  <si>
    <t>04106022</t>
  </si>
  <si>
    <t>05105053</t>
  </si>
  <si>
    <t>05105057</t>
  </si>
  <si>
    <t>05105206</t>
  </si>
  <si>
    <t>05105300</t>
  </si>
  <si>
    <t>05106102</t>
  </si>
  <si>
    <t>05106104</t>
  </si>
  <si>
    <t>05106105</t>
  </si>
  <si>
    <t>05106108</t>
  </si>
  <si>
    <t>05106110</t>
  </si>
  <si>
    <t>05106151</t>
  </si>
  <si>
    <t>05106252</t>
  </si>
  <si>
    <t>05106254</t>
  </si>
  <si>
    <t>05106256</t>
  </si>
  <si>
    <t>05106257</t>
  </si>
  <si>
    <t>05106258</t>
  </si>
  <si>
    <t>05106303</t>
  </si>
  <si>
    <t>05106402</t>
  </si>
  <si>
    <t>05106410</t>
  </si>
  <si>
    <t>05106424</t>
  </si>
  <si>
    <t>05106425</t>
  </si>
  <si>
    <t>05106439</t>
  </si>
  <si>
    <t>05106440</t>
  </si>
  <si>
    <t>05106450</t>
  </si>
  <si>
    <t>05106454</t>
  </si>
  <si>
    <t>06107004</t>
  </si>
  <si>
    <t>06107015</t>
  </si>
  <si>
    <t>06107017</t>
  </si>
  <si>
    <t>06107200</t>
  </si>
  <si>
    <t>06107204</t>
  </si>
  <si>
    <t>06107205</t>
  </si>
  <si>
    <t>06107208</t>
  </si>
  <si>
    <t>06107306</t>
  </si>
  <si>
    <t>06107307</t>
  </si>
  <si>
    <t>06107308</t>
  </si>
  <si>
    <t>06107323</t>
  </si>
  <si>
    <t>07108001</t>
  </si>
  <si>
    <t>07108002</t>
  </si>
  <si>
    <t>07108003</t>
  </si>
  <si>
    <t>07108016</t>
  </si>
  <si>
    <t>07108019</t>
  </si>
  <si>
    <t>07108200</t>
  </si>
  <si>
    <t>07108201</t>
  </si>
  <si>
    <t>07108202</t>
  </si>
  <si>
    <t>07108214</t>
  </si>
  <si>
    <t>07108215</t>
  </si>
  <si>
    <t>07108216</t>
  </si>
  <si>
    <t>07108217</t>
  </si>
  <si>
    <t>07108218</t>
  </si>
  <si>
    <t>07108220</t>
  </si>
  <si>
    <t>07108259</t>
  </si>
  <si>
    <t>07108302</t>
  </si>
  <si>
    <t>07108303</t>
  </si>
  <si>
    <t>07108305</t>
  </si>
  <si>
    <t>07108308</t>
  </si>
  <si>
    <t>07108341</t>
  </si>
  <si>
    <t>07108342</t>
  </si>
  <si>
    <t>07108343</t>
  </si>
  <si>
    <t>07108348</t>
  </si>
  <si>
    <t>07108358</t>
  </si>
  <si>
    <t>07108359</t>
  </si>
  <si>
    <t>07108361</t>
  </si>
  <si>
    <t>07108366</t>
  </si>
  <si>
    <t>07108411</t>
  </si>
  <si>
    <t>07108414</t>
  </si>
  <si>
    <t>08107001</t>
  </si>
  <si>
    <t>08107006</t>
  </si>
  <si>
    <t>08107010</t>
  </si>
  <si>
    <t>08107012</t>
  </si>
  <si>
    <t>08107015</t>
  </si>
  <si>
    <t>08107021</t>
  </si>
  <si>
    <t>08107050</t>
  </si>
  <si>
    <t>08107113</t>
  </si>
  <si>
    <t>08107116</t>
  </si>
  <si>
    <t>08107138</t>
  </si>
  <si>
    <t>08107139</t>
  </si>
  <si>
    <t>08107140</t>
  </si>
  <si>
    <t>08107141</t>
  </si>
  <si>
    <t>08107200</t>
  </si>
  <si>
    <t>08107300</t>
  </si>
  <si>
    <t>08107301</t>
  </si>
  <si>
    <t>08107303</t>
  </si>
  <si>
    <t>08107309</t>
  </si>
  <si>
    <t>08107310</t>
  </si>
  <si>
    <t>08107312</t>
  </si>
  <si>
    <t>08107313</t>
  </si>
  <si>
    <t>08107314</t>
  </si>
  <si>
    <t>08107317</t>
  </si>
  <si>
    <t>08107322</t>
  </si>
  <si>
    <t>08107326</t>
  </si>
  <si>
    <t>08107329</t>
  </si>
  <si>
    <t>08107330</t>
  </si>
  <si>
    <t>08107332</t>
  </si>
  <si>
    <t>08107335</t>
  </si>
  <si>
    <t>08107339</t>
  </si>
  <si>
    <t>10101003</t>
  </si>
  <si>
    <t>10105275</t>
  </si>
  <si>
    <t>10105276</t>
  </si>
  <si>
    <t>10105278</t>
  </si>
  <si>
    <t>10105279</t>
  </si>
  <si>
    <t>10105280</t>
  </si>
  <si>
    <t>10105281</t>
  </si>
  <si>
    <t>10105283</t>
  </si>
  <si>
    <t>10105284</t>
  </si>
  <si>
    <t>10105285</t>
  </si>
  <si>
    <t>10105300</t>
  </si>
  <si>
    <t>10105550</t>
  </si>
  <si>
    <t>10105552</t>
  </si>
  <si>
    <t>10105553</t>
  </si>
  <si>
    <t>10108024</t>
  </si>
  <si>
    <t>10108050</t>
  </si>
  <si>
    <t>10109010</t>
  </si>
  <si>
    <t>10109012</t>
  </si>
  <si>
    <t>10111100</t>
  </si>
  <si>
    <t>10111101</t>
  </si>
  <si>
    <t>10111116</t>
  </si>
  <si>
    <t>10111503</t>
  </si>
  <si>
    <t>10112352</t>
  </si>
  <si>
    <t>10112355</t>
  </si>
  <si>
    <t>10113058</t>
  </si>
  <si>
    <t>10113071</t>
  </si>
  <si>
    <t>10113072</t>
  </si>
  <si>
    <t>10113073</t>
  </si>
  <si>
    <t>10113085</t>
  </si>
  <si>
    <t>10113461</t>
  </si>
  <si>
    <t>10113463</t>
  </si>
  <si>
    <t>10113464</t>
  </si>
  <si>
    <t>10113469</t>
  </si>
  <si>
    <t>10113470</t>
  </si>
  <si>
    <t>10113471</t>
  </si>
  <si>
    <t>10113472</t>
  </si>
  <si>
    <t>10113473</t>
  </si>
  <si>
    <t>10113475</t>
  </si>
  <si>
    <t>10113478</t>
  </si>
  <si>
    <t>10113483</t>
  </si>
  <si>
    <t>10113489</t>
  </si>
  <si>
    <t>10113494</t>
  </si>
  <si>
    <t>10113496</t>
  </si>
  <si>
    <t>10113500</t>
  </si>
  <si>
    <t>10113515</t>
  </si>
  <si>
    <t>11105001</t>
  </si>
  <si>
    <t>11105005</t>
  </si>
  <si>
    <t>11105015</t>
  </si>
  <si>
    <t>14000000</t>
  </si>
  <si>
    <t>19100000</t>
  </si>
  <si>
    <t>19100001</t>
  </si>
  <si>
    <t>AZ ÖNKORMÁNYZAT 2017. ÉVI KIADÁSAINAK</t>
  </si>
  <si>
    <t>Ft-ban</t>
  </si>
  <si>
    <t>A</t>
  </si>
  <si>
    <t>B</t>
  </si>
  <si>
    <t>C</t>
  </si>
  <si>
    <t>D</t>
  </si>
  <si>
    <t>E</t>
  </si>
  <si>
    <t>F</t>
  </si>
  <si>
    <t>G</t>
  </si>
  <si>
    <t>Feladat</t>
  </si>
  <si>
    <t>Előirányzat</t>
  </si>
  <si>
    <t>Megjegyzés</t>
  </si>
  <si>
    <t>ügylet</t>
  </si>
  <si>
    <t>Eredeti</t>
  </si>
  <si>
    <t>Módosított</t>
  </si>
  <si>
    <t>öszege</t>
  </si>
  <si>
    <t>%-a</t>
  </si>
  <si>
    <t>(előirányzat változások)</t>
  </si>
  <si>
    <t>kódja</t>
  </si>
  <si>
    <t xml:space="preserve"> </t>
  </si>
  <si>
    <t>Funkciók összesen</t>
  </si>
  <si>
    <t>Miskolc Térségi Konzorcium működéséhez kapcsolódó kiadások</t>
  </si>
  <si>
    <t>ÖNKORMÁNYZAT MŰKÖDÉS ÖSSZESEN</t>
  </si>
  <si>
    <t>FELUJITÁS ÖSSZESEN</t>
  </si>
  <si>
    <t>FELÚJÍTÁSOKHOZ KAPCS. MŰKÖDÉSI KIADÁS ÖSSZESEN</t>
  </si>
  <si>
    <t>BERUHÁZÁS ÖSSZESEN</t>
  </si>
  <si>
    <t>BERUHÁZÁSOKHOZ KAPCS. MŰKÖDÉSI KIADÁS ÖSSZESEN</t>
  </si>
  <si>
    <t>ÖNKORMÁNYZAT MINDÖSSZESEN</t>
  </si>
  <si>
    <t>Ebből:</t>
  </si>
  <si>
    <t xml:space="preserve"> - Kötelezően ellátandó feladatok</t>
  </si>
  <si>
    <t xml:space="preserve"> - Önként vállalt feladatok</t>
  </si>
  <si>
    <t>Városüzemeltetés</t>
  </si>
  <si>
    <t>Kötelezően ellátandó feladatok:</t>
  </si>
  <si>
    <t>01101101-</t>
  </si>
  <si>
    <t>Társaságok támogatása</t>
  </si>
  <si>
    <t xml:space="preserve"> - Miskolci Városgazda Nonprofit Kft. támogatása:</t>
  </si>
  <si>
    <t xml:space="preserve">    - Miskolci Állatkert és Kulturpark működési támogatás</t>
  </si>
  <si>
    <t xml:space="preserve">    - Állategészségügyi telep üzemeltetése</t>
  </si>
  <si>
    <t xml:space="preserve">    - Start közmunka program önrésze</t>
  </si>
  <si>
    <t xml:space="preserve">    - Önkormányzati közfoglalkoztatás önrésze</t>
  </si>
  <si>
    <t xml:space="preserve">    - Városgazda Nonprofit Kft. működési támogatás</t>
  </si>
  <si>
    <t xml:space="preserve"> - MVK Zrt. működési támogatás (önkormányzati)</t>
  </si>
  <si>
    <t xml:space="preserve"> - MVK Zrt. működési támogatás (állami)</t>
  </si>
  <si>
    <t xml:space="preserve"> - MVK Zrt. visszamenőleges közszolgáltatói ellentételezés 2008-2013. évekre</t>
  </si>
  <si>
    <t xml:space="preserve"> - MVK Zrt. közszolgáltatói ellentételezés 2014.</t>
  </si>
  <si>
    <t xml:space="preserve"> - MIVÍZ Kft. települési folyékony hulladék elszállításához kapcsolódó támogatás</t>
  </si>
  <si>
    <t>Parkoltatási szolgáltatással kapcsolatos kiadások:</t>
  </si>
  <si>
    <t xml:space="preserve">   - Építményekért fizetendő bérleti díj</t>
  </si>
  <si>
    <t xml:space="preserve">   - Parkoltatási üzemeltetési kiadás</t>
  </si>
  <si>
    <t xml:space="preserve">   - Parkoltatási célú területek bérleti díja</t>
  </si>
  <si>
    <t>Főépítészi, településrendezési feladatok</t>
  </si>
  <si>
    <t>Gispán bővítése építmény nyilvántartó alrendszerrel</t>
  </si>
  <si>
    <t>I. világháborús hadisírok és emlékművekkel kapcsolatos kiadások</t>
  </si>
  <si>
    <t>Kötelezően ellátandó feladatok összesen</t>
  </si>
  <si>
    <t>Önként vállalt feladatok:</t>
  </si>
  <si>
    <t xml:space="preserve">   - Választókerületi feladatok</t>
  </si>
  <si>
    <t xml:space="preserve"> - Miskolci Turisztikai Kft. támogatása:</t>
  </si>
  <si>
    <t xml:space="preserve">   - Selyemréti Strandfürdő működési támogatás</t>
  </si>
  <si>
    <t xml:space="preserve">   - Miskolc-Tapolcai Strandfürdő úszómedence, kiszolgáló létesítmények működési támogatás</t>
  </si>
  <si>
    <t>Társadalmi együttműködés erősítése (TOP támogatás)</t>
  </si>
  <si>
    <t xml:space="preserve"> - Szociális városrehabilitáció - Avas szoft programok folytatása (TOP támogatás)</t>
  </si>
  <si>
    <t xml:space="preserve"> - Társadalmi integrációt elősegítő beavatkozások a Vasgyárban (TOP támogatás)</t>
  </si>
  <si>
    <t>Smartimpact projekt (Urbact III)</t>
  </si>
  <si>
    <t>TRAM projekt (Interreg Europe)</t>
  </si>
  <si>
    <t>Önként vállalt feladatok összesen</t>
  </si>
  <si>
    <t>Városüzemeltetés mindösszesen</t>
  </si>
  <si>
    <t>Környezetvédelem</t>
  </si>
  <si>
    <t>Levegőtisztaságvédelem</t>
  </si>
  <si>
    <t>Hulladékgazdálkodás</t>
  </si>
  <si>
    <t>Tudatformálás</t>
  </si>
  <si>
    <t>Épített és természeti környezet védelme</t>
  </si>
  <si>
    <t>Helyi Környezetvédelmi Alap Célelőirányzat</t>
  </si>
  <si>
    <t>Zaj, rezgésvédelem</t>
  </si>
  <si>
    <t xml:space="preserve">Energiagazdálkodás  </t>
  </si>
  <si>
    <t>Green City programmal kapcsolatos feladatok</t>
  </si>
  <si>
    <t>ICLEI tagdíj</t>
  </si>
  <si>
    <t>Környezetvédelem mindösszesen</t>
  </si>
  <si>
    <t>Vagyongazdálkodás</t>
  </si>
  <si>
    <t>Különféle kártalanítások</t>
  </si>
  <si>
    <t xml:space="preserve"> - Bérleményszolgáltatás kiadásai</t>
  </si>
  <si>
    <t xml:space="preserve"> - Ingatlanértékesítés kiadásai</t>
  </si>
  <si>
    <t xml:space="preserve"> - Bérleményszolgáltatással kapcsolatos befizetendő ÁFA</t>
  </si>
  <si>
    <t xml:space="preserve"> - PPP lakások bérleti díja ÁFA kiadás</t>
  </si>
  <si>
    <t>ÁFA kiadás (önkormányzati)</t>
  </si>
  <si>
    <t>Kártalanításhoz, kisajátításhoz kapcsolódó költségek</t>
  </si>
  <si>
    <t>Szociális bérlakásokkal összefüggő követelésvásárláshoz kapcsolódó egyéb kiadások</t>
  </si>
  <si>
    <t>Egyéb vagyongazdálkodással kapcsolatos költségek</t>
  </si>
  <si>
    <t>Önkormányzati vagyon biztosításával kapcsolatos kiadások</t>
  </si>
  <si>
    <t>Vagyongazdálkodás mindösszesen</t>
  </si>
  <si>
    <t>Egészségügy</t>
  </si>
  <si>
    <t>Egészségügyi alapellátás működtetése</t>
  </si>
  <si>
    <t>Foglalkozás egészségügyi szolgáltatás</t>
  </si>
  <si>
    <t>Orvosi műhiba perek miatti kártérítés</t>
  </si>
  <si>
    <t>Drogambulancia működtetés támogatás (Drogambulancia Alapítvány)</t>
  </si>
  <si>
    <t>Lelkisegély Szolgálat támogatása (Miskolci Lelkisegély Telefonszolgálatért Alapítvány)</t>
  </si>
  <si>
    <t>Fertőző agyhártyagyulladás elleni védőoltás támogatása</t>
  </si>
  <si>
    <t>Egészségügy mindösszesen</t>
  </si>
  <si>
    <t>Szociális</t>
  </si>
  <si>
    <t>Lakhatást elősegítő támogatások:</t>
  </si>
  <si>
    <t xml:space="preserve"> - "Sikeres Magyarországért" Panel Plusz hitelprogram</t>
  </si>
  <si>
    <t>Krízis helyzetben lévők számára nyújtott támogatások:</t>
  </si>
  <si>
    <t xml:space="preserve"> - Rendkívüli települési támogatás</t>
  </si>
  <si>
    <t>Gyermekneveléshez, tanulás elősegítéséhez nyújtott támogatások:</t>
  </si>
  <si>
    <t xml:space="preserve"> - Rászoruló gyermekek intézményen kívüli szünidei étkeztetésének támogatása</t>
  </si>
  <si>
    <t>Hajléktalan ellátást biztosító szervezetek támogatása:</t>
  </si>
  <si>
    <t xml:space="preserve"> - Minorita Rend támogatása (népkonyha)</t>
  </si>
  <si>
    <t xml:space="preserve"> - Hajléktalanok ellátását biztosító szervezetek támogatása</t>
  </si>
  <si>
    <t>Egyéb szociális feladatok:</t>
  </si>
  <si>
    <t xml:space="preserve"> - Közköltséges temetés</t>
  </si>
  <si>
    <t xml:space="preserve"> - Kedvezményes bölcsődei intézményi étkeztetés</t>
  </si>
  <si>
    <t xml:space="preserve"> - Segélyek postaköltsége</t>
  </si>
  <si>
    <t xml:space="preserve"> - Miskolc Környéki Önkormányzati Társulás - Miskolci Egyesített Szociális és Gyermekjóléti Intézmény </t>
  </si>
  <si>
    <t xml:space="preserve"> - Miskolc Környéki Önkormányzati Társulás tagdíj</t>
  </si>
  <si>
    <t xml:space="preserve"> - Települési támogatás lakásfenntartás kiadásaihoz</t>
  </si>
  <si>
    <t xml:space="preserve"> - Gyermekétkeztetési támogatás</t>
  </si>
  <si>
    <t xml:space="preserve"> - Alsó tagozatos tanulók kedvezményes utaztatása</t>
  </si>
  <si>
    <t xml:space="preserve"> - Ifjúságvédelmi támogatás</t>
  </si>
  <si>
    <t xml:space="preserve"> - Fiatalok önálló életkezdési támogatása (Start számla - Babakötvény)</t>
  </si>
  <si>
    <t xml:space="preserve">Egészségi állapot megőrzéséhez és helyreállításához </t>
  </si>
  <si>
    <t>kapcsolódó kiadások csökkentéséhez nyújtott támogatások:</t>
  </si>
  <si>
    <t xml:space="preserve"> - Települési támogatás gyógyszerkiadások viseléséhez</t>
  </si>
  <si>
    <t>Civil szervezetek támogatása:</t>
  </si>
  <si>
    <t xml:space="preserve"> - Szociális feladatot ellátó civil szervezetek támogatása</t>
  </si>
  <si>
    <t xml:space="preserve"> - Társadalmi felzárkóztatás</t>
  </si>
  <si>
    <t xml:space="preserve"> - A Miskolci Családokért és Segítőkért Alapítvány működésének támogatása</t>
  </si>
  <si>
    <t xml:space="preserve"> - Salkaházi Sára Miskolc program</t>
  </si>
  <si>
    <t xml:space="preserve"> - Lyukóvölgyi szociális célú épületek működtetése</t>
  </si>
  <si>
    <t xml:space="preserve"> - Szociális munka napja</t>
  </si>
  <si>
    <t xml:space="preserve"> - Magyar Máltai Szeretetszolgálat jelenlét programok</t>
  </si>
  <si>
    <t xml:space="preserve"> - Szociális infrastruktúra fejlesztése</t>
  </si>
  <si>
    <t>Szociális mindösszesen</t>
  </si>
  <si>
    <t>Oktatás</t>
  </si>
  <si>
    <t>Kötött felhasználású kiadások:</t>
  </si>
  <si>
    <t xml:space="preserve"> - Kedvezményes óvodai, iskolai, kollégiumi étkeztetés</t>
  </si>
  <si>
    <t>Ifjúságpolitikával kapcsolatos feladatok:</t>
  </si>
  <si>
    <t xml:space="preserve"> - Mozgássérült óvodás és általános iskolás gyermekek szállítása:</t>
  </si>
  <si>
    <t xml:space="preserve">   - Magyar Máltai Szeretetszolgálat Egyesület</t>
  </si>
  <si>
    <t xml:space="preserve">   - Szimbiózis Alapítvány</t>
  </si>
  <si>
    <t xml:space="preserve"> - Célpont Ifjúsági Információs és Tanácsadó Iroda működtetése</t>
  </si>
  <si>
    <t xml:space="preserve"> - Óvodatej akció</t>
  </si>
  <si>
    <t>Egyéb feladatok:</t>
  </si>
  <si>
    <t xml:space="preserve"> - Miskolci Felnőttképző Központ Közhasznú Nonprofit Kft. működéséhez hozzájárulás</t>
  </si>
  <si>
    <t xml:space="preserve"> - Idősügyi Tanács</t>
  </si>
  <si>
    <t xml:space="preserve"> - Kiváló teljesítményt nyújtó tanulók elismerése</t>
  </si>
  <si>
    <t xml:space="preserve"> - Miskolc Városi Diákönkormányzat támogatása</t>
  </si>
  <si>
    <t xml:space="preserve"> - Helyi identitást és kohéziót erősítő önkormányzati programok (TOP támogatás)</t>
  </si>
  <si>
    <t>Oktatás mindösszesen</t>
  </si>
  <si>
    <t>Kulturális és idegenforgalmi feladatok</t>
  </si>
  <si>
    <t>Kulturális feladatok</t>
  </si>
  <si>
    <t>Rendezvények támogatása:</t>
  </si>
  <si>
    <t xml:space="preserve"> - Városi ünnepek</t>
  </si>
  <si>
    <t>Kulturális szervezetek támogatása:</t>
  </si>
  <si>
    <t xml:space="preserve"> - CINE-MIS Nonprofit Kft. működési támogatása</t>
  </si>
  <si>
    <t xml:space="preserve"> - CINE-MIS Nonprofit Kft. kölcsön biztosítása</t>
  </si>
  <si>
    <t xml:space="preserve"> - Miskolci Nemzeti Színház Nonprofit Kft. támogatása</t>
  </si>
  <si>
    <t xml:space="preserve"> - Miskolci Csodamalom Bábszínház Nonprofit Kft. támogatása</t>
  </si>
  <si>
    <t xml:space="preserve"> - Miskolci Szimfonikus Zenekar Nonprofit Kft. támogatása</t>
  </si>
  <si>
    <t xml:space="preserve"> - Miskolci Kulturális Központ Nonprofit Kft. támogatása</t>
  </si>
  <si>
    <t xml:space="preserve"> - "Bartók + …" Miskolci Nemzetközi Operafesztivál (Miskolci Operafesztivál Nonprofit Kft.)</t>
  </si>
  <si>
    <t xml:space="preserve"> - Kulturális rendezvények támogatása</t>
  </si>
  <si>
    <t xml:space="preserve"> - Határon túli kulturális és idegenforgalmi feladatok</t>
  </si>
  <si>
    <t xml:space="preserve"> - Miskolci Kommunikációs Nonprofit Kft. működtetés támogatása</t>
  </si>
  <si>
    <t xml:space="preserve"> - MIDMAR Nonprofit Kft. működési támogatása</t>
  </si>
  <si>
    <t xml:space="preserve"> - Szinvavölgyi Néptáncegyüttes támogatása</t>
  </si>
  <si>
    <t>Egyéb kulturális feladatok:</t>
  </si>
  <si>
    <t xml:space="preserve"> - Szakértői díjak</t>
  </si>
  <si>
    <t xml:space="preserve"> - Művészeti és tudományos ösztöndíjak</t>
  </si>
  <si>
    <t xml:space="preserve"> - Város által alapított díjak</t>
  </si>
  <si>
    <t xml:space="preserve"> - Miskolc város védett síremlékei</t>
  </si>
  <si>
    <t xml:space="preserve"> - Feledy Gyula grafikus művész életjáradék</t>
  </si>
  <si>
    <t xml:space="preserve"> - Szlovák Nemzetiségi Önkormányzat Bükkszentlászló Közösségi ház működési támogatás</t>
  </si>
  <si>
    <t xml:space="preserve"> - Kiemelt történelmi évfordulók</t>
  </si>
  <si>
    <t xml:space="preserve"> - Szász Endréné életjáradéka</t>
  </si>
  <si>
    <t xml:space="preserve"> - Touch Info tornyok üzemeltetése</t>
  </si>
  <si>
    <t xml:space="preserve"> - Kárpát-medence népképviseletei gyűjtemény őrzése, tárolása (Lézerpont Stúdió Kft.)</t>
  </si>
  <si>
    <t xml:space="preserve"> - Miskolc-Tapolca gyógyhellyé nyilvánítása</t>
  </si>
  <si>
    <t xml:space="preserve"> - "Felvirrad még Magyarország" c. portréfilm</t>
  </si>
  <si>
    <t>Idegenforgalmi feladatok</t>
  </si>
  <si>
    <t xml:space="preserve"> - Idegenforgalmi Alap</t>
  </si>
  <si>
    <t xml:space="preserve"> - Idegenforgalmi kapcsolatok és kiadványok</t>
  </si>
  <si>
    <t xml:space="preserve"> - Városmarketing</t>
  </si>
  <si>
    <t>Kulturális és idegenforgalmi feladatok összesen:</t>
  </si>
  <si>
    <t>Sport</t>
  </si>
  <si>
    <t>Sportlétesítmények üzemeltetése:</t>
  </si>
  <si>
    <t xml:space="preserve"> - Miskolc Városi Sportiskola Nonprofit Kft. kiadásai:</t>
  </si>
  <si>
    <t xml:space="preserve">    - működési támogatás (sportutánpótlás képzés)</t>
  </si>
  <si>
    <t xml:space="preserve">    - kötelező úszásoktatás</t>
  </si>
  <si>
    <t xml:space="preserve"> - DSM Nonprofit Kft. működési támogatás</t>
  </si>
  <si>
    <t xml:space="preserve"> - Miskolc Városi Szabadidőközpont Nonprofit Kft. működési támogatás</t>
  </si>
  <si>
    <t xml:space="preserve"> - Kemény Dénes Városi Sportuszoda működési támogatás</t>
  </si>
  <si>
    <t xml:space="preserve"> - Diósgyőri Uszoda üzemeltetése</t>
  </si>
  <si>
    <t>Miskolci Sportcentrum Kft. kiadásai:</t>
  </si>
  <si>
    <t xml:space="preserve"> - Sportlétesítmények üzemeltetése</t>
  </si>
  <si>
    <t xml:space="preserve"> - Diáksport támogatása (Miskolc Városi Diáksport Szövetség)</t>
  </si>
  <si>
    <t>Miskolci Sportcentrum Kft. működési támogatás</t>
  </si>
  <si>
    <t xml:space="preserve"> - Barátság Maraton</t>
  </si>
  <si>
    <t xml:space="preserve"> - Bükki Hegyi Maraton</t>
  </si>
  <si>
    <t xml:space="preserve"> - Hazai, nemzetközi szabadidős és sportrendezvények támogatása</t>
  </si>
  <si>
    <t xml:space="preserve"> - Előre nem tervezhető, hazai, nemzetközi szabadidős és sportrendezvények támogatása</t>
  </si>
  <si>
    <t xml:space="preserve"> - Tour De Hongrie kerékpáros körverseny</t>
  </si>
  <si>
    <t xml:space="preserve"> - Egyetemi Kosárlabda EB</t>
  </si>
  <si>
    <t>Városi szinten kiemelt egyesületek létesítményhasználati és versenyez-</t>
  </si>
  <si>
    <t>tetésének támogatása:</t>
  </si>
  <si>
    <t xml:space="preserve"> - Egyesületi támogatások (Egyéni olimpiai sportágak)</t>
  </si>
  <si>
    <t>Kiemelt egyesületi támogatások:</t>
  </si>
  <si>
    <t xml:space="preserve"> - DVTK labdarúgás</t>
  </si>
  <si>
    <t xml:space="preserve"> - Miskolci Jegesmedvék</t>
  </si>
  <si>
    <t xml:space="preserve"> - DVTK kosárlabda támogatása</t>
  </si>
  <si>
    <t xml:space="preserve"> - Miskolci Vízilabda Club</t>
  </si>
  <si>
    <t xml:space="preserve"> - Miskolci Vénusz Futsal</t>
  </si>
  <si>
    <t xml:space="preserve"> - Sport Mecénás Alap</t>
  </si>
  <si>
    <t xml:space="preserve"> - MVSC Sporttelep működtetési támogatása</t>
  </si>
  <si>
    <t xml:space="preserve"> - Eredményes miskolci sportolókkal kapcsolatos díjazások, támogatások</t>
  </si>
  <si>
    <t xml:space="preserve"> - 2016/2017. TAO Sportfejlesztési Program pályázatok önrésze</t>
  </si>
  <si>
    <t xml:space="preserve"> - Hiszek Benned Sport Program I.</t>
  </si>
  <si>
    <t xml:space="preserve"> - Eredményességi támogatás</t>
  </si>
  <si>
    <t xml:space="preserve"> - Sportesemények díjazása</t>
  </si>
  <si>
    <t xml:space="preserve"> - 2015/2016. TAO Sportfejlesztési Program pályázatok önrésze</t>
  </si>
  <si>
    <t xml:space="preserve"> - Tájékozódási Futó VB (egyetem)</t>
  </si>
  <si>
    <t>Sport összesen:</t>
  </si>
  <si>
    <t>Központilag kezelt  feladatok</t>
  </si>
  <si>
    <t>Nemzetiségi önkormányzatok támogatása</t>
  </si>
  <si>
    <t xml:space="preserve"> - Bolgár</t>
  </si>
  <si>
    <t xml:space="preserve"> - Görög</t>
  </si>
  <si>
    <t xml:space="preserve"> - Lengyel</t>
  </si>
  <si>
    <t xml:space="preserve"> - Német</t>
  </si>
  <si>
    <t xml:space="preserve"> - Örmény</t>
  </si>
  <si>
    <t xml:space="preserve"> - Roma</t>
  </si>
  <si>
    <t xml:space="preserve"> - Ruszin</t>
  </si>
  <si>
    <t xml:space="preserve"> - Szlovák</t>
  </si>
  <si>
    <t xml:space="preserve"> - Ukrán</t>
  </si>
  <si>
    <t>Közbiztonsági és rendvédelmi feladatok:</t>
  </si>
  <si>
    <t xml:space="preserve"> - Közbiztonság, polgárőrség  támogatása</t>
  </si>
  <si>
    <t xml:space="preserve"> - Közbiztonság és közrend védelmével összefüggő feladatok támogatása</t>
  </si>
  <si>
    <t xml:space="preserve"> - Közbiztonsági megelőzés, védekezés, helyreállítási feladatok</t>
  </si>
  <si>
    <t xml:space="preserve"> - Képviselők juttatása</t>
  </si>
  <si>
    <t xml:space="preserve"> - Elszámolás az államháztartással</t>
  </si>
  <si>
    <t xml:space="preserve"> - Államháztartáson belüli megelőlegezések</t>
  </si>
  <si>
    <t xml:space="preserve"> - Szolidaritási hozzájárulás</t>
  </si>
  <si>
    <t xml:space="preserve"> - Önkormányzati intézmények, Polgármesteri Hivatal és a nemzetiségi önkormányzatok közfoglalkoztatása</t>
  </si>
  <si>
    <t>10109001-</t>
  </si>
  <si>
    <t xml:space="preserve"> - Általános igazgatási tevékenység kiadásai</t>
  </si>
  <si>
    <t xml:space="preserve"> - Önkormányzatnál foglalkoztatottak kiadásai</t>
  </si>
  <si>
    <t>10112353-</t>
  </si>
  <si>
    <t xml:space="preserve"> - Tisztségviselők juttatásai és járulékai</t>
  </si>
  <si>
    <t xml:space="preserve"> - Informatikai feladatok ellátása (Miskolc Holding Zrt.)</t>
  </si>
  <si>
    <t xml:space="preserve"> - Közétkeztetéssel összefüggő feladatok kiadásai</t>
  </si>
  <si>
    <t xml:space="preserve"> - Azonosítás alatt álló tételek</t>
  </si>
  <si>
    <t>Különböző alapok támogatása:</t>
  </si>
  <si>
    <t xml:space="preserve"> - Mecénási Alap</t>
  </si>
  <si>
    <t xml:space="preserve">   - Kulturális rendezvények és feladatok támogatása</t>
  </si>
  <si>
    <t xml:space="preserve">   - Bizottság által felosztható</t>
  </si>
  <si>
    <t>10113051-</t>
  </si>
  <si>
    <t xml:space="preserve">   - Polgármesteri</t>
  </si>
  <si>
    <t>10112090-</t>
  </si>
  <si>
    <t xml:space="preserve"> - Választókerületi Alap</t>
  </si>
  <si>
    <t>10112119</t>
  </si>
  <si>
    <t xml:space="preserve">Különböző szervezetek támogatása, költséghozzájárulások, </t>
  </si>
  <si>
    <t>tagdíjak:</t>
  </si>
  <si>
    <t xml:space="preserve"> - Megyei Jogú Városok Szövetsége tagdíj</t>
  </si>
  <si>
    <t xml:space="preserve"> - Civil szervezetek támogatása</t>
  </si>
  <si>
    <t xml:space="preserve"> - Magyar Bortelepülések Szövetsége éves tagdíj</t>
  </si>
  <si>
    <t>Ifjúságpolitikai feladatok</t>
  </si>
  <si>
    <t xml:space="preserve"> - Testvérvárosi kapcsolatok</t>
  </si>
  <si>
    <t xml:space="preserve"> - Esélyegyenlőségi feladatok</t>
  </si>
  <si>
    <t xml:space="preserve"> - Közbeszerzési tevékenység ellátásával összefüggő kiadások</t>
  </si>
  <si>
    <t xml:space="preserve"> - "Visegrádi Négyek az Európai Unióban" Testvérvárosi Találkozó</t>
  </si>
  <si>
    <t xml:space="preserve"> - Önkormányzati alapítású közalapítványok támogatása</t>
  </si>
  <si>
    <t xml:space="preserve"> - Médiakampányok</t>
  </si>
  <si>
    <t xml:space="preserve"> - PR feladatok</t>
  </si>
  <si>
    <t xml:space="preserve"> - Nyugdíjas klubok támogatása</t>
  </si>
  <si>
    <t xml:space="preserve"> - 2017. évi egyszeri juttatás kiadásai </t>
  </si>
  <si>
    <t xml:space="preserve"> - Miskolc Megyei Jogú Város Foglalkoztatási Paktum Programja (TOP támogatás)</t>
  </si>
  <si>
    <t xml:space="preserve"> - Adomány Fazekas testvérek részére</t>
  </si>
  <si>
    <t xml:space="preserve"> - Nemzetközi tevékenység</t>
  </si>
  <si>
    <t>Központilag kezelt feladatok mindösszesen</t>
  </si>
  <si>
    <t>Tartalékok</t>
  </si>
  <si>
    <t>Általános tartalék</t>
  </si>
  <si>
    <t>Céltartalék:</t>
  </si>
  <si>
    <t xml:space="preserve"> - iparűzési adóval összefüggő</t>
  </si>
  <si>
    <t>Tartalékok mindösszesen</t>
  </si>
  <si>
    <t>Adósságszolgálat</t>
  </si>
  <si>
    <t>11105010-</t>
  </si>
  <si>
    <t>Hiteltörlesztés</t>
  </si>
  <si>
    <t>11105014</t>
  </si>
  <si>
    <t>11105020-</t>
  </si>
  <si>
    <t>11105025</t>
  </si>
  <si>
    <t>Kamatfizetés</t>
  </si>
  <si>
    <t>Adósságszolgálat összesen</t>
  </si>
  <si>
    <t>Miskolc Térségi Konzorcium működéséhez kapcsolódó ÁFA kiadás</t>
  </si>
  <si>
    <t>Miskolc Térségi Konzorcium működéséhez kapcsolódó</t>
  </si>
  <si>
    <t>kiadások összesen</t>
  </si>
  <si>
    <t>Óvodai nevelőmunkát segítő foglalkoztatottak kiegészítő támogatása</t>
  </si>
  <si>
    <t>Ifjúságpolitikával kapcsolatos feladatok</t>
  </si>
  <si>
    <t>Mikulásvonat költségeihez hozzájárulás</t>
  </si>
  <si>
    <t xml:space="preserve"> - Miskolc Megyei Jogú Város ASP Központhoz való csatlakozása</t>
  </si>
  <si>
    <t xml:space="preserve"> - Garanciákkal, biztosítékokkal kapcsolatos visszafizetések</t>
  </si>
  <si>
    <t xml:space="preserve"> - Minimálbér és garantált bérminimum emelés és a szociális hozzájárulási adó csökkentés hatásának kompenzációja</t>
  </si>
  <si>
    <t xml:space="preserve"> - Kárpátaljai magyar lakosság támogatása</t>
  </si>
  <si>
    <t>10113502</t>
  </si>
  <si>
    <t xml:space="preserve"> - Önkormányzati peres kifizetések</t>
  </si>
  <si>
    <t>01104075</t>
  </si>
  <si>
    <t xml:space="preserve"> - MIVÍZ Kft. támogatása (lakossági ivóvíz- és csatorna szolgáltatás állami támogatás)</t>
  </si>
  <si>
    <t>05105010</t>
  </si>
  <si>
    <t xml:space="preserve"> - Rendszeres gyermekvédelmi kedvezményhez kapcsolódó pénzbeli támogatás Erzsébet utalványként adott természetbeni ellátás támogatása</t>
  </si>
  <si>
    <t>07108219</t>
  </si>
  <si>
    <t xml:space="preserve"> - MIDMAR Nonprofit Kft. részére pótbefizetés</t>
  </si>
  <si>
    <t>I-XII. havi teljesítés</t>
  </si>
  <si>
    <t>Miskolc Térségi Konzorcium  ÁFA megtérítés</t>
  </si>
  <si>
    <t>061073071</t>
  </si>
  <si>
    <t xml:space="preserve">      - "Legyünk együtt, Tegyünk együtt" (TOP támogatás)</t>
  </si>
  <si>
    <t>061073072</t>
  </si>
  <si>
    <t xml:space="preserve">      - Városrészi együtthatók (TOP támogatás)</t>
  </si>
  <si>
    <t>061073073</t>
  </si>
  <si>
    <t xml:space="preserve">      - Miskolc Te vagy! (TOP támogatás)</t>
  </si>
  <si>
    <t>07108306</t>
  </si>
  <si>
    <t xml:space="preserve"> - II. Rákóczi Ferenc Megyei és Városi Könyvtár visszatérítendő támogatás</t>
  </si>
  <si>
    <t>08107340</t>
  </si>
  <si>
    <t xml:space="preserve"> - 2017/2018. évi TAO Sportfejlesztési Program pályázatok önrésze</t>
  </si>
  <si>
    <t>03105009</t>
  </si>
  <si>
    <t>10113519</t>
  </si>
  <si>
    <t xml:space="preserve"> - Rendkívüli önkormányzati támogatás - Műszakpótlék bérintézkedés jogcím</t>
  </si>
  <si>
    <t>I-XII. havi pénzügyi teljesítése</t>
  </si>
  <si>
    <t>Ráépült a maradvány, belső átcsoportosítás</t>
  </si>
  <si>
    <t>Ráépült a maradvány</t>
  </si>
  <si>
    <t>Bevétellel fedezett</t>
  </si>
  <si>
    <t>2016. évi maradvány</t>
  </si>
  <si>
    <t>2016. évi maradvány, belső átcsoportosítás</t>
  </si>
  <si>
    <t>Belső átcsoportosítás</t>
  </si>
  <si>
    <t>2016. évi maradvány, bevétellel fedezett, belső átcsoportosítás</t>
  </si>
  <si>
    <t>Bevétellel fedezett, belső átcsoportosítás, intézményhez lebontva</t>
  </si>
  <si>
    <t>Ráépült a maradvány, belső átcsoportosítás, bevétellel fedezett</t>
  </si>
  <si>
    <t>Ráépült a maradvány, belső átcsoportosítás, intézményhez lebontva</t>
  </si>
  <si>
    <t>Intézményhez lebontva</t>
  </si>
  <si>
    <t>Ráépült a maradvány, bevétellel fedezett</t>
  </si>
  <si>
    <t>2016. évi maradvány, bevétellel fedezett</t>
  </si>
  <si>
    <t>Ráépült a maradvány, bevétellel fedezett, belső átcsoportosítás</t>
  </si>
  <si>
    <t>Belső átcsoportosítás, bevétellel fedezett</t>
  </si>
  <si>
    <t>Ráépült a maradvány, belső átcsoportosítás, intézményhez lebontva, bevétellel fedezett</t>
  </si>
  <si>
    <t>Belső átcsoportosítás, intézményhez lebontva</t>
  </si>
  <si>
    <t>Belső átcsoportosítás, bevétellel fedezett, intézményhez lebontva</t>
  </si>
  <si>
    <t>Bevétellel fedezett, belső átcsoportosítás</t>
  </si>
  <si>
    <t>Városüzemeltetési feladatok (5.1. melléklet)</t>
  </si>
  <si>
    <t>Miskolc Holding Zrt-hez kapcsolódó kiadások:</t>
  </si>
  <si>
    <t xml:space="preserve"> - Fiatalok első lakáshoz jutásának pénzügyi támogatása</t>
  </si>
  <si>
    <t>5. melléklet Az Önkormányzat 2017. évi zárszámadásáról szóló 4/2018.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</si>
</sst>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0"/>
      <color indexed="64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9" fillId="0" borderId="0"/>
  </cellStyleXfs>
  <cellXfs count="448">
    <xf numFmtId="0" fontId="0" fillId="0" borderId="0" xfId="0"/>
    <xf numFmtId="49" fontId="2" fillId="0" borderId="0" xfId="0" applyNumberFormat="1" applyFont="1" applyAlignment="1"/>
    <xf numFmtId="0" fontId="2" fillId="0" borderId="0" xfId="0" applyFont="1" applyAlignment="1"/>
    <xf numFmtId="3" fontId="2" fillId="0" borderId="0" xfId="0" applyNumberFormat="1" applyFont="1" applyAlignment="1"/>
    <xf numFmtId="49" fontId="2" fillId="0" borderId="0" xfId="0" applyNumberFormat="1" applyFont="1" applyAlignment="1">
      <alignment horizontal="centerContinuous" wrapText="1"/>
    </xf>
    <xf numFmtId="3" fontId="3" fillId="0" borderId="0" xfId="0" applyNumberFormat="1" applyFont="1" applyAlignment="1">
      <alignment horizontal="centerContinuous" wrapText="1"/>
    </xf>
    <xf numFmtId="49" fontId="4" fillId="0" borderId="0" xfId="0" applyNumberFormat="1" applyFont="1" applyAlignment="1">
      <alignment horizontal="centerContinuous" wrapText="1"/>
    </xf>
    <xf numFmtId="0" fontId="2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3" fontId="2" fillId="0" borderId="0" xfId="0" applyNumberFormat="1" applyFont="1" applyAlignment="1">
      <alignment horizontal="centerContinuous" wrapText="1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49" fontId="6" fillId="0" borderId="1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/>
    <xf numFmtId="0" fontId="2" fillId="0" borderId="6" xfId="0" applyFont="1" applyBorder="1" applyAlignment="1"/>
    <xf numFmtId="0" fontId="2" fillId="0" borderId="42" xfId="0" applyFont="1" applyBorder="1" applyAlignment="1"/>
    <xf numFmtId="3" fontId="2" fillId="0" borderId="13" xfId="0" applyNumberFormat="1" applyFont="1" applyBorder="1" applyAlignment="1"/>
    <xf numFmtId="49" fontId="2" fillId="0" borderId="24" xfId="0" applyNumberFormat="1" applyFont="1" applyBorder="1" applyAlignment="1"/>
    <xf numFmtId="0" fontId="2" fillId="0" borderId="24" xfId="0" applyFont="1" applyBorder="1" applyAlignment="1"/>
    <xf numFmtId="0" fontId="2" fillId="0" borderId="44" xfId="0" applyFont="1" applyBorder="1" applyAlignment="1"/>
    <xf numFmtId="3" fontId="2" fillId="0" borderId="26" xfId="0" applyNumberFormat="1" applyFont="1" applyBorder="1" applyAlignment="1"/>
    <xf numFmtId="49" fontId="2" fillId="0" borderId="46" xfId="0" applyNumberFormat="1" applyFont="1" applyBorder="1" applyAlignment="1"/>
    <xf numFmtId="0" fontId="2" fillId="0" borderId="46" xfId="0" applyFont="1" applyBorder="1" applyAlignment="1"/>
    <xf numFmtId="0" fontId="2" fillId="0" borderId="47" xfId="0" applyFont="1" applyBorder="1" applyAlignment="1"/>
    <xf numFmtId="3" fontId="2" fillId="0" borderId="48" xfId="0" applyNumberFormat="1" applyFont="1" applyBorder="1" applyAlignment="1"/>
    <xf numFmtId="49" fontId="2" fillId="0" borderId="12" xfId="0" applyNumberFormat="1" applyFont="1" applyBorder="1" applyAlignment="1"/>
    <xf numFmtId="49" fontId="2" fillId="0" borderId="51" xfId="0" applyNumberFormat="1" applyFont="1" applyBorder="1" applyAlignment="1"/>
    <xf numFmtId="49" fontId="2" fillId="0" borderId="24" xfId="0" quotePrefix="1" applyNumberFormat="1" applyFont="1" applyBorder="1" applyAlignment="1"/>
    <xf numFmtId="49" fontId="2" fillId="3" borderId="30" xfId="0" applyNumberFormat="1" applyFont="1" applyFill="1" applyBorder="1" applyAlignment="1"/>
    <xf numFmtId="49" fontId="2" fillId="0" borderId="30" xfId="0" applyNumberFormat="1" applyFont="1" applyFill="1" applyBorder="1" applyAlignment="1"/>
    <xf numFmtId="49" fontId="2" fillId="3" borderId="51" xfId="0" applyNumberFormat="1" applyFont="1" applyFill="1" applyBorder="1" applyAlignment="1"/>
    <xf numFmtId="49" fontId="2" fillId="3" borderId="24" xfId="0" applyNumberFormat="1" applyFont="1" applyFill="1" applyBorder="1" applyAlignment="1"/>
    <xf numFmtId="49" fontId="3" fillId="0" borderId="59" xfId="0" applyNumberFormat="1" applyFont="1" applyBorder="1" applyAlignment="1"/>
    <xf numFmtId="49" fontId="2" fillId="4" borderId="24" xfId="0" applyNumberFormat="1" applyFont="1" applyFill="1" applyBorder="1" applyAlignment="1"/>
    <xf numFmtId="49" fontId="2" fillId="4" borderId="30" xfId="0" applyNumberFormat="1" applyFont="1" applyFill="1" applyBorder="1" applyAlignment="1"/>
    <xf numFmtId="49" fontId="2" fillId="4" borderId="51" xfId="0" applyNumberFormat="1" applyFont="1" applyFill="1" applyBorder="1" applyAlignment="1"/>
    <xf numFmtId="49" fontId="2" fillId="4" borderId="12" xfId="0" applyNumberFormat="1" applyFont="1" applyFill="1" applyBorder="1" applyAlignment="1"/>
    <xf numFmtId="49" fontId="2" fillId="0" borderId="30" xfId="0" applyNumberFormat="1" applyFont="1" applyBorder="1" applyAlignment="1"/>
    <xf numFmtId="0" fontId="7" fillId="0" borderId="12" xfId="0" applyFont="1" applyBorder="1" applyAlignment="1">
      <alignment horizontal="left"/>
    </xf>
    <xf numFmtId="0" fontId="2" fillId="0" borderId="12" xfId="0" applyFont="1" applyBorder="1" applyAlignment="1"/>
    <xf numFmtId="0" fontId="2" fillId="0" borderId="42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4" borderId="12" xfId="0" applyFont="1" applyFill="1" applyBorder="1" applyAlignment="1"/>
    <xf numFmtId="0" fontId="2" fillId="4" borderId="42" xfId="0" applyFont="1" applyFill="1" applyBorder="1" applyAlignment="1">
      <alignment horizontal="left"/>
    </xf>
    <xf numFmtId="3" fontId="2" fillId="4" borderId="13" xfId="0" applyNumberFormat="1" applyFont="1" applyFill="1" applyBorder="1" applyAlignment="1"/>
    <xf numFmtId="0" fontId="3" fillId="0" borderId="42" xfId="0" applyFont="1" applyBorder="1" applyAlignment="1">
      <alignment horizontal="left"/>
    </xf>
    <xf numFmtId="3" fontId="2" fillId="0" borderId="53" xfId="0" applyNumberFormat="1" applyFont="1" applyBorder="1" applyAlignment="1"/>
    <xf numFmtId="3" fontId="2" fillId="0" borderId="32" xfId="0" applyNumberFormat="1" applyFont="1" applyBorder="1" applyAlignment="1"/>
    <xf numFmtId="0" fontId="2" fillId="0" borderId="12" xfId="0" applyFont="1" applyBorder="1" applyAlignment="1">
      <alignment horizontal="left"/>
    </xf>
    <xf numFmtId="49" fontId="3" fillId="0" borderId="12" xfId="0" applyNumberFormat="1" applyFont="1" applyBorder="1" applyAlignment="1"/>
    <xf numFmtId="49" fontId="2" fillId="0" borderId="12" xfId="0" applyNumberFormat="1" applyFont="1" applyFill="1" applyBorder="1" applyAlignment="1"/>
    <xf numFmtId="0" fontId="3" fillId="0" borderId="42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42" xfId="0" applyFont="1" applyFill="1" applyBorder="1" applyAlignment="1"/>
    <xf numFmtId="49" fontId="2" fillId="0" borderId="30" xfId="0" quotePrefix="1" applyNumberFormat="1" applyFont="1" applyBorder="1" applyAlignment="1"/>
    <xf numFmtId="0" fontId="2" fillId="0" borderId="30" xfId="0" applyFont="1" applyBorder="1" applyAlignment="1"/>
    <xf numFmtId="0" fontId="2" fillId="0" borderId="58" xfId="0" applyFont="1" applyBorder="1" applyAlignment="1">
      <alignment horizontal="left"/>
    </xf>
    <xf numFmtId="0" fontId="2" fillId="0" borderId="51" xfId="0" applyFont="1" applyBorder="1" applyAlignment="1"/>
    <xf numFmtId="0" fontId="2" fillId="0" borderId="52" xfId="0" applyFont="1" applyBorder="1" applyAlignment="1">
      <alignment horizontal="left"/>
    </xf>
    <xf numFmtId="0" fontId="3" fillId="4" borderId="12" xfId="0" applyFont="1" applyFill="1" applyBorder="1" applyAlignment="1"/>
    <xf numFmtId="0" fontId="3" fillId="4" borderId="42" xfId="0" applyFont="1" applyFill="1" applyBorder="1" applyAlignment="1">
      <alignment horizontal="left"/>
    </xf>
    <xf numFmtId="3" fontId="3" fillId="4" borderId="13" xfId="0" applyNumberFormat="1" applyFont="1" applyFill="1" applyBorder="1" applyAlignment="1"/>
    <xf numFmtId="49" fontId="8" fillId="0" borderId="12" xfId="0" applyNumberFormat="1" applyFont="1" applyBorder="1" applyAlignment="1"/>
    <xf numFmtId="0" fontId="8" fillId="0" borderId="42" xfId="0" applyFont="1" applyBorder="1" applyAlignment="1"/>
    <xf numFmtId="0" fontId="9" fillId="0" borderId="12" xfId="0" applyFont="1" applyBorder="1" applyAlignment="1"/>
    <xf numFmtId="0" fontId="9" fillId="0" borderId="42" xfId="0" applyFont="1" applyBorder="1" applyAlignment="1"/>
    <xf numFmtId="0" fontId="9" fillId="0" borderId="42" xfId="0" applyFont="1" applyFill="1" applyBorder="1" applyAlignment="1"/>
    <xf numFmtId="0" fontId="9" fillId="0" borderId="24" xfId="0" applyFont="1" applyBorder="1" applyAlignment="1"/>
    <xf numFmtId="0" fontId="9" fillId="0" borderId="51" xfId="0" applyFont="1" applyBorder="1" applyAlignment="1"/>
    <xf numFmtId="0" fontId="9" fillId="0" borderId="52" xfId="0" applyFont="1" applyBorder="1" applyAlignment="1"/>
    <xf numFmtId="0" fontId="9" fillId="0" borderId="30" xfId="0" applyFont="1" applyBorder="1" applyAlignment="1"/>
    <xf numFmtId="0" fontId="2" fillId="0" borderId="58" xfId="0" applyFont="1" applyBorder="1" applyAlignment="1"/>
    <xf numFmtId="49" fontId="2" fillId="3" borderId="12" xfId="0" quotePrefix="1" applyNumberFormat="1" applyFont="1" applyFill="1" applyBorder="1" applyAlignment="1">
      <alignment horizontal="left"/>
    </xf>
    <xf numFmtId="49" fontId="10" fillId="3" borderId="12" xfId="0" quotePrefix="1" applyNumberFormat="1" applyFont="1" applyFill="1" applyBorder="1" applyAlignment="1">
      <alignment horizontal="left"/>
    </xf>
    <xf numFmtId="0" fontId="10" fillId="0" borderId="12" xfId="0" applyFont="1" applyBorder="1" applyAlignment="1"/>
    <xf numFmtId="0" fontId="10" fillId="0" borderId="42" xfId="0" applyFont="1" applyBorder="1" applyAlignment="1">
      <alignment horizontal="left"/>
    </xf>
    <xf numFmtId="3" fontId="10" fillId="0" borderId="13" xfId="0" applyNumberFormat="1" applyFont="1" applyBorder="1" applyAlignment="1"/>
    <xf numFmtId="0" fontId="9" fillId="0" borderId="42" xfId="0" applyFont="1" applyBorder="1" applyAlignment="1">
      <alignment horizontal="left"/>
    </xf>
    <xf numFmtId="49" fontId="2" fillId="3" borderId="51" xfId="0" applyNumberFormat="1" applyFont="1" applyFill="1" applyBorder="1" applyAlignment="1">
      <alignment horizontal="left"/>
    </xf>
    <xf numFmtId="0" fontId="9" fillId="0" borderId="52" xfId="0" applyFont="1" applyBorder="1" applyAlignment="1">
      <alignment horizontal="left"/>
    </xf>
    <xf numFmtId="0" fontId="9" fillId="0" borderId="65" xfId="0" applyFont="1" applyFill="1" applyBorder="1" applyAlignment="1"/>
    <xf numFmtId="49" fontId="2" fillId="0" borderId="51" xfId="0" applyNumberFormat="1" applyFont="1" applyBorder="1" applyAlignment="1">
      <alignment horizontal="left"/>
    </xf>
    <xf numFmtId="49" fontId="3" fillId="4" borderId="12" xfId="0" applyNumberFormat="1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42" xfId="0" applyFont="1" applyFill="1" applyBorder="1" applyAlignment="1">
      <alignment horizontal="left" vertical="center"/>
    </xf>
    <xf numFmtId="3" fontId="3" fillId="4" borderId="13" xfId="0" applyNumberFormat="1" applyFont="1" applyFill="1" applyBorder="1" applyAlignment="1">
      <alignment vertical="center"/>
    </xf>
    <xf numFmtId="49" fontId="2" fillId="0" borderId="12" xfId="0" quotePrefix="1" applyNumberFormat="1" applyFont="1" applyBorder="1" applyAlignment="1"/>
    <xf numFmtId="0" fontId="9" fillId="0" borderId="1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2" xfId="0" applyFont="1" applyBorder="1" applyAlignment="1"/>
    <xf numFmtId="49" fontId="3" fillId="4" borderId="12" xfId="0" applyNumberFormat="1" applyFont="1" applyFill="1" applyBorder="1" applyAlignment="1"/>
    <xf numFmtId="0" fontId="7" fillId="0" borderId="12" xfId="0" applyFont="1" applyBorder="1" applyAlignment="1"/>
    <xf numFmtId="0" fontId="11" fillId="0" borderId="12" xfId="0" applyFont="1" applyBorder="1" applyAlignment="1">
      <alignment horizontal="left"/>
    </xf>
    <xf numFmtId="0" fontId="9" fillId="0" borderId="52" xfId="0" applyFont="1" applyFill="1" applyBorder="1" applyAlignment="1"/>
    <xf numFmtId="49" fontId="2" fillId="0" borderId="66" xfId="0" applyNumberFormat="1" applyFont="1" applyBorder="1" applyAlignment="1"/>
    <xf numFmtId="0" fontId="9" fillId="0" borderId="66" xfId="0" applyFont="1" applyBorder="1" applyAlignment="1"/>
    <xf numFmtId="0" fontId="2" fillId="0" borderId="67" xfId="0" applyFont="1" applyBorder="1" applyAlignment="1">
      <alignment horizontal="left"/>
    </xf>
    <xf numFmtId="3" fontId="2" fillId="0" borderId="68" xfId="0" applyNumberFormat="1" applyFont="1" applyBorder="1" applyAlignment="1"/>
    <xf numFmtId="49" fontId="2" fillId="0" borderId="51" xfId="0" applyNumberFormat="1" applyFont="1" applyFill="1" applyBorder="1" applyAlignment="1"/>
    <xf numFmtId="49" fontId="2" fillId="0" borderId="51" xfId="0" quotePrefix="1" applyNumberFormat="1" applyFont="1" applyBorder="1" applyAlignment="1"/>
    <xf numFmtId="164" fontId="2" fillId="0" borderId="28" xfId="0" applyNumberFormat="1" applyFont="1" applyBorder="1" applyAlignment="1"/>
    <xf numFmtId="164" fontId="2" fillId="0" borderId="17" xfId="0" applyNumberFormat="1" applyFont="1" applyBorder="1" applyAlignment="1"/>
    <xf numFmtId="164" fontId="2" fillId="0" borderId="33" xfId="0" applyNumberFormat="1" applyFont="1" applyBorder="1" applyAlignment="1"/>
    <xf numFmtId="164" fontId="2" fillId="0" borderId="55" xfId="0" applyNumberFormat="1" applyFont="1" applyBorder="1" applyAlignment="1"/>
    <xf numFmtId="164" fontId="6" fillId="0" borderId="1" xfId="0" applyNumberFormat="1" applyFont="1" applyBorder="1" applyAlignment="1">
      <alignment horizontal="center"/>
    </xf>
    <xf numFmtId="164" fontId="2" fillId="0" borderId="0" xfId="0" applyNumberFormat="1" applyFont="1" applyAlignment="1"/>
    <xf numFmtId="164" fontId="2" fillId="0" borderId="0" xfId="0" applyNumberFormat="1" applyFont="1" applyAlignment="1">
      <alignment horizontal="centerContinuous" wrapText="1"/>
    </xf>
    <xf numFmtId="164" fontId="4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>
      <alignment horizontal="right"/>
    </xf>
    <xf numFmtId="164" fontId="2" fillId="0" borderId="16" xfId="0" applyNumberFormat="1" applyFont="1" applyBorder="1" applyAlignment="1"/>
    <xf numFmtId="164" fontId="2" fillId="4" borderId="17" xfId="0" applyNumberFormat="1" applyFont="1" applyFill="1" applyBorder="1" applyAlignment="1"/>
    <xf numFmtId="164" fontId="3" fillId="4" borderId="17" xfId="0" applyNumberFormat="1" applyFont="1" applyFill="1" applyBorder="1" applyAlignment="1"/>
    <xf numFmtId="164" fontId="3" fillId="4" borderId="17" xfId="0" applyNumberFormat="1" applyFont="1" applyFill="1" applyBorder="1" applyAlignment="1">
      <alignment vertical="center"/>
    </xf>
    <xf numFmtId="164" fontId="2" fillId="0" borderId="70" xfId="0" applyNumberFormat="1" applyFont="1" applyBorder="1" applyAlignment="1"/>
    <xf numFmtId="164" fontId="2" fillId="0" borderId="17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12" fillId="0" borderId="0" xfId="0" applyFont="1" applyAlignment="1"/>
    <xf numFmtId="0" fontId="2" fillId="2" borderId="0" xfId="0" applyFont="1" applyFill="1" applyAlignment="1"/>
    <xf numFmtId="3" fontId="2" fillId="2" borderId="0" xfId="0" applyNumberFormat="1" applyFont="1" applyFill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0" fontId="2" fillId="4" borderId="0" xfId="0" applyFont="1" applyFill="1" applyBorder="1" applyAlignment="1"/>
    <xf numFmtId="0" fontId="2" fillId="3" borderId="0" xfId="0" applyFont="1" applyFill="1" applyAlignment="1"/>
    <xf numFmtId="0" fontId="2" fillId="4" borderId="0" xfId="0" applyFont="1" applyFill="1" applyAlignment="1"/>
    <xf numFmtId="0" fontId="3" fillId="0" borderId="0" xfId="0" applyFont="1" applyAlignment="1"/>
    <xf numFmtId="0" fontId="8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Alignment="1"/>
    <xf numFmtId="0" fontId="3" fillId="4" borderId="0" xfId="0" applyFont="1" applyFill="1" applyBorder="1" applyAlignment="1"/>
    <xf numFmtId="0" fontId="2" fillId="0" borderId="24" xfId="0" applyFont="1" applyBorder="1" applyAlignment="1">
      <alignment horizontal="left"/>
    </xf>
    <xf numFmtId="49" fontId="2" fillId="3" borderId="30" xfId="0" quotePrefix="1" applyNumberFormat="1" applyFont="1" applyFill="1" applyBorder="1" applyAlignment="1"/>
    <xf numFmtId="49" fontId="2" fillId="2" borderId="30" xfId="0" applyNumberFormat="1" applyFont="1" applyFill="1" applyBorder="1" applyAlignment="1"/>
    <xf numFmtId="0" fontId="2" fillId="3" borderId="24" xfId="0" applyFont="1" applyFill="1" applyBorder="1" applyAlignment="1"/>
    <xf numFmtId="0" fontId="2" fillId="3" borderId="44" xfId="0" applyFont="1" applyFill="1" applyBorder="1" applyAlignment="1"/>
    <xf numFmtId="3" fontId="2" fillId="3" borderId="26" xfId="0" applyNumberFormat="1" applyFont="1" applyFill="1" applyBorder="1" applyAlignment="1"/>
    <xf numFmtId="49" fontId="2" fillId="2" borderId="24" xfId="0" applyNumberFormat="1" applyFont="1" applyFill="1" applyBorder="1" applyAlignment="1"/>
    <xf numFmtId="3" fontId="2" fillId="2" borderId="26" xfId="0" applyNumberFormat="1" applyFont="1" applyFill="1" applyBorder="1" applyAlignment="1"/>
    <xf numFmtId="49" fontId="2" fillId="0" borderId="24" xfId="0" applyNumberFormat="1" applyFont="1" applyFill="1" applyBorder="1" applyAlignment="1"/>
    <xf numFmtId="0" fontId="2" fillId="0" borderId="24" xfId="0" applyFont="1" applyFill="1" applyBorder="1" applyAlignment="1"/>
    <xf numFmtId="0" fontId="2" fillId="0" borderId="44" xfId="0" applyFont="1" applyFill="1" applyBorder="1" applyAlignment="1"/>
    <xf numFmtId="0" fontId="2" fillId="0" borderId="30" xfId="0" applyFont="1" applyFill="1" applyBorder="1" applyAlignment="1"/>
    <xf numFmtId="0" fontId="2" fillId="0" borderId="58" xfId="0" applyFont="1" applyFill="1" applyBorder="1" applyAlignment="1"/>
    <xf numFmtId="0" fontId="2" fillId="0" borderId="44" xfId="0" applyFont="1" applyBorder="1" applyAlignment="1">
      <alignment wrapText="1"/>
    </xf>
    <xf numFmtId="0" fontId="2" fillId="0" borderId="44" xfId="0" applyFont="1" applyFill="1" applyBorder="1" applyAlignment="1">
      <alignment horizontal="left"/>
    </xf>
    <xf numFmtId="0" fontId="2" fillId="0" borderId="44" xfId="0" applyFont="1" applyBorder="1" applyAlignment="1">
      <alignment horizontal="left" wrapText="1"/>
    </xf>
    <xf numFmtId="0" fontId="2" fillId="0" borderId="58" xfId="0" applyFont="1" applyBorder="1" applyAlignment="1">
      <alignment horizontal="left" wrapText="1"/>
    </xf>
    <xf numFmtId="49" fontId="2" fillId="3" borderId="24" xfId="0" quotePrefix="1" applyNumberFormat="1" applyFont="1" applyFill="1" applyBorder="1" applyAlignment="1">
      <alignment horizontal="left"/>
    </xf>
    <xf numFmtId="49" fontId="2" fillId="3" borderId="24" xfId="0" applyNumberFormat="1" applyFont="1" applyFill="1" applyBorder="1" applyAlignment="1">
      <alignment horizontal="left"/>
    </xf>
    <xf numFmtId="49" fontId="2" fillId="3" borderId="30" xfId="0" applyNumberFormat="1" applyFont="1" applyFill="1" applyBorder="1" applyAlignment="1">
      <alignment horizontal="left"/>
    </xf>
    <xf numFmtId="0" fontId="2" fillId="0" borderId="58" xfId="0" applyFont="1" applyBorder="1" applyAlignment="1">
      <alignment wrapText="1"/>
    </xf>
    <xf numFmtId="49" fontId="2" fillId="0" borderId="24" xfId="0" applyNumberFormat="1" applyFont="1" applyFill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2" fillId="0" borderId="42" xfId="0" applyFont="1" applyBorder="1" applyAlignment="1">
      <alignment horizontal="left" wrapText="1"/>
    </xf>
    <xf numFmtId="0" fontId="2" fillId="2" borderId="51" xfId="0" applyFont="1" applyFill="1" applyBorder="1" applyAlignment="1">
      <alignment horizontal="left"/>
    </xf>
    <xf numFmtId="0" fontId="2" fillId="2" borderId="52" xfId="0" applyFont="1" applyFill="1" applyBorder="1" applyAlignment="1">
      <alignment horizontal="left" wrapText="1"/>
    </xf>
    <xf numFmtId="3" fontId="2" fillId="0" borderId="26" xfId="0" applyNumberFormat="1" applyFont="1" applyFill="1" applyBorder="1" applyAlignment="1"/>
    <xf numFmtId="3" fontId="13" fillId="4" borderId="13" xfId="0" applyNumberFormat="1" applyFont="1" applyFill="1" applyBorder="1" applyAlignment="1"/>
    <xf numFmtId="3" fontId="3" fillId="0" borderId="0" xfId="0" applyNumberFormat="1" applyFont="1" applyAlignment="1">
      <alignment vertical="center"/>
    </xf>
    <xf numFmtId="3" fontId="2" fillId="2" borderId="32" xfId="0" applyNumberFormat="1" applyFont="1" applyFill="1" applyBorder="1" applyAlignment="1"/>
    <xf numFmtId="3" fontId="2" fillId="2" borderId="29" xfId="0" applyNumberFormat="1" applyFont="1" applyFill="1" applyBorder="1" applyAlignment="1"/>
    <xf numFmtId="49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3" fontId="2" fillId="2" borderId="13" xfId="0" applyNumberFormat="1" applyFont="1" applyFill="1" applyBorder="1" applyAlignment="1"/>
    <xf numFmtId="164" fontId="2" fillId="2" borderId="17" xfId="0" applyNumberFormat="1" applyFont="1" applyFill="1" applyBorder="1" applyAlignment="1"/>
    <xf numFmtId="49" fontId="3" fillId="2" borderId="59" xfId="0" applyNumberFormat="1" applyFont="1" applyFill="1" applyBorder="1" applyAlignment="1"/>
    <xf numFmtId="0" fontId="3" fillId="2" borderId="0" xfId="0" applyFont="1" applyFill="1" applyBorder="1" applyAlignment="1"/>
    <xf numFmtId="49" fontId="3" fillId="2" borderId="12" xfId="0" applyNumberFormat="1" applyFont="1" applyFill="1" applyBorder="1" applyAlignment="1"/>
    <xf numFmtId="0" fontId="2" fillId="2" borderId="0" xfId="0" applyFont="1" applyFill="1" applyBorder="1" applyAlignment="1"/>
    <xf numFmtId="0" fontId="2" fillId="2" borderId="24" xfId="0" applyFont="1" applyFill="1" applyBorder="1" applyAlignment="1">
      <alignment horizontal="left"/>
    </xf>
    <xf numFmtId="0" fontId="2" fillId="2" borderId="44" xfId="0" applyFont="1" applyFill="1" applyBorder="1" applyAlignment="1">
      <alignment horizontal="left"/>
    </xf>
    <xf numFmtId="49" fontId="2" fillId="2" borderId="24" xfId="0" quotePrefix="1" applyNumberFormat="1" applyFont="1" applyFill="1" applyBorder="1" applyAlignment="1"/>
    <xf numFmtId="49" fontId="2" fillId="3" borderId="24" xfId="0" quotePrefix="1" applyNumberFormat="1" applyFont="1" applyFill="1" applyBorder="1" applyAlignment="1"/>
    <xf numFmtId="49" fontId="2" fillId="0" borderId="30" xfId="0" quotePrefix="1" applyNumberFormat="1" applyFont="1" applyFill="1" applyBorder="1" applyAlignment="1"/>
    <xf numFmtId="0" fontId="9" fillId="2" borderId="30" xfId="0" applyFont="1" applyFill="1" applyBorder="1" applyAlignment="1"/>
    <xf numFmtId="0" fontId="2" fillId="2" borderId="58" xfId="0" applyFont="1" applyFill="1" applyBorder="1" applyAlignment="1"/>
    <xf numFmtId="49" fontId="13" fillId="4" borderId="12" xfId="0" applyNumberFormat="1" applyFont="1" applyFill="1" applyBorder="1" applyAlignment="1"/>
    <xf numFmtId="0" fontId="13" fillId="4" borderId="12" xfId="0" applyFont="1" applyFill="1" applyBorder="1" applyAlignment="1"/>
    <xf numFmtId="0" fontId="13" fillId="4" borderId="42" xfId="0" applyFont="1" applyFill="1" applyBorder="1" applyAlignment="1">
      <alignment horizontal="left"/>
    </xf>
    <xf numFmtId="0" fontId="13" fillId="4" borderId="0" xfId="0" applyFont="1" applyFill="1" applyAlignment="1"/>
    <xf numFmtId="0" fontId="13" fillId="0" borderId="0" xfId="0" applyFont="1" applyAlignment="1"/>
    <xf numFmtId="0" fontId="13" fillId="0" borderId="0" xfId="0" applyFont="1" applyBorder="1" applyAlignment="1"/>
    <xf numFmtId="0" fontId="18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Alignment="1">
      <alignment vertical="center"/>
    </xf>
    <xf numFmtId="0" fontId="13" fillId="4" borderId="0" xfId="0" applyFont="1" applyFill="1" applyBorder="1" applyAlignment="1"/>
    <xf numFmtId="0" fontId="13" fillId="3" borderId="0" xfId="0" applyFont="1" applyFill="1" applyAlignment="1"/>
    <xf numFmtId="3" fontId="13" fillId="2" borderId="0" xfId="0" applyNumberFormat="1" applyFont="1" applyFill="1" applyAlignment="1"/>
    <xf numFmtId="3" fontId="14" fillId="2" borderId="0" xfId="0" applyNumberFormat="1" applyFont="1" applyFill="1" applyAlignment="1">
      <alignment horizontal="centerContinuous" wrapText="1"/>
    </xf>
    <xf numFmtId="3" fontId="13" fillId="2" borderId="0" xfId="0" applyNumberFormat="1" applyFont="1" applyFill="1" applyAlignment="1">
      <alignment horizontal="centerContinuous" wrapText="1"/>
    </xf>
    <xf numFmtId="3" fontId="15" fillId="2" borderId="0" xfId="0" applyNumberFormat="1" applyFont="1" applyFill="1" applyAlignment="1">
      <alignment horizontal="centerContinuous"/>
    </xf>
    <xf numFmtId="3" fontId="13" fillId="2" borderId="0" xfId="0" applyNumberFormat="1" applyFont="1" applyFill="1" applyAlignment="1">
      <alignment horizontal="centerContinuous"/>
    </xf>
    <xf numFmtId="3" fontId="13" fillId="2" borderId="23" xfId="0" applyNumberFormat="1" applyFont="1" applyFill="1" applyBorder="1" applyAlignment="1"/>
    <xf numFmtId="3" fontId="13" fillId="2" borderId="27" xfId="0" applyNumberFormat="1" applyFont="1" applyFill="1" applyBorder="1" applyAlignment="1"/>
    <xf numFmtId="3" fontId="2" fillId="2" borderId="27" xfId="0" applyNumberFormat="1" applyFont="1" applyFill="1" applyBorder="1" applyAlignment="1"/>
    <xf numFmtId="3" fontId="2" fillId="2" borderId="23" xfId="0" applyNumberFormat="1" applyFont="1" applyFill="1" applyBorder="1" applyAlignment="1"/>
    <xf numFmtId="3" fontId="13" fillId="2" borderId="54" xfId="0" applyNumberFormat="1" applyFont="1" applyFill="1" applyBorder="1" applyAlignment="1"/>
    <xf numFmtId="3" fontId="2" fillId="2" borderId="54" xfId="0" applyNumberFormat="1" applyFont="1" applyFill="1" applyBorder="1" applyAlignment="1"/>
    <xf numFmtId="3" fontId="14" fillId="2" borderId="23" xfId="0" applyNumberFormat="1" applyFont="1" applyFill="1" applyBorder="1" applyAlignment="1"/>
    <xf numFmtId="3" fontId="16" fillId="2" borderId="23" xfId="0" applyNumberFormat="1" applyFont="1" applyFill="1" applyBorder="1" applyAlignment="1"/>
    <xf numFmtId="3" fontId="17" fillId="2" borderId="23" xfId="0" applyNumberFormat="1" applyFont="1" applyFill="1" applyBorder="1" applyAlignment="1"/>
    <xf numFmtId="3" fontId="14" fillId="2" borderId="23" xfId="0" applyNumberFormat="1" applyFont="1" applyFill="1" applyBorder="1" applyAlignment="1">
      <alignment vertical="center"/>
    </xf>
    <xf numFmtId="3" fontId="13" fillId="2" borderId="69" xfId="0" applyNumberFormat="1" applyFont="1" applyFill="1" applyBorder="1" applyAlignment="1"/>
    <xf numFmtId="3" fontId="13" fillId="2" borderId="29" xfId="0" applyNumberFormat="1" applyFont="1" applyFill="1" applyBorder="1" applyAlignment="1"/>
    <xf numFmtId="3" fontId="2" fillId="2" borderId="49" xfId="0" applyNumberFormat="1" applyFont="1" applyFill="1" applyBorder="1" applyAlignment="1"/>
    <xf numFmtId="3" fontId="2" fillId="0" borderId="0" xfId="0" applyNumberFormat="1" applyFont="1" applyBorder="1" applyAlignment="1"/>
    <xf numFmtId="3" fontId="2" fillId="2" borderId="0" xfId="0" applyNumberFormat="1" applyFont="1" applyFill="1" applyBorder="1" applyAlignment="1"/>
    <xf numFmtId="0" fontId="13" fillId="2" borderId="0" xfId="0" applyFont="1" applyFill="1" applyAlignment="1"/>
    <xf numFmtId="0" fontId="13" fillId="2" borderId="0" xfId="0" applyFont="1" applyFill="1" applyBorder="1" applyAlignment="1"/>
    <xf numFmtId="3" fontId="2" fillId="0" borderId="43" xfId="0" applyNumberFormat="1" applyFont="1" applyBorder="1" applyAlignment="1"/>
    <xf numFmtId="3" fontId="9" fillId="0" borderId="13" xfId="0" applyNumberFormat="1" applyFont="1" applyBorder="1" applyAlignment="1"/>
    <xf numFmtId="164" fontId="9" fillId="0" borderId="17" xfId="0" applyNumberFormat="1" applyFont="1" applyBorder="1" applyAlignment="1"/>
    <xf numFmtId="3" fontId="2" fillId="2" borderId="53" xfId="0" applyNumberFormat="1" applyFont="1" applyFill="1" applyBorder="1" applyAlignment="1"/>
    <xf numFmtId="3" fontId="2" fillId="0" borderId="13" xfId="0" applyNumberFormat="1" applyFont="1" applyBorder="1" applyAlignment="1">
      <alignment horizontal="left"/>
    </xf>
    <xf numFmtId="3" fontId="2" fillId="2" borderId="13" xfId="0" applyNumberFormat="1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58" xfId="0" applyFont="1" applyFill="1" applyBorder="1" applyAlignment="1">
      <alignment horizontal="left" wrapText="1"/>
    </xf>
    <xf numFmtId="49" fontId="2" fillId="0" borderId="12" xfId="0" applyNumberFormat="1" applyFont="1" applyBorder="1" applyAlignment="1">
      <alignment horizontal="left"/>
    </xf>
    <xf numFmtId="49" fontId="2" fillId="0" borderId="24" xfId="0" applyNumberFormat="1" applyFont="1" applyBorder="1" applyAlignment="1">
      <alignment horizontal="left"/>
    </xf>
    <xf numFmtId="49" fontId="2" fillId="0" borderId="30" xfId="0" applyNumberFormat="1" applyFont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0" fontId="9" fillId="2" borderId="24" xfId="0" applyFont="1" applyFill="1" applyBorder="1" applyAlignment="1"/>
    <xf numFmtId="49" fontId="2" fillId="2" borderId="30" xfId="0" applyNumberFormat="1" applyFont="1" applyFill="1" applyBorder="1" applyAlignment="1">
      <alignment horizontal="left"/>
    </xf>
    <xf numFmtId="0" fontId="2" fillId="2" borderId="58" xfId="0" applyFont="1" applyFill="1" applyBorder="1" applyAlignment="1">
      <alignment horizontal="left"/>
    </xf>
    <xf numFmtId="49" fontId="9" fillId="0" borderId="12" xfId="0" applyNumberFormat="1" applyFont="1" applyBorder="1" applyAlignment="1"/>
    <xf numFmtId="3" fontId="9" fillId="2" borderId="23" xfId="0" applyNumberFormat="1" applyFont="1" applyFill="1" applyBorder="1" applyAlignment="1"/>
    <xf numFmtId="3" fontId="2" fillId="2" borderId="69" xfId="0" applyNumberFormat="1" applyFont="1" applyFill="1" applyBorder="1" applyAlignment="1"/>
    <xf numFmtId="0" fontId="2" fillId="2" borderId="24" xfId="0" applyFont="1" applyFill="1" applyBorder="1" applyAlignment="1"/>
    <xf numFmtId="0" fontId="2" fillId="2" borderId="44" xfId="0" applyFont="1" applyFill="1" applyBorder="1" applyAlignment="1"/>
    <xf numFmtId="49" fontId="2" fillId="2" borderId="51" xfId="0" applyNumberFormat="1" applyFont="1" applyFill="1" applyBorder="1" applyAlignment="1"/>
    <xf numFmtId="0" fontId="2" fillId="2" borderId="51" xfId="0" applyFont="1" applyFill="1" applyBorder="1" applyAlignment="1"/>
    <xf numFmtId="0" fontId="9" fillId="2" borderId="52" xfId="0" applyFont="1" applyFill="1" applyBorder="1" applyAlignment="1"/>
    <xf numFmtId="0" fontId="2" fillId="0" borderId="51" xfId="0" applyFont="1" applyFill="1" applyBorder="1" applyAlignment="1"/>
    <xf numFmtId="49" fontId="2" fillId="0" borderId="30" xfId="0" applyNumberFormat="1" applyFont="1" applyFill="1" applyBorder="1" applyAlignment="1">
      <alignment horizontal="left"/>
    </xf>
    <xf numFmtId="0" fontId="2" fillId="0" borderId="58" xfId="0" applyFont="1" applyFill="1" applyBorder="1" applyAlignment="1">
      <alignment horizontal="left"/>
    </xf>
    <xf numFmtId="3" fontId="2" fillId="2" borderId="23" xfId="0" applyNumberFormat="1" applyFont="1" applyFill="1" applyBorder="1" applyAlignment="1">
      <alignment horizontal="left"/>
    </xf>
    <xf numFmtId="49" fontId="3" fillId="5" borderId="39" xfId="0" applyNumberFormat="1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0" fontId="3" fillId="5" borderId="64" xfId="0" applyFont="1" applyFill="1" applyBorder="1" applyAlignment="1">
      <alignment horizontal="left" vertical="center"/>
    </xf>
    <xf numFmtId="3" fontId="3" fillId="5" borderId="8" xfId="0" applyNumberFormat="1" applyFont="1" applyFill="1" applyBorder="1" applyAlignment="1">
      <alignment vertical="center"/>
    </xf>
    <xf numFmtId="3" fontId="3" fillId="5" borderId="40" xfId="0" applyNumberFormat="1" applyFont="1" applyFill="1" applyBorder="1" applyAlignment="1">
      <alignment vertical="center"/>
    </xf>
    <xf numFmtId="49" fontId="3" fillId="5" borderId="30" xfId="0" applyNumberFormat="1" applyFont="1" applyFill="1" applyBorder="1" applyAlignment="1">
      <alignment vertical="center"/>
    </xf>
    <xf numFmtId="0" fontId="3" fillId="5" borderId="30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left"/>
    </xf>
    <xf numFmtId="3" fontId="3" fillId="5" borderId="32" xfId="0" applyNumberFormat="1" applyFont="1" applyFill="1" applyBorder="1" applyAlignment="1">
      <alignment vertical="center"/>
    </xf>
    <xf numFmtId="3" fontId="3" fillId="5" borderId="29" xfId="0" applyNumberFormat="1" applyFont="1" applyFill="1" applyBorder="1" applyAlignment="1">
      <alignment vertical="center"/>
    </xf>
    <xf numFmtId="164" fontId="3" fillId="5" borderId="33" xfId="0" applyNumberFormat="1" applyFont="1" applyFill="1" applyBorder="1" applyAlignment="1">
      <alignment vertical="center"/>
    </xf>
    <xf numFmtId="49" fontId="3" fillId="5" borderId="46" xfId="0" applyNumberFormat="1" applyFont="1" applyFill="1" applyBorder="1" applyAlignment="1">
      <alignment vertical="center"/>
    </xf>
    <xf numFmtId="0" fontId="3" fillId="5" borderId="46" xfId="0" applyFont="1" applyFill="1" applyBorder="1" applyAlignment="1">
      <alignment vertical="center"/>
    </xf>
    <xf numFmtId="0" fontId="3" fillId="5" borderId="47" xfId="0" applyFont="1" applyFill="1" applyBorder="1" applyAlignment="1"/>
    <xf numFmtId="3" fontId="3" fillId="5" borderId="48" xfId="0" applyNumberFormat="1" applyFont="1" applyFill="1" applyBorder="1" applyAlignment="1">
      <alignment vertical="center"/>
    </xf>
    <xf numFmtId="3" fontId="3" fillId="5" borderId="49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4" borderId="73" xfId="0" applyFont="1" applyFill="1" applyBorder="1" applyAlignment="1">
      <alignment horizontal="center"/>
    </xf>
    <xf numFmtId="0" fontId="2" fillId="3" borderId="73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2" fillId="0" borderId="7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164" fontId="2" fillId="0" borderId="57" xfId="0" applyNumberFormat="1" applyFont="1" applyBorder="1" applyAlignment="1"/>
    <xf numFmtId="164" fontId="2" fillId="2" borderId="57" xfId="0" applyNumberFormat="1" applyFont="1" applyFill="1" applyBorder="1" applyAlignment="1"/>
    <xf numFmtId="164" fontId="9" fillId="0" borderId="55" xfId="0" applyNumberFormat="1" applyFont="1" applyBorder="1" applyAlignment="1"/>
    <xf numFmtId="164" fontId="2" fillId="2" borderId="33" xfId="0" applyNumberFormat="1" applyFont="1" applyFill="1" applyBorder="1" applyAlignment="1"/>
    <xf numFmtId="164" fontId="13" fillId="4" borderId="17" xfId="0" applyNumberFormat="1" applyFont="1" applyFill="1" applyBorder="1" applyAlignment="1"/>
    <xf numFmtId="164" fontId="13" fillId="0" borderId="17" xfId="0" applyNumberFormat="1" applyFont="1" applyBorder="1" applyAlignment="1"/>
    <xf numFmtId="164" fontId="13" fillId="0" borderId="28" xfId="0" applyNumberFormat="1" applyFont="1" applyBorder="1" applyAlignment="1"/>
    <xf numFmtId="164" fontId="13" fillId="0" borderId="70" xfId="0" applyNumberFormat="1" applyFont="1" applyBorder="1" applyAlignment="1"/>
    <xf numFmtId="164" fontId="13" fillId="0" borderId="33" xfId="0" applyNumberFormat="1" applyFont="1" applyBorder="1" applyAlignment="1"/>
    <xf numFmtId="164" fontId="13" fillId="0" borderId="55" xfId="0" applyNumberFormat="1" applyFont="1" applyBorder="1" applyAlignment="1"/>
    <xf numFmtId="164" fontId="14" fillId="5" borderId="33" xfId="0" applyNumberFormat="1" applyFont="1" applyFill="1" applyBorder="1" applyAlignment="1">
      <alignment vertical="center"/>
    </xf>
    <xf numFmtId="164" fontId="2" fillId="0" borderId="28" xfId="0" applyNumberFormat="1" applyFont="1" applyBorder="1" applyAlignment="1">
      <alignment wrapText="1"/>
    </xf>
    <xf numFmtId="164" fontId="2" fillId="0" borderId="74" xfId="0" applyNumberFormat="1" applyFont="1" applyBorder="1" applyAlignment="1"/>
    <xf numFmtId="164" fontId="2" fillId="2" borderId="28" xfId="0" applyNumberFormat="1" applyFont="1" applyFill="1" applyBorder="1" applyAlignment="1">
      <alignment wrapText="1"/>
    </xf>
    <xf numFmtId="164" fontId="3" fillId="0" borderId="63" xfId="0" applyNumberFormat="1" applyFont="1" applyFill="1" applyBorder="1" applyAlignment="1"/>
    <xf numFmtId="164" fontId="3" fillId="5" borderId="41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/>
    <xf numFmtId="164" fontId="3" fillId="2" borderId="17" xfId="0" applyNumberFormat="1" applyFont="1" applyFill="1" applyBorder="1" applyAlignment="1"/>
    <xf numFmtId="164" fontId="10" fillId="0" borderId="17" xfId="0" applyNumberFormat="1" applyFont="1" applyFill="1" applyBorder="1" applyAlignment="1"/>
    <xf numFmtId="164" fontId="3" fillId="4" borderId="63" xfId="0" applyNumberFormat="1" applyFont="1" applyFill="1" applyBorder="1" applyAlignment="1">
      <alignment vertical="center"/>
    </xf>
    <xf numFmtId="164" fontId="14" fillId="0" borderId="63" xfId="0" applyNumberFormat="1" applyFont="1" applyFill="1" applyBorder="1" applyAlignment="1"/>
    <xf numFmtId="164" fontId="14" fillId="5" borderId="22" xfId="0" applyNumberFormat="1" applyFont="1" applyFill="1" applyBorder="1" applyAlignment="1">
      <alignment vertical="center"/>
    </xf>
    <xf numFmtId="164" fontId="2" fillId="0" borderId="28" xfId="0" applyNumberFormat="1" applyFont="1" applyFill="1" applyBorder="1" applyAlignment="1"/>
    <xf numFmtId="164" fontId="2" fillId="0" borderId="55" xfId="0" applyNumberFormat="1" applyFont="1" applyFill="1" applyBorder="1" applyAlignment="1"/>
    <xf numFmtId="164" fontId="2" fillId="0" borderId="17" xfId="0" applyNumberFormat="1" applyFont="1" applyFill="1" applyBorder="1" applyAlignment="1"/>
    <xf numFmtId="164" fontId="2" fillId="0" borderId="33" xfId="0" applyNumberFormat="1" applyFont="1" applyFill="1" applyBorder="1" applyAlignment="1"/>
    <xf numFmtId="164" fontId="2" fillId="0" borderId="57" xfId="0" applyNumberFormat="1" applyFont="1" applyFill="1" applyBorder="1" applyAlignment="1"/>
    <xf numFmtId="164" fontId="2" fillId="2" borderId="28" xfId="0" applyNumberFormat="1" applyFont="1" applyFill="1" applyBorder="1" applyAlignment="1"/>
    <xf numFmtId="164" fontId="2" fillId="2" borderId="28" xfId="0" quotePrefix="1" applyNumberFormat="1" applyFont="1" applyFill="1" applyBorder="1" applyAlignment="1">
      <alignment wrapText="1"/>
    </xf>
    <xf numFmtId="164" fontId="2" fillId="0" borderId="28" xfId="0" applyNumberFormat="1" applyFont="1" applyFill="1" applyBorder="1" applyAlignment="1">
      <alignment wrapText="1"/>
    </xf>
    <xf numFmtId="164" fontId="2" fillId="0" borderId="74" xfId="0" applyNumberFormat="1" applyFont="1" applyFill="1" applyBorder="1" applyAlignment="1"/>
    <xf numFmtId="164" fontId="13" fillId="0" borderId="17" xfId="0" applyNumberFormat="1" applyFont="1" applyFill="1" applyBorder="1" applyAlignment="1"/>
    <xf numFmtId="164" fontId="13" fillId="0" borderId="28" xfId="0" applyNumberFormat="1" applyFont="1" applyFill="1" applyBorder="1" applyAlignment="1"/>
    <xf numFmtId="164" fontId="13" fillId="0" borderId="33" xfId="0" applyNumberFormat="1" applyFont="1" applyFill="1" applyBorder="1" applyAlignment="1"/>
    <xf numFmtId="164" fontId="13" fillId="0" borderId="55" xfId="0" applyNumberFormat="1" applyFont="1" applyFill="1" applyBorder="1" applyAlignment="1"/>
    <xf numFmtId="164" fontId="13" fillId="2" borderId="28" xfId="0" applyNumberFormat="1" applyFont="1" applyFill="1" applyBorder="1" applyAlignment="1"/>
    <xf numFmtId="164" fontId="13" fillId="2" borderId="33" xfId="0" applyNumberFormat="1" applyFont="1" applyFill="1" applyBorder="1" applyAlignment="1"/>
    <xf numFmtId="164" fontId="13" fillId="2" borderId="55" xfId="0" applyNumberFormat="1" applyFont="1" applyFill="1" applyBorder="1" applyAlignment="1"/>
    <xf numFmtId="164" fontId="2" fillId="0" borderId="33" xfId="0" applyNumberFormat="1" applyFont="1" applyFill="1" applyBorder="1" applyAlignment="1">
      <alignment wrapText="1"/>
    </xf>
    <xf numFmtId="9" fontId="2" fillId="0" borderId="28" xfId="1" applyFont="1" applyFill="1" applyBorder="1" applyAlignment="1">
      <alignment wrapText="1"/>
    </xf>
    <xf numFmtId="9" fontId="13" fillId="0" borderId="28" xfId="1" applyFont="1" applyFill="1" applyBorder="1" applyAlignment="1"/>
    <xf numFmtId="164" fontId="5" fillId="5" borderId="22" xfId="0" applyNumberFormat="1" applyFont="1" applyFill="1" applyBorder="1" applyAlignment="1">
      <alignment horizontal="center"/>
    </xf>
    <xf numFmtId="164" fontId="3" fillId="0" borderId="17" xfId="0" applyNumberFormat="1" applyFont="1" applyBorder="1"/>
    <xf numFmtId="164" fontId="3" fillId="0" borderId="28" xfId="0" applyNumberFormat="1" applyFont="1" applyBorder="1" applyAlignment="1">
      <alignment horizontal="right"/>
    </xf>
    <xf numFmtId="164" fontId="3" fillId="0" borderId="33" xfId="0" applyNumberFormat="1" applyFont="1" applyBorder="1" applyAlignment="1">
      <alignment horizontal="right"/>
    </xf>
    <xf numFmtId="164" fontId="3" fillId="5" borderId="38" xfId="0" applyNumberFormat="1" applyFont="1" applyFill="1" applyBorder="1" applyAlignment="1">
      <alignment vertical="center"/>
    </xf>
    <xf numFmtId="164" fontId="3" fillId="5" borderId="41" xfId="0" applyNumberFormat="1" applyFont="1" applyFill="1" applyBorder="1" applyAlignment="1">
      <alignment horizontal="right" vertical="center"/>
    </xf>
    <xf numFmtId="164" fontId="3" fillId="3" borderId="28" xfId="0" applyNumberFormat="1" applyFont="1" applyFill="1" applyBorder="1" applyAlignment="1">
      <alignment vertical="center"/>
    </xf>
    <xf numFmtId="164" fontId="3" fillId="3" borderId="22" xfId="0" applyNumberFormat="1" applyFont="1" applyFill="1" applyBorder="1" applyAlignment="1">
      <alignment vertical="center"/>
    </xf>
    <xf numFmtId="164" fontId="8" fillId="0" borderId="17" xfId="0" applyNumberFormat="1" applyFont="1" applyFill="1" applyBorder="1" applyAlignment="1"/>
    <xf numFmtId="3" fontId="3" fillId="0" borderId="61" xfId="0" applyNumberFormat="1" applyFont="1" applyFill="1" applyBorder="1" applyAlignment="1"/>
    <xf numFmtId="164" fontId="3" fillId="5" borderId="22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horizontal="centerContinuous"/>
    </xf>
    <xf numFmtId="164" fontId="2" fillId="0" borderId="1" xfId="0" applyNumberFormat="1" applyFont="1" applyBorder="1" applyAlignment="1">
      <alignment horizontal="center"/>
    </xf>
    <xf numFmtId="164" fontId="3" fillId="5" borderId="10" xfId="0" applyNumberFormat="1" applyFont="1" applyFill="1" applyBorder="1" applyAlignment="1">
      <alignment horizontal="centerContinuous"/>
    </xf>
    <xf numFmtId="164" fontId="3" fillId="5" borderId="16" xfId="0" applyNumberFormat="1" applyFont="1" applyFill="1" applyBorder="1" applyAlignment="1">
      <alignment horizontal="center"/>
    </xf>
    <xf numFmtId="164" fontId="3" fillId="5" borderId="22" xfId="0" applyNumberFormat="1" applyFont="1" applyFill="1" applyBorder="1" applyAlignment="1">
      <alignment horizontal="center"/>
    </xf>
    <xf numFmtId="164" fontId="2" fillId="0" borderId="28" xfId="0" applyNumberFormat="1" applyFont="1" applyBorder="1" applyAlignment="1">
      <alignment horizontal="right"/>
    </xf>
    <xf numFmtId="164" fontId="2" fillId="2" borderId="28" xfId="0" applyNumberFormat="1" applyFont="1" applyFill="1" applyBorder="1" applyAlignment="1">
      <alignment horizontal="right"/>
    </xf>
    <xf numFmtId="164" fontId="2" fillId="0" borderId="55" xfId="0" applyNumberFormat="1" applyFont="1" applyBorder="1" applyAlignment="1">
      <alignment horizontal="right"/>
    </xf>
    <xf numFmtId="164" fontId="2" fillId="0" borderId="33" xfId="0" applyNumberFormat="1" applyFont="1" applyBorder="1" applyAlignment="1">
      <alignment horizontal="right"/>
    </xf>
    <xf numFmtId="164" fontId="2" fillId="2" borderId="55" xfId="0" applyNumberFormat="1" applyFont="1" applyFill="1" applyBorder="1" applyAlignment="1"/>
    <xf numFmtId="0" fontId="20" fillId="5" borderId="6" xfId="0" applyFont="1" applyFill="1" applyBorder="1" applyAlignment="1">
      <alignment horizontal="left"/>
    </xf>
    <xf numFmtId="0" fontId="20" fillId="5" borderId="7" xfId="0" applyFont="1" applyFill="1" applyBorder="1" applyAlignment="1">
      <alignment horizontal="left"/>
    </xf>
    <xf numFmtId="0" fontId="20" fillId="5" borderId="12" xfId="0" applyFont="1" applyFill="1" applyBorder="1" applyAlignment="1">
      <alignment horizontal="centerContinuous"/>
    </xf>
    <xf numFmtId="0" fontId="20" fillId="5" borderId="0" xfId="0" applyFont="1" applyFill="1" applyBorder="1" applyAlignment="1">
      <alignment horizontal="centerContinuous"/>
    </xf>
    <xf numFmtId="0" fontId="20" fillId="5" borderId="18" xfId="0" applyFont="1" applyFill="1" applyBorder="1" applyAlignment="1">
      <alignment horizontal="left"/>
    </xf>
    <xf numFmtId="0" fontId="20" fillId="5" borderId="19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center"/>
    </xf>
    <xf numFmtId="0" fontId="3" fillId="0" borderId="30" xfId="0" applyFont="1" applyBorder="1"/>
    <xf numFmtId="0" fontId="3" fillId="0" borderId="31" xfId="0" applyFont="1" applyBorder="1"/>
    <xf numFmtId="0" fontId="3" fillId="5" borderId="34" xfId="0" applyFont="1" applyFill="1" applyBorder="1" applyAlignment="1">
      <alignment vertical="center"/>
    </xf>
    <xf numFmtId="0" fontId="3" fillId="5" borderId="35" xfId="0" applyFont="1" applyFill="1" applyBorder="1" applyAlignment="1">
      <alignment vertical="center"/>
    </xf>
    <xf numFmtId="0" fontId="3" fillId="5" borderId="39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39" xfId="0" applyFont="1" applyFill="1" applyBorder="1"/>
    <xf numFmtId="0" fontId="3" fillId="5" borderId="9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51" xfId="0" applyFont="1" applyFill="1" applyBorder="1" applyAlignment="1">
      <alignment horizontal="left"/>
    </xf>
    <xf numFmtId="0" fontId="10" fillId="0" borderId="5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42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/>
    </xf>
    <xf numFmtId="0" fontId="8" fillId="0" borderId="44" xfId="0" applyFont="1" applyFill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52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0" fontId="3" fillId="0" borderId="59" xfId="0" applyFont="1" applyFill="1" applyBorder="1" applyAlignment="1">
      <alignment horizontal="left"/>
    </xf>
    <xf numFmtId="0" fontId="3" fillId="0" borderId="60" xfId="0" applyFont="1" applyFill="1" applyBorder="1" applyAlignment="1">
      <alignment horizontal="left"/>
    </xf>
    <xf numFmtId="0" fontId="8" fillId="0" borderId="4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5" borderId="39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left"/>
    </xf>
    <xf numFmtId="0" fontId="8" fillId="4" borderId="42" xfId="0" applyFont="1" applyFill="1" applyBorder="1" applyAlignment="1">
      <alignment horizontal="left"/>
    </xf>
    <xf numFmtId="0" fontId="3" fillId="2" borderId="59" xfId="0" applyFont="1" applyFill="1" applyBorder="1" applyAlignment="1">
      <alignment horizontal="left"/>
    </xf>
    <xf numFmtId="0" fontId="3" fillId="2" borderId="6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8" fillId="2" borderId="4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3" fontId="5" fillId="5" borderId="8" xfId="0" applyNumberFormat="1" applyFont="1" applyFill="1" applyBorder="1" applyAlignment="1">
      <alignment horizontal="centerContinuous"/>
    </xf>
    <xf numFmtId="3" fontId="21" fillId="5" borderId="9" xfId="0" applyNumberFormat="1" applyFont="1" applyFill="1" applyBorder="1" applyAlignment="1">
      <alignment horizontal="centerContinuous"/>
    </xf>
    <xf numFmtId="164" fontId="5" fillId="5" borderId="11" xfId="0" applyNumberFormat="1" applyFont="1" applyFill="1" applyBorder="1" applyAlignment="1">
      <alignment horizontal="center"/>
    </xf>
    <xf numFmtId="3" fontId="5" fillId="5" borderId="13" xfId="0" applyNumberFormat="1" applyFont="1" applyFill="1" applyBorder="1" applyAlignment="1">
      <alignment horizontal="center"/>
    </xf>
    <xf numFmtId="3" fontId="5" fillId="5" borderId="14" xfId="0" applyNumberFormat="1" applyFont="1" applyFill="1" applyBorder="1" applyAlignment="1">
      <alignment horizontal="center"/>
    </xf>
    <xf numFmtId="3" fontId="3" fillId="5" borderId="15" xfId="0" applyNumberFormat="1" applyFont="1" applyFill="1" applyBorder="1" applyAlignment="1">
      <alignment horizontal="center"/>
    </xf>
    <xf numFmtId="164" fontId="5" fillId="5" borderId="17" xfId="0" applyNumberFormat="1" applyFont="1" applyFill="1" applyBorder="1" applyAlignment="1">
      <alignment horizontal="center"/>
    </xf>
    <xf numFmtId="3" fontId="5" fillId="5" borderId="20" xfId="0" applyNumberFormat="1" applyFont="1" applyFill="1" applyBorder="1" applyAlignment="1">
      <alignment horizontal="center"/>
    </xf>
    <xf numFmtId="3" fontId="21" fillId="5" borderId="21" xfId="0" applyNumberFormat="1" applyFont="1" applyFill="1" applyBorder="1" applyAlignment="1">
      <alignment horizontal="center"/>
    </xf>
    <xf numFmtId="3" fontId="3" fillId="5" borderId="20" xfId="0" applyNumberFormat="1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right"/>
    </xf>
    <xf numFmtId="3" fontId="14" fillId="2" borderId="14" xfId="0" applyNumberFormat="1" applyFont="1" applyFill="1" applyBorder="1" applyAlignment="1">
      <alignment horizontal="right"/>
    </xf>
    <xf numFmtId="3" fontId="3" fillId="0" borderId="13" xfId="0" applyNumberFormat="1" applyFont="1" applyBorder="1"/>
    <xf numFmtId="164" fontId="3" fillId="0" borderId="17" xfId="0" applyNumberFormat="1" applyFont="1" applyBorder="1" applyAlignment="1"/>
    <xf numFmtId="3" fontId="14" fillId="2" borderId="23" xfId="0" applyNumberFormat="1" applyFont="1" applyFill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3" fillId="2" borderId="27" xfId="0" applyNumberFormat="1" applyFont="1" applyFill="1" applyBorder="1" applyAlignment="1">
      <alignment horizontal="right"/>
    </xf>
    <xf numFmtId="164" fontId="3" fillId="0" borderId="28" xfId="0" applyNumberFormat="1" applyFont="1" applyBorder="1" applyAlignment="1"/>
    <xf numFmtId="3" fontId="3" fillId="0" borderId="26" xfId="0" applyNumberFormat="1" applyFont="1" applyBorder="1"/>
    <xf numFmtId="3" fontId="3" fillId="2" borderId="27" xfId="0" applyNumberFormat="1" applyFont="1" applyFill="1" applyBorder="1"/>
    <xf numFmtId="3" fontId="3" fillId="2" borderId="29" xfId="0" applyNumberFormat="1" applyFont="1" applyFill="1" applyBorder="1"/>
    <xf numFmtId="3" fontId="3" fillId="0" borderId="32" xfId="0" applyNumberFormat="1" applyFont="1" applyBorder="1"/>
    <xf numFmtId="3" fontId="14" fillId="2" borderId="29" xfId="0" applyNumberFormat="1" applyFont="1" applyFill="1" applyBorder="1"/>
    <xf numFmtId="164" fontId="3" fillId="0" borderId="33" xfId="0" applyNumberFormat="1" applyFont="1" applyBorder="1" applyAlignment="1"/>
    <xf numFmtId="3" fontId="3" fillId="5" borderId="36" xfId="0" applyNumberFormat="1" applyFont="1" applyFill="1" applyBorder="1" applyAlignment="1">
      <alignment vertical="center"/>
    </xf>
    <xf numFmtId="3" fontId="3" fillId="5" borderId="37" xfId="0" applyNumberFormat="1" applyFont="1" applyFill="1" applyBorder="1" applyAlignment="1">
      <alignment vertical="center"/>
    </xf>
    <xf numFmtId="3" fontId="3" fillId="5" borderId="71" xfId="0" applyNumberFormat="1" applyFont="1" applyFill="1" applyBorder="1" applyAlignment="1">
      <alignment vertical="center"/>
    </xf>
    <xf numFmtId="3" fontId="3" fillId="5" borderId="20" xfId="0" applyNumberFormat="1" applyFont="1" applyFill="1" applyBorder="1" applyAlignment="1">
      <alignment horizontal="right"/>
    </xf>
    <xf numFmtId="3" fontId="3" fillId="5" borderId="21" xfId="0" applyNumberFormat="1" applyFont="1" applyFill="1" applyBorder="1" applyAlignment="1">
      <alignment vertical="center"/>
    </xf>
    <xf numFmtId="3" fontId="3" fillId="5" borderId="72" xfId="0" applyNumberFormat="1" applyFont="1" applyFill="1" applyBorder="1" applyAlignment="1">
      <alignment vertical="center"/>
    </xf>
    <xf numFmtId="3" fontId="3" fillId="5" borderId="8" xfId="0" applyNumberFormat="1" applyFont="1" applyFill="1" applyBorder="1" applyAlignment="1">
      <alignment horizontal="right"/>
    </xf>
    <xf numFmtId="3" fontId="3" fillId="5" borderId="40" xfId="0" applyNumberFormat="1" applyFont="1" applyFill="1" applyBorder="1" applyAlignment="1">
      <alignment horizontal="right"/>
    </xf>
    <xf numFmtId="3" fontId="3" fillId="5" borderId="8" xfId="0" applyNumberFormat="1" applyFont="1" applyFill="1" applyBorder="1"/>
    <xf numFmtId="3" fontId="3" fillId="5" borderId="8" xfId="0" applyNumberFormat="1" applyFont="1" applyFill="1" applyBorder="1" applyAlignment="1">
      <alignment horizontal="right" vertical="center"/>
    </xf>
    <xf numFmtId="3" fontId="3" fillId="5" borderId="40" xfId="0" applyNumberFormat="1" applyFont="1" applyFill="1" applyBorder="1" applyAlignment="1">
      <alignment horizontal="right" vertical="center"/>
    </xf>
    <xf numFmtId="164" fontId="8" fillId="0" borderId="45" xfId="0" applyNumberFormat="1" applyFont="1" applyFill="1" applyBorder="1" applyAlignment="1"/>
    <xf numFmtId="164" fontId="8" fillId="0" borderId="50" xfId="0" applyNumberFormat="1" applyFont="1" applyFill="1" applyBorder="1" applyAlignment="1"/>
    <xf numFmtId="3" fontId="8" fillId="0" borderId="13" xfId="0" applyNumberFormat="1" applyFont="1" applyFill="1" applyBorder="1" applyAlignment="1"/>
    <xf numFmtId="3" fontId="3" fillId="2" borderId="62" xfId="0" applyNumberFormat="1" applyFont="1" applyFill="1" applyBorder="1" applyAlignment="1"/>
    <xf numFmtId="3" fontId="3" fillId="2" borderId="61" xfId="0" applyNumberFormat="1" applyFont="1" applyFill="1" applyBorder="1" applyAlignment="1"/>
    <xf numFmtId="3" fontId="3" fillId="2" borderId="13" xfId="0" applyNumberFormat="1" applyFont="1" applyFill="1" applyBorder="1" applyAlignment="1"/>
    <xf numFmtId="49" fontId="3" fillId="5" borderId="6" xfId="0" applyNumberFormat="1" applyFont="1" applyFill="1" applyBorder="1" applyAlignment="1">
      <alignment horizontal="center"/>
    </xf>
    <xf numFmtId="49" fontId="3" fillId="5" borderId="12" xfId="0" applyNumberFormat="1" applyFont="1" applyFill="1" applyBorder="1" applyAlignment="1">
      <alignment horizontal="center"/>
    </xf>
    <xf numFmtId="49" fontId="3" fillId="5" borderId="18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49" fontId="7" fillId="0" borderId="12" xfId="0" applyNumberFormat="1" applyFont="1" applyBorder="1" applyAlignment="1">
      <alignment horizontal="left"/>
    </xf>
    <xf numFmtId="49" fontId="3" fillId="0" borderId="12" xfId="0" applyNumberFormat="1" applyFont="1" applyBorder="1"/>
    <xf numFmtId="49" fontId="3" fillId="0" borderId="24" xfId="0" applyNumberFormat="1" applyFont="1" applyBorder="1"/>
    <xf numFmtId="49" fontId="3" fillId="0" borderId="30" xfId="0" applyNumberFormat="1" applyFont="1" applyBorder="1"/>
    <xf numFmtId="49" fontId="3" fillId="5" borderId="34" xfId="0" applyNumberFormat="1" applyFont="1" applyFill="1" applyBorder="1" applyAlignment="1">
      <alignment vertical="center"/>
    </xf>
    <xf numFmtId="49" fontId="3" fillId="5" borderId="39" xfId="0" applyNumberFormat="1" applyFont="1" applyFill="1" applyBorder="1"/>
    <xf numFmtId="3" fontId="2" fillId="0" borderId="53" xfId="0" applyNumberFormat="1" applyFont="1" applyFill="1" applyBorder="1" applyAlignment="1"/>
    <xf numFmtId="3" fontId="2" fillId="0" borderId="13" xfId="0" applyNumberFormat="1" applyFont="1" applyFill="1" applyBorder="1" applyAlignment="1"/>
    <xf numFmtId="3" fontId="2" fillId="0" borderId="56" xfId="0" applyNumberFormat="1" applyFont="1" applyFill="1" applyBorder="1" applyAlignment="1"/>
    <xf numFmtId="3" fontId="2" fillId="0" borderId="32" xfId="0" applyNumberFormat="1" applyFont="1" applyFill="1" applyBorder="1" applyAlignment="1"/>
    <xf numFmtId="0" fontId="2" fillId="0" borderId="58" xfId="0" applyFont="1" applyFill="1" applyBorder="1" applyAlignment="1">
      <alignment horizontal="left" wrapText="1"/>
    </xf>
    <xf numFmtId="0" fontId="2" fillId="0" borderId="52" xfId="0" applyFont="1" applyFill="1" applyBorder="1" applyAlignment="1">
      <alignment horizontal="left" wrapText="1"/>
    </xf>
    <xf numFmtId="0" fontId="2" fillId="0" borderId="30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 wrapText="1"/>
    </xf>
    <xf numFmtId="0" fontId="10" fillId="0" borderId="24" xfId="0" applyFont="1" applyFill="1" applyBorder="1" applyAlignment="1">
      <alignment horizontal="left"/>
    </xf>
    <xf numFmtId="49" fontId="2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6"/>
  <sheetViews>
    <sheetView tabSelected="1" view="pageBreakPreview" zoomScale="86" zoomScaleNormal="100" zoomScaleSheetLayoutView="86" workbookViewId="0">
      <selection activeCell="B1" sqref="B1:I1"/>
    </sheetView>
  </sheetViews>
  <sheetFormatPr defaultColWidth="11" defaultRowHeight="12.75" x14ac:dyDescent="0.2"/>
  <cols>
    <col min="1" max="1" width="5.5703125" style="260" customWidth="1"/>
    <col min="2" max="2" width="11.28515625" style="1" customWidth="1"/>
    <col min="3" max="3" width="3.140625" style="2" customWidth="1"/>
    <col min="4" max="4" width="62.28515625" style="2" customWidth="1"/>
    <col min="5" max="5" width="13.85546875" style="3" customWidth="1"/>
    <col min="6" max="6" width="14.7109375" style="194" bestFit="1" customWidth="1"/>
    <col min="7" max="7" width="14.7109375" style="3" bestFit="1" customWidth="1"/>
    <col min="8" max="8" width="10.7109375" style="110" customWidth="1"/>
    <col min="9" max="9" width="39.28515625" style="110" customWidth="1"/>
    <col min="10" max="10" width="13.5703125" style="2" customWidth="1"/>
    <col min="11" max="11" width="11" style="2"/>
    <col min="12" max="12" width="12.7109375" style="2" bestFit="1" customWidth="1"/>
    <col min="13" max="256" width="11" style="2"/>
    <col min="257" max="257" width="4.42578125" style="2" customWidth="1"/>
    <col min="258" max="258" width="11.28515625" style="2" customWidth="1"/>
    <col min="259" max="259" width="3.140625" style="2" customWidth="1"/>
    <col min="260" max="260" width="62.28515625" style="2" customWidth="1"/>
    <col min="261" max="261" width="13.85546875" style="2" bestFit="1" customWidth="1"/>
    <col min="262" max="262" width="14.85546875" style="2" bestFit="1" customWidth="1"/>
    <col min="263" max="263" width="12.7109375" style="2" bestFit="1" customWidth="1"/>
    <col min="264" max="264" width="10.7109375" style="2" customWidth="1"/>
    <col min="265" max="265" width="51.28515625" style="2" customWidth="1"/>
    <col min="266" max="267" width="11" style="2"/>
    <col min="268" max="268" width="12.7109375" style="2" bestFit="1" customWidth="1"/>
    <col min="269" max="512" width="11" style="2"/>
    <col min="513" max="513" width="4.42578125" style="2" customWidth="1"/>
    <col min="514" max="514" width="11.28515625" style="2" customWidth="1"/>
    <col min="515" max="515" width="3.140625" style="2" customWidth="1"/>
    <col min="516" max="516" width="62.28515625" style="2" customWidth="1"/>
    <col min="517" max="517" width="13.85546875" style="2" bestFit="1" customWidth="1"/>
    <col min="518" max="518" width="14.85546875" style="2" bestFit="1" customWidth="1"/>
    <col min="519" max="519" width="12.7109375" style="2" bestFit="1" customWidth="1"/>
    <col min="520" max="520" width="10.7109375" style="2" customWidth="1"/>
    <col min="521" max="521" width="51.28515625" style="2" customWidth="1"/>
    <col min="522" max="523" width="11" style="2"/>
    <col min="524" max="524" width="12.7109375" style="2" bestFit="1" customWidth="1"/>
    <col min="525" max="768" width="11" style="2"/>
    <col min="769" max="769" width="4.42578125" style="2" customWidth="1"/>
    <col min="770" max="770" width="11.28515625" style="2" customWidth="1"/>
    <col min="771" max="771" width="3.140625" style="2" customWidth="1"/>
    <col min="772" max="772" width="62.28515625" style="2" customWidth="1"/>
    <col min="773" max="773" width="13.85546875" style="2" bestFit="1" customWidth="1"/>
    <col min="774" max="774" width="14.85546875" style="2" bestFit="1" customWidth="1"/>
    <col min="775" max="775" width="12.7109375" style="2" bestFit="1" customWidth="1"/>
    <col min="776" max="776" width="10.7109375" style="2" customWidth="1"/>
    <col min="777" max="777" width="51.28515625" style="2" customWidth="1"/>
    <col min="778" max="779" width="11" style="2"/>
    <col min="780" max="780" width="12.7109375" style="2" bestFit="1" customWidth="1"/>
    <col min="781" max="1024" width="11" style="2"/>
    <col min="1025" max="1025" width="4.42578125" style="2" customWidth="1"/>
    <col min="1026" max="1026" width="11.28515625" style="2" customWidth="1"/>
    <col min="1027" max="1027" width="3.140625" style="2" customWidth="1"/>
    <col min="1028" max="1028" width="62.28515625" style="2" customWidth="1"/>
    <col min="1029" max="1029" width="13.85546875" style="2" bestFit="1" customWidth="1"/>
    <col min="1030" max="1030" width="14.85546875" style="2" bestFit="1" customWidth="1"/>
    <col min="1031" max="1031" width="12.7109375" style="2" bestFit="1" customWidth="1"/>
    <col min="1032" max="1032" width="10.7109375" style="2" customWidth="1"/>
    <col min="1033" max="1033" width="51.28515625" style="2" customWidth="1"/>
    <col min="1034" max="1035" width="11" style="2"/>
    <col min="1036" max="1036" width="12.7109375" style="2" bestFit="1" customWidth="1"/>
    <col min="1037" max="1280" width="11" style="2"/>
    <col min="1281" max="1281" width="4.42578125" style="2" customWidth="1"/>
    <col min="1282" max="1282" width="11.28515625" style="2" customWidth="1"/>
    <col min="1283" max="1283" width="3.140625" style="2" customWidth="1"/>
    <col min="1284" max="1284" width="62.28515625" style="2" customWidth="1"/>
    <col min="1285" max="1285" width="13.85546875" style="2" bestFit="1" customWidth="1"/>
    <col min="1286" max="1286" width="14.85546875" style="2" bestFit="1" customWidth="1"/>
    <col min="1287" max="1287" width="12.7109375" style="2" bestFit="1" customWidth="1"/>
    <col min="1288" max="1288" width="10.7109375" style="2" customWidth="1"/>
    <col min="1289" max="1289" width="51.28515625" style="2" customWidth="1"/>
    <col min="1290" max="1291" width="11" style="2"/>
    <col min="1292" max="1292" width="12.7109375" style="2" bestFit="1" customWidth="1"/>
    <col min="1293" max="1536" width="11" style="2"/>
    <col min="1537" max="1537" width="4.42578125" style="2" customWidth="1"/>
    <col min="1538" max="1538" width="11.28515625" style="2" customWidth="1"/>
    <col min="1539" max="1539" width="3.140625" style="2" customWidth="1"/>
    <col min="1540" max="1540" width="62.28515625" style="2" customWidth="1"/>
    <col min="1541" max="1541" width="13.85546875" style="2" bestFit="1" customWidth="1"/>
    <col min="1542" max="1542" width="14.85546875" style="2" bestFit="1" customWidth="1"/>
    <col min="1543" max="1543" width="12.7109375" style="2" bestFit="1" customWidth="1"/>
    <col min="1544" max="1544" width="10.7109375" style="2" customWidth="1"/>
    <col min="1545" max="1545" width="51.28515625" style="2" customWidth="1"/>
    <col min="1546" max="1547" width="11" style="2"/>
    <col min="1548" max="1548" width="12.7109375" style="2" bestFit="1" customWidth="1"/>
    <col min="1549" max="1792" width="11" style="2"/>
    <col min="1793" max="1793" width="4.42578125" style="2" customWidth="1"/>
    <col min="1794" max="1794" width="11.28515625" style="2" customWidth="1"/>
    <col min="1795" max="1795" width="3.140625" style="2" customWidth="1"/>
    <col min="1796" max="1796" width="62.28515625" style="2" customWidth="1"/>
    <col min="1797" max="1797" width="13.85546875" style="2" bestFit="1" customWidth="1"/>
    <col min="1798" max="1798" width="14.85546875" style="2" bestFit="1" customWidth="1"/>
    <col min="1799" max="1799" width="12.7109375" style="2" bestFit="1" customWidth="1"/>
    <col min="1800" max="1800" width="10.7109375" style="2" customWidth="1"/>
    <col min="1801" max="1801" width="51.28515625" style="2" customWidth="1"/>
    <col min="1802" max="1803" width="11" style="2"/>
    <col min="1804" max="1804" width="12.7109375" style="2" bestFit="1" customWidth="1"/>
    <col min="1805" max="2048" width="11" style="2"/>
    <col min="2049" max="2049" width="4.42578125" style="2" customWidth="1"/>
    <col min="2050" max="2050" width="11.28515625" style="2" customWidth="1"/>
    <col min="2051" max="2051" width="3.140625" style="2" customWidth="1"/>
    <col min="2052" max="2052" width="62.28515625" style="2" customWidth="1"/>
    <col min="2053" max="2053" width="13.85546875" style="2" bestFit="1" customWidth="1"/>
    <col min="2054" max="2054" width="14.85546875" style="2" bestFit="1" customWidth="1"/>
    <col min="2055" max="2055" width="12.7109375" style="2" bestFit="1" customWidth="1"/>
    <col min="2056" max="2056" width="10.7109375" style="2" customWidth="1"/>
    <col min="2057" max="2057" width="51.28515625" style="2" customWidth="1"/>
    <col min="2058" max="2059" width="11" style="2"/>
    <col min="2060" max="2060" width="12.7109375" style="2" bestFit="1" customWidth="1"/>
    <col min="2061" max="2304" width="11" style="2"/>
    <col min="2305" max="2305" width="4.42578125" style="2" customWidth="1"/>
    <col min="2306" max="2306" width="11.28515625" style="2" customWidth="1"/>
    <col min="2307" max="2307" width="3.140625" style="2" customWidth="1"/>
    <col min="2308" max="2308" width="62.28515625" style="2" customWidth="1"/>
    <col min="2309" max="2309" width="13.85546875" style="2" bestFit="1" customWidth="1"/>
    <col min="2310" max="2310" width="14.85546875" style="2" bestFit="1" customWidth="1"/>
    <col min="2311" max="2311" width="12.7109375" style="2" bestFit="1" customWidth="1"/>
    <col min="2312" max="2312" width="10.7109375" style="2" customWidth="1"/>
    <col min="2313" max="2313" width="51.28515625" style="2" customWidth="1"/>
    <col min="2314" max="2315" width="11" style="2"/>
    <col min="2316" max="2316" width="12.7109375" style="2" bestFit="1" customWidth="1"/>
    <col min="2317" max="2560" width="11" style="2"/>
    <col min="2561" max="2561" width="4.42578125" style="2" customWidth="1"/>
    <col min="2562" max="2562" width="11.28515625" style="2" customWidth="1"/>
    <col min="2563" max="2563" width="3.140625" style="2" customWidth="1"/>
    <col min="2564" max="2564" width="62.28515625" style="2" customWidth="1"/>
    <col min="2565" max="2565" width="13.85546875" style="2" bestFit="1" customWidth="1"/>
    <col min="2566" max="2566" width="14.85546875" style="2" bestFit="1" customWidth="1"/>
    <col min="2567" max="2567" width="12.7109375" style="2" bestFit="1" customWidth="1"/>
    <col min="2568" max="2568" width="10.7109375" style="2" customWidth="1"/>
    <col min="2569" max="2569" width="51.28515625" style="2" customWidth="1"/>
    <col min="2570" max="2571" width="11" style="2"/>
    <col min="2572" max="2572" width="12.7109375" style="2" bestFit="1" customWidth="1"/>
    <col min="2573" max="2816" width="11" style="2"/>
    <col min="2817" max="2817" width="4.42578125" style="2" customWidth="1"/>
    <col min="2818" max="2818" width="11.28515625" style="2" customWidth="1"/>
    <col min="2819" max="2819" width="3.140625" style="2" customWidth="1"/>
    <col min="2820" max="2820" width="62.28515625" style="2" customWidth="1"/>
    <col min="2821" max="2821" width="13.85546875" style="2" bestFit="1" customWidth="1"/>
    <col min="2822" max="2822" width="14.85546875" style="2" bestFit="1" customWidth="1"/>
    <col min="2823" max="2823" width="12.7109375" style="2" bestFit="1" customWidth="1"/>
    <col min="2824" max="2824" width="10.7109375" style="2" customWidth="1"/>
    <col min="2825" max="2825" width="51.28515625" style="2" customWidth="1"/>
    <col min="2826" max="2827" width="11" style="2"/>
    <col min="2828" max="2828" width="12.7109375" style="2" bestFit="1" customWidth="1"/>
    <col min="2829" max="3072" width="11" style="2"/>
    <col min="3073" max="3073" width="4.42578125" style="2" customWidth="1"/>
    <col min="3074" max="3074" width="11.28515625" style="2" customWidth="1"/>
    <col min="3075" max="3075" width="3.140625" style="2" customWidth="1"/>
    <col min="3076" max="3076" width="62.28515625" style="2" customWidth="1"/>
    <col min="3077" max="3077" width="13.85546875" style="2" bestFit="1" customWidth="1"/>
    <col min="3078" max="3078" width="14.85546875" style="2" bestFit="1" customWidth="1"/>
    <col min="3079" max="3079" width="12.7109375" style="2" bestFit="1" customWidth="1"/>
    <col min="3080" max="3080" width="10.7109375" style="2" customWidth="1"/>
    <col min="3081" max="3081" width="51.28515625" style="2" customWidth="1"/>
    <col min="3082" max="3083" width="11" style="2"/>
    <col min="3084" max="3084" width="12.7109375" style="2" bestFit="1" customWidth="1"/>
    <col min="3085" max="3328" width="11" style="2"/>
    <col min="3329" max="3329" width="4.42578125" style="2" customWidth="1"/>
    <col min="3330" max="3330" width="11.28515625" style="2" customWidth="1"/>
    <col min="3331" max="3331" width="3.140625" style="2" customWidth="1"/>
    <col min="3332" max="3332" width="62.28515625" style="2" customWidth="1"/>
    <col min="3333" max="3333" width="13.85546875" style="2" bestFit="1" customWidth="1"/>
    <col min="3334" max="3334" width="14.85546875" style="2" bestFit="1" customWidth="1"/>
    <col min="3335" max="3335" width="12.7109375" style="2" bestFit="1" customWidth="1"/>
    <col min="3336" max="3336" width="10.7109375" style="2" customWidth="1"/>
    <col min="3337" max="3337" width="51.28515625" style="2" customWidth="1"/>
    <col min="3338" max="3339" width="11" style="2"/>
    <col min="3340" max="3340" width="12.7109375" style="2" bestFit="1" customWidth="1"/>
    <col min="3341" max="3584" width="11" style="2"/>
    <col min="3585" max="3585" width="4.42578125" style="2" customWidth="1"/>
    <col min="3586" max="3586" width="11.28515625" style="2" customWidth="1"/>
    <col min="3587" max="3587" width="3.140625" style="2" customWidth="1"/>
    <col min="3588" max="3588" width="62.28515625" style="2" customWidth="1"/>
    <col min="3589" max="3589" width="13.85546875" style="2" bestFit="1" customWidth="1"/>
    <col min="3590" max="3590" width="14.85546875" style="2" bestFit="1" customWidth="1"/>
    <col min="3591" max="3591" width="12.7109375" style="2" bestFit="1" customWidth="1"/>
    <col min="3592" max="3592" width="10.7109375" style="2" customWidth="1"/>
    <col min="3593" max="3593" width="51.28515625" style="2" customWidth="1"/>
    <col min="3594" max="3595" width="11" style="2"/>
    <col min="3596" max="3596" width="12.7109375" style="2" bestFit="1" customWidth="1"/>
    <col min="3597" max="3840" width="11" style="2"/>
    <col min="3841" max="3841" width="4.42578125" style="2" customWidth="1"/>
    <col min="3842" max="3842" width="11.28515625" style="2" customWidth="1"/>
    <col min="3843" max="3843" width="3.140625" style="2" customWidth="1"/>
    <col min="3844" max="3844" width="62.28515625" style="2" customWidth="1"/>
    <col min="3845" max="3845" width="13.85546875" style="2" bestFit="1" customWidth="1"/>
    <col min="3846" max="3846" width="14.85546875" style="2" bestFit="1" customWidth="1"/>
    <col min="3847" max="3847" width="12.7109375" style="2" bestFit="1" customWidth="1"/>
    <col min="3848" max="3848" width="10.7109375" style="2" customWidth="1"/>
    <col min="3849" max="3849" width="51.28515625" style="2" customWidth="1"/>
    <col min="3850" max="3851" width="11" style="2"/>
    <col min="3852" max="3852" width="12.7109375" style="2" bestFit="1" customWidth="1"/>
    <col min="3853" max="4096" width="11" style="2"/>
    <col min="4097" max="4097" width="4.42578125" style="2" customWidth="1"/>
    <col min="4098" max="4098" width="11.28515625" style="2" customWidth="1"/>
    <col min="4099" max="4099" width="3.140625" style="2" customWidth="1"/>
    <col min="4100" max="4100" width="62.28515625" style="2" customWidth="1"/>
    <col min="4101" max="4101" width="13.85546875" style="2" bestFit="1" customWidth="1"/>
    <col min="4102" max="4102" width="14.85546875" style="2" bestFit="1" customWidth="1"/>
    <col min="4103" max="4103" width="12.7109375" style="2" bestFit="1" customWidth="1"/>
    <col min="4104" max="4104" width="10.7109375" style="2" customWidth="1"/>
    <col min="4105" max="4105" width="51.28515625" style="2" customWidth="1"/>
    <col min="4106" max="4107" width="11" style="2"/>
    <col min="4108" max="4108" width="12.7109375" style="2" bestFit="1" customWidth="1"/>
    <col min="4109" max="4352" width="11" style="2"/>
    <col min="4353" max="4353" width="4.42578125" style="2" customWidth="1"/>
    <col min="4354" max="4354" width="11.28515625" style="2" customWidth="1"/>
    <col min="4355" max="4355" width="3.140625" style="2" customWidth="1"/>
    <col min="4356" max="4356" width="62.28515625" style="2" customWidth="1"/>
    <col min="4357" max="4357" width="13.85546875" style="2" bestFit="1" customWidth="1"/>
    <col min="4358" max="4358" width="14.85546875" style="2" bestFit="1" customWidth="1"/>
    <col min="4359" max="4359" width="12.7109375" style="2" bestFit="1" customWidth="1"/>
    <col min="4360" max="4360" width="10.7109375" style="2" customWidth="1"/>
    <col min="4361" max="4361" width="51.28515625" style="2" customWidth="1"/>
    <col min="4362" max="4363" width="11" style="2"/>
    <col min="4364" max="4364" width="12.7109375" style="2" bestFit="1" customWidth="1"/>
    <col min="4365" max="4608" width="11" style="2"/>
    <col min="4609" max="4609" width="4.42578125" style="2" customWidth="1"/>
    <col min="4610" max="4610" width="11.28515625" style="2" customWidth="1"/>
    <col min="4611" max="4611" width="3.140625" style="2" customWidth="1"/>
    <col min="4612" max="4612" width="62.28515625" style="2" customWidth="1"/>
    <col min="4613" max="4613" width="13.85546875" style="2" bestFit="1" customWidth="1"/>
    <col min="4614" max="4614" width="14.85546875" style="2" bestFit="1" customWidth="1"/>
    <col min="4615" max="4615" width="12.7109375" style="2" bestFit="1" customWidth="1"/>
    <col min="4616" max="4616" width="10.7109375" style="2" customWidth="1"/>
    <col min="4617" max="4617" width="51.28515625" style="2" customWidth="1"/>
    <col min="4618" max="4619" width="11" style="2"/>
    <col min="4620" max="4620" width="12.7109375" style="2" bestFit="1" customWidth="1"/>
    <col min="4621" max="4864" width="11" style="2"/>
    <col min="4865" max="4865" width="4.42578125" style="2" customWidth="1"/>
    <col min="4866" max="4866" width="11.28515625" style="2" customWidth="1"/>
    <col min="4867" max="4867" width="3.140625" style="2" customWidth="1"/>
    <col min="4868" max="4868" width="62.28515625" style="2" customWidth="1"/>
    <col min="4869" max="4869" width="13.85546875" style="2" bestFit="1" customWidth="1"/>
    <col min="4870" max="4870" width="14.85546875" style="2" bestFit="1" customWidth="1"/>
    <col min="4871" max="4871" width="12.7109375" style="2" bestFit="1" customWidth="1"/>
    <col min="4872" max="4872" width="10.7109375" style="2" customWidth="1"/>
    <col min="4873" max="4873" width="51.28515625" style="2" customWidth="1"/>
    <col min="4874" max="4875" width="11" style="2"/>
    <col min="4876" max="4876" width="12.7109375" style="2" bestFit="1" customWidth="1"/>
    <col min="4877" max="5120" width="11" style="2"/>
    <col min="5121" max="5121" width="4.42578125" style="2" customWidth="1"/>
    <col min="5122" max="5122" width="11.28515625" style="2" customWidth="1"/>
    <col min="5123" max="5123" width="3.140625" style="2" customWidth="1"/>
    <col min="5124" max="5124" width="62.28515625" style="2" customWidth="1"/>
    <col min="5125" max="5125" width="13.85546875" style="2" bestFit="1" customWidth="1"/>
    <col min="5126" max="5126" width="14.85546875" style="2" bestFit="1" customWidth="1"/>
    <col min="5127" max="5127" width="12.7109375" style="2" bestFit="1" customWidth="1"/>
    <col min="5128" max="5128" width="10.7109375" style="2" customWidth="1"/>
    <col min="5129" max="5129" width="51.28515625" style="2" customWidth="1"/>
    <col min="5130" max="5131" width="11" style="2"/>
    <col min="5132" max="5132" width="12.7109375" style="2" bestFit="1" customWidth="1"/>
    <col min="5133" max="5376" width="11" style="2"/>
    <col min="5377" max="5377" width="4.42578125" style="2" customWidth="1"/>
    <col min="5378" max="5378" width="11.28515625" style="2" customWidth="1"/>
    <col min="5379" max="5379" width="3.140625" style="2" customWidth="1"/>
    <col min="5380" max="5380" width="62.28515625" style="2" customWidth="1"/>
    <col min="5381" max="5381" width="13.85546875" style="2" bestFit="1" customWidth="1"/>
    <col min="5382" max="5382" width="14.85546875" style="2" bestFit="1" customWidth="1"/>
    <col min="5383" max="5383" width="12.7109375" style="2" bestFit="1" customWidth="1"/>
    <col min="5384" max="5384" width="10.7109375" style="2" customWidth="1"/>
    <col min="5385" max="5385" width="51.28515625" style="2" customWidth="1"/>
    <col min="5386" max="5387" width="11" style="2"/>
    <col min="5388" max="5388" width="12.7109375" style="2" bestFit="1" customWidth="1"/>
    <col min="5389" max="5632" width="11" style="2"/>
    <col min="5633" max="5633" width="4.42578125" style="2" customWidth="1"/>
    <col min="5634" max="5634" width="11.28515625" style="2" customWidth="1"/>
    <col min="5635" max="5635" width="3.140625" style="2" customWidth="1"/>
    <col min="5636" max="5636" width="62.28515625" style="2" customWidth="1"/>
    <col min="5637" max="5637" width="13.85546875" style="2" bestFit="1" customWidth="1"/>
    <col min="5638" max="5638" width="14.85546875" style="2" bestFit="1" customWidth="1"/>
    <col min="5639" max="5639" width="12.7109375" style="2" bestFit="1" customWidth="1"/>
    <col min="5640" max="5640" width="10.7109375" style="2" customWidth="1"/>
    <col min="5641" max="5641" width="51.28515625" style="2" customWidth="1"/>
    <col min="5642" max="5643" width="11" style="2"/>
    <col min="5644" max="5644" width="12.7109375" style="2" bestFit="1" customWidth="1"/>
    <col min="5645" max="5888" width="11" style="2"/>
    <col min="5889" max="5889" width="4.42578125" style="2" customWidth="1"/>
    <col min="5890" max="5890" width="11.28515625" style="2" customWidth="1"/>
    <col min="5891" max="5891" width="3.140625" style="2" customWidth="1"/>
    <col min="5892" max="5892" width="62.28515625" style="2" customWidth="1"/>
    <col min="5893" max="5893" width="13.85546875" style="2" bestFit="1" customWidth="1"/>
    <col min="5894" max="5894" width="14.85546875" style="2" bestFit="1" customWidth="1"/>
    <col min="5895" max="5895" width="12.7109375" style="2" bestFit="1" customWidth="1"/>
    <col min="5896" max="5896" width="10.7109375" style="2" customWidth="1"/>
    <col min="5897" max="5897" width="51.28515625" style="2" customWidth="1"/>
    <col min="5898" max="5899" width="11" style="2"/>
    <col min="5900" max="5900" width="12.7109375" style="2" bestFit="1" customWidth="1"/>
    <col min="5901" max="6144" width="11" style="2"/>
    <col min="6145" max="6145" width="4.42578125" style="2" customWidth="1"/>
    <col min="6146" max="6146" width="11.28515625" style="2" customWidth="1"/>
    <col min="6147" max="6147" width="3.140625" style="2" customWidth="1"/>
    <col min="6148" max="6148" width="62.28515625" style="2" customWidth="1"/>
    <col min="6149" max="6149" width="13.85546875" style="2" bestFit="1" customWidth="1"/>
    <col min="6150" max="6150" width="14.85546875" style="2" bestFit="1" customWidth="1"/>
    <col min="6151" max="6151" width="12.7109375" style="2" bestFit="1" customWidth="1"/>
    <col min="6152" max="6152" width="10.7109375" style="2" customWidth="1"/>
    <col min="6153" max="6153" width="51.28515625" style="2" customWidth="1"/>
    <col min="6154" max="6155" width="11" style="2"/>
    <col min="6156" max="6156" width="12.7109375" style="2" bestFit="1" customWidth="1"/>
    <col min="6157" max="6400" width="11" style="2"/>
    <col min="6401" max="6401" width="4.42578125" style="2" customWidth="1"/>
    <col min="6402" max="6402" width="11.28515625" style="2" customWidth="1"/>
    <col min="6403" max="6403" width="3.140625" style="2" customWidth="1"/>
    <col min="6404" max="6404" width="62.28515625" style="2" customWidth="1"/>
    <col min="6405" max="6405" width="13.85546875" style="2" bestFit="1" customWidth="1"/>
    <col min="6406" max="6406" width="14.85546875" style="2" bestFit="1" customWidth="1"/>
    <col min="6407" max="6407" width="12.7109375" style="2" bestFit="1" customWidth="1"/>
    <col min="6408" max="6408" width="10.7109375" style="2" customWidth="1"/>
    <col min="6409" max="6409" width="51.28515625" style="2" customWidth="1"/>
    <col min="6410" max="6411" width="11" style="2"/>
    <col min="6412" max="6412" width="12.7109375" style="2" bestFit="1" customWidth="1"/>
    <col min="6413" max="6656" width="11" style="2"/>
    <col min="6657" max="6657" width="4.42578125" style="2" customWidth="1"/>
    <col min="6658" max="6658" width="11.28515625" style="2" customWidth="1"/>
    <col min="6659" max="6659" width="3.140625" style="2" customWidth="1"/>
    <col min="6660" max="6660" width="62.28515625" style="2" customWidth="1"/>
    <col min="6661" max="6661" width="13.85546875" style="2" bestFit="1" customWidth="1"/>
    <col min="6662" max="6662" width="14.85546875" style="2" bestFit="1" customWidth="1"/>
    <col min="6663" max="6663" width="12.7109375" style="2" bestFit="1" customWidth="1"/>
    <col min="6664" max="6664" width="10.7109375" style="2" customWidth="1"/>
    <col min="6665" max="6665" width="51.28515625" style="2" customWidth="1"/>
    <col min="6666" max="6667" width="11" style="2"/>
    <col min="6668" max="6668" width="12.7109375" style="2" bestFit="1" customWidth="1"/>
    <col min="6669" max="6912" width="11" style="2"/>
    <col min="6913" max="6913" width="4.42578125" style="2" customWidth="1"/>
    <col min="6914" max="6914" width="11.28515625" style="2" customWidth="1"/>
    <col min="6915" max="6915" width="3.140625" style="2" customWidth="1"/>
    <col min="6916" max="6916" width="62.28515625" style="2" customWidth="1"/>
    <col min="6917" max="6917" width="13.85546875" style="2" bestFit="1" customWidth="1"/>
    <col min="6918" max="6918" width="14.85546875" style="2" bestFit="1" customWidth="1"/>
    <col min="6919" max="6919" width="12.7109375" style="2" bestFit="1" customWidth="1"/>
    <col min="6920" max="6920" width="10.7109375" style="2" customWidth="1"/>
    <col min="6921" max="6921" width="51.28515625" style="2" customWidth="1"/>
    <col min="6922" max="6923" width="11" style="2"/>
    <col min="6924" max="6924" width="12.7109375" style="2" bestFit="1" customWidth="1"/>
    <col min="6925" max="7168" width="11" style="2"/>
    <col min="7169" max="7169" width="4.42578125" style="2" customWidth="1"/>
    <col min="7170" max="7170" width="11.28515625" style="2" customWidth="1"/>
    <col min="7171" max="7171" width="3.140625" style="2" customWidth="1"/>
    <col min="7172" max="7172" width="62.28515625" style="2" customWidth="1"/>
    <col min="7173" max="7173" width="13.85546875" style="2" bestFit="1" customWidth="1"/>
    <col min="7174" max="7174" width="14.85546875" style="2" bestFit="1" customWidth="1"/>
    <col min="7175" max="7175" width="12.7109375" style="2" bestFit="1" customWidth="1"/>
    <col min="7176" max="7176" width="10.7109375" style="2" customWidth="1"/>
    <col min="7177" max="7177" width="51.28515625" style="2" customWidth="1"/>
    <col min="7178" max="7179" width="11" style="2"/>
    <col min="7180" max="7180" width="12.7109375" style="2" bestFit="1" customWidth="1"/>
    <col min="7181" max="7424" width="11" style="2"/>
    <col min="7425" max="7425" width="4.42578125" style="2" customWidth="1"/>
    <col min="7426" max="7426" width="11.28515625" style="2" customWidth="1"/>
    <col min="7427" max="7427" width="3.140625" style="2" customWidth="1"/>
    <col min="7428" max="7428" width="62.28515625" style="2" customWidth="1"/>
    <col min="7429" max="7429" width="13.85546875" style="2" bestFit="1" customWidth="1"/>
    <col min="7430" max="7430" width="14.85546875" style="2" bestFit="1" customWidth="1"/>
    <col min="7431" max="7431" width="12.7109375" style="2" bestFit="1" customWidth="1"/>
    <col min="7432" max="7432" width="10.7109375" style="2" customWidth="1"/>
    <col min="7433" max="7433" width="51.28515625" style="2" customWidth="1"/>
    <col min="7434" max="7435" width="11" style="2"/>
    <col min="7436" max="7436" width="12.7109375" style="2" bestFit="1" customWidth="1"/>
    <col min="7437" max="7680" width="11" style="2"/>
    <col min="7681" max="7681" width="4.42578125" style="2" customWidth="1"/>
    <col min="7682" max="7682" width="11.28515625" style="2" customWidth="1"/>
    <col min="7683" max="7683" width="3.140625" style="2" customWidth="1"/>
    <col min="7684" max="7684" width="62.28515625" style="2" customWidth="1"/>
    <col min="7685" max="7685" width="13.85546875" style="2" bestFit="1" customWidth="1"/>
    <col min="7686" max="7686" width="14.85546875" style="2" bestFit="1" customWidth="1"/>
    <col min="7687" max="7687" width="12.7109375" style="2" bestFit="1" customWidth="1"/>
    <col min="7688" max="7688" width="10.7109375" style="2" customWidth="1"/>
    <col min="7689" max="7689" width="51.28515625" style="2" customWidth="1"/>
    <col min="7690" max="7691" width="11" style="2"/>
    <col min="7692" max="7692" width="12.7109375" style="2" bestFit="1" customWidth="1"/>
    <col min="7693" max="7936" width="11" style="2"/>
    <col min="7937" max="7937" width="4.42578125" style="2" customWidth="1"/>
    <col min="7938" max="7938" width="11.28515625" style="2" customWidth="1"/>
    <col min="7939" max="7939" width="3.140625" style="2" customWidth="1"/>
    <col min="7940" max="7940" width="62.28515625" style="2" customWidth="1"/>
    <col min="7941" max="7941" width="13.85546875" style="2" bestFit="1" customWidth="1"/>
    <col min="7942" max="7942" width="14.85546875" style="2" bestFit="1" customWidth="1"/>
    <col min="7943" max="7943" width="12.7109375" style="2" bestFit="1" customWidth="1"/>
    <col min="7944" max="7944" width="10.7109375" style="2" customWidth="1"/>
    <col min="7945" max="7945" width="51.28515625" style="2" customWidth="1"/>
    <col min="7946" max="7947" width="11" style="2"/>
    <col min="7948" max="7948" width="12.7109375" style="2" bestFit="1" customWidth="1"/>
    <col min="7949" max="8192" width="11" style="2"/>
    <col min="8193" max="8193" width="4.42578125" style="2" customWidth="1"/>
    <col min="8194" max="8194" width="11.28515625" style="2" customWidth="1"/>
    <col min="8195" max="8195" width="3.140625" style="2" customWidth="1"/>
    <col min="8196" max="8196" width="62.28515625" style="2" customWidth="1"/>
    <col min="8197" max="8197" width="13.85546875" style="2" bestFit="1" customWidth="1"/>
    <col min="8198" max="8198" width="14.85546875" style="2" bestFit="1" customWidth="1"/>
    <col min="8199" max="8199" width="12.7109375" style="2" bestFit="1" customWidth="1"/>
    <col min="8200" max="8200" width="10.7109375" style="2" customWidth="1"/>
    <col min="8201" max="8201" width="51.28515625" style="2" customWidth="1"/>
    <col min="8202" max="8203" width="11" style="2"/>
    <col min="8204" max="8204" width="12.7109375" style="2" bestFit="1" customWidth="1"/>
    <col min="8205" max="8448" width="11" style="2"/>
    <col min="8449" max="8449" width="4.42578125" style="2" customWidth="1"/>
    <col min="8450" max="8450" width="11.28515625" style="2" customWidth="1"/>
    <col min="8451" max="8451" width="3.140625" style="2" customWidth="1"/>
    <col min="8452" max="8452" width="62.28515625" style="2" customWidth="1"/>
    <col min="8453" max="8453" width="13.85546875" style="2" bestFit="1" customWidth="1"/>
    <col min="8454" max="8454" width="14.85546875" style="2" bestFit="1" customWidth="1"/>
    <col min="8455" max="8455" width="12.7109375" style="2" bestFit="1" customWidth="1"/>
    <col min="8456" max="8456" width="10.7109375" style="2" customWidth="1"/>
    <col min="8457" max="8457" width="51.28515625" style="2" customWidth="1"/>
    <col min="8458" max="8459" width="11" style="2"/>
    <col min="8460" max="8460" width="12.7109375" style="2" bestFit="1" customWidth="1"/>
    <col min="8461" max="8704" width="11" style="2"/>
    <col min="8705" max="8705" width="4.42578125" style="2" customWidth="1"/>
    <col min="8706" max="8706" width="11.28515625" style="2" customWidth="1"/>
    <col min="8707" max="8707" width="3.140625" style="2" customWidth="1"/>
    <col min="8708" max="8708" width="62.28515625" style="2" customWidth="1"/>
    <col min="8709" max="8709" width="13.85546875" style="2" bestFit="1" customWidth="1"/>
    <col min="8710" max="8710" width="14.85546875" style="2" bestFit="1" customWidth="1"/>
    <col min="8711" max="8711" width="12.7109375" style="2" bestFit="1" customWidth="1"/>
    <col min="8712" max="8712" width="10.7109375" style="2" customWidth="1"/>
    <col min="8713" max="8713" width="51.28515625" style="2" customWidth="1"/>
    <col min="8714" max="8715" width="11" style="2"/>
    <col min="8716" max="8716" width="12.7109375" style="2" bestFit="1" customWidth="1"/>
    <col min="8717" max="8960" width="11" style="2"/>
    <col min="8961" max="8961" width="4.42578125" style="2" customWidth="1"/>
    <col min="8962" max="8962" width="11.28515625" style="2" customWidth="1"/>
    <col min="8963" max="8963" width="3.140625" style="2" customWidth="1"/>
    <col min="8964" max="8964" width="62.28515625" style="2" customWidth="1"/>
    <col min="8965" max="8965" width="13.85546875" style="2" bestFit="1" customWidth="1"/>
    <col min="8966" max="8966" width="14.85546875" style="2" bestFit="1" customWidth="1"/>
    <col min="8967" max="8967" width="12.7109375" style="2" bestFit="1" customWidth="1"/>
    <col min="8968" max="8968" width="10.7109375" style="2" customWidth="1"/>
    <col min="8969" max="8969" width="51.28515625" style="2" customWidth="1"/>
    <col min="8970" max="8971" width="11" style="2"/>
    <col min="8972" max="8972" width="12.7109375" style="2" bestFit="1" customWidth="1"/>
    <col min="8973" max="9216" width="11" style="2"/>
    <col min="9217" max="9217" width="4.42578125" style="2" customWidth="1"/>
    <col min="9218" max="9218" width="11.28515625" style="2" customWidth="1"/>
    <col min="9219" max="9219" width="3.140625" style="2" customWidth="1"/>
    <col min="9220" max="9220" width="62.28515625" style="2" customWidth="1"/>
    <col min="9221" max="9221" width="13.85546875" style="2" bestFit="1" customWidth="1"/>
    <col min="9222" max="9222" width="14.85546875" style="2" bestFit="1" customWidth="1"/>
    <col min="9223" max="9223" width="12.7109375" style="2" bestFit="1" customWidth="1"/>
    <col min="9224" max="9224" width="10.7109375" style="2" customWidth="1"/>
    <col min="9225" max="9225" width="51.28515625" style="2" customWidth="1"/>
    <col min="9226" max="9227" width="11" style="2"/>
    <col min="9228" max="9228" width="12.7109375" style="2" bestFit="1" customWidth="1"/>
    <col min="9229" max="9472" width="11" style="2"/>
    <col min="9473" max="9473" width="4.42578125" style="2" customWidth="1"/>
    <col min="9474" max="9474" width="11.28515625" style="2" customWidth="1"/>
    <col min="9475" max="9475" width="3.140625" style="2" customWidth="1"/>
    <col min="9476" max="9476" width="62.28515625" style="2" customWidth="1"/>
    <col min="9477" max="9477" width="13.85546875" style="2" bestFit="1" customWidth="1"/>
    <col min="9478" max="9478" width="14.85546875" style="2" bestFit="1" customWidth="1"/>
    <col min="9479" max="9479" width="12.7109375" style="2" bestFit="1" customWidth="1"/>
    <col min="9480" max="9480" width="10.7109375" style="2" customWidth="1"/>
    <col min="9481" max="9481" width="51.28515625" style="2" customWidth="1"/>
    <col min="9482" max="9483" width="11" style="2"/>
    <col min="9484" max="9484" width="12.7109375" style="2" bestFit="1" customWidth="1"/>
    <col min="9485" max="9728" width="11" style="2"/>
    <col min="9729" max="9729" width="4.42578125" style="2" customWidth="1"/>
    <col min="9730" max="9730" width="11.28515625" style="2" customWidth="1"/>
    <col min="9731" max="9731" width="3.140625" style="2" customWidth="1"/>
    <col min="9732" max="9732" width="62.28515625" style="2" customWidth="1"/>
    <col min="9733" max="9733" width="13.85546875" style="2" bestFit="1" customWidth="1"/>
    <col min="9734" max="9734" width="14.85546875" style="2" bestFit="1" customWidth="1"/>
    <col min="9735" max="9735" width="12.7109375" style="2" bestFit="1" customWidth="1"/>
    <col min="9736" max="9736" width="10.7109375" style="2" customWidth="1"/>
    <col min="9737" max="9737" width="51.28515625" style="2" customWidth="1"/>
    <col min="9738" max="9739" width="11" style="2"/>
    <col min="9740" max="9740" width="12.7109375" style="2" bestFit="1" customWidth="1"/>
    <col min="9741" max="9984" width="11" style="2"/>
    <col min="9985" max="9985" width="4.42578125" style="2" customWidth="1"/>
    <col min="9986" max="9986" width="11.28515625" style="2" customWidth="1"/>
    <col min="9987" max="9987" width="3.140625" style="2" customWidth="1"/>
    <col min="9988" max="9988" width="62.28515625" style="2" customWidth="1"/>
    <col min="9989" max="9989" width="13.85546875" style="2" bestFit="1" customWidth="1"/>
    <col min="9990" max="9990" width="14.85546875" style="2" bestFit="1" customWidth="1"/>
    <col min="9991" max="9991" width="12.7109375" style="2" bestFit="1" customWidth="1"/>
    <col min="9992" max="9992" width="10.7109375" style="2" customWidth="1"/>
    <col min="9993" max="9993" width="51.28515625" style="2" customWidth="1"/>
    <col min="9994" max="9995" width="11" style="2"/>
    <col min="9996" max="9996" width="12.7109375" style="2" bestFit="1" customWidth="1"/>
    <col min="9997" max="10240" width="11" style="2"/>
    <col min="10241" max="10241" width="4.42578125" style="2" customWidth="1"/>
    <col min="10242" max="10242" width="11.28515625" style="2" customWidth="1"/>
    <col min="10243" max="10243" width="3.140625" style="2" customWidth="1"/>
    <col min="10244" max="10244" width="62.28515625" style="2" customWidth="1"/>
    <col min="10245" max="10245" width="13.85546875" style="2" bestFit="1" customWidth="1"/>
    <col min="10246" max="10246" width="14.85546875" style="2" bestFit="1" customWidth="1"/>
    <col min="10247" max="10247" width="12.7109375" style="2" bestFit="1" customWidth="1"/>
    <col min="10248" max="10248" width="10.7109375" style="2" customWidth="1"/>
    <col min="10249" max="10249" width="51.28515625" style="2" customWidth="1"/>
    <col min="10250" max="10251" width="11" style="2"/>
    <col min="10252" max="10252" width="12.7109375" style="2" bestFit="1" customWidth="1"/>
    <col min="10253" max="10496" width="11" style="2"/>
    <col min="10497" max="10497" width="4.42578125" style="2" customWidth="1"/>
    <col min="10498" max="10498" width="11.28515625" style="2" customWidth="1"/>
    <col min="10499" max="10499" width="3.140625" style="2" customWidth="1"/>
    <col min="10500" max="10500" width="62.28515625" style="2" customWidth="1"/>
    <col min="10501" max="10501" width="13.85546875" style="2" bestFit="1" customWidth="1"/>
    <col min="10502" max="10502" width="14.85546875" style="2" bestFit="1" customWidth="1"/>
    <col min="10503" max="10503" width="12.7109375" style="2" bestFit="1" customWidth="1"/>
    <col min="10504" max="10504" width="10.7109375" style="2" customWidth="1"/>
    <col min="10505" max="10505" width="51.28515625" style="2" customWidth="1"/>
    <col min="10506" max="10507" width="11" style="2"/>
    <col min="10508" max="10508" width="12.7109375" style="2" bestFit="1" customWidth="1"/>
    <col min="10509" max="10752" width="11" style="2"/>
    <col min="10753" max="10753" width="4.42578125" style="2" customWidth="1"/>
    <col min="10754" max="10754" width="11.28515625" style="2" customWidth="1"/>
    <col min="10755" max="10755" width="3.140625" style="2" customWidth="1"/>
    <col min="10756" max="10756" width="62.28515625" style="2" customWidth="1"/>
    <col min="10757" max="10757" width="13.85546875" style="2" bestFit="1" customWidth="1"/>
    <col min="10758" max="10758" width="14.85546875" style="2" bestFit="1" customWidth="1"/>
    <col min="10759" max="10759" width="12.7109375" style="2" bestFit="1" customWidth="1"/>
    <col min="10760" max="10760" width="10.7109375" style="2" customWidth="1"/>
    <col min="10761" max="10761" width="51.28515625" style="2" customWidth="1"/>
    <col min="10762" max="10763" width="11" style="2"/>
    <col min="10764" max="10764" width="12.7109375" style="2" bestFit="1" customWidth="1"/>
    <col min="10765" max="11008" width="11" style="2"/>
    <col min="11009" max="11009" width="4.42578125" style="2" customWidth="1"/>
    <col min="11010" max="11010" width="11.28515625" style="2" customWidth="1"/>
    <col min="11011" max="11011" width="3.140625" style="2" customWidth="1"/>
    <col min="11012" max="11012" width="62.28515625" style="2" customWidth="1"/>
    <col min="11013" max="11013" width="13.85546875" style="2" bestFit="1" customWidth="1"/>
    <col min="11014" max="11014" width="14.85546875" style="2" bestFit="1" customWidth="1"/>
    <col min="11015" max="11015" width="12.7109375" style="2" bestFit="1" customWidth="1"/>
    <col min="11016" max="11016" width="10.7109375" style="2" customWidth="1"/>
    <col min="11017" max="11017" width="51.28515625" style="2" customWidth="1"/>
    <col min="11018" max="11019" width="11" style="2"/>
    <col min="11020" max="11020" width="12.7109375" style="2" bestFit="1" customWidth="1"/>
    <col min="11021" max="11264" width="11" style="2"/>
    <col min="11265" max="11265" width="4.42578125" style="2" customWidth="1"/>
    <col min="11266" max="11266" width="11.28515625" style="2" customWidth="1"/>
    <col min="11267" max="11267" width="3.140625" style="2" customWidth="1"/>
    <col min="11268" max="11268" width="62.28515625" style="2" customWidth="1"/>
    <col min="11269" max="11269" width="13.85546875" style="2" bestFit="1" customWidth="1"/>
    <col min="11270" max="11270" width="14.85546875" style="2" bestFit="1" customWidth="1"/>
    <col min="11271" max="11271" width="12.7109375" style="2" bestFit="1" customWidth="1"/>
    <col min="11272" max="11272" width="10.7109375" style="2" customWidth="1"/>
    <col min="11273" max="11273" width="51.28515625" style="2" customWidth="1"/>
    <col min="11274" max="11275" width="11" style="2"/>
    <col min="11276" max="11276" width="12.7109375" style="2" bestFit="1" customWidth="1"/>
    <col min="11277" max="11520" width="11" style="2"/>
    <col min="11521" max="11521" width="4.42578125" style="2" customWidth="1"/>
    <col min="11522" max="11522" width="11.28515625" style="2" customWidth="1"/>
    <col min="11523" max="11523" width="3.140625" style="2" customWidth="1"/>
    <col min="11524" max="11524" width="62.28515625" style="2" customWidth="1"/>
    <col min="11525" max="11525" width="13.85546875" style="2" bestFit="1" customWidth="1"/>
    <col min="11526" max="11526" width="14.85546875" style="2" bestFit="1" customWidth="1"/>
    <col min="11527" max="11527" width="12.7109375" style="2" bestFit="1" customWidth="1"/>
    <col min="11528" max="11528" width="10.7109375" style="2" customWidth="1"/>
    <col min="11529" max="11529" width="51.28515625" style="2" customWidth="1"/>
    <col min="11530" max="11531" width="11" style="2"/>
    <col min="11532" max="11532" width="12.7109375" style="2" bestFit="1" customWidth="1"/>
    <col min="11533" max="11776" width="11" style="2"/>
    <col min="11777" max="11777" width="4.42578125" style="2" customWidth="1"/>
    <col min="11778" max="11778" width="11.28515625" style="2" customWidth="1"/>
    <col min="11779" max="11779" width="3.140625" style="2" customWidth="1"/>
    <col min="11780" max="11780" width="62.28515625" style="2" customWidth="1"/>
    <col min="11781" max="11781" width="13.85546875" style="2" bestFit="1" customWidth="1"/>
    <col min="11782" max="11782" width="14.85546875" style="2" bestFit="1" customWidth="1"/>
    <col min="11783" max="11783" width="12.7109375" style="2" bestFit="1" customWidth="1"/>
    <col min="11784" max="11784" width="10.7109375" style="2" customWidth="1"/>
    <col min="11785" max="11785" width="51.28515625" style="2" customWidth="1"/>
    <col min="11786" max="11787" width="11" style="2"/>
    <col min="11788" max="11788" width="12.7109375" style="2" bestFit="1" customWidth="1"/>
    <col min="11789" max="12032" width="11" style="2"/>
    <col min="12033" max="12033" width="4.42578125" style="2" customWidth="1"/>
    <col min="12034" max="12034" width="11.28515625" style="2" customWidth="1"/>
    <col min="12035" max="12035" width="3.140625" style="2" customWidth="1"/>
    <col min="12036" max="12036" width="62.28515625" style="2" customWidth="1"/>
    <col min="12037" max="12037" width="13.85546875" style="2" bestFit="1" customWidth="1"/>
    <col min="12038" max="12038" width="14.85546875" style="2" bestFit="1" customWidth="1"/>
    <col min="12039" max="12039" width="12.7109375" style="2" bestFit="1" customWidth="1"/>
    <col min="12040" max="12040" width="10.7109375" style="2" customWidth="1"/>
    <col min="12041" max="12041" width="51.28515625" style="2" customWidth="1"/>
    <col min="12042" max="12043" width="11" style="2"/>
    <col min="12044" max="12044" width="12.7109375" style="2" bestFit="1" customWidth="1"/>
    <col min="12045" max="12288" width="11" style="2"/>
    <col min="12289" max="12289" width="4.42578125" style="2" customWidth="1"/>
    <col min="12290" max="12290" width="11.28515625" style="2" customWidth="1"/>
    <col min="12291" max="12291" width="3.140625" style="2" customWidth="1"/>
    <col min="12292" max="12292" width="62.28515625" style="2" customWidth="1"/>
    <col min="12293" max="12293" width="13.85546875" style="2" bestFit="1" customWidth="1"/>
    <col min="12294" max="12294" width="14.85546875" style="2" bestFit="1" customWidth="1"/>
    <col min="12295" max="12295" width="12.7109375" style="2" bestFit="1" customWidth="1"/>
    <col min="12296" max="12296" width="10.7109375" style="2" customWidth="1"/>
    <col min="12297" max="12297" width="51.28515625" style="2" customWidth="1"/>
    <col min="12298" max="12299" width="11" style="2"/>
    <col min="12300" max="12300" width="12.7109375" style="2" bestFit="1" customWidth="1"/>
    <col min="12301" max="12544" width="11" style="2"/>
    <col min="12545" max="12545" width="4.42578125" style="2" customWidth="1"/>
    <col min="12546" max="12546" width="11.28515625" style="2" customWidth="1"/>
    <col min="12547" max="12547" width="3.140625" style="2" customWidth="1"/>
    <col min="12548" max="12548" width="62.28515625" style="2" customWidth="1"/>
    <col min="12549" max="12549" width="13.85546875" style="2" bestFit="1" customWidth="1"/>
    <col min="12550" max="12550" width="14.85546875" style="2" bestFit="1" customWidth="1"/>
    <col min="12551" max="12551" width="12.7109375" style="2" bestFit="1" customWidth="1"/>
    <col min="12552" max="12552" width="10.7109375" style="2" customWidth="1"/>
    <col min="12553" max="12553" width="51.28515625" style="2" customWidth="1"/>
    <col min="12554" max="12555" width="11" style="2"/>
    <col min="12556" max="12556" width="12.7109375" style="2" bestFit="1" customWidth="1"/>
    <col min="12557" max="12800" width="11" style="2"/>
    <col min="12801" max="12801" width="4.42578125" style="2" customWidth="1"/>
    <col min="12802" max="12802" width="11.28515625" style="2" customWidth="1"/>
    <col min="12803" max="12803" width="3.140625" style="2" customWidth="1"/>
    <col min="12804" max="12804" width="62.28515625" style="2" customWidth="1"/>
    <col min="12805" max="12805" width="13.85546875" style="2" bestFit="1" customWidth="1"/>
    <col min="12806" max="12806" width="14.85546875" style="2" bestFit="1" customWidth="1"/>
    <col min="12807" max="12807" width="12.7109375" style="2" bestFit="1" customWidth="1"/>
    <col min="12808" max="12808" width="10.7109375" style="2" customWidth="1"/>
    <col min="12809" max="12809" width="51.28515625" style="2" customWidth="1"/>
    <col min="12810" max="12811" width="11" style="2"/>
    <col min="12812" max="12812" width="12.7109375" style="2" bestFit="1" customWidth="1"/>
    <col min="12813" max="13056" width="11" style="2"/>
    <col min="13057" max="13057" width="4.42578125" style="2" customWidth="1"/>
    <col min="13058" max="13058" width="11.28515625" style="2" customWidth="1"/>
    <col min="13059" max="13059" width="3.140625" style="2" customWidth="1"/>
    <col min="13060" max="13060" width="62.28515625" style="2" customWidth="1"/>
    <col min="13061" max="13061" width="13.85546875" style="2" bestFit="1" customWidth="1"/>
    <col min="13062" max="13062" width="14.85546875" style="2" bestFit="1" customWidth="1"/>
    <col min="13063" max="13063" width="12.7109375" style="2" bestFit="1" customWidth="1"/>
    <col min="13064" max="13064" width="10.7109375" style="2" customWidth="1"/>
    <col min="13065" max="13065" width="51.28515625" style="2" customWidth="1"/>
    <col min="13066" max="13067" width="11" style="2"/>
    <col min="13068" max="13068" width="12.7109375" style="2" bestFit="1" customWidth="1"/>
    <col min="13069" max="13312" width="11" style="2"/>
    <col min="13313" max="13313" width="4.42578125" style="2" customWidth="1"/>
    <col min="13314" max="13314" width="11.28515625" style="2" customWidth="1"/>
    <col min="13315" max="13315" width="3.140625" style="2" customWidth="1"/>
    <col min="13316" max="13316" width="62.28515625" style="2" customWidth="1"/>
    <col min="13317" max="13317" width="13.85546875" style="2" bestFit="1" customWidth="1"/>
    <col min="13318" max="13318" width="14.85546875" style="2" bestFit="1" customWidth="1"/>
    <col min="13319" max="13319" width="12.7109375" style="2" bestFit="1" customWidth="1"/>
    <col min="13320" max="13320" width="10.7109375" style="2" customWidth="1"/>
    <col min="13321" max="13321" width="51.28515625" style="2" customWidth="1"/>
    <col min="13322" max="13323" width="11" style="2"/>
    <col min="13324" max="13324" width="12.7109375" style="2" bestFit="1" customWidth="1"/>
    <col min="13325" max="13568" width="11" style="2"/>
    <col min="13569" max="13569" width="4.42578125" style="2" customWidth="1"/>
    <col min="13570" max="13570" width="11.28515625" style="2" customWidth="1"/>
    <col min="13571" max="13571" width="3.140625" style="2" customWidth="1"/>
    <col min="13572" max="13572" width="62.28515625" style="2" customWidth="1"/>
    <col min="13573" max="13573" width="13.85546875" style="2" bestFit="1" customWidth="1"/>
    <col min="13574" max="13574" width="14.85546875" style="2" bestFit="1" customWidth="1"/>
    <col min="13575" max="13575" width="12.7109375" style="2" bestFit="1" customWidth="1"/>
    <col min="13576" max="13576" width="10.7109375" style="2" customWidth="1"/>
    <col min="13577" max="13577" width="51.28515625" style="2" customWidth="1"/>
    <col min="13578" max="13579" width="11" style="2"/>
    <col min="13580" max="13580" width="12.7109375" style="2" bestFit="1" customWidth="1"/>
    <col min="13581" max="13824" width="11" style="2"/>
    <col min="13825" max="13825" width="4.42578125" style="2" customWidth="1"/>
    <col min="13826" max="13826" width="11.28515625" style="2" customWidth="1"/>
    <col min="13827" max="13827" width="3.140625" style="2" customWidth="1"/>
    <col min="13828" max="13828" width="62.28515625" style="2" customWidth="1"/>
    <col min="13829" max="13829" width="13.85546875" style="2" bestFit="1" customWidth="1"/>
    <col min="13830" max="13830" width="14.85546875" style="2" bestFit="1" customWidth="1"/>
    <col min="13831" max="13831" width="12.7109375" style="2" bestFit="1" customWidth="1"/>
    <col min="13832" max="13832" width="10.7109375" style="2" customWidth="1"/>
    <col min="13833" max="13833" width="51.28515625" style="2" customWidth="1"/>
    <col min="13834" max="13835" width="11" style="2"/>
    <col min="13836" max="13836" width="12.7109375" style="2" bestFit="1" customWidth="1"/>
    <col min="13837" max="14080" width="11" style="2"/>
    <col min="14081" max="14081" width="4.42578125" style="2" customWidth="1"/>
    <col min="14082" max="14082" width="11.28515625" style="2" customWidth="1"/>
    <col min="14083" max="14083" width="3.140625" style="2" customWidth="1"/>
    <col min="14084" max="14084" width="62.28515625" style="2" customWidth="1"/>
    <col min="14085" max="14085" width="13.85546875" style="2" bestFit="1" customWidth="1"/>
    <col min="14086" max="14086" width="14.85546875" style="2" bestFit="1" customWidth="1"/>
    <col min="14087" max="14087" width="12.7109375" style="2" bestFit="1" customWidth="1"/>
    <col min="14088" max="14088" width="10.7109375" style="2" customWidth="1"/>
    <col min="14089" max="14089" width="51.28515625" style="2" customWidth="1"/>
    <col min="14090" max="14091" width="11" style="2"/>
    <col min="14092" max="14092" width="12.7109375" style="2" bestFit="1" customWidth="1"/>
    <col min="14093" max="14336" width="11" style="2"/>
    <col min="14337" max="14337" width="4.42578125" style="2" customWidth="1"/>
    <col min="14338" max="14338" width="11.28515625" style="2" customWidth="1"/>
    <col min="14339" max="14339" width="3.140625" style="2" customWidth="1"/>
    <col min="14340" max="14340" width="62.28515625" style="2" customWidth="1"/>
    <col min="14341" max="14341" width="13.85546875" style="2" bestFit="1" customWidth="1"/>
    <col min="14342" max="14342" width="14.85546875" style="2" bestFit="1" customWidth="1"/>
    <col min="14343" max="14343" width="12.7109375" style="2" bestFit="1" customWidth="1"/>
    <col min="14344" max="14344" width="10.7109375" style="2" customWidth="1"/>
    <col min="14345" max="14345" width="51.28515625" style="2" customWidth="1"/>
    <col min="14346" max="14347" width="11" style="2"/>
    <col min="14348" max="14348" width="12.7109375" style="2" bestFit="1" customWidth="1"/>
    <col min="14349" max="14592" width="11" style="2"/>
    <col min="14593" max="14593" width="4.42578125" style="2" customWidth="1"/>
    <col min="14594" max="14594" width="11.28515625" style="2" customWidth="1"/>
    <col min="14595" max="14595" width="3.140625" style="2" customWidth="1"/>
    <col min="14596" max="14596" width="62.28515625" style="2" customWidth="1"/>
    <col min="14597" max="14597" width="13.85546875" style="2" bestFit="1" customWidth="1"/>
    <col min="14598" max="14598" width="14.85546875" style="2" bestFit="1" customWidth="1"/>
    <col min="14599" max="14599" width="12.7109375" style="2" bestFit="1" customWidth="1"/>
    <col min="14600" max="14600" width="10.7109375" style="2" customWidth="1"/>
    <col min="14601" max="14601" width="51.28515625" style="2" customWidth="1"/>
    <col min="14602" max="14603" width="11" style="2"/>
    <col min="14604" max="14604" width="12.7109375" style="2" bestFit="1" customWidth="1"/>
    <col min="14605" max="14848" width="11" style="2"/>
    <col min="14849" max="14849" width="4.42578125" style="2" customWidth="1"/>
    <col min="14850" max="14850" width="11.28515625" style="2" customWidth="1"/>
    <col min="14851" max="14851" width="3.140625" style="2" customWidth="1"/>
    <col min="14852" max="14852" width="62.28515625" style="2" customWidth="1"/>
    <col min="14853" max="14853" width="13.85546875" style="2" bestFit="1" customWidth="1"/>
    <col min="14854" max="14854" width="14.85546875" style="2" bestFit="1" customWidth="1"/>
    <col min="14855" max="14855" width="12.7109375" style="2" bestFit="1" customWidth="1"/>
    <col min="14856" max="14856" width="10.7109375" style="2" customWidth="1"/>
    <col min="14857" max="14857" width="51.28515625" style="2" customWidth="1"/>
    <col min="14858" max="14859" width="11" style="2"/>
    <col min="14860" max="14860" width="12.7109375" style="2" bestFit="1" customWidth="1"/>
    <col min="14861" max="15104" width="11" style="2"/>
    <col min="15105" max="15105" width="4.42578125" style="2" customWidth="1"/>
    <col min="15106" max="15106" width="11.28515625" style="2" customWidth="1"/>
    <col min="15107" max="15107" width="3.140625" style="2" customWidth="1"/>
    <col min="15108" max="15108" width="62.28515625" style="2" customWidth="1"/>
    <col min="15109" max="15109" width="13.85546875" style="2" bestFit="1" customWidth="1"/>
    <col min="15110" max="15110" width="14.85546875" style="2" bestFit="1" customWidth="1"/>
    <col min="15111" max="15111" width="12.7109375" style="2" bestFit="1" customWidth="1"/>
    <col min="15112" max="15112" width="10.7109375" style="2" customWidth="1"/>
    <col min="15113" max="15113" width="51.28515625" style="2" customWidth="1"/>
    <col min="15114" max="15115" width="11" style="2"/>
    <col min="15116" max="15116" width="12.7109375" style="2" bestFit="1" customWidth="1"/>
    <col min="15117" max="15360" width="11" style="2"/>
    <col min="15361" max="15361" width="4.42578125" style="2" customWidth="1"/>
    <col min="15362" max="15362" width="11.28515625" style="2" customWidth="1"/>
    <col min="15363" max="15363" width="3.140625" style="2" customWidth="1"/>
    <col min="15364" max="15364" width="62.28515625" style="2" customWidth="1"/>
    <col min="15365" max="15365" width="13.85546875" style="2" bestFit="1" customWidth="1"/>
    <col min="15366" max="15366" width="14.85546875" style="2" bestFit="1" customWidth="1"/>
    <col min="15367" max="15367" width="12.7109375" style="2" bestFit="1" customWidth="1"/>
    <col min="15368" max="15368" width="10.7109375" style="2" customWidth="1"/>
    <col min="15369" max="15369" width="51.28515625" style="2" customWidth="1"/>
    <col min="15370" max="15371" width="11" style="2"/>
    <col min="15372" max="15372" width="12.7109375" style="2" bestFit="1" customWidth="1"/>
    <col min="15373" max="15616" width="11" style="2"/>
    <col min="15617" max="15617" width="4.42578125" style="2" customWidth="1"/>
    <col min="15618" max="15618" width="11.28515625" style="2" customWidth="1"/>
    <col min="15619" max="15619" width="3.140625" style="2" customWidth="1"/>
    <col min="15620" max="15620" width="62.28515625" style="2" customWidth="1"/>
    <col min="15621" max="15621" width="13.85546875" style="2" bestFit="1" customWidth="1"/>
    <col min="15622" max="15622" width="14.85546875" style="2" bestFit="1" customWidth="1"/>
    <col min="15623" max="15623" width="12.7109375" style="2" bestFit="1" customWidth="1"/>
    <col min="15624" max="15624" width="10.7109375" style="2" customWidth="1"/>
    <col min="15625" max="15625" width="51.28515625" style="2" customWidth="1"/>
    <col min="15626" max="15627" width="11" style="2"/>
    <col min="15628" max="15628" width="12.7109375" style="2" bestFit="1" customWidth="1"/>
    <col min="15629" max="15872" width="11" style="2"/>
    <col min="15873" max="15873" width="4.42578125" style="2" customWidth="1"/>
    <col min="15874" max="15874" width="11.28515625" style="2" customWidth="1"/>
    <col min="15875" max="15875" width="3.140625" style="2" customWidth="1"/>
    <col min="15876" max="15876" width="62.28515625" style="2" customWidth="1"/>
    <col min="15877" max="15877" width="13.85546875" style="2" bestFit="1" customWidth="1"/>
    <col min="15878" max="15878" width="14.85546875" style="2" bestFit="1" customWidth="1"/>
    <col min="15879" max="15879" width="12.7109375" style="2" bestFit="1" customWidth="1"/>
    <col min="15880" max="15880" width="10.7109375" style="2" customWidth="1"/>
    <col min="15881" max="15881" width="51.28515625" style="2" customWidth="1"/>
    <col min="15882" max="15883" width="11" style="2"/>
    <col min="15884" max="15884" width="12.7109375" style="2" bestFit="1" customWidth="1"/>
    <col min="15885" max="16128" width="11" style="2"/>
    <col min="16129" max="16129" width="4.42578125" style="2" customWidth="1"/>
    <col min="16130" max="16130" width="11.28515625" style="2" customWidth="1"/>
    <col min="16131" max="16131" width="3.140625" style="2" customWidth="1"/>
    <col min="16132" max="16132" width="62.28515625" style="2" customWidth="1"/>
    <col min="16133" max="16133" width="13.85546875" style="2" bestFit="1" customWidth="1"/>
    <col min="16134" max="16134" width="14.85546875" style="2" bestFit="1" customWidth="1"/>
    <col min="16135" max="16135" width="12.7109375" style="2" bestFit="1" customWidth="1"/>
    <col min="16136" max="16136" width="10.7109375" style="2" customWidth="1"/>
    <col min="16137" max="16137" width="51.28515625" style="2" customWidth="1"/>
    <col min="16138" max="16139" width="11" style="2"/>
    <col min="16140" max="16140" width="12.7109375" style="2" bestFit="1" customWidth="1"/>
    <col min="16141" max="16384" width="11" style="2"/>
  </cols>
  <sheetData>
    <row r="1" spans="1:12" x14ac:dyDescent="0.2">
      <c r="B1" s="443" t="s">
        <v>543</v>
      </c>
      <c r="C1" s="443"/>
      <c r="D1" s="443"/>
      <c r="E1" s="443"/>
      <c r="F1" s="443"/>
      <c r="G1" s="443"/>
      <c r="H1" s="443"/>
      <c r="I1" s="443"/>
    </row>
    <row r="3" spans="1:12" x14ac:dyDescent="0.2">
      <c r="B3" s="4"/>
      <c r="C3" s="5"/>
      <c r="D3" s="5"/>
      <c r="E3" s="5"/>
      <c r="F3" s="195"/>
      <c r="G3" s="5"/>
      <c r="H3" s="5"/>
      <c r="I3" s="269"/>
    </row>
    <row r="4" spans="1:12" ht="15.75" x14ac:dyDescent="0.25">
      <c r="B4" s="6" t="s">
        <v>198</v>
      </c>
      <c r="C4" s="7"/>
      <c r="D4" s="8"/>
      <c r="E4" s="9"/>
      <c r="F4" s="196"/>
      <c r="G4" s="9"/>
      <c r="H4" s="111"/>
      <c r="I4" s="111"/>
    </row>
    <row r="5" spans="1:12" s="122" customFormat="1" ht="15.75" x14ac:dyDescent="0.25">
      <c r="A5" s="260"/>
      <c r="B5" s="10" t="s">
        <v>520</v>
      </c>
      <c r="C5" s="11"/>
      <c r="D5" s="11"/>
      <c r="E5" s="12"/>
      <c r="F5" s="197"/>
      <c r="G5" s="12"/>
      <c r="H5" s="322"/>
      <c r="I5" s="112"/>
    </row>
    <row r="6" spans="1:12" x14ac:dyDescent="0.2">
      <c r="B6" s="13"/>
      <c r="C6" s="14"/>
      <c r="D6" s="14"/>
      <c r="E6" s="15"/>
      <c r="F6" s="198"/>
      <c r="G6" s="15"/>
      <c r="H6" s="113"/>
    </row>
    <row r="7" spans="1:12" ht="15" customHeight="1" x14ac:dyDescent="0.2">
      <c r="H7" s="114"/>
      <c r="I7" s="114" t="s">
        <v>199</v>
      </c>
    </row>
    <row r="8" spans="1:12" s="121" customFormat="1" ht="15" customHeight="1" thickBot="1" x14ac:dyDescent="0.25">
      <c r="A8" s="264"/>
      <c r="B8" s="16" t="s">
        <v>200</v>
      </c>
      <c r="C8" s="444" t="s">
        <v>201</v>
      </c>
      <c r="D8" s="445"/>
      <c r="E8" s="17" t="s">
        <v>202</v>
      </c>
      <c r="F8" s="259" t="s">
        <v>203</v>
      </c>
      <c r="G8" s="17" t="s">
        <v>204</v>
      </c>
      <c r="H8" s="323" t="s">
        <v>205</v>
      </c>
      <c r="I8" s="109" t="s">
        <v>206</v>
      </c>
    </row>
    <row r="9" spans="1:12" ht="15" customHeight="1" thickBot="1" x14ac:dyDescent="0.3">
      <c r="A9" s="261"/>
      <c r="B9" s="424" t="s">
        <v>207</v>
      </c>
      <c r="C9" s="332"/>
      <c r="D9" s="333"/>
      <c r="E9" s="383" t="s">
        <v>208</v>
      </c>
      <c r="F9" s="384"/>
      <c r="G9" s="383" t="s">
        <v>505</v>
      </c>
      <c r="H9" s="324"/>
      <c r="I9" s="385" t="s">
        <v>209</v>
      </c>
    </row>
    <row r="10" spans="1:12" ht="12.75" customHeight="1" x14ac:dyDescent="0.25">
      <c r="A10" s="262"/>
      <c r="B10" s="425" t="s">
        <v>210</v>
      </c>
      <c r="C10" s="334" t="s">
        <v>0</v>
      </c>
      <c r="D10" s="335"/>
      <c r="E10" s="386" t="s">
        <v>211</v>
      </c>
      <c r="F10" s="387" t="s">
        <v>212</v>
      </c>
      <c r="G10" s="388" t="s">
        <v>213</v>
      </c>
      <c r="H10" s="325" t="s">
        <v>214</v>
      </c>
      <c r="I10" s="389" t="s">
        <v>215</v>
      </c>
    </row>
    <row r="11" spans="1:12" ht="15.75" thickBot="1" x14ac:dyDescent="0.3">
      <c r="A11" s="263"/>
      <c r="B11" s="426" t="s">
        <v>216</v>
      </c>
      <c r="C11" s="336"/>
      <c r="D11" s="337"/>
      <c r="E11" s="390"/>
      <c r="F11" s="391"/>
      <c r="G11" s="392"/>
      <c r="H11" s="326"/>
      <c r="I11" s="311"/>
    </row>
    <row r="12" spans="1:12" ht="13.5" customHeight="1" x14ac:dyDescent="0.2">
      <c r="A12" s="264"/>
      <c r="B12" s="427" t="s">
        <v>217</v>
      </c>
      <c r="C12" s="338"/>
      <c r="D12" s="126" t="s">
        <v>217</v>
      </c>
      <c r="E12" s="393"/>
      <c r="F12" s="394"/>
      <c r="G12" s="395"/>
      <c r="H12" s="312"/>
      <c r="I12" s="396"/>
    </row>
    <row r="13" spans="1:12" ht="13.5" customHeight="1" x14ac:dyDescent="0.25">
      <c r="A13" s="264">
        <v>1</v>
      </c>
      <c r="B13" s="428"/>
      <c r="C13" s="43" t="s">
        <v>218</v>
      </c>
      <c r="D13" s="339"/>
      <c r="E13" s="393"/>
      <c r="F13" s="397"/>
      <c r="G13" s="395"/>
      <c r="H13" s="312"/>
      <c r="I13" s="396"/>
    </row>
    <row r="14" spans="1:12" ht="13.5" customHeight="1" x14ac:dyDescent="0.2">
      <c r="A14" s="264"/>
      <c r="B14" s="429"/>
      <c r="C14" s="340"/>
      <c r="D14" s="341"/>
      <c r="E14" s="393"/>
      <c r="F14" s="397"/>
      <c r="G14" s="395"/>
      <c r="H14" s="312"/>
      <c r="I14" s="396"/>
    </row>
    <row r="15" spans="1:12" ht="13.5" customHeight="1" x14ac:dyDescent="0.2">
      <c r="A15" s="264">
        <v>2</v>
      </c>
      <c r="B15" s="430"/>
      <c r="C15" s="342" t="str">
        <f>C49</f>
        <v>Városüzemeltetés</v>
      </c>
      <c r="D15" s="343"/>
      <c r="E15" s="398">
        <f>E97</f>
        <v>4708759000</v>
      </c>
      <c r="F15" s="399">
        <f>F97</f>
        <v>7601569093</v>
      </c>
      <c r="G15" s="398">
        <f>G97</f>
        <v>5849993175</v>
      </c>
      <c r="H15" s="313">
        <f>G15/F15*100</f>
        <v>76.957705750343564</v>
      </c>
      <c r="I15" s="400"/>
      <c r="J15" s="123"/>
      <c r="K15" s="123"/>
      <c r="L15" s="124"/>
    </row>
    <row r="16" spans="1:12" ht="13.5" customHeight="1" x14ac:dyDescent="0.2">
      <c r="A16" s="264"/>
      <c r="B16" s="430"/>
      <c r="C16" s="342"/>
      <c r="D16" s="343"/>
      <c r="E16" s="398"/>
      <c r="F16" s="399"/>
      <c r="G16" s="398"/>
      <c r="H16" s="313"/>
      <c r="I16" s="400"/>
      <c r="J16" s="123"/>
      <c r="K16" s="123"/>
      <c r="L16" s="124"/>
    </row>
    <row r="17" spans="1:12" ht="13.5" customHeight="1" x14ac:dyDescent="0.2">
      <c r="A17" s="264">
        <v>3</v>
      </c>
      <c r="B17" s="430"/>
      <c r="C17" s="342" t="str">
        <f>C99</f>
        <v>Környezetvédelem</v>
      </c>
      <c r="D17" s="343"/>
      <c r="E17" s="398">
        <f>E120</f>
        <v>18700000</v>
      </c>
      <c r="F17" s="399">
        <f>F120</f>
        <v>26027729</v>
      </c>
      <c r="G17" s="398">
        <f>G120</f>
        <v>7111615</v>
      </c>
      <c r="H17" s="313">
        <f>G17/F17*100</f>
        <v>27.32322516497694</v>
      </c>
      <c r="I17" s="400"/>
      <c r="J17" s="123"/>
      <c r="K17" s="123"/>
      <c r="L17" s="124"/>
    </row>
    <row r="18" spans="1:12" ht="13.5" customHeight="1" x14ac:dyDescent="0.2">
      <c r="A18" s="264"/>
      <c r="B18" s="430"/>
      <c r="C18" s="342"/>
      <c r="D18" s="343"/>
      <c r="E18" s="398"/>
      <c r="F18" s="399"/>
      <c r="G18" s="398"/>
      <c r="H18" s="313"/>
      <c r="I18" s="400"/>
      <c r="J18" s="123"/>
      <c r="K18" s="123"/>
      <c r="L18" s="124"/>
    </row>
    <row r="19" spans="1:12" ht="13.5" customHeight="1" x14ac:dyDescent="0.2">
      <c r="A19" s="264">
        <v>4</v>
      </c>
      <c r="B19" s="430"/>
      <c r="C19" s="342" t="str">
        <f>C122</f>
        <v>Vagyongazdálkodás</v>
      </c>
      <c r="D19" s="343"/>
      <c r="E19" s="401">
        <f>E146</f>
        <v>2427643966</v>
      </c>
      <c r="F19" s="402">
        <f>F146</f>
        <v>3345551849</v>
      </c>
      <c r="G19" s="401">
        <f>G146</f>
        <v>2690436825</v>
      </c>
      <c r="H19" s="313">
        <f>G19/F19*100</f>
        <v>80.418326973595796</v>
      </c>
      <c r="I19" s="400"/>
      <c r="J19" s="124"/>
      <c r="K19" s="124"/>
      <c r="L19" s="124"/>
    </row>
    <row r="20" spans="1:12" ht="13.5" customHeight="1" x14ac:dyDescent="0.2">
      <c r="A20" s="264"/>
      <c r="B20" s="430"/>
      <c r="C20" s="342"/>
      <c r="D20" s="343"/>
      <c r="E20" s="398"/>
      <c r="F20" s="399"/>
      <c r="G20" s="398"/>
      <c r="H20" s="313"/>
      <c r="I20" s="400"/>
      <c r="J20" s="123"/>
      <c r="K20" s="123"/>
      <c r="L20" s="124"/>
    </row>
    <row r="21" spans="1:12" ht="13.5" customHeight="1" x14ac:dyDescent="0.2">
      <c r="A21" s="264">
        <v>5</v>
      </c>
      <c r="B21" s="430"/>
      <c r="C21" s="342" t="str">
        <f>C148</f>
        <v>Egészségügy</v>
      </c>
      <c r="D21" s="343"/>
      <c r="E21" s="401">
        <f>E166</f>
        <v>3000000</v>
      </c>
      <c r="F21" s="402">
        <f>F166</f>
        <v>31623956</v>
      </c>
      <c r="G21" s="401">
        <f>G166</f>
        <v>16955101</v>
      </c>
      <c r="H21" s="313">
        <f>G21/F21*100</f>
        <v>53.614737511018554</v>
      </c>
      <c r="I21" s="400"/>
      <c r="J21" s="124"/>
      <c r="K21" s="124"/>
      <c r="L21" s="124"/>
    </row>
    <row r="22" spans="1:12" ht="13.5" customHeight="1" x14ac:dyDescent="0.2">
      <c r="A22" s="264"/>
      <c r="B22" s="430"/>
      <c r="C22" s="342"/>
      <c r="D22" s="343"/>
      <c r="E22" s="398"/>
      <c r="F22" s="399"/>
      <c r="G22" s="398"/>
      <c r="H22" s="313"/>
      <c r="I22" s="400"/>
      <c r="J22" s="124"/>
      <c r="K22" s="124"/>
      <c r="L22" s="124"/>
    </row>
    <row r="23" spans="1:12" ht="13.5" customHeight="1" x14ac:dyDescent="0.2">
      <c r="A23" s="264">
        <v>6</v>
      </c>
      <c r="B23" s="430"/>
      <c r="C23" s="342" t="str">
        <f>C168</f>
        <v>Szociális</v>
      </c>
      <c r="D23" s="343"/>
      <c r="E23" s="401">
        <f>E216</f>
        <v>2497022326</v>
      </c>
      <c r="F23" s="402">
        <f>F216</f>
        <v>3101816842</v>
      </c>
      <c r="G23" s="401">
        <f>G216</f>
        <v>2860823071</v>
      </c>
      <c r="H23" s="313">
        <f>G23/F23*100</f>
        <v>92.230560884935713</v>
      </c>
      <c r="I23" s="400"/>
      <c r="J23" s="124"/>
      <c r="K23" s="124"/>
      <c r="L23" s="124"/>
    </row>
    <row r="24" spans="1:12" ht="13.5" customHeight="1" x14ac:dyDescent="0.2">
      <c r="A24" s="264"/>
      <c r="B24" s="430"/>
      <c r="C24" s="342"/>
      <c r="D24" s="344"/>
      <c r="E24" s="398"/>
      <c r="F24" s="399"/>
      <c r="G24" s="398"/>
      <c r="H24" s="313"/>
      <c r="I24" s="400"/>
      <c r="J24" s="124"/>
      <c r="K24" s="124"/>
      <c r="L24" s="124"/>
    </row>
    <row r="25" spans="1:12" ht="13.5" customHeight="1" x14ac:dyDescent="0.2">
      <c r="A25" s="264">
        <v>7</v>
      </c>
      <c r="B25" s="430"/>
      <c r="C25" s="342" t="str">
        <f>C218</f>
        <v>Oktatás</v>
      </c>
      <c r="D25" s="343"/>
      <c r="E25" s="398">
        <f>E248</f>
        <v>553793260</v>
      </c>
      <c r="F25" s="399">
        <f>F248</f>
        <v>274476476</v>
      </c>
      <c r="G25" s="398">
        <f>G248</f>
        <v>27637480</v>
      </c>
      <c r="H25" s="313">
        <f>G25/F25*100</f>
        <v>10.069161628262817</v>
      </c>
      <c r="I25" s="400"/>
      <c r="J25" s="124"/>
      <c r="K25" s="124"/>
      <c r="L25" s="124"/>
    </row>
    <row r="26" spans="1:12" ht="13.5" customHeight="1" x14ac:dyDescent="0.2">
      <c r="A26" s="264"/>
      <c r="B26" s="430"/>
      <c r="C26" s="342"/>
      <c r="D26" s="343"/>
      <c r="E26" s="398"/>
      <c r="F26" s="399"/>
      <c r="G26" s="398"/>
      <c r="H26" s="313"/>
      <c r="I26" s="400"/>
      <c r="J26" s="124"/>
      <c r="K26" s="124"/>
      <c r="L26" s="124"/>
    </row>
    <row r="27" spans="1:12" ht="13.5" customHeight="1" x14ac:dyDescent="0.2">
      <c r="A27" s="264">
        <v>8</v>
      </c>
      <c r="B27" s="430"/>
      <c r="C27" s="342" t="str">
        <f>C250</f>
        <v>Kulturális és idegenforgalmi feladatok</v>
      </c>
      <c r="D27" s="343"/>
      <c r="E27" s="401">
        <f>E303</f>
        <v>2426316000</v>
      </c>
      <c r="F27" s="402">
        <f>F303</f>
        <v>2654200580</v>
      </c>
      <c r="G27" s="401">
        <f>G303</f>
        <v>2585445668</v>
      </c>
      <c r="H27" s="313">
        <f>G27/F27*100</f>
        <v>97.409581155317198</v>
      </c>
      <c r="I27" s="400"/>
      <c r="J27" s="124"/>
      <c r="K27" s="124"/>
      <c r="L27" s="124"/>
    </row>
    <row r="28" spans="1:12" ht="13.5" customHeight="1" x14ac:dyDescent="0.2">
      <c r="A28" s="264"/>
      <c r="B28" s="430"/>
      <c r="C28" s="342"/>
      <c r="D28" s="343"/>
      <c r="E28" s="398"/>
      <c r="F28" s="399"/>
      <c r="G28" s="398"/>
      <c r="H28" s="313"/>
      <c r="I28" s="400"/>
      <c r="J28" s="124"/>
      <c r="K28" s="124"/>
      <c r="L28" s="124"/>
    </row>
    <row r="29" spans="1:12" ht="13.5" customHeight="1" x14ac:dyDescent="0.2">
      <c r="A29" s="264">
        <v>9</v>
      </c>
      <c r="B29" s="430"/>
      <c r="C29" s="342" t="str">
        <f>C305</f>
        <v>Sport</v>
      </c>
      <c r="D29" s="343"/>
      <c r="E29" s="401">
        <f>E356</f>
        <v>884238000</v>
      </c>
      <c r="F29" s="402">
        <f>F356</f>
        <v>871164602</v>
      </c>
      <c r="G29" s="401">
        <f>G356</f>
        <v>826281669</v>
      </c>
      <c r="H29" s="313">
        <f>G29/F29*100</f>
        <v>94.847938851399746</v>
      </c>
      <c r="I29" s="400"/>
      <c r="J29" s="124"/>
      <c r="K29" s="124"/>
      <c r="L29" s="124"/>
    </row>
    <row r="30" spans="1:12" ht="13.5" customHeight="1" x14ac:dyDescent="0.2">
      <c r="A30" s="264"/>
      <c r="B30" s="430"/>
      <c r="C30" s="342"/>
      <c r="D30" s="343"/>
      <c r="E30" s="398"/>
      <c r="F30" s="399"/>
      <c r="G30" s="398"/>
      <c r="H30" s="313"/>
      <c r="I30" s="400"/>
      <c r="J30" s="124"/>
      <c r="K30" s="124"/>
      <c r="L30" s="124"/>
    </row>
    <row r="31" spans="1:12" ht="13.5" customHeight="1" x14ac:dyDescent="0.2">
      <c r="A31" s="264">
        <v>10</v>
      </c>
      <c r="B31" s="430"/>
      <c r="C31" s="342" t="str">
        <f>C358</f>
        <v>Központilag kezelt  feladatok</v>
      </c>
      <c r="D31" s="343"/>
      <c r="E31" s="401">
        <f>E432</f>
        <v>1308871174</v>
      </c>
      <c r="F31" s="403">
        <f>F432</f>
        <v>4450751997</v>
      </c>
      <c r="G31" s="401">
        <f>G432</f>
        <v>2624792024</v>
      </c>
      <c r="H31" s="313">
        <f>G31/F31*100</f>
        <v>58.974124502313849</v>
      </c>
      <c r="I31" s="400"/>
      <c r="J31" s="124"/>
      <c r="K31" s="124"/>
      <c r="L31" s="124"/>
    </row>
    <row r="32" spans="1:12" ht="13.5" customHeight="1" x14ac:dyDescent="0.2">
      <c r="A32" s="264"/>
      <c r="B32" s="430"/>
      <c r="C32" s="342"/>
      <c r="D32" s="343"/>
      <c r="E32" s="398"/>
      <c r="F32" s="399"/>
      <c r="G32" s="398"/>
      <c r="H32" s="313"/>
      <c r="I32" s="400"/>
      <c r="J32" s="124"/>
      <c r="K32" s="124"/>
      <c r="L32" s="124"/>
    </row>
    <row r="33" spans="1:12" ht="13.5" customHeight="1" x14ac:dyDescent="0.2">
      <c r="A33" s="264">
        <v>11</v>
      </c>
      <c r="B33" s="430"/>
      <c r="C33" s="342" t="str">
        <f>C434</f>
        <v>Tartalékok</v>
      </c>
      <c r="D33" s="343"/>
      <c r="E33" s="401">
        <f>E445</f>
        <v>245817000</v>
      </c>
      <c r="F33" s="403">
        <f>F445</f>
        <v>29382016</v>
      </c>
      <c r="G33" s="401">
        <f>G445</f>
        <v>0</v>
      </c>
      <c r="H33" s="313">
        <f>G33/F33*100</f>
        <v>0</v>
      </c>
      <c r="I33" s="400"/>
      <c r="J33" s="124"/>
      <c r="K33" s="124"/>
      <c r="L33" s="124"/>
    </row>
    <row r="34" spans="1:12" ht="13.5" customHeight="1" x14ac:dyDescent="0.2">
      <c r="A34" s="264"/>
      <c r="B34" s="430"/>
      <c r="C34" s="342"/>
      <c r="D34" s="343"/>
      <c r="E34" s="398"/>
      <c r="F34" s="399"/>
      <c r="G34" s="398"/>
      <c r="H34" s="313"/>
      <c r="I34" s="400"/>
      <c r="J34" s="124"/>
      <c r="K34" s="124"/>
      <c r="L34" s="124"/>
    </row>
    <row r="35" spans="1:12" ht="13.5" customHeight="1" x14ac:dyDescent="0.2">
      <c r="A35" s="264">
        <v>12</v>
      </c>
      <c r="B35" s="430"/>
      <c r="C35" s="342" t="str">
        <f>C447</f>
        <v>Adósságszolgálat</v>
      </c>
      <c r="D35" s="343"/>
      <c r="E35" s="401">
        <f>E459</f>
        <v>222028000</v>
      </c>
      <c r="F35" s="403">
        <f>F459</f>
        <v>131058672</v>
      </c>
      <c r="G35" s="401">
        <f>G459</f>
        <v>131058672</v>
      </c>
      <c r="H35" s="313">
        <f>G35/F35*100</f>
        <v>100</v>
      </c>
      <c r="I35" s="400"/>
      <c r="J35" s="124"/>
      <c r="K35" s="124"/>
      <c r="L35" s="124"/>
    </row>
    <row r="36" spans="1:12" ht="13.5" customHeight="1" x14ac:dyDescent="0.2">
      <c r="A36" s="264"/>
      <c r="B36" s="430"/>
      <c r="C36" s="342"/>
      <c r="D36" s="343"/>
      <c r="E36" s="401"/>
      <c r="F36" s="402"/>
      <c r="G36" s="401"/>
      <c r="H36" s="313"/>
      <c r="I36" s="400"/>
      <c r="J36" s="124"/>
      <c r="K36" s="124"/>
      <c r="L36" s="124"/>
    </row>
    <row r="37" spans="1:12" ht="13.5" customHeight="1" x14ac:dyDescent="0.2">
      <c r="A37" s="264">
        <v>13</v>
      </c>
      <c r="B37" s="430"/>
      <c r="C37" s="342" t="s">
        <v>219</v>
      </c>
      <c r="D37" s="343"/>
      <c r="E37" s="401">
        <f>E471</f>
        <v>49239322</v>
      </c>
      <c r="F37" s="402">
        <f>F471</f>
        <v>104095016</v>
      </c>
      <c r="G37" s="401">
        <f>G471</f>
        <v>49618474</v>
      </c>
      <c r="H37" s="313">
        <f>G37/F37*100</f>
        <v>47.666522285754773</v>
      </c>
      <c r="I37" s="400"/>
      <c r="J37" s="124"/>
      <c r="K37" s="124"/>
      <c r="L37" s="124"/>
    </row>
    <row r="38" spans="1:12" ht="13.5" customHeight="1" thickBot="1" x14ac:dyDescent="0.25">
      <c r="A38" s="264"/>
      <c r="B38" s="431"/>
      <c r="C38" s="345"/>
      <c r="D38" s="346"/>
      <c r="E38" s="404"/>
      <c r="F38" s="405"/>
      <c r="G38" s="404"/>
      <c r="H38" s="314"/>
      <c r="I38" s="406"/>
      <c r="J38" s="124"/>
      <c r="K38" s="124"/>
      <c r="L38" s="124"/>
    </row>
    <row r="39" spans="1:12" ht="19.5" customHeight="1" thickTop="1" thickBot="1" x14ac:dyDescent="0.25">
      <c r="A39" s="264">
        <v>14</v>
      </c>
      <c r="B39" s="432"/>
      <c r="C39" s="347" t="s">
        <v>220</v>
      </c>
      <c r="D39" s="348"/>
      <c r="E39" s="407">
        <f>SUM(E14:E38)</f>
        <v>15345428048</v>
      </c>
      <c r="F39" s="408">
        <f>SUM(F14:F38)</f>
        <v>22621718828</v>
      </c>
      <c r="G39" s="409">
        <f>SUM(G14:G38)</f>
        <v>17670153774</v>
      </c>
      <c r="H39" s="315">
        <f t="shared" ref="H39:H47" si="0">G39/F39*100</f>
        <v>78.111455227393208</v>
      </c>
      <c r="I39" s="315"/>
      <c r="L39" s="123"/>
    </row>
    <row r="40" spans="1:12" ht="15" customHeight="1" thickBot="1" x14ac:dyDescent="0.25">
      <c r="A40" s="264">
        <v>15</v>
      </c>
      <c r="B40" s="433"/>
      <c r="C40" s="349"/>
      <c r="D40" s="350" t="s">
        <v>221</v>
      </c>
      <c r="E40" s="410">
        <v>67655000</v>
      </c>
      <c r="F40" s="411">
        <v>239312194</v>
      </c>
      <c r="G40" s="412">
        <v>119902050</v>
      </c>
      <c r="H40" s="285">
        <f t="shared" si="0"/>
        <v>50.102774955128282</v>
      </c>
      <c r="I40" s="285"/>
    </row>
    <row r="41" spans="1:12" ht="15" customHeight="1" thickBot="1" x14ac:dyDescent="0.25">
      <c r="A41" s="264">
        <v>16</v>
      </c>
      <c r="B41" s="433"/>
      <c r="C41" s="349"/>
      <c r="D41" s="350" t="s">
        <v>222</v>
      </c>
      <c r="E41" s="413"/>
      <c r="F41" s="414">
        <v>22470035</v>
      </c>
      <c r="G41" s="415">
        <v>15613720</v>
      </c>
      <c r="H41" s="285">
        <f t="shared" si="0"/>
        <v>69.486852156661087</v>
      </c>
      <c r="I41" s="285"/>
    </row>
    <row r="42" spans="1:12" ht="15" customHeight="1" thickBot="1" x14ac:dyDescent="0.25">
      <c r="A42" s="264">
        <v>17</v>
      </c>
      <c r="B42" s="433"/>
      <c r="C42" s="351"/>
      <c r="D42" s="350" t="s">
        <v>223</v>
      </c>
      <c r="E42" s="413">
        <v>5071907818</v>
      </c>
      <c r="F42" s="411">
        <v>51650653913</v>
      </c>
      <c r="G42" s="415">
        <v>11855091124</v>
      </c>
      <c r="H42" s="285">
        <f t="shared" si="0"/>
        <v>22.952451180905921</v>
      </c>
      <c r="I42" s="285"/>
    </row>
    <row r="43" spans="1:12" ht="15" customHeight="1" thickBot="1" x14ac:dyDescent="0.25">
      <c r="A43" s="264">
        <v>18</v>
      </c>
      <c r="B43" s="433"/>
      <c r="C43" s="351"/>
      <c r="D43" s="350" t="s">
        <v>224</v>
      </c>
      <c r="E43" s="413"/>
      <c r="F43" s="414">
        <v>615824313</v>
      </c>
      <c r="G43" s="415">
        <v>356642912</v>
      </c>
      <c r="H43" s="285">
        <f t="shared" si="0"/>
        <v>57.913093794983048</v>
      </c>
      <c r="I43" s="285"/>
    </row>
    <row r="44" spans="1:12" ht="18" customHeight="1" thickBot="1" x14ac:dyDescent="0.25">
      <c r="A44" s="264">
        <v>19</v>
      </c>
      <c r="B44" s="243"/>
      <c r="C44" s="244" t="s">
        <v>225</v>
      </c>
      <c r="D44" s="352"/>
      <c r="E44" s="416">
        <f>SUM(E39:E43)</f>
        <v>20484990866</v>
      </c>
      <c r="F44" s="417">
        <f>SUM(F39:F43)</f>
        <v>75149979283</v>
      </c>
      <c r="G44" s="416">
        <f>SUM(G39:G43)</f>
        <v>30017403580</v>
      </c>
      <c r="H44" s="316">
        <f t="shared" si="0"/>
        <v>39.943329148449102</v>
      </c>
      <c r="I44" s="285"/>
    </row>
    <row r="45" spans="1:12" x14ac:dyDescent="0.2">
      <c r="A45" s="264">
        <v>20</v>
      </c>
      <c r="B45" s="18"/>
      <c r="C45" s="19" t="s">
        <v>226</v>
      </c>
      <c r="D45" s="20"/>
      <c r="E45" s="21"/>
      <c r="F45" s="202"/>
      <c r="G45" s="216"/>
      <c r="H45" s="115"/>
      <c r="I45" s="115"/>
    </row>
    <row r="46" spans="1:12" ht="14.25" x14ac:dyDescent="0.2">
      <c r="A46" s="264">
        <v>21</v>
      </c>
      <c r="B46" s="22"/>
      <c r="C46" s="23"/>
      <c r="D46" s="24" t="s">
        <v>227</v>
      </c>
      <c r="E46" s="25">
        <f>E76+E110+E137+E156+E189+E226+E268+E321+E395+E443+E457+E468+E40+E41+E42+E43</f>
        <v>18135457866</v>
      </c>
      <c r="F46" s="201">
        <f>F76+F110+F137+F156+F189+F226+F268+F321+F395+F443+F457+F468+F40+F41+F42+F43</f>
        <v>71969323697</v>
      </c>
      <c r="G46" s="25">
        <f>G76+G110+G137+G156+G189+G226+G268+G321+G395+G443+G457+G468+G40+G41+G42+G43</f>
        <v>27932975619</v>
      </c>
      <c r="H46" s="317">
        <f t="shared" si="0"/>
        <v>38.812335845479637</v>
      </c>
      <c r="I46" s="418"/>
    </row>
    <row r="47" spans="1:12" ht="15" thickBot="1" x14ac:dyDescent="0.25">
      <c r="A47" s="264">
        <v>22</v>
      </c>
      <c r="B47" s="26"/>
      <c r="C47" s="27"/>
      <c r="D47" s="28" t="s">
        <v>228</v>
      </c>
      <c r="E47" s="29">
        <f>E95+E118+E144+E164+E214+E246+E301+E354+E430</f>
        <v>2349533000</v>
      </c>
      <c r="F47" s="211">
        <f>F95+F118+F144+F164+F214+F246+F301+F354+F430</f>
        <v>3180655586</v>
      </c>
      <c r="G47" s="29">
        <f>G95+G118+G144+G164+G214+G246+G301+G354+G430</f>
        <v>2084427961</v>
      </c>
      <c r="H47" s="318">
        <f t="shared" si="0"/>
        <v>65.534538545287177</v>
      </c>
      <c r="I47" s="419"/>
    </row>
    <row r="48" spans="1:12" ht="13.5" customHeight="1" x14ac:dyDescent="0.25">
      <c r="A48" s="264"/>
      <c r="B48" s="30"/>
      <c r="C48" s="353"/>
      <c r="D48" s="354"/>
      <c r="E48" s="420"/>
      <c r="F48" s="206"/>
      <c r="G48" s="420"/>
      <c r="H48" s="294"/>
      <c r="I48" s="319"/>
    </row>
    <row r="49" spans="1:10" ht="13.5" customHeight="1" x14ac:dyDescent="0.25">
      <c r="A49" s="264">
        <v>23</v>
      </c>
      <c r="B49" s="30"/>
      <c r="C49" s="353" t="s">
        <v>229</v>
      </c>
      <c r="D49" s="354"/>
      <c r="E49" s="420"/>
      <c r="F49" s="206"/>
      <c r="G49" s="420"/>
      <c r="H49" s="294"/>
      <c r="I49" s="319"/>
    </row>
    <row r="50" spans="1:10" ht="15.75" x14ac:dyDescent="0.25">
      <c r="A50" s="264"/>
      <c r="B50" s="30"/>
      <c r="C50" s="353"/>
      <c r="D50" s="354"/>
      <c r="E50" s="420"/>
      <c r="F50" s="206"/>
      <c r="G50" s="420"/>
      <c r="H50" s="294"/>
      <c r="I50" s="319"/>
    </row>
    <row r="51" spans="1:10" ht="15.75" x14ac:dyDescent="0.25">
      <c r="A51" s="264">
        <v>24</v>
      </c>
      <c r="B51" s="30"/>
      <c r="C51" s="353" t="s">
        <v>230</v>
      </c>
      <c r="D51" s="354"/>
      <c r="E51" s="420"/>
      <c r="F51" s="206"/>
      <c r="G51" s="420"/>
      <c r="H51" s="294"/>
      <c r="I51" s="319"/>
    </row>
    <row r="52" spans="1:10" ht="14.25" x14ac:dyDescent="0.2">
      <c r="A52" s="264"/>
      <c r="B52" s="30"/>
      <c r="C52" s="355"/>
      <c r="D52" s="356"/>
      <c r="E52" s="420"/>
      <c r="F52" s="206"/>
      <c r="G52" s="420"/>
      <c r="H52" s="294"/>
      <c r="I52" s="319"/>
    </row>
    <row r="53" spans="1:10" ht="14.25" x14ac:dyDescent="0.2">
      <c r="A53" s="264">
        <v>25</v>
      </c>
      <c r="B53" s="30" t="s">
        <v>231</v>
      </c>
      <c r="C53" s="355"/>
      <c r="D53" s="356"/>
      <c r="E53" s="420"/>
      <c r="F53" s="206"/>
      <c r="G53" s="420"/>
      <c r="H53" s="294"/>
      <c r="I53" s="319"/>
    </row>
    <row r="54" spans="1:10" s="125" customFormat="1" ht="12.75" customHeight="1" x14ac:dyDescent="0.2">
      <c r="A54" s="264">
        <v>26</v>
      </c>
      <c r="B54" s="22" t="s">
        <v>2</v>
      </c>
      <c r="C54" s="357"/>
      <c r="D54" s="150" t="s">
        <v>540</v>
      </c>
      <c r="E54" s="162">
        <v>1635365000</v>
      </c>
      <c r="F54" s="201">
        <v>2394961157</v>
      </c>
      <c r="G54" s="162">
        <v>1803024002</v>
      </c>
      <c r="H54" s="327">
        <f>G54/F54*100</f>
        <v>75.284060316807881</v>
      </c>
      <c r="I54" s="292" t="s">
        <v>521</v>
      </c>
    </row>
    <row r="55" spans="1:10" s="125" customFormat="1" ht="12.75" customHeight="1" x14ac:dyDescent="0.2">
      <c r="A55" s="264">
        <v>27</v>
      </c>
      <c r="B55" s="31"/>
      <c r="C55" s="358"/>
      <c r="D55" s="359" t="s">
        <v>232</v>
      </c>
      <c r="E55" s="434"/>
      <c r="F55" s="203"/>
      <c r="G55" s="434"/>
      <c r="H55" s="293"/>
      <c r="I55" s="293"/>
    </row>
    <row r="56" spans="1:10" s="125" customFormat="1" ht="12.75" customHeight="1" x14ac:dyDescent="0.2">
      <c r="A56" s="264">
        <v>28</v>
      </c>
      <c r="B56" s="30"/>
      <c r="C56" s="360"/>
      <c r="D56" s="361" t="s">
        <v>233</v>
      </c>
      <c r="E56" s="435"/>
      <c r="F56" s="199"/>
      <c r="G56" s="435"/>
      <c r="H56" s="294"/>
      <c r="I56" s="294"/>
    </row>
    <row r="57" spans="1:10" s="125" customFormat="1" ht="12.75" customHeight="1" x14ac:dyDescent="0.2">
      <c r="A57" s="264">
        <v>29</v>
      </c>
      <c r="B57" s="22" t="s">
        <v>7</v>
      </c>
      <c r="C57" s="362"/>
      <c r="D57" s="150" t="s">
        <v>234</v>
      </c>
      <c r="E57" s="162">
        <v>80000000</v>
      </c>
      <c r="F57" s="201">
        <f>80000000+7200000</f>
        <v>87200000</v>
      </c>
      <c r="G57" s="436">
        <v>77600000</v>
      </c>
      <c r="H57" s="327">
        <f t="shared" ref="H57:H67" si="1">G57/F57*100</f>
        <v>88.9908256880734</v>
      </c>
      <c r="I57" s="294" t="s">
        <v>522</v>
      </c>
      <c r="J57" s="212"/>
    </row>
    <row r="58" spans="1:10" ht="12.75" customHeight="1" x14ac:dyDescent="0.2">
      <c r="A58" s="264">
        <v>30</v>
      </c>
      <c r="B58" s="32" t="s">
        <v>12</v>
      </c>
      <c r="C58" s="364"/>
      <c r="D58" s="150" t="s">
        <v>235</v>
      </c>
      <c r="E58" s="162">
        <v>30000000</v>
      </c>
      <c r="F58" s="201">
        <f>30000000+2500000</f>
        <v>32500000</v>
      </c>
      <c r="G58" s="162">
        <v>28900000</v>
      </c>
      <c r="H58" s="327">
        <f t="shared" si="1"/>
        <v>88.923076923076934</v>
      </c>
      <c r="I58" s="295" t="s">
        <v>522</v>
      </c>
      <c r="J58" s="212"/>
    </row>
    <row r="59" spans="1:10" s="125" customFormat="1" ht="12.75" customHeight="1" x14ac:dyDescent="0.2">
      <c r="A59" s="264">
        <v>31</v>
      </c>
      <c r="B59" s="33" t="s">
        <v>13</v>
      </c>
      <c r="C59" s="365"/>
      <c r="D59" s="241" t="s">
        <v>236</v>
      </c>
      <c r="E59" s="437">
        <v>31200000</v>
      </c>
      <c r="F59" s="166">
        <f>31200000+13000000</f>
        <v>44200000</v>
      </c>
      <c r="G59" s="437">
        <v>39000000</v>
      </c>
      <c r="H59" s="327">
        <f t="shared" si="1"/>
        <v>88.235294117647058</v>
      </c>
      <c r="I59" s="295" t="s">
        <v>522</v>
      </c>
      <c r="J59" s="212"/>
    </row>
    <row r="60" spans="1:10" s="125" customFormat="1" ht="12.75" customHeight="1" x14ac:dyDescent="0.2">
      <c r="A60" s="264">
        <v>32</v>
      </c>
      <c r="B60" s="33" t="s">
        <v>6</v>
      </c>
      <c r="C60" s="365"/>
      <c r="D60" s="241" t="s">
        <v>237</v>
      </c>
      <c r="E60" s="437">
        <v>130000000</v>
      </c>
      <c r="F60" s="166">
        <f>130000000+55501437</f>
        <v>185501437</v>
      </c>
      <c r="G60" s="437">
        <v>148866935</v>
      </c>
      <c r="H60" s="327">
        <f t="shared" si="1"/>
        <v>80.251095305531251</v>
      </c>
      <c r="I60" s="295" t="s">
        <v>522</v>
      </c>
      <c r="J60" s="212"/>
    </row>
    <row r="61" spans="1:10" s="125" customFormat="1" ht="12.75" customHeight="1" x14ac:dyDescent="0.2">
      <c r="A61" s="264">
        <v>33</v>
      </c>
      <c r="B61" s="33" t="s">
        <v>5</v>
      </c>
      <c r="C61" s="365"/>
      <c r="D61" s="241" t="s">
        <v>238</v>
      </c>
      <c r="E61" s="437">
        <v>338584000</v>
      </c>
      <c r="F61" s="166">
        <f>338584000+22750000</f>
        <v>361334000</v>
      </c>
      <c r="G61" s="437">
        <v>323550000</v>
      </c>
      <c r="H61" s="327">
        <f t="shared" si="1"/>
        <v>89.54319272473667</v>
      </c>
      <c r="I61" s="295" t="s">
        <v>522</v>
      </c>
      <c r="J61" s="212"/>
    </row>
    <row r="62" spans="1:10" s="125" customFormat="1" ht="12.75" customHeight="1" x14ac:dyDescent="0.2">
      <c r="A62" s="264">
        <v>34</v>
      </c>
      <c r="B62" s="33" t="s">
        <v>4</v>
      </c>
      <c r="C62" s="365"/>
      <c r="D62" s="241" t="s">
        <v>239</v>
      </c>
      <c r="E62" s="437">
        <v>1075000000</v>
      </c>
      <c r="F62" s="166">
        <v>1075000000</v>
      </c>
      <c r="G62" s="437">
        <v>1075000000</v>
      </c>
      <c r="H62" s="327">
        <f t="shared" si="1"/>
        <v>100</v>
      </c>
      <c r="I62" s="295"/>
      <c r="J62" s="212"/>
    </row>
    <row r="63" spans="1:10" s="125" customFormat="1" ht="12.75" customHeight="1" x14ac:dyDescent="0.2">
      <c r="A63" s="264">
        <v>35</v>
      </c>
      <c r="B63" s="33" t="s">
        <v>8</v>
      </c>
      <c r="C63" s="365"/>
      <c r="D63" s="241" t="s">
        <v>240</v>
      </c>
      <c r="E63" s="437">
        <v>480000000</v>
      </c>
      <c r="F63" s="166">
        <v>502409000</v>
      </c>
      <c r="G63" s="437">
        <v>502409000</v>
      </c>
      <c r="H63" s="327">
        <f t="shared" si="1"/>
        <v>100</v>
      </c>
      <c r="I63" s="295" t="s">
        <v>523</v>
      </c>
      <c r="J63" s="212"/>
    </row>
    <row r="64" spans="1:10" s="125" customFormat="1" ht="25.5" x14ac:dyDescent="0.2">
      <c r="A64" s="264">
        <v>36</v>
      </c>
      <c r="B64" s="33" t="s">
        <v>9</v>
      </c>
      <c r="C64" s="365"/>
      <c r="D64" s="438" t="s">
        <v>241</v>
      </c>
      <c r="E64" s="437"/>
      <c r="F64" s="166">
        <v>760175000</v>
      </c>
      <c r="G64" s="437">
        <v>760175000</v>
      </c>
      <c r="H64" s="327">
        <f t="shared" si="1"/>
        <v>100</v>
      </c>
      <c r="I64" s="295" t="s">
        <v>524</v>
      </c>
      <c r="J64" s="212"/>
    </row>
    <row r="65" spans="1:10" s="125" customFormat="1" x14ac:dyDescent="0.2">
      <c r="A65" s="264">
        <v>37</v>
      </c>
      <c r="B65" s="33" t="s">
        <v>10</v>
      </c>
      <c r="C65" s="365"/>
      <c r="D65" s="438" t="s">
        <v>242</v>
      </c>
      <c r="E65" s="437"/>
      <c r="F65" s="166">
        <v>300000000</v>
      </c>
      <c r="G65" s="437">
        <v>100000000</v>
      </c>
      <c r="H65" s="327">
        <f t="shared" si="1"/>
        <v>33.333333333333329</v>
      </c>
      <c r="I65" s="295" t="s">
        <v>525</v>
      </c>
      <c r="J65" s="212"/>
    </row>
    <row r="66" spans="1:10" s="125" customFormat="1" ht="25.5" x14ac:dyDescent="0.2">
      <c r="A66" s="264">
        <v>38</v>
      </c>
      <c r="B66" s="33" t="s">
        <v>11</v>
      </c>
      <c r="C66" s="365"/>
      <c r="D66" s="438" t="s">
        <v>243</v>
      </c>
      <c r="E66" s="437">
        <v>60000000</v>
      </c>
      <c r="F66" s="166">
        <f>60000000+60000000</f>
        <v>120000000</v>
      </c>
      <c r="G66" s="437"/>
      <c r="H66" s="327">
        <f t="shared" si="1"/>
        <v>0</v>
      </c>
      <c r="I66" s="295" t="s">
        <v>522</v>
      </c>
      <c r="J66" s="212"/>
    </row>
    <row r="67" spans="1:10" s="125" customFormat="1" ht="25.5" x14ac:dyDescent="0.2">
      <c r="A67" s="264">
        <v>39</v>
      </c>
      <c r="B67" s="35" t="s">
        <v>499</v>
      </c>
      <c r="C67" s="366"/>
      <c r="D67" s="439" t="s">
        <v>500</v>
      </c>
      <c r="E67" s="434"/>
      <c r="F67" s="204">
        <v>58111600</v>
      </c>
      <c r="G67" s="434">
        <v>58111600</v>
      </c>
      <c r="H67" s="327">
        <f t="shared" si="1"/>
        <v>100</v>
      </c>
      <c r="I67" s="295" t="s">
        <v>523</v>
      </c>
      <c r="J67" s="212"/>
    </row>
    <row r="68" spans="1:10" s="125" customFormat="1" ht="12.75" customHeight="1" x14ac:dyDescent="0.2">
      <c r="A68" s="264">
        <v>40</v>
      </c>
      <c r="B68" s="35"/>
      <c r="C68" s="366"/>
      <c r="D68" s="367" t="s">
        <v>244</v>
      </c>
      <c r="E68" s="434"/>
      <c r="F68" s="203"/>
      <c r="G68" s="434"/>
      <c r="H68" s="293"/>
      <c r="I68" s="295"/>
      <c r="J68" s="212"/>
    </row>
    <row r="69" spans="1:10" s="125" customFormat="1" ht="12.75" customHeight="1" x14ac:dyDescent="0.2">
      <c r="A69" s="264">
        <v>41</v>
      </c>
      <c r="B69" s="36" t="s">
        <v>16</v>
      </c>
      <c r="C69" s="362"/>
      <c r="D69" s="150" t="s">
        <v>245</v>
      </c>
      <c r="E69" s="162">
        <v>131208000</v>
      </c>
      <c r="F69" s="201">
        <v>167825000</v>
      </c>
      <c r="G69" s="162">
        <v>138861800</v>
      </c>
      <c r="H69" s="327">
        <f t="shared" ref="H69:H74" si="2">G69/F69*100</f>
        <v>82.742022940563089</v>
      </c>
      <c r="I69" s="292" t="s">
        <v>523</v>
      </c>
      <c r="J69" s="212"/>
    </row>
    <row r="70" spans="1:10" s="125" customFormat="1" ht="12.75" customHeight="1" x14ac:dyDescent="0.2">
      <c r="A70" s="264">
        <v>42</v>
      </c>
      <c r="B70" s="33" t="s">
        <v>17</v>
      </c>
      <c r="C70" s="365"/>
      <c r="D70" s="241" t="s">
        <v>246</v>
      </c>
      <c r="E70" s="437">
        <v>383650000</v>
      </c>
      <c r="F70" s="166">
        <v>449595000</v>
      </c>
      <c r="G70" s="437">
        <v>375339610</v>
      </c>
      <c r="H70" s="327">
        <f t="shared" si="2"/>
        <v>83.48393776621181</v>
      </c>
      <c r="I70" s="295" t="s">
        <v>523</v>
      </c>
      <c r="J70" s="212"/>
    </row>
    <row r="71" spans="1:10" s="125" customFormat="1" ht="12.75" customHeight="1" x14ac:dyDescent="0.2">
      <c r="A71" s="264">
        <v>43</v>
      </c>
      <c r="B71" s="33" t="s">
        <v>18</v>
      </c>
      <c r="C71" s="365"/>
      <c r="D71" s="241" t="s">
        <v>247</v>
      </c>
      <c r="E71" s="437">
        <v>10452000</v>
      </c>
      <c r="F71" s="166">
        <v>11593000</v>
      </c>
      <c r="G71" s="437">
        <v>8919416</v>
      </c>
      <c r="H71" s="327">
        <f t="shared" si="2"/>
        <v>76.937945311826113</v>
      </c>
      <c r="I71" s="292" t="s">
        <v>523</v>
      </c>
      <c r="J71" s="212"/>
    </row>
    <row r="72" spans="1:10" s="125" customFormat="1" ht="12.75" customHeight="1" x14ac:dyDescent="0.2">
      <c r="A72" s="264">
        <v>44</v>
      </c>
      <c r="B72" s="33" t="s">
        <v>19</v>
      </c>
      <c r="C72" s="365"/>
      <c r="D72" s="241" t="s">
        <v>248</v>
      </c>
      <c r="E72" s="437">
        <v>20000000</v>
      </c>
      <c r="F72" s="166">
        <v>51219969</v>
      </c>
      <c r="G72" s="437">
        <v>8035568</v>
      </c>
      <c r="H72" s="327">
        <f t="shared" si="2"/>
        <v>15.688349987091948</v>
      </c>
      <c r="I72" s="292" t="s">
        <v>521</v>
      </c>
      <c r="J72" s="212"/>
    </row>
    <row r="73" spans="1:10" s="125" customFormat="1" ht="12.75" customHeight="1" x14ac:dyDescent="0.2">
      <c r="A73" s="264">
        <v>45</v>
      </c>
      <c r="B73" s="33" t="s">
        <v>21</v>
      </c>
      <c r="C73" s="365"/>
      <c r="D73" s="241" t="s">
        <v>249</v>
      </c>
      <c r="E73" s="437">
        <v>10000000</v>
      </c>
      <c r="F73" s="166">
        <v>10000000</v>
      </c>
      <c r="G73" s="437">
        <v>9220200</v>
      </c>
      <c r="H73" s="327">
        <f t="shared" si="2"/>
        <v>92.201999999999998</v>
      </c>
      <c r="I73" s="292" t="s">
        <v>526</v>
      </c>
      <c r="J73" s="212"/>
    </row>
    <row r="74" spans="1:10" s="125" customFormat="1" ht="12.75" customHeight="1" x14ac:dyDescent="0.2">
      <c r="A74" s="264">
        <v>46</v>
      </c>
      <c r="B74" s="137" t="s">
        <v>27</v>
      </c>
      <c r="C74" s="362"/>
      <c r="D74" s="150" t="s">
        <v>250</v>
      </c>
      <c r="E74" s="162"/>
      <c r="F74" s="201">
        <v>219160000</v>
      </c>
      <c r="G74" s="162"/>
      <c r="H74" s="327">
        <f t="shared" si="2"/>
        <v>0</v>
      </c>
      <c r="I74" s="292" t="s">
        <v>523</v>
      </c>
      <c r="J74" s="212"/>
    </row>
    <row r="75" spans="1:10" ht="12.75" customHeight="1" thickBot="1" x14ac:dyDescent="0.25">
      <c r="A75" s="264"/>
      <c r="B75" s="33"/>
      <c r="C75" s="368"/>
      <c r="D75" s="363"/>
      <c r="E75" s="162"/>
      <c r="F75" s="200"/>
      <c r="G75" s="162"/>
      <c r="H75" s="292"/>
      <c r="I75" s="292"/>
      <c r="J75" s="212"/>
    </row>
    <row r="76" spans="1:10" s="126" customFormat="1" ht="15" customHeight="1" thickTop="1" thickBot="1" x14ac:dyDescent="0.25">
      <c r="A76" s="264">
        <v>47</v>
      </c>
      <c r="B76" s="37"/>
      <c r="C76" s="369" t="s">
        <v>251</v>
      </c>
      <c r="D76" s="370"/>
      <c r="E76" s="320">
        <f>SUM(E52:E75)</f>
        <v>4415459000</v>
      </c>
      <c r="F76" s="421">
        <f>SUM(F52:F75)</f>
        <v>6830785163</v>
      </c>
      <c r="G76" s="320">
        <f>SUM(G52:G75)</f>
        <v>5457013131</v>
      </c>
      <c r="H76" s="284">
        <f>G76/F76*100</f>
        <v>79.888519412947616</v>
      </c>
      <c r="I76" s="284"/>
      <c r="J76" s="212"/>
    </row>
    <row r="77" spans="1:10" s="125" customFormat="1" ht="11.25" customHeight="1" thickTop="1" x14ac:dyDescent="0.2">
      <c r="A77" s="264"/>
      <c r="B77" s="30"/>
      <c r="C77" s="360"/>
      <c r="D77" s="371"/>
      <c r="E77" s="435"/>
      <c r="F77" s="199"/>
      <c r="G77" s="435"/>
      <c r="H77" s="294"/>
      <c r="I77" s="294"/>
      <c r="J77" s="212"/>
    </row>
    <row r="78" spans="1:10" s="125" customFormat="1" ht="18" customHeight="1" x14ac:dyDescent="0.25">
      <c r="A78" s="264">
        <v>48</v>
      </c>
      <c r="B78" s="30"/>
      <c r="C78" s="353" t="s">
        <v>252</v>
      </c>
      <c r="D78" s="371"/>
      <c r="E78" s="435"/>
      <c r="F78" s="199"/>
      <c r="G78" s="435"/>
      <c r="H78" s="294"/>
      <c r="I78" s="294"/>
      <c r="J78" s="212"/>
    </row>
    <row r="79" spans="1:10" s="125" customFormat="1" ht="12.75" customHeight="1" x14ac:dyDescent="0.2">
      <c r="A79" s="264"/>
      <c r="B79" s="30"/>
      <c r="C79" s="360"/>
      <c r="D79" s="371"/>
      <c r="E79" s="435"/>
      <c r="F79" s="199"/>
      <c r="G79" s="435"/>
      <c r="H79" s="294"/>
      <c r="I79" s="296"/>
      <c r="J79" s="212"/>
    </row>
    <row r="80" spans="1:10" s="125" customFormat="1" ht="12.75" customHeight="1" x14ac:dyDescent="0.2">
      <c r="A80" s="264">
        <v>49</v>
      </c>
      <c r="B80" s="38" t="s">
        <v>231</v>
      </c>
      <c r="C80" s="357"/>
      <c r="D80" s="150"/>
      <c r="E80" s="162"/>
      <c r="F80" s="200"/>
      <c r="G80" s="162"/>
      <c r="H80" s="292"/>
      <c r="I80" s="292"/>
      <c r="J80" s="212"/>
    </row>
    <row r="81" spans="1:10" s="125" customFormat="1" ht="12.75" customHeight="1" x14ac:dyDescent="0.2">
      <c r="A81" s="264">
        <v>50</v>
      </c>
      <c r="B81" s="39" t="s">
        <v>3</v>
      </c>
      <c r="C81" s="440"/>
      <c r="D81" s="241" t="s">
        <v>540</v>
      </c>
      <c r="E81" s="437">
        <v>58300000</v>
      </c>
      <c r="F81" s="166">
        <v>113561423</v>
      </c>
      <c r="G81" s="437">
        <v>84522333</v>
      </c>
      <c r="H81" s="327">
        <f>G81/F81*100</f>
        <v>74.42873712493018</v>
      </c>
      <c r="I81" s="295" t="s">
        <v>521</v>
      </c>
      <c r="J81" s="212"/>
    </row>
    <row r="82" spans="1:10" s="125" customFormat="1" ht="12.75" customHeight="1" x14ac:dyDescent="0.2">
      <c r="A82" s="264">
        <v>51</v>
      </c>
      <c r="B82" s="40"/>
      <c r="C82" s="366"/>
      <c r="D82" s="359" t="s">
        <v>232</v>
      </c>
      <c r="E82" s="434"/>
      <c r="F82" s="203"/>
      <c r="G82" s="434"/>
      <c r="H82" s="293"/>
      <c r="I82" s="293"/>
      <c r="J82" s="212"/>
    </row>
    <row r="83" spans="1:10" s="125" customFormat="1" ht="12.75" customHeight="1" x14ac:dyDescent="0.2">
      <c r="A83" s="264">
        <v>52</v>
      </c>
      <c r="B83" s="41"/>
      <c r="C83" s="360"/>
      <c r="D83" s="361" t="s">
        <v>233</v>
      </c>
      <c r="E83" s="435"/>
      <c r="F83" s="199"/>
      <c r="G83" s="435"/>
      <c r="H83" s="294"/>
      <c r="I83" s="294"/>
      <c r="J83" s="212"/>
    </row>
    <row r="84" spans="1:10" s="125" customFormat="1" ht="12.75" customHeight="1" x14ac:dyDescent="0.2">
      <c r="A84" s="264">
        <v>53</v>
      </c>
      <c r="B84" s="38" t="s">
        <v>1</v>
      </c>
      <c r="C84" s="362"/>
      <c r="D84" s="150" t="s">
        <v>253</v>
      </c>
      <c r="E84" s="162">
        <v>40000000</v>
      </c>
      <c r="F84" s="201">
        <v>68280697</v>
      </c>
      <c r="G84" s="162">
        <v>36350184</v>
      </c>
      <c r="H84" s="327">
        <f>G84/F84*100</f>
        <v>53.236398568104839</v>
      </c>
      <c r="I84" s="292" t="s">
        <v>521</v>
      </c>
      <c r="J84" s="212"/>
    </row>
    <row r="85" spans="1:10" s="125" customFormat="1" ht="12.75" customHeight="1" x14ac:dyDescent="0.2">
      <c r="A85" s="264">
        <v>54</v>
      </c>
      <c r="B85" s="40"/>
      <c r="C85" s="366"/>
      <c r="D85" s="367" t="s">
        <v>254</v>
      </c>
      <c r="E85" s="434"/>
      <c r="F85" s="203"/>
      <c r="G85" s="434"/>
      <c r="H85" s="293"/>
      <c r="I85" s="293"/>
      <c r="J85" s="212"/>
    </row>
    <row r="86" spans="1:10" s="125" customFormat="1" ht="12.75" customHeight="1" x14ac:dyDescent="0.2">
      <c r="A86" s="264">
        <v>55</v>
      </c>
      <c r="B86" s="38" t="s">
        <v>14</v>
      </c>
      <c r="C86" s="362"/>
      <c r="D86" s="150" t="s">
        <v>255</v>
      </c>
      <c r="E86" s="162">
        <v>80000000</v>
      </c>
      <c r="F86" s="201">
        <f>80000000+50000000</f>
        <v>130000000</v>
      </c>
      <c r="G86" s="162">
        <v>130000000</v>
      </c>
      <c r="H86" s="327">
        <f t="shared" ref="H86:H93" si="3">G86/F86*100</f>
        <v>100</v>
      </c>
      <c r="I86" s="292" t="s">
        <v>522</v>
      </c>
      <c r="J86" s="212"/>
    </row>
    <row r="87" spans="1:10" s="125" customFormat="1" ht="25.5" x14ac:dyDescent="0.2">
      <c r="A87" s="264">
        <v>56</v>
      </c>
      <c r="B87" s="38" t="s">
        <v>15</v>
      </c>
      <c r="C87" s="362"/>
      <c r="D87" s="441" t="s">
        <v>256</v>
      </c>
      <c r="E87" s="162">
        <v>85000000</v>
      </c>
      <c r="F87" s="201">
        <f>85000000+38000000</f>
        <v>123000000</v>
      </c>
      <c r="G87" s="162">
        <v>123000000</v>
      </c>
      <c r="H87" s="327">
        <f t="shared" si="3"/>
        <v>100</v>
      </c>
      <c r="I87" s="292" t="s">
        <v>522</v>
      </c>
      <c r="J87" s="212"/>
    </row>
    <row r="88" spans="1:10" s="125" customFormat="1" ht="12.75" customHeight="1" x14ac:dyDescent="0.2">
      <c r="A88" s="264">
        <v>57</v>
      </c>
      <c r="B88" s="38" t="s">
        <v>20</v>
      </c>
      <c r="C88" s="362"/>
      <c r="D88" s="150" t="s">
        <v>248</v>
      </c>
      <c r="E88" s="162">
        <v>30000000</v>
      </c>
      <c r="F88" s="201">
        <v>873170</v>
      </c>
      <c r="G88" s="162"/>
      <c r="H88" s="327">
        <f t="shared" si="3"/>
        <v>0</v>
      </c>
      <c r="I88" s="292" t="s">
        <v>526</v>
      </c>
      <c r="J88" s="212"/>
    </row>
    <row r="89" spans="1:10" s="125" customFormat="1" ht="12.75" customHeight="1" x14ac:dyDescent="0.2">
      <c r="A89" s="264">
        <v>58</v>
      </c>
      <c r="B89" s="38" t="s">
        <v>22</v>
      </c>
      <c r="C89" s="362"/>
      <c r="D89" s="150" t="s">
        <v>257</v>
      </c>
      <c r="E89" s="162"/>
      <c r="F89" s="201">
        <v>231532520</v>
      </c>
      <c r="G89" s="162"/>
      <c r="H89" s="327">
        <f t="shared" si="3"/>
        <v>0</v>
      </c>
      <c r="I89" s="295" t="s">
        <v>525</v>
      </c>
      <c r="J89" s="212"/>
    </row>
    <row r="90" spans="1:10" s="125" customFormat="1" ht="25.5" x14ac:dyDescent="0.2">
      <c r="A90" s="264">
        <v>59</v>
      </c>
      <c r="B90" s="138" t="s">
        <v>23</v>
      </c>
      <c r="C90" s="222"/>
      <c r="D90" s="223" t="s">
        <v>258</v>
      </c>
      <c r="E90" s="162"/>
      <c r="F90" s="201">
        <v>4107180</v>
      </c>
      <c r="G90" s="162">
        <v>1270000</v>
      </c>
      <c r="H90" s="327">
        <f t="shared" si="3"/>
        <v>30.921459492888065</v>
      </c>
      <c r="I90" s="292" t="s">
        <v>524</v>
      </c>
      <c r="J90" s="212"/>
    </row>
    <row r="91" spans="1:10" s="125" customFormat="1" ht="25.5" x14ac:dyDescent="0.2">
      <c r="A91" s="264">
        <v>60</v>
      </c>
      <c r="B91" s="38" t="s">
        <v>24</v>
      </c>
      <c r="C91" s="362"/>
      <c r="D91" s="441" t="s">
        <v>259</v>
      </c>
      <c r="E91" s="162"/>
      <c r="F91" s="201">
        <v>32065000</v>
      </c>
      <c r="G91" s="162">
        <v>6350000</v>
      </c>
      <c r="H91" s="327">
        <f t="shared" si="3"/>
        <v>19.803524091688757</v>
      </c>
      <c r="I91" s="292" t="s">
        <v>524</v>
      </c>
      <c r="J91" s="212"/>
    </row>
    <row r="92" spans="1:10" s="125" customFormat="1" ht="12.75" customHeight="1" x14ac:dyDescent="0.2">
      <c r="A92" s="264">
        <v>61</v>
      </c>
      <c r="B92" s="38" t="s">
        <v>25</v>
      </c>
      <c r="C92" s="362"/>
      <c r="D92" s="150" t="s">
        <v>260</v>
      </c>
      <c r="E92" s="162"/>
      <c r="F92" s="201">
        <v>13641171</v>
      </c>
      <c r="G92" s="162">
        <v>4698408</v>
      </c>
      <c r="H92" s="327">
        <f t="shared" si="3"/>
        <v>34.442849517830979</v>
      </c>
      <c r="I92" s="292" t="s">
        <v>524</v>
      </c>
      <c r="J92" s="212"/>
    </row>
    <row r="93" spans="1:10" s="125" customFormat="1" ht="12.75" customHeight="1" x14ac:dyDescent="0.2">
      <c r="A93" s="264">
        <v>62</v>
      </c>
      <c r="B93" s="38" t="s">
        <v>26</v>
      </c>
      <c r="C93" s="362"/>
      <c r="D93" s="150" t="s">
        <v>261</v>
      </c>
      <c r="E93" s="162"/>
      <c r="F93" s="201">
        <v>53722769</v>
      </c>
      <c r="G93" s="162">
        <v>6789119</v>
      </c>
      <c r="H93" s="327">
        <f t="shared" si="3"/>
        <v>12.637321430695428</v>
      </c>
      <c r="I93" s="292" t="s">
        <v>524</v>
      </c>
      <c r="J93" s="212"/>
    </row>
    <row r="94" spans="1:10" ht="12.75" customHeight="1" thickBot="1" x14ac:dyDescent="0.25">
      <c r="A94" s="264"/>
      <c r="B94" s="42"/>
      <c r="C94" s="440"/>
      <c r="D94" s="241"/>
      <c r="E94" s="437"/>
      <c r="F94" s="210"/>
      <c r="G94" s="437"/>
      <c r="H94" s="292"/>
      <c r="I94" s="292"/>
      <c r="J94" s="212"/>
    </row>
    <row r="95" spans="1:10" s="126" customFormat="1" ht="15" customHeight="1" thickTop="1" thickBot="1" x14ac:dyDescent="0.25">
      <c r="A95" s="264">
        <v>63</v>
      </c>
      <c r="B95" s="37"/>
      <c r="C95" s="369" t="s">
        <v>262</v>
      </c>
      <c r="D95" s="370"/>
      <c r="E95" s="320">
        <f>SUM(E79:E94)</f>
        <v>293300000</v>
      </c>
      <c r="F95" s="421">
        <f>SUM(F79:F94)</f>
        <v>770783930</v>
      </c>
      <c r="G95" s="320">
        <f>SUM(G79:G94)</f>
        <v>392980044</v>
      </c>
      <c r="H95" s="284">
        <f>G95/F95*100</f>
        <v>50.984462532839778</v>
      </c>
      <c r="I95" s="284"/>
      <c r="J95" s="212"/>
    </row>
    <row r="96" spans="1:10" ht="8.25" customHeight="1" thickTop="1" thickBot="1" x14ac:dyDescent="0.25">
      <c r="A96" s="264"/>
      <c r="B96" s="30"/>
      <c r="C96" s="372"/>
      <c r="D96" s="371"/>
      <c r="E96" s="435"/>
      <c r="F96" s="202"/>
      <c r="G96" s="435"/>
      <c r="H96" s="294"/>
      <c r="I96" s="294"/>
      <c r="J96" s="212"/>
    </row>
    <row r="97" spans="1:11" s="127" customFormat="1" ht="15" customHeight="1" thickBot="1" x14ac:dyDescent="0.25">
      <c r="A97" s="268">
        <v>64</v>
      </c>
      <c r="B97" s="243"/>
      <c r="C97" s="373"/>
      <c r="D97" s="245" t="s">
        <v>263</v>
      </c>
      <c r="E97" s="246">
        <f>E76+E95</f>
        <v>4708759000</v>
      </c>
      <c r="F97" s="247">
        <f>F76+F95</f>
        <v>7601569093</v>
      </c>
      <c r="G97" s="246">
        <f>G76+G95</f>
        <v>5849993175</v>
      </c>
      <c r="H97" s="285">
        <f>G97/F97*100</f>
        <v>76.957705750343564</v>
      </c>
      <c r="I97" s="285"/>
      <c r="J97" s="212"/>
      <c r="K97" s="164"/>
    </row>
    <row r="98" spans="1:11" s="128" customFormat="1" ht="14.25" x14ac:dyDescent="0.2">
      <c r="A98" s="265"/>
      <c r="B98" s="41"/>
      <c r="C98" s="374"/>
      <c r="D98" s="375"/>
      <c r="E98" s="49"/>
      <c r="F98" s="199"/>
      <c r="G98" s="49"/>
      <c r="H98" s="116"/>
      <c r="I98" s="116"/>
      <c r="J98" s="212"/>
    </row>
    <row r="99" spans="1:11" s="125" customFormat="1" ht="15.75" x14ac:dyDescent="0.25">
      <c r="A99" s="264">
        <v>65</v>
      </c>
      <c r="B99" s="30"/>
      <c r="C99" s="43" t="s">
        <v>264</v>
      </c>
      <c r="D99" s="20"/>
      <c r="E99" s="21"/>
      <c r="F99" s="199"/>
      <c r="G99" s="21"/>
      <c r="H99" s="106"/>
      <c r="I99" s="106"/>
      <c r="J99" s="212"/>
    </row>
    <row r="100" spans="1:11" x14ac:dyDescent="0.2">
      <c r="A100" s="264"/>
      <c r="B100" s="30"/>
      <c r="C100" s="44"/>
      <c r="D100" s="45"/>
      <c r="E100" s="21"/>
      <c r="F100" s="199"/>
      <c r="G100" s="21"/>
      <c r="H100" s="106"/>
      <c r="I100" s="106"/>
      <c r="J100" s="212"/>
    </row>
    <row r="101" spans="1:11" ht="15.75" x14ac:dyDescent="0.25">
      <c r="A101" s="264">
        <v>66</v>
      </c>
      <c r="B101" s="30"/>
      <c r="C101" s="353" t="s">
        <v>230</v>
      </c>
      <c r="D101" s="45"/>
      <c r="E101" s="21"/>
      <c r="F101" s="199"/>
      <c r="G101" s="21"/>
      <c r="H101" s="106"/>
      <c r="I101" s="106"/>
      <c r="J101" s="212"/>
    </row>
    <row r="102" spans="1:11" x14ac:dyDescent="0.2">
      <c r="A102" s="264"/>
      <c r="B102" s="30"/>
      <c r="C102" s="44"/>
      <c r="D102" s="45"/>
      <c r="E102" s="21"/>
      <c r="F102" s="199"/>
      <c r="G102" s="21"/>
      <c r="H102" s="106"/>
      <c r="I102" s="270"/>
      <c r="J102" s="212"/>
    </row>
    <row r="103" spans="1:11" s="129" customFormat="1" x14ac:dyDescent="0.2">
      <c r="A103" s="266">
        <v>67</v>
      </c>
      <c r="B103" s="36" t="s">
        <v>36</v>
      </c>
      <c r="C103" s="139"/>
      <c r="D103" s="140" t="s">
        <v>265</v>
      </c>
      <c r="E103" s="141">
        <v>300000</v>
      </c>
      <c r="F103" s="201">
        <f>300000+150000</f>
        <v>450000</v>
      </c>
      <c r="G103" s="141"/>
      <c r="H103" s="327">
        <f t="shared" ref="H103:H108" si="4">G103/F103*100</f>
        <v>0</v>
      </c>
      <c r="I103" s="292" t="s">
        <v>522</v>
      </c>
      <c r="J103" s="212"/>
    </row>
    <row r="104" spans="1:11" x14ac:dyDescent="0.2">
      <c r="A104" s="264">
        <v>68</v>
      </c>
      <c r="B104" s="42" t="s">
        <v>30</v>
      </c>
      <c r="C104" s="357"/>
      <c r="D104" s="150" t="s">
        <v>266</v>
      </c>
      <c r="E104" s="25">
        <v>2000000</v>
      </c>
      <c r="F104" s="201">
        <v>2000000</v>
      </c>
      <c r="G104" s="25"/>
      <c r="H104" s="327">
        <f t="shared" si="4"/>
        <v>0</v>
      </c>
      <c r="I104" s="295"/>
      <c r="J104" s="212"/>
    </row>
    <row r="105" spans="1:11" x14ac:dyDescent="0.2">
      <c r="A105" s="266">
        <v>69</v>
      </c>
      <c r="B105" s="42" t="s">
        <v>31</v>
      </c>
      <c r="C105" s="357"/>
      <c r="D105" s="150" t="s">
        <v>267</v>
      </c>
      <c r="E105" s="25">
        <v>3000000</v>
      </c>
      <c r="F105" s="201">
        <f>3000000+2000000+500000</f>
        <v>5500000</v>
      </c>
      <c r="G105" s="25">
        <v>4695000</v>
      </c>
      <c r="H105" s="327">
        <f t="shared" si="4"/>
        <v>85.36363636363636</v>
      </c>
      <c r="I105" s="295" t="s">
        <v>532</v>
      </c>
      <c r="J105" s="212"/>
    </row>
    <row r="106" spans="1:11" x14ac:dyDescent="0.2">
      <c r="A106" s="264">
        <v>70</v>
      </c>
      <c r="B106" s="42" t="s">
        <v>34</v>
      </c>
      <c r="C106" s="357"/>
      <c r="D106" s="150" t="s">
        <v>268</v>
      </c>
      <c r="E106" s="25">
        <v>2000000</v>
      </c>
      <c r="F106" s="201">
        <f>2000000+600000</f>
        <v>2600000</v>
      </c>
      <c r="G106" s="25">
        <v>2100000</v>
      </c>
      <c r="H106" s="327">
        <f t="shared" si="4"/>
        <v>80.769230769230774</v>
      </c>
      <c r="I106" s="295" t="s">
        <v>522</v>
      </c>
      <c r="J106" s="212"/>
    </row>
    <row r="107" spans="1:11" x14ac:dyDescent="0.2">
      <c r="A107" s="266">
        <v>71</v>
      </c>
      <c r="B107" s="42" t="s">
        <v>28</v>
      </c>
      <c r="C107" s="357"/>
      <c r="D107" s="150" t="s">
        <v>269</v>
      </c>
      <c r="E107" s="25">
        <v>500000</v>
      </c>
      <c r="F107" s="201">
        <f>500000+1696729</f>
        <v>2196729</v>
      </c>
      <c r="G107" s="25"/>
      <c r="H107" s="327">
        <f t="shared" si="4"/>
        <v>0</v>
      </c>
      <c r="I107" s="295" t="s">
        <v>522</v>
      </c>
      <c r="J107" s="212"/>
    </row>
    <row r="108" spans="1:11" x14ac:dyDescent="0.2">
      <c r="A108" s="264">
        <v>72</v>
      </c>
      <c r="B108" s="42" t="s">
        <v>33</v>
      </c>
      <c r="C108" s="357"/>
      <c r="D108" s="150" t="s">
        <v>270</v>
      </c>
      <c r="E108" s="25">
        <v>10000000</v>
      </c>
      <c r="F108" s="201">
        <v>10000000</v>
      </c>
      <c r="G108" s="25"/>
      <c r="H108" s="327">
        <f t="shared" si="4"/>
        <v>0</v>
      </c>
      <c r="I108" s="295"/>
      <c r="J108" s="212"/>
    </row>
    <row r="109" spans="1:11" ht="13.5" thickBot="1" x14ac:dyDescent="0.25">
      <c r="A109" s="264"/>
      <c r="B109" s="34"/>
      <c r="C109" s="357"/>
      <c r="D109" s="150"/>
      <c r="E109" s="25"/>
      <c r="F109" s="201"/>
      <c r="G109" s="25"/>
      <c r="H109" s="105"/>
      <c r="I109" s="105"/>
      <c r="J109" s="212"/>
    </row>
    <row r="110" spans="1:11" s="126" customFormat="1" ht="15" customHeight="1" thickTop="1" thickBot="1" x14ac:dyDescent="0.25">
      <c r="A110" s="264">
        <v>73</v>
      </c>
      <c r="B110" s="37"/>
      <c r="C110" s="369" t="s">
        <v>251</v>
      </c>
      <c r="D110" s="370"/>
      <c r="E110" s="320">
        <f>SUM(E101:E109)</f>
        <v>17800000</v>
      </c>
      <c r="F110" s="421">
        <f>SUM(F101:F109)</f>
        <v>22746729</v>
      </c>
      <c r="G110" s="320">
        <f>SUM(G101:G109)</f>
        <v>6795000</v>
      </c>
      <c r="H110" s="284">
        <f>G110/F110*100</f>
        <v>29.872426932241552</v>
      </c>
      <c r="I110" s="284"/>
      <c r="J110" s="212"/>
    </row>
    <row r="111" spans="1:11" s="125" customFormat="1" ht="18" customHeight="1" thickTop="1" x14ac:dyDescent="0.25">
      <c r="A111" s="264"/>
      <c r="B111" s="30"/>
      <c r="C111" s="353"/>
      <c r="D111" s="371"/>
      <c r="E111" s="435"/>
      <c r="F111" s="199"/>
      <c r="G111" s="435"/>
      <c r="H111" s="294"/>
      <c r="I111" s="294"/>
      <c r="J111" s="212"/>
    </row>
    <row r="112" spans="1:11" s="125" customFormat="1" ht="17.25" customHeight="1" x14ac:dyDescent="0.25">
      <c r="A112" s="264">
        <v>74</v>
      </c>
      <c r="B112" s="30"/>
      <c r="C112" s="353" t="s">
        <v>252</v>
      </c>
      <c r="D112" s="371"/>
      <c r="E112" s="435"/>
      <c r="F112" s="199"/>
      <c r="G112" s="435"/>
      <c r="H112" s="294"/>
      <c r="I112" s="294"/>
      <c r="J112" s="212"/>
    </row>
    <row r="113" spans="1:10" ht="14.25" x14ac:dyDescent="0.2">
      <c r="A113" s="264"/>
      <c r="B113" s="30"/>
      <c r="C113" s="355"/>
      <c r="D113" s="45"/>
      <c r="E113" s="21"/>
      <c r="F113" s="199"/>
      <c r="G113" s="21"/>
      <c r="H113" s="106"/>
      <c r="I113" s="270"/>
      <c r="J113" s="212"/>
    </row>
    <row r="114" spans="1:10" x14ac:dyDescent="0.2">
      <c r="A114" s="264">
        <v>75</v>
      </c>
      <c r="B114" s="22" t="s">
        <v>32</v>
      </c>
      <c r="C114" s="357"/>
      <c r="D114" s="150" t="s">
        <v>271</v>
      </c>
      <c r="E114" s="25">
        <v>200000</v>
      </c>
      <c r="F114" s="201">
        <f>200000+800000</f>
        <v>1000000</v>
      </c>
      <c r="G114" s="25"/>
      <c r="H114" s="327">
        <f>G114/F114*100</f>
        <v>0</v>
      </c>
      <c r="I114" s="292" t="s">
        <v>522</v>
      </c>
      <c r="J114" s="212"/>
    </row>
    <row r="115" spans="1:10" x14ac:dyDescent="0.2">
      <c r="A115" s="264">
        <v>76</v>
      </c>
      <c r="B115" s="33" t="s">
        <v>35</v>
      </c>
      <c r="C115" s="357"/>
      <c r="D115" s="150" t="s">
        <v>272</v>
      </c>
      <c r="E115" s="25">
        <v>500000</v>
      </c>
      <c r="F115" s="201">
        <f>500000+1500000</f>
        <v>2000000</v>
      </c>
      <c r="G115" s="25">
        <v>157880</v>
      </c>
      <c r="H115" s="327">
        <f>G115/F115*100</f>
        <v>7.8939999999999992</v>
      </c>
      <c r="I115" s="292" t="s">
        <v>522</v>
      </c>
      <c r="J115" s="212"/>
    </row>
    <row r="116" spans="1:10" x14ac:dyDescent="0.2">
      <c r="A116" s="264">
        <v>77</v>
      </c>
      <c r="B116" s="33" t="s">
        <v>29</v>
      </c>
      <c r="C116" s="357"/>
      <c r="D116" s="150" t="s">
        <v>273</v>
      </c>
      <c r="E116" s="25">
        <v>200000</v>
      </c>
      <c r="F116" s="201">
        <f>200000+81000</f>
        <v>281000</v>
      </c>
      <c r="G116" s="25">
        <v>158735</v>
      </c>
      <c r="H116" s="327">
        <f>G116/F116*100</f>
        <v>56.489323843416372</v>
      </c>
      <c r="I116" s="292" t="s">
        <v>522</v>
      </c>
      <c r="J116" s="212"/>
    </row>
    <row r="117" spans="1:10" ht="15" thickBot="1" x14ac:dyDescent="0.25">
      <c r="A117" s="264"/>
      <c r="B117" s="33"/>
      <c r="C117" s="368"/>
      <c r="D117" s="46"/>
      <c r="E117" s="25"/>
      <c r="F117" s="201"/>
      <c r="G117" s="25"/>
      <c r="H117" s="105"/>
      <c r="I117" s="105"/>
      <c r="J117" s="212"/>
    </row>
    <row r="118" spans="1:10" s="126" customFormat="1" ht="15" customHeight="1" thickTop="1" thickBot="1" x14ac:dyDescent="0.25">
      <c r="A118" s="264">
        <v>78</v>
      </c>
      <c r="B118" s="37"/>
      <c r="C118" s="369" t="s">
        <v>262</v>
      </c>
      <c r="D118" s="370"/>
      <c r="E118" s="320">
        <f>SUM(E112:E117)</f>
        <v>900000</v>
      </c>
      <c r="F118" s="421">
        <f>SUM(F112:F117)</f>
        <v>3281000</v>
      </c>
      <c r="G118" s="320">
        <f>SUM(G112:G117)</f>
        <v>316615</v>
      </c>
      <c r="H118" s="284">
        <f>G118/F118*100</f>
        <v>9.6499542822310271</v>
      </c>
      <c r="I118" s="284"/>
      <c r="J118" s="212"/>
    </row>
    <row r="119" spans="1:10" ht="14.25" thickTop="1" thickBot="1" x14ac:dyDescent="0.25">
      <c r="A119" s="264"/>
      <c r="B119" s="30"/>
      <c r="C119" s="372"/>
      <c r="D119" s="45"/>
      <c r="E119" s="21"/>
      <c r="F119" s="202"/>
      <c r="G119" s="21"/>
      <c r="H119" s="106"/>
      <c r="I119" s="106"/>
      <c r="J119" s="212"/>
    </row>
    <row r="120" spans="1:10" s="127" customFormat="1" ht="15" customHeight="1" thickBot="1" x14ac:dyDescent="0.25">
      <c r="A120" s="268">
        <v>79</v>
      </c>
      <c r="B120" s="243"/>
      <c r="C120" s="244"/>
      <c r="D120" s="245" t="s">
        <v>274</v>
      </c>
      <c r="E120" s="246">
        <f>E110+E118</f>
        <v>18700000</v>
      </c>
      <c r="F120" s="247">
        <f>F110+F118</f>
        <v>26027729</v>
      </c>
      <c r="G120" s="246">
        <f>G110+G118</f>
        <v>7111615</v>
      </c>
      <c r="H120" s="285">
        <f>G120/F120*100</f>
        <v>27.32322516497694</v>
      </c>
      <c r="I120" s="285"/>
      <c r="J120" s="212"/>
    </row>
    <row r="121" spans="1:10" s="130" customFormat="1" x14ac:dyDescent="0.2">
      <c r="A121" s="265"/>
      <c r="B121" s="41"/>
      <c r="C121" s="47"/>
      <c r="D121" s="48"/>
      <c r="E121" s="49"/>
      <c r="F121" s="199"/>
      <c r="G121" s="49"/>
      <c r="H121" s="116"/>
      <c r="I121" s="116"/>
      <c r="J121" s="212"/>
    </row>
    <row r="122" spans="1:10" s="125" customFormat="1" ht="15.75" x14ac:dyDescent="0.25">
      <c r="A122" s="264">
        <v>80</v>
      </c>
      <c r="B122" s="30"/>
      <c r="C122" s="43" t="s">
        <v>275</v>
      </c>
      <c r="D122" s="20"/>
      <c r="E122" s="21"/>
      <c r="F122" s="199"/>
      <c r="G122" s="21"/>
      <c r="H122" s="106"/>
      <c r="I122" s="106"/>
      <c r="J122" s="212"/>
    </row>
    <row r="123" spans="1:10" x14ac:dyDescent="0.2">
      <c r="A123" s="264"/>
      <c r="B123" s="30"/>
      <c r="C123" s="44"/>
      <c r="D123" s="50"/>
      <c r="E123" s="21"/>
      <c r="F123" s="199"/>
      <c r="G123" s="21"/>
      <c r="H123" s="106"/>
      <c r="I123" s="106"/>
      <c r="J123" s="212"/>
    </row>
    <row r="124" spans="1:10" ht="15.75" x14ac:dyDescent="0.25">
      <c r="A124" s="264">
        <v>81</v>
      </c>
      <c r="B124" s="30"/>
      <c r="C124" s="353" t="s">
        <v>230</v>
      </c>
      <c r="D124" s="50"/>
      <c r="E124" s="21"/>
      <c r="F124" s="199"/>
      <c r="G124" s="21"/>
      <c r="H124" s="106"/>
      <c r="I124" s="106"/>
      <c r="J124" s="212"/>
    </row>
    <row r="125" spans="1:10" x14ac:dyDescent="0.2">
      <c r="A125" s="264"/>
      <c r="B125" s="30"/>
      <c r="C125" s="44"/>
      <c r="D125" s="50"/>
      <c r="E125" s="21"/>
      <c r="F125" s="199"/>
      <c r="G125" s="21"/>
      <c r="H125" s="106"/>
      <c r="I125" s="106"/>
      <c r="J125" s="212"/>
    </row>
    <row r="126" spans="1:10" s="123" customFormat="1" x14ac:dyDescent="0.2">
      <c r="A126" s="267">
        <v>82</v>
      </c>
      <c r="B126" s="142" t="s">
        <v>37</v>
      </c>
      <c r="C126" s="176"/>
      <c r="D126" s="177" t="s">
        <v>276</v>
      </c>
      <c r="E126" s="143">
        <v>2500000</v>
      </c>
      <c r="F126" s="201">
        <v>4281303</v>
      </c>
      <c r="G126" s="143">
        <v>2170410</v>
      </c>
      <c r="H126" s="328">
        <f>G126/F126*100</f>
        <v>50.695080446303379</v>
      </c>
      <c r="I126" s="297" t="s">
        <v>521</v>
      </c>
      <c r="J126" s="212"/>
    </row>
    <row r="127" spans="1:10" x14ac:dyDescent="0.2">
      <c r="A127" s="264">
        <v>83</v>
      </c>
      <c r="B127" s="31"/>
      <c r="C127" s="366"/>
      <c r="D127" s="367" t="s">
        <v>541</v>
      </c>
      <c r="E127" s="51"/>
      <c r="F127" s="203"/>
      <c r="G127" s="51"/>
      <c r="H127" s="293"/>
      <c r="I127" s="108"/>
      <c r="J127" s="212"/>
    </row>
    <row r="128" spans="1:10" s="123" customFormat="1" x14ac:dyDescent="0.2">
      <c r="A128" s="267">
        <v>84</v>
      </c>
      <c r="B128" s="178" t="s">
        <v>42</v>
      </c>
      <c r="C128" s="176"/>
      <c r="D128" s="177" t="s">
        <v>277</v>
      </c>
      <c r="E128" s="143">
        <v>1844000000</v>
      </c>
      <c r="F128" s="201">
        <v>1782393511</v>
      </c>
      <c r="G128" s="143">
        <v>1723771217</v>
      </c>
      <c r="H128" s="328">
        <f t="shared" ref="H128:H135" si="5">G128/F128*100</f>
        <v>96.711035265881875</v>
      </c>
      <c r="I128" s="298" t="s">
        <v>539</v>
      </c>
      <c r="J128" s="212"/>
    </row>
    <row r="129" spans="1:10" s="123" customFormat="1" x14ac:dyDescent="0.2">
      <c r="A129" s="264">
        <v>85</v>
      </c>
      <c r="B129" s="138" t="s">
        <v>43</v>
      </c>
      <c r="C129" s="176"/>
      <c r="D129" s="230" t="s">
        <v>278</v>
      </c>
      <c r="E129" s="143">
        <v>20000000</v>
      </c>
      <c r="F129" s="201">
        <f>20000000+2079995</f>
        <v>22079995</v>
      </c>
      <c r="G129" s="143">
        <v>7584862</v>
      </c>
      <c r="H129" s="328">
        <f t="shared" si="5"/>
        <v>34.351737851389913</v>
      </c>
      <c r="I129" s="297" t="s">
        <v>522</v>
      </c>
      <c r="J129" s="212"/>
    </row>
    <row r="130" spans="1:10" s="123" customFormat="1" x14ac:dyDescent="0.2">
      <c r="A130" s="267">
        <v>86</v>
      </c>
      <c r="B130" s="138" t="s">
        <v>39</v>
      </c>
      <c r="C130" s="176"/>
      <c r="D130" s="177" t="s">
        <v>279</v>
      </c>
      <c r="E130" s="143">
        <v>277560000</v>
      </c>
      <c r="F130" s="201">
        <v>342606000</v>
      </c>
      <c r="G130" s="143">
        <v>342606000</v>
      </c>
      <c r="H130" s="328">
        <f t="shared" si="5"/>
        <v>100</v>
      </c>
      <c r="I130" s="297" t="s">
        <v>523</v>
      </c>
      <c r="J130" s="212"/>
    </row>
    <row r="131" spans="1:10" s="123" customFormat="1" x14ac:dyDescent="0.2">
      <c r="A131" s="264">
        <v>87</v>
      </c>
      <c r="B131" s="138" t="s">
        <v>40</v>
      </c>
      <c r="C131" s="176"/>
      <c r="D131" s="177" t="s">
        <v>280</v>
      </c>
      <c r="E131" s="143"/>
      <c r="F131" s="201">
        <v>20334000</v>
      </c>
      <c r="G131" s="143">
        <v>20078014</v>
      </c>
      <c r="H131" s="328">
        <f t="shared" si="5"/>
        <v>98.741093734631647</v>
      </c>
      <c r="I131" s="297" t="s">
        <v>524</v>
      </c>
      <c r="J131" s="212"/>
    </row>
    <row r="132" spans="1:10" s="123" customFormat="1" x14ac:dyDescent="0.2">
      <c r="A132" s="267">
        <v>88</v>
      </c>
      <c r="B132" s="138" t="s">
        <v>41</v>
      </c>
      <c r="C132" s="176"/>
      <c r="D132" s="177" t="s">
        <v>281</v>
      </c>
      <c r="E132" s="143">
        <v>254083966</v>
      </c>
      <c r="F132" s="201">
        <v>528663251</v>
      </c>
      <c r="G132" s="143">
        <v>468931000</v>
      </c>
      <c r="H132" s="328">
        <f t="shared" si="5"/>
        <v>88.701266659444798</v>
      </c>
      <c r="I132" s="297" t="s">
        <v>539</v>
      </c>
      <c r="J132" s="212"/>
    </row>
    <row r="133" spans="1:10" s="123" customFormat="1" x14ac:dyDescent="0.2">
      <c r="A133" s="264">
        <v>89</v>
      </c>
      <c r="B133" s="138" t="s">
        <v>517</v>
      </c>
      <c r="C133" s="176"/>
      <c r="D133" s="177" t="s">
        <v>506</v>
      </c>
      <c r="E133" s="143"/>
      <c r="F133" s="201">
        <v>569416223</v>
      </c>
      <c r="G133" s="143">
        <v>111000000</v>
      </c>
      <c r="H133" s="328">
        <f t="shared" si="5"/>
        <v>19.493649024467643</v>
      </c>
      <c r="I133" s="297" t="s">
        <v>523</v>
      </c>
      <c r="J133" s="212"/>
    </row>
    <row r="134" spans="1:10" s="123" customFormat="1" x14ac:dyDescent="0.2">
      <c r="A134" s="267">
        <v>90</v>
      </c>
      <c r="B134" s="138" t="s">
        <v>38</v>
      </c>
      <c r="C134" s="176"/>
      <c r="D134" s="177" t="s">
        <v>282</v>
      </c>
      <c r="E134" s="143">
        <v>3000000</v>
      </c>
      <c r="F134" s="201">
        <v>4000000</v>
      </c>
      <c r="G134" s="143">
        <v>2868935</v>
      </c>
      <c r="H134" s="328">
        <f t="shared" si="5"/>
        <v>71.723375000000004</v>
      </c>
      <c r="I134" s="297" t="s">
        <v>521</v>
      </c>
      <c r="J134" s="212"/>
    </row>
    <row r="135" spans="1:10" s="123" customFormat="1" ht="25.5" x14ac:dyDescent="0.2">
      <c r="A135" s="264">
        <v>91</v>
      </c>
      <c r="B135" s="138" t="s">
        <v>44</v>
      </c>
      <c r="C135" s="222"/>
      <c r="D135" s="223" t="s">
        <v>283</v>
      </c>
      <c r="E135" s="165"/>
      <c r="F135" s="166">
        <v>22741974</v>
      </c>
      <c r="G135" s="165">
        <v>7714714</v>
      </c>
      <c r="H135" s="328">
        <f t="shared" si="5"/>
        <v>33.922798434295984</v>
      </c>
      <c r="I135" s="273" t="s">
        <v>524</v>
      </c>
      <c r="J135" s="212"/>
    </row>
    <row r="136" spans="1:10" s="123" customFormat="1" ht="13.5" thickBot="1" x14ac:dyDescent="0.25">
      <c r="A136" s="267"/>
      <c r="B136" s="167"/>
      <c r="C136" s="168"/>
      <c r="D136" s="169"/>
      <c r="E136" s="170"/>
      <c r="F136" s="199"/>
      <c r="G136" s="170"/>
      <c r="H136" s="171"/>
      <c r="I136" s="171"/>
      <c r="J136" s="212"/>
    </row>
    <row r="137" spans="1:10" s="173" customFormat="1" ht="15" customHeight="1" thickTop="1" thickBot="1" x14ac:dyDescent="0.25">
      <c r="A137" s="267">
        <v>92</v>
      </c>
      <c r="B137" s="172"/>
      <c r="C137" s="376" t="s">
        <v>251</v>
      </c>
      <c r="D137" s="377"/>
      <c r="E137" s="422">
        <f>SUM(E125:E136)</f>
        <v>2401143966</v>
      </c>
      <c r="F137" s="421">
        <f>SUM(F125:F136)</f>
        <v>3296516257</v>
      </c>
      <c r="G137" s="422">
        <f>SUM(G125:G136)</f>
        <v>2686725152</v>
      </c>
      <c r="H137" s="286">
        <f>G137/F137*100</f>
        <v>81.501953654706341</v>
      </c>
      <c r="I137" s="286"/>
      <c r="J137" s="212"/>
    </row>
    <row r="138" spans="1:10" s="173" customFormat="1" ht="15" customHeight="1" thickTop="1" x14ac:dyDescent="0.2">
      <c r="A138" s="267"/>
      <c r="B138" s="174"/>
      <c r="C138" s="378"/>
      <c r="D138" s="379"/>
      <c r="E138" s="423"/>
      <c r="F138" s="205"/>
      <c r="G138" s="423"/>
      <c r="H138" s="287"/>
      <c r="I138" s="287"/>
      <c r="J138" s="212"/>
    </row>
    <row r="139" spans="1:10" s="175" customFormat="1" ht="17.25" customHeight="1" x14ac:dyDescent="0.25">
      <c r="A139" s="267">
        <v>93</v>
      </c>
      <c r="B139" s="167"/>
      <c r="C139" s="380" t="s">
        <v>252</v>
      </c>
      <c r="D139" s="381"/>
      <c r="E139" s="170"/>
      <c r="F139" s="199"/>
      <c r="G139" s="170"/>
      <c r="H139" s="171"/>
      <c r="I139" s="171"/>
      <c r="J139" s="212"/>
    </row>
    <row r="140" spans="1:10" s="123" customFormat="1" ht="14.25" x14ac:dyDescent="0.2">
      <c r="A140" s="267"/>
      <c r="B140" s="167"/>
      <c r="C140" s="382"/>
      <c r="D140" s="169"/>
      <c r="E140" s="170"/>
      <c r="F140" s="199"/>
      <c r="G140" s="170"/>
      <c r="H140" s="171"/>
      <c r="I140" s="271"/>
      <c r="J140" s="212"/>
    </row>
    <row r="141" spans="1:10" s="123" customFormat="1" x14ac:dyDescent="0.2">
      <c r="A141" s="267">
        <v>94</v>
      </c>
      <c r="B141" s="142" t="s">
        <v>46</v>
      </c>
      <c r="C141" s="176"/>
      <c r="D141" s="177" t="s">
        <v>284</v>
      </c>
      <c r="E141" s="143">
        <v>1500000</v>
      </c>
      <c r="F141" s="201">
        <v>24035592</v>
      </c>
      <c r="G141" s="143">
        <v>3017853</v>
      </c>
      <c r="H141" s="328">
        <f>G141/F141*100</f>
        <v>12.555767297098402</v>
      </c>
      <c r="I141" s="283" t="s">
        <v>522</v>
      </c>
      <c r="J141" s="212"/>
    </row>
    <row r="142" spans="1:10" s="123" customFormat="1" x14ac:dyDescent="0.2">
      <c r="A142" s="267">
        <v>95</v>
      </c>
      <c r="B142" s="142" t="s">
        <v>45</v>
      </c>
      <c r="C142" s="176"/>
      <c r="D142" s="177" t="s">
        <v>285</v>
      </c>
      <c r="E142" s="143">
        <v>25000000</v>
      </c>
      <c r="F142" s="201">
        <v>25000000</v>
      </c>
      <c r="G142" s="143">
        <v>693820</v>
      </c>
      <c r="H142" s="328">
        <f>G142/F142*100</f>
        <v>2.77528</v>
      </c>
      <c r="I142" s="297"/>
      <c r="J142" s="212"/>
    </row>
    <row r="143" spans="1:10" ht="15" thickBot="1" x14ac:dyDescent="0.25">
      <c r="A143" s="264"/>
      <c r="B143" s="42"/>
      <c r="C143" s="368"/>
      <c r="D143" s="46"/>
      <c r="E143" s="25"/>
      <c r="F143" s="200"/>
      <c r="G143" s="25"/>
      <c r="H143" s="105"/>
      <c r="I143" s="105"/>
      <c r="J143" s="212"/>
    </row>
    <row r="144" spans="1:10" s="126" customFormat="1" ht="15" customHeight="1" thickTop="1" thickBot="1" x14ac:dyDescent="0.25">
      <c r="A144" s="264">
        <v>96</v>
      </c>
      <c r="B144" s="37"/>
      <c r="C144" s="369" t="s">
        <v>262</v>
      </c>
      <c r="D144" s="370"/>
      <c r="E144" s="320">
        <f>SUM(E139:E143)</f>
        <v>26500000</v>
      </c>
      <c r="F144" s="421">
        <f>SUM(F139:F143)</f>
        <v>49035592</v>
      </c>
      <c r="G144" s="320">
        <f>SUM(G139:G143)</f>
        <v>3711673</v>
      </c>
      <c r="H144" s="284">
        <f>G144/F144*100</f>
        <v>7.5693447322915972</v>
      </c>
      <c r="I144" s="284"/>
      <c r="J144" s="212"/>
    </row>
    <row r="145" spans="1:10" ht="14.25" thickTop="1" thickBot="1" x14ac:dyDescent="0.25">
      <c r="A145" s="264"/>
      <c r="B145" s="30"/>
      <c r="C145" s="372"/>
      <c r="D145" s="45"/>
      <c r="E145" s="21"/>
      <c r="F145" s="202"/>
      <c r="G145" s="21"/>
      <c r="H145" s="106"/>
      <c r="I145" s="106"/>
      <c r="J145" s="212"/>
    </row>
    <row r="146" spans="1:10" s="127" customFormat="1" ht="15" customHeight="1" thickBot="1" x14ac:dyDescent="0.25">
      <c r="A146" s="268">
        <v>97</v>
      </c>
      <c r="B146" s="243"/>
      <c r="C146" s="244"/>
      <c r="D146" s="245" t="s">
        <v>286</v>
      </c>
      <c r="E146" s="246">
        <f>E137+E144</f>
        <v>2427643966</v>
      </c>
      <c r="F146" s="247">
        <f>F137+F144</f>
        <v>3345551849</v>
      </c>
      <c r="G146" s="246">
        <f>G137+G144</f>
        <v>2690436825</v>
      </c>
      <c r="H146" s="285">
        <f>G146/F146*100</f>
        <v>80.418326973595796</v>
      </c>
      <c r="I146" s="285"/>
      <c r="J146" s="212"/>
    </row>
    <row r="147" spans="1:10" s="130" customFormat="1" x14ac:dyDescent="0.2">
      <c r="A147" s="265"/>
      <c r="B147" s="41"/>
      <c r="C147" s="47"/>
      <c r="D147" s="48"/>
      <c r="E147" s="49"/>
      <c r="F147" s="199"/>
      <c r="G147" s="49"/>
      <c r="H147" s="116"/>
      <c r="I147" s="116"/>
      <c r="J147" s="212"/>
    </row>
    <row r="148" spans="1:10" ht="15.75" x14ac:dyDescent="0.25">
      <c r="A148" s="264">
        <v>98</v>
      </c>
      <c r="B148" s="30"/>
      <c r="C148" s="43" t="s">
        <v>287</v>
      </c>
      <c r="D148" s="20"/>
      <c r="E148" s="21"/>
      <c r="F148" s="199"/>
      <c r="G148" s="21"/>
      <c r="H148" s="106"/>
      <c r="I148" s="106"/>
      <c r="J148" s="212"/>
    </row>
    <row r="149" spans="1:10" x14ac:dyDescent="0.2">
      <c r="A149" s="264"/>
      <c r="B149" s="30"/>
      <c r="C149" s="44"/>
      <c r="D149" s="50"/>
      <c r="E149" s="21"/>
      <c r="F149" s="199"/>
      <c r="G149" s="21"/>
      <c r="H149" s="106"/>
      <c r="I149" s="106"/>
      <c r="J149" s="212"/>
    </row>
    <row r="150" spans="1:10" ht="15.75" x14ac:dyDescent="0.25">
      <c r="A150" s="264">
        <v>99</v>
      </c>
      <c r="B150" s="55"/>
      <c r="C150" s="353" t="s">
        <v>230</v>
      </c>
      <c r="D150" s="56"/>
      <c r="E150" s="21"/>
      <c r="F150" s="199"/>
      <c r="G150" s="21"/>
      <c r="H150" s="106"/>
      <c r="I150" s="106"/>
      <c r="J150" s="212"/>
    </row>
    <row r="151" spans="1:10" x14ac:dyDescent="0.2">
      <c r="A151" s="264"/>
      <c r="B151" s="55"/>
      <c r="C151" s="57"/>
      <c r="D151" s="56"/>
      <c r="E151" s="21"/>
      <c r="F151" s="199"/>
      <c r="G151" s="21"/>
      <c r="H151" s="106"/>
      <c r="I151" s="106"/>
      <c r="J151" s="212"/>
    </row>
    <row r="152" spans="1:10" ht="25.5" x14ac:dyDescent="0.2">
      <c r="A152" s="264">
        <v>100</v>
      </c>
      <c r="B152" s="144" t="s">
        <v>47</v>
      </c>
      <c r="C152" s="145"/>
      <c r="D152" s="146" t="s">
        <v>288</v>
      </c>
      <c r="E152" s="25"/>
      <c r="F152" s="201">
        <v>16898276</v>
      </c>
      <c r="G152" s="25">
        <v>5856201</v>
      </c>
      <c r="H152" s="327">
        <f>G152/F152*100</f>
        <v>34.655612205647486</v>
      </c>
      <c r="I152" s="281" t="s">
        <v>527</v>
      </c>
      <c r="J152" s="212"/>
    </row>
    <row r="153" spans="1:10" x14ac:dyDescent="0.2">
      <c r="A153" s="264">
        <v>101</v>
      </c>
      <c r="B153" s="34" t="s">
        <v>50</v>
      </c>
      <c r="C153" s="147"/>
      <c r="D153" s="148" t="s">
        <v>289</v>
      </c>
      <c r="E153" s="52"/>
      <c r="F153" s="166">
        <v>7726000</v>
      </c>
      <c r="G153" s="52">
        <v>6277900</v>
      </c>
      <c r="H153" s="327">
        <f>G153/F153*100</f>
        <v>81.256795236862544</v>
      </c>
      <c r="I153" s="107" t="s">
        <v>525</v>
      </c>
      <c r="J153" s="212"/>
    </row>
    <row r="154" spans="1:10" x14ac:dyDescent="0.2">
      <c r="A154" s="264">
        <v>102</v>
      </c>
      <c r="B154" s="34" t="s">
        <v>51</v>
      </c>
      <c r="C154" s="147"/>
      <c r="D154" s="148" t="s">
        <v>290</v>
      </c>
      <c r="E154" s="52"/>
      <c r="F154" s="166">
        <v>321000</v>
      </c>
      <c r="G154" s="52">
        <v>321000</v>
      </c>
      <c r="H154" s="327"/>
      <c r="I154" s="107" t="s">
        <v>526</v>
      </c>
      <c r="J154" s="212"/>
    </row>
    <row r="155" spans="1:10" ht="13.5" thickBot="1" x14ac:dyDescent="0.25">
      <c r="A155" s="264"/>
      <c r="B155" s="55"/>
      <c r="C155" s="57"/>
      <c r="D155" s="58"/>
      <c r="E155" s="21"/>
      <c r="F155" s="202"/>
      <c r="G155" s="21"/>
      <c r="H155" s="106"/>
      <c r="I155" s="106"/>
      <c r="J155" s="212"/>
    </row>
    <row r="156" spans="1:10" s="126" customFormat="1" ht="15" customHeight="1" thickTop="1" thickBot="1" x14ac:dyDescent="0.25">
      <c r="A156" s="264">
        <v>103</v>
      </c>
      <c r="B156" s="37"/>
      <c r="C156" s="369" t="s">
        <v>251</v>
      </c>
      <c r="D156" s="370"/>
      <c r="E156" s="320">
        <f>SUM(E150:E155)</f>
        <v>0</v>
      </c>
      <c r="F156" s="421">
        <f>SUM(F150:F155)</f>
        <v>24945276</v>
      </c>
      <c r="G156" s="320">
        <f>SUM(G150:G155)</f>
        <v>12455101</v>
      </c>
      <c r="H156" s="284">
        <f>G156/F156*100</f>
        <v>49.929698111979199</v>
      </c>
      <c r="I156" s="284"/>
      <c r="J156" s="212"/>
    </row>
    <row r="157" spans="1:10" ht="16.5" thickTop="1" x14ac:dyDescent="0.25">
      <c r="A157" s="264"/>
      <c r="B157" s="30"/>
      <c r="C157" s="353"/>
      <c r="D157" s="45"/>
      <c r="E157" s="21"/>
      <c r="F157" s="202"/>
      <c r="G157" s="21"/>
      <c r="H157" s="106"/>
      <c r="I157" s="106"/>
      <c r="J157" s="212"/>
    </row>
    <row r="158" spans="1:10" ht="15.75" x14ac:dyDescent="0.25">
      <c r="A158" s="264">
        <v>104</v>
      </c>
      <c r="B158" s="30"/>
      <c r="C158" s="353" t="s">
        <v>252</v>
      </c>
      <c r="D158" s="45"/>
      <c r="E158" s="21"/>
      <c r="F158" s="202"/>
      <c r="G158" s="21"/>
      <c r="H158" s="106"/>
      <c r="I158" s="106"/>
      <c r="J158" s="212"/>
    </row>
    <row r="159" spans="1:10" x14ac:dyDescent="0.2">
      <c r="A159" s="264"/>
      <c r="B159" s="30"/>
      <c r="C159" s="53"/>
      <c r="D159" s="45"/>
      <c r="E159" s="21"/>
      <c r="F159" s="202"/>
      <c r="G159" s="21"/>
      <c r="H159" s="106"/>
      <c r="I159" s="106"/>
      <c r="J159" s="212"/>
    </row>
    <row r="160" spans="1:10" x14ac:dyDescent="0.2">
      <c r="A160" s="264">
        <v>105</v>
      </c>
      <c r="B160" s="22" t="s">
        <v>48</v>
      </c>
      <c r="C160" s="23"/>
      <c r="D160" s="24" t="s">
        <v>291</v>
      </c>
      <c r="E160" s="25">
        <v>1500000</v>
      </c>
      <c r="F160" s="201">
        <v>1500000</v>
      </c>
      <c r="G160" s="25">
        <v>1500000</v>
      </c>
      <c r="H160" s="327">
        <f>G160/F160*100</f>
        <v>100</v>
      </c>
      <c r="I160" s="292"/>
      <c r="J160" s="212"/>
    </row>
    <row r="161" spans="1:10" ht="25.5" x14ac:dyDescent="0.2">
      <c r="A161" s="264">
        <v>106</v>
      </c>
      <c r="B161" s="22" t="s">
        <v>49</v>
      </c>
      <c r="C161" s="23"/>
      <c r="D161" s="149" t="s">
        <v>292</v>
      </c>
      <c r="E161" s="25">
        <v>1500000</v>
      </c>
      <c r="F161" s="201">
        <f>1500000+1500000</f>
        <v>3000000</v>
      </c>
      <c r="G161" s="25">
        <v>3000000</v>
      </c>
      <c r="H161" s="327">
        <f>G161/F161*100</f>
        <v>100</v>
      </c>
      <c r="I161" s="292" t="s">
        <v>522</v>
      </c>
      <c r="J161" s="212"/>
    </row>
    <row r="162" spans="1:10" x14ac:dyDescent="0.2">
      <c r="A162" s="264">
        <v>107</v>
      </c>
      <c r="B162" s="144" t="s">
        <v>52</v>
      </c>
      <c r="C162" s="145"/>
      <c r="D162" s="146" t="s">
        <v>293</v>
      </c>
      <c r="E162" s="25"/>
      <c r="F162" s="201">
        <v>2178680</v>
      </c>
      <c r="G162" s="25"/>
      <c r="H162" s="327">
        <f>G162/F162*100</f>
        <v>0</v>
      </c>
      <c r="I162" s="292" t="s">
        <v>524</v>
      </c>
      <c r="J162" s="212"/>
    </row>
    <row r="163" spans="1:10" ht="13.5" thickBot="1" x14ac:dyDescent="0.25">
      <c r="A163" s="264"/>
      <c r="B163" s="59"/>
      <c r="C163" s="60"/>
      <c r="D163" s="61"/>
      <c r="E163" s="52"/>
      <c r="F163" s="166"/>
      <c r="G163" s="52"/>
      <c r="H163" s="107"/>
      <c r="I163" s="107"/>
      <c r="J163" s="212"/>
    </row>
    <row r="164" spans="1:10" s="126" customFormat="1" ht="15" customHeight="1" thickTop="1" thickBot="1" x14ac:dyDescent="0.25">
      <c r="A164" s="264">
        <v>108</v>
      </c>
      <c r="B164" s="37"/>
      <c r="C164" s="369" t="s">
        <v>262</v>
      </c>
      <c r="D164" s="370"/>
      <c r="E164" s="320">
        <f>SUM(E159:E163)</f>
        <v>3000000</v>
      </c>
      <c r="F164" s="421">
        <f>SUM(F159:F163)</f>
        <v>6678680</v>
      </c>
      <c r="G164" s="320">
        <f>SUM(G159:G163)</f>
        <v>4500000</v>
      </c>
      <c r="H164" s="284">
        <f>G164/F164*100</f>
        <v>67.378583792006808</v>
      </c>
      <c r="I164" s="284"/>
      <c r="J164" s="212"/>
    </row>
    <row r="165" spans="1:10" ht="14.25" thickTop="1" thickBot="1" x14ac:dyDescent="0.25">
      <c r="A165" s="264"/>
      <c r="B165" s="30"/>
      <c r="C165" s="62"/>
      <c r="D165" s="63"/>
      <c r="E165" s="51"/>
      <c r="F165" s="204"/>
      <c r="G165" s="51"/>
      <c r="H165" s="108"/>
      <c r="I165" s="108"/>
      <c r="J165" s="212"/>
    </row>
    <row r="166" spans="1:10" s="127" customFormat="1" ht="15" customHeight="1" thickBot="1" x14ac:dyDescent="0.25">
      <c r="A166" s="268">
        <v>109</v>
      </c>
      <c r="B166" s="243"/>
      <c r="C166" s="244"/>
      <c r="D166" s="245" t="s">
        <v>294</v>
      </c>
      <c r="E166" s="246">
        <f>E156+E164</f>
        <v>3000000</v>
      </c>
      <c r="F166" s="247">
        <f>F156+F164</f>
        <v>31623956</v>
      </c>
      <c r="G166" s="246">
        <f>G156+G164</f>
        <v>16955101</v>
      </c>
      <c r="H166" s="285">
        <f>G166/F166*100</f>
        <v>53.614737511018554</v>
      </c>
      <c r="I166" s="285"/>
      <c r="J166" s="212"/>
    </row>
    <row r="167" spans="1:10" s="131" customFormat="1" ht="15" customHeight="1" x14ac:dyDescent="0.2">
      <c r="A167" s="264"/>
      <c r="B167" s="54"/>
      <c r="C167" s="64"/>
      <c r="D167" s="65"/>
      <c r="E167" s="66"/>
      <c r="F167" s="205"/>
      <c r="G167" s="66"/>
      <c r="H167" s="117"/>
      <c r="I167" s="117"/>
      <c r="J167" s="212"/>
    </row>
    <row r="168" spans="1:10" s="132" customFormat="1" ht="15" customHeight="1" x14ac:dyDescent="0.25">
      <c r="A168" s="264">
        <v>110</v>
      </c>
      <c r="B168" s="67"/>
      <c r="C168" s="43" t="s">
        <v>295</v>
      </c>
      <c r="D168" s="68"/>
      <c r="E168" s="21"/>
      <c r="F168" s="199"/>
      <c r="G168" s="21"/>
      <c r="H168" s="106"/>
      <c r="I168" s="106"/>
      <c r="J168" s="212"/>
    </row>
    <row r="169" spans="1:10" x14ac:dyDescent="0.2">
      <c r="A169" s="264"/>
      <c r="B169" s="30"/>
      <c r="C169" s="44"/>
      <c r="D169" s="50"/>
      <c r="E169" s="21"/>
      <c r="F169" s="199"/>
      <c r="G169" s="21"/>
      <c r="H169" s="106"/>
      <c r="I169" s="106"/>
      <c r="J169" s="212"/>
    </row>
    <row r="170" spans="1:10" ht="15.75" x14ac:dyDescent="0.25">
      <c r="A170" s="264">
        <v>111</v>
      </c>
      <c r="B170" s="30"/>
      <c r="C170" s="353" t="s">
        <v>230</v>
      </c>
      <c r="D170" s="50"/>
      <c r="E170" s="21"/>
      <c r="F170" s="199"/>
      <c r="G170" s="21"/>
      <c r="H170" s="106"/>
      <c r="I170" s="106"/>
      <c r="J170" s="212"/>
    </row>
    <row r="171" spans="1:10" x14ac:dyDescent="0.2">
      <c r="A171" s="264"/>
      <c r="B171" s="30"/>
      <c r="C171" s="69"/>
      <c r="D171" s="70"/>
      <c r="E171" s="21"/>
      <c r="F171" s="199"/>
      <c r="G171" s="21"/>
      <c r="H171" s="106"/>
      <c r="I171" s="106"/>
      <c r="J171" s="212"/>
    </row>
    <row r="172" spans="1:10" ht="12.75" customHeight="1" x14ac:dyDescent="0.2">
      <c r="A172" s="264">
        <v>112</v>
      </c>
      <c r="B172" s="30"/>
      <c r="C172" s="69"/>
      <c r="D172" s="71" t="s">
        <v>296</v>
      </c>
      <c r="E172" s="21"/>
      <c r="F172" s="199"/>
      <c r="G172" s="21"/>
      <c r="H172" s="294"/>
      <c r="I172" s="294"/>
      <c r="J172" s="212"/>
    </row>
    <row r="173" spans="1:10" ht="12.75" customHeight="1" x14ac:dyDescent="0.2">
      <c r="A173" s="264">
        <v>113</v>
      </c>
      <c r="B173" s="144" t="s">
        <v>54</v>
      </c>
      <c r="C173" s="145"/>
      <c r="D173" s="150" t="s">
        <v>297</v>
      </c>
      <c r="E173" s="25"/>
      <c r="F173" s="201">
        <v>132768</v>
      </c>
      <c r="G173" s="25">
        <v>101493</v>
      </c>
      <c r="H173" s="327">
        <f>G173/F173*100</f>
        <v>76.44387201735357</v>
      </c>
      <c r="I173" s="292" t="s">
        <v>523</v>
      </c>
      <c r="J173" s="212"/>
    </row>
    <row r="174" spans="1:10" ht="12.75" customHeight="1" x14ac:dyDescent="0.2">
      <c r="A174" s="264">
        <v>114</v>
      </c>
      <c r="B174" s="30"/>
      <c r="C174" s="69"/>
      <c r="D174" s="70" t="s">
        <v>298</v>
      </c>
      <c r="E174" s="21"/>
      <c r="F174" s="202"/>
      <c r="G174" s="21"/>
      <c r="H174" s="294"/>
      <c r="I174" s="294"/>
      <c r="J174" s="212"/>
    </row>
    <row r="175" spans="1:10" s="125" customFormat="1" ht="12.75" customHeight="1" x14ac:dyDescent="0.2">
      <c r="A175" s="264">
        <v>115</v>
      </c>
      <c r="B175" s="22" t="s">
        <v>55</v>
      </c>
      <c r="C175" s="72"/>
      <c r="D175" s="24" t="s">
        <v>299</v>
      </c>
      <c r="E175" s="25">
        <v>10000000</v>
      </c>
      <c r="F175" s="201">
        <f>10000000+20000</f>
        <v>10020000</v>
      </c>
      <c r="G175" s="25">
        <v>7724500</v>
      </c>
      <c r="H175" s="327">
        <f>G175/F175*100</f>
        <v>77.090818363273456</v>
      </c>
      <c r="I175" s="292" t="s">
        <v>522</v>
      </c>
      <c r="J175" s="212"/>
    </row>
    <row r="176" spans="1:10" ht="12.75" customHeight="1" x14ac:dyDescent="0.2">
      <c r="A176" s="264">
        <v>116</v>
      </c>
      <c r="B176" s="31"/>
      <c r="C176" s="73"/>
      <c r="D176" s="74" t="s">
        <v>300</v>
      </c>
      <c r="E176" s="51"/>
      <c r="F176" s="203"/>
      <c r="G176" s="51"/>
      <c r="H176" s="293"/>
      <c r="I176" s="293"/>
      <c r="J176" s="212"/>
    </row>
    <row r="177" spans="1:10" ht="25.5" x14ac:dyDescent="0.2">
      <c r="A177" s="264">
        <v>117</v>
      </c>
      <c r="B177" s="22" t="s">
        <v>59</v>
      </c>
      <c r="C177" s="23"/>
      <c r="D177" s="151" t="s">
        <v>301</v>
      </c>
      <c r="E177" s="25">
        <v>18362664</v>
      </c>
      <c r="F177" s="201">
        <v>22185810</v>
      </c>
      <c r="G177" s="25">
        <v>20336048</v>
      </c>
      <c r="H177" s="327">
        <f>G177/F177*100</f>
        <v>91.662409440989535</v>
      </c>
      <c r="I177" s="299" t="s">
        <v>528</v>
      </c>
      <c r="J177" s="212"/>
    </row>
    <row r="178" spans="1:10" ht="25.5" customHeight="1" x14ac:dyDescent="0.2">
      <c r="A178" s="264">
        <v>118</v>
      </c>
      <c r="B178" s="42" t="s">
        <v>501</v>
      </c>
      <c r="C178" s="60"/>
      <c r="D178" s="152" t="s">
        <v>502</v>
      </c>
      <c r="E178" s="52"/>
      <c r="F178" s="166">
        <v>51968000</v>
      </c>
      <c r="G178" s="52">
        <v>51968000</v>
      </c>
      <c r="H178" s="327">
        <f>G178/F178*100</f>
        <v>100</v>
      </c>
      <c r="I178" s="292" t="s">
        <v>523</v>
      </c>
      <c r="J178" s="212"/>
    </row>
    <row r="179" spans="1:10" ht="12.75" customHeight="1" x14ac:dyDescent="0.2">
      <c r="A179" s="264">
        <v>119</v>
      </c>
      <c r="B179" s="31"/>
      <c r="C179" s="73"/>
      <c r="D179" s="74" t="s">
        <v>302</v>
      </c>
      <c r="E179" s="51"/>
      <c r="F179" s="203"/>
      <c r="G179" s="51"/>
      <c r="H179" s="293"/>
      <c r="I179" s="293"/>
      <c r="J179" s="212"/>
    </row>
    <row r="180" spans="1:10" ht="12.75" customHeight="1" x14ac:dyDescent="0.2">
      <c r="A180" s="264">
        <v>120</v>
      </c>
      <c r="B180" s="22" t="s">
        <v>63</v>
      </c>
      <c r="C180" s="23"/>
      <c r="D180" s="46" t="s">
        <v>303</v>
      </c>
      <c r="E180" s="25">
        <v>2000000</v>
      </c>
      <c r="F180" s="201">
        <v>2000000</v>
      </c>
      <c r="G180" s="25">
        <v>2000000</v>
      </c>
      <c r="H180" s="327">
        <f>G180/F180*100</f>
        <v>100</v>
      </c>
      <c r="I180" s="292"/>
      <c r="J180" s="212"/>
    </row>
    <row r="181" spans="1:10" ht="12.75" customHeight="1" x14ac:dyDescent="0.2">
      <c r="A181" s="264">
        <v>121</v>
      </c>
      <c r="B181" s="22" t="s">
        <v>64</v>
      </c>
      <c r="C181" s="23"/>
      <c r="D181" s="46" t="s">
        <v>304</v>
      </c>
      <c r="E181" s="25">
        <v>30000000</v>
      </c>
      <c r="F181" s="201">
        <f>30000000+9000000</f>
        <v>39000000</v>
      </c>
      <c r="G181" s="25">
        <v>25500000</v>
      </c>
      <c r="H181" s="327">
        <f>G181/F181*100</f>
        <v>65.384615384615387</v>
      </c>
      <c r="I181" s="292" t="s">
        <v>522</v>
      </c>
      <c r="J181" s="212"/>
    </row>
    <row r="182" spans="1:10" s="133" customFormat="1" ht="12.75" customHeight="1" x14ac:dyDescent="0.2">
      <c r="A182" s="264">
        <v>122</v>
      </c>
      <c r="B182" s="31"/>
      <c r="C182" s="73"/>
      <c r="D182" s="74" t="s">
        <v>305</v>
      </c>
      <c r="E182" s="51"/>
      <c r="F182" s="203"/>
      <c r="G182" s="51"/>
      <c r="H182" s="293"/>
      <c r="I182" s="272"/>
      <c r="J182" s="212"/>
    </row>
    <row r="183" spans="1:10" ht="12.75" customHeight="1" x14ac:dyDescent="0.2">
      <c r="A183" s="264">
        <v>123</v>
      </c>
      <c r="B183" s="22" t="s">
        <v>69</v>
      </c>
      <c r="C183" s="23"/>
      <c r="D183" s="46" t="s">
        <v>306</v>
      </c>
      <c r="E183" s="25">
        <v>9000000</v>
      </c>
      <c r="F183" s="201">
        <v>11585305</v>
      </c>
      <c r="G183" s="25">
        <v>3783378</v>
      </c>
      <c r="H183" s="327">
        <f>G183/F183*100</f>
        <v>32.656697428337019</v>
      </c>
      <c r="I183" s="292" t="s">
        <v>523</v>
      </c>
      <c r="J183" s="212"/>
    </row>
    <row r="184" spans="1:10" s="175" customFormat="1" ht="12.75" customHeight="1" x14ac:dyDescent="0.2">
      <c r="A184" s="264">
        <v>124</v>
      </c>
      <c r="B184" s="138" t="s">
        <v>73</v>
      </c>
      <c r="C184" s="181"/>
      <c r="D184" s="182" t="s">
        <v>307</v>
      </c>
      <c r="E184" s="165">
        <v>25878662</v>
      </c>
      <c r="F184" s="166">
        <f>25878662-25878662</f>
        <v>0</v>
      </c>
      <c r="G184" s="165"/>
      <c r="H184" s="328"/>
      <c r="I184" s="273"/>
      <c r="J184" s="212"/>
    </row>
    <row r="185" spans="1:10" ht="12.75" customHeight="1" x14ac:dyDescent="0.2">
      <c r="A185" s="264">
        <v>125</v>
      </c>
      <c r="B185" s="22" t="s">
        <v>56</v>
      </c>
      <c r="C185" s="23"/>
      <c r="D185" s="46" t="s">
        <v>308</v>
      </c>
      <c r="E185" s="25">
        <v>5000000</v>
      </c>
      <c r="F185" s="201">
        <v>11000000</v>
      </c>
      <c r="G185" s="25">
        <v>10570938</v>
      </c>
      <c r="H185" s="327">
        <f>G185/F185*100</f>
        <v>96.099436363636357</v>
      </c>
      <c r="I185" s="292" t="s">
        <v>526</v>
      </c>
      <c r="J185" s="212"/>
    </row>
    <row r="186" spans="1:10" ht="25.5" x14ac:dyDescent="0.2">
      <c r="A186" s="264">
        <v>126</v>
      </c>
      <c r="B186" s="42" t="s">
        <v>71</v>
      </c>
      <c r="C186" s="60"/>
      <c r="D186" s="152" t="s">
        <v>309</v>
      </c>
      <c r="E186" s="25">
        <v>1845963000</v>
      </c>
      <c r="F186" s="201">
        <v>2378471599</v>
      </c>
      <c r="G186" s="25">
        <v>2278265814</v>
      </c>
      <c r="H186" s="327">
        <f>G186/F186*100</f>
        <v>95.786967351549194</v>
      </c>
      <c r="I186" s="299" t="s">
        <v>529</v>
      </c>
      <c r="J186" s="212"/>
    </row>
    <row r="187" spans="1:10" ht="12.75" customHeight="1" x14ac:dyDescent="0.2">
      <c r="A187" s="264">
        <v>127</v>
      </c>
      <c r="B187" s="42" t="s">
        <v>72</v>
      </c>
      <c r="C187" s="60"/>
      <c r="D187" s="61" t="s">
        <v>310</v>
      </c>
      <c r="E187" s="25">
        <v>1258000</v>
      </c>
      <c r="F187" s="201">
        <v>1534206</v>
      </c>
      <c r="G187" s="143">
        <f>1150656+383550</f>
        <v>1534206</v>
      </c>
      <c r="H187" s="327">
        <f>G187/F187*100</f>
        <v>100</v>
      </c>
      <c r="I187" s="292" t="s">
        <v>526</v>
      </c>
      <c r="J187" s="212"/>
    </row>
    <row r="188" spans="1:10" ht="13.5" thickBot="1" x14ac:dyDescent="0.25">
      <c r="A188" s="264"/>
      <c r="B188" s="22"/>
      <c r="C188" s="23"/>
      <c r="D188" s="46"/>
      <c r="E188" s="25"/>
      <c r="F188" s="201"/>
      <c r="G188" s="25"/>
      <c r="H188" s="292"/>
      <c r="I188" s="292"/>
      <c r="J188" s="212"/>
    </row>
    <row r="189" spans="1:10" s="126" customFormat="1" ht="15" customHeight="1" thickTop="1" thickBot="1" x14ac:dyDescent="0.25">
      <c r="A189" s="264">
        <v>128</v>
      </c>
      <c r="B189" s="37"/>
      <c r="C189" s="369" t="s">
        <v>251</v>
      </c>
      <c r="D189" s="370"/>
      <c r="E189" s="320">
        <f>SUM(E170:E188)</f>
        <v>1947462326</v>
      </c>
      <c r="F189" s="421">
        <f>SUM(F170:F188)</f>
        <v>2527897688</v>
      </c>
      <c r="G189" s="320">
        <f>SUM(G170:G188)</f>
        <v>2401784377</v>
      </c>
      <c r="H189" s="284">
        <f>G189/F189*100</f>
        <v>95.011138639088784</v>
      </c>
      <c r="I189" s="284"/>
      <c r="J189" s="212"/>
    </row>
    <row r="190" spans="1:10" ht="13.5" thickTop="1" x14ac:dyDescent="0.2">
      <c r="A190" s="264"/>
      <c r="B190" s="77"/>
      <c r="C190" s="69"/>
      <c r="D190" s="70"/>
      <c r="E190" s="21"/>
      <c r="F190" s="199"/>
      <c r="G190" s="21"/>
      <c r="H190" s="106"/>
      <c r="I190" s="270"/>
      <c r="J190" s="212"/>
    </row>
    <row r="191" spans="1:10" s="134" customFormat="1" x14ac:dyDescent="0.2">
      <c r="A191" s="264">
        <v>129</v>
      </c>
      <c r="B191" s="78"/>
      <c r="C191" s="79" t="s">
        <v>252</v>
      </c>
      <c r="D191" s="80"/>
      <c r="E191" s="81"/>
      <c r="F191" s="207"/>
      <c r="G191" s="81"/>
      <c r="H191" s="288"/>
      <c r="I191" s="288"/>
      <c r="J191" s="212"/>
    </row>
    <row r="192" spans="1:10" s="134" customFormat="1" x14ac:dyDescent="0.2">
      <c r="A192" s="264"/>
      <c r="B192" s="78"/>
      <c r="C192" s="79"/>
      <c r="D192" s="80"/>
      <c r="E192" s="81"/>
      <c r="F192" s="207"/>
      <c r="G192" s="81"/>
      <c r="H192" s="288"/>
      <c r="I192" s="288"/>
      <c r="J192" s="212"/>
    </row>
    <row r="193" spans="1:10" s="134" customFormat="1" x14ac:dyDescent="0.2">
      <c r="A193" s="264">
        <v>130</v>
      </c>
      <c r="B193" s="78"/>
      <c r="C193" s="79"/>
      <c r="D193" s="82" t="s">
        <v>296</v>
      </c>
      <c r="E193" s="81"/>
      <c r="F193" s="207"/>
      <c r="G193" s="81"/>
      <c r="H193" s="288"/>
      <c r="I193" s="288"/>
      <c r="J193" s="212"/>
    </row>
    <row r="194" spans="1:10" x14ac:dyDescent="0.2">
      <c r="A194" s="264">
        <v>131</v>
      </c>
      <c r="B194" s="153" t="s">
        <v>53</v>
      </c>
      <c r="C194" s="72"/>
      <c r="D194" s="24" t="s">
        <v>311</v>
      </c>
      <c r="E194" s="25">
        <v>70000000</v>
      </c>
      <c r="F194" s="201">
        <f>70000000+7182000</f>
        <v>77182000</v>
      </c>
      <c r="G194" s="25">
        <v>47239200</v>
      </c>
      <c r="H194" s="327">
        <f>G194/F194*100</f>
        <v>61.204944157964292</v>
      </c>
      <c r="I194" s="105" t="s">
        <v>522</v>
      </c>
      <c r="J194" s="212"/>
    </row>
    <row r="195" spans="1:10" x14ac:dyDescent="0.2">
      <c r="A195" s="264">
        <v>132</v>
      </c>
      <c r="B195" s="83"/>
      <c r="C195" s="62"/>
      <c r="D195" s="74" t="s">
        <v>300</v>
      </c>
      <c r="E195" s="51"/>
      <c r="F195" s="203"/>
      <c r="G195" s="51"/>
      <c r="H195" s="293"/>
      <c r="I195" s="293"/>
      <c r="J195" s="212"/>
    </row>
    <row r="196" spans="1:10" ht="25.5" x14ac:dyDescent="0.2">
      <c r="A196" s="264">
        <v>133</v>
      </c>
      <c r="B196" s="154" t="s">
        <v>57</v>
      </c>
      <c r="C196" s="23"/>
      <c r="D196" s="46" t="s">
        <v>312</v>
      </c>
      <c r="E196" s="25">
        <v>6000000</v>
      </c>
      <c r="F196" s="201">
        <v>5811523</v>
      </c>
      <c r="G196" s="25">
        <v>46026</v>
      </c>
      <c r="H196" s="327">
        <f>G196/F196*100</f>
        <v>0.7919782817688239</v>
      </c>
      <c r="I196" s="299" t="s">
        <v>530</v>
      </c>
      <c r="J196" s="212"/>
    </row>
    <row r="197" spans="1:10" ht="25.5" x14ac:dyDescent="0.2">
      <c r="A197" s="264">
        <v>134</v>
      </c>
      <c r="B197" s="155" t="s">
        <v>58</v>
      </c>
      <c r="C197" s="60"/>
      <c r="D197" s="76" t="s">
        <v>313</v>
      </c>
      <c r="E197" s="52">
        <v>16000000</v>
      </c>
      <c r="F197" s="166">
        <v>7697680</v>
      </c>
      <c r="G197" s="52">
        <v>2384010</v>
      </c>
      <c r="H197" s="327">
        <f>G197/F197*100</f>
        <v>30.970500202658464</v>
      </c>
      <c r="I197" s="299" t="s">
        <v>530</v>
      </c>
      <c r="J197" s="212"/>
    </row>
    <row r="198" spans="1:10" x14ac:dyDescent="0.2">
      <c r="A198" s="264">
        <v>135</v>
      </c>
      <c r="B198" s="154" t="s">
        <v>60</v>
      </c>
      <c r="C198" s="23"/>
      <c r="D198" s="46" t="s">
        <v>314</v>
      </c>
      <c r="E198" s="25">
        <v>5000000</v>
      </c>
      <c r="F198" s="201">
        <v>5000000</v>
      </c>
      <c r="G198" s="25">
        <v>3377250</v>
      </c>
      <c r="H198" s="327">
        <f>G198/F198*100</f>
        <v>67.545000000000002</v>
      </c>
      <c r="I198" s="292"/>
      <c r="J198" s="212"/>
    </row>
    <row r="199" spans="1:10" x14ac:dyDescent="0.2">
      <c r="A199" s="264">
        <v>136</v>
      </c>
      <c r="B199" s="154" t="s">
        <v>61</v>
      </c>
      <c r="C199" s="23"/>
      <c r="D199" s="46" t="s">
        <v>315</v>
      </c>
      <c r="E199" s="25">
        <v>4500000</v>
      </c>
      <c r="F199" s="201">
        <v>4500000</v>
      </c>
      <c r="G199" s="25">
        <v>3120000</v>
      </c>
      <c r="H199" s="327">
        <f>G199/F199*100</f>
        <v>69.333333333333343</v>
      </c>
      <c r="I199" s="292"/>
      <c r="J199" s="212"/>
    </row>
    <row r="200" spans="1:10" x14ac:dyDescent="0.2">
      <c r="A200" s="264">
        <v>137</v>
      </c>
      <c r="B200" s="83"/>
      <c r="C200" s="62"/>
      <c r="D200" s="84" t="s">
        <v>316</v>
      </c>
      <c r="E200" s="51"/>
      <c r="F200" s="203"/>
      <c r="G200" s="51"/>
      <c r="H200" s="293"/>
      <c r="I200" s="293"/>
      <c r="J200" s="212"/>
    </row>
    <row r="201" spans="1:10" x14ac:dyDescent="0.2">
      <c r="A201" s="264">
        <v>138</v>
      </c>
      <c r="B201" s="77"/>
      <c r="C201" s="69"/>
      <c r="D201" s="70" t="s">
        <v>317</v>
      </c>
      <c r="E201" s="21"/>
      <c r="F201" s="199"/>
      <c r="G201" s="21"/>
      <c r="H201" s="106"/>
      <c r="I201" s="106"/>
      <c r="J201" s="212"/>
    </row>
    <row r="202" spans="1:10" x14ac:dyDescent="0.2">
      <c r="A202" s="264">
        <v>139</v>
      </c>
      <c r="B202" s="154" t="s">
        <v>62</v>
      </c>
      <c r="C202" s="72"/>
      <c r="D202" s="24" t="s">
        <v>318</v>
      </c>
      <c r="E202" s="25">
        <v>25000000</v>
      </c>
      <c r="F202" s="201">
        <v>25000000</v>
      </c>
      <c r="G202" s="25">
        <v>14194000</v>
      </c>
      <c r="H202" s="327">
        <f>G202/F202*100</f>
        <v>56.776000000000003</v>
      </c>
      <c r="I202" s="292"/>
      <c r="J202" s="212"/>
    </row>
    <row r="203" spans="1:10" x14ac:dyDescent="0.2">
      <c r="A203" s="264">
        <v>140</v>
      </c>
      <c r="B203" s="77"/>
      <c r="C203" s="69"/>
      <c r="D203" s="85" t="s">
        <v>319</v>
      </c>
      <c r="E203" s="21"/>
      <c r="F203" s="199"/>
      <c r="G203" s="21"/>
      <c r="H203" s="106"/>
      <c r="I203" s="106"/>
      <c r="J203" s="212"/>
    </row>
    <row r="204" spans="1:10" x14ac:dyDescent="0.2">
      <c r="A204" s="264">
        <v>141</v>
      </c>
      <c r="B204" s="154" t="s">
        <v>68</v>
      </c>
      <c r="C204" s="23"/>
      <c r="D204" s="46" t="s">
        <v>320</v>
      </c>
      <c r="E204" s="25">
        <v>3000000</v>
      </c>
      <c r="F204" s="201">
        <f>3000000+200000</f>
        <v>3200000</v>
      </c>
      <c r="G204" s="25">
        <v>3146550</v>
      </c>
      <c r="H204" s="327">
        <f>G204/F204*100</f>
        <v>98.329687499999991</v>
      </c>
      <c r="I204" s="292"/>
      <c r="J204" s="212"/>
    </row>
    <row r="205" spans="1:10" x14ac:dyDescent="0.2">
      <c r="A205" s="264">
        <v>142</v>
      </c>
      <c r="B205" s="83"/>
      <c r="C205" s="62"/>
      <c r="D205" s="74" t="s">
        <v>305</v>
      </c>
      <c r="E205" s="51"/>
      <c r="F205" s="203"/>
      <c r="G205" s="51"/>
      <c r="H205" s="293"/>
      <c r="I205" s="293"/>
      <c r="J205" s="212"/>
    </row>
    <row r="206" spans="1:10" x14ac:dyDescent="0.2">
      <c r="A206" s="264">
        <v>143</v>
      </c>
      <c r="B206" s="154" t="s">
        <v>70</v>
      </c>
      <c r="C206" s="23"/>
      <c r="D206" s="46" t="s">
        <v>321</v>
      </c>
      <c r="E206" s="25">
        <v>4500000</v>
      </c>
      <c r="F206" s="201">
        <f>4500000+315000</f>
        <v>4815000</v>
      </c>
      <c r="G206" s="25">
        <v>2853985</v>
      </c>
      <c r="H206" s="327">
        <f t="shared" ref="H206:H212" si="6">G206/F206*100</f>
        <v>59.272793354101758</v>
      </c>
      <c r="I206" s="292" t="s">
        <v>522</v>
      </c>
      <c r="J206" s="212"/>
    </row>
    <row r="207" spans="1:10" ht="25.5" x14ac:dyDescent="0.2">
      <c r="A207" s="264">
        <v>144</v>
      </c>
      <c r="B207" s="155" t="s">
        <v>74</v>
      </c>
      <c r="C207" s="60"/>
      <c r="D207" s="156" t="s">
        <v>322</v>
      </c>
      <c r="E207" s="52">
        <v>3000000</v>
      </c>
      <c r="F207" s="166">
        <v>3000000</v>
      </c>
      <c r="G207" s="52">
        <v>3000000</v>
      </c>
      <c r="H207" s="327">
        <f t="shared" si="6"/>
        <v>100</v>
      </c>
      <c r="I207" s="295"/>
      <c r="J207" s="212"/>
    </row>
    <row r="208" spans="1:10" x14ac:dyDescent="0.2">
      <c r="A208" s="264">
        <v>145</v>
      </c>
      <c r="B208" s="154" t="s">
        <v>76</v>
      </c>
      <c r="C208" s="23"/>
      <c r="D208" s="24" t="s">
        <v>323</v>
      </c>
      <c r="E208" s="25">
        <v>370000000</v>
      </c>
      <c r="F208" s="201">
        <v>394711564</v>
      </c>
      <c r="G208" s="25">
        <v>348210000</v>
      </c>
      <c r="H208" s="327">
        <f t="shared" si="6"/>
        <v>88.218849346911966</v>
      </c>
      <c r="I208" s="292" t="s">
        <v>521</v>
      </c>
      <c r="J208" s="212"/>
    </row>
    <row r="209" spans="1:10" x14ac:dyDescent="0.2">
      <c r="A209" s="264">
        <v>146</v>
      </c>
      <c r="B209" s="154" t="s">
        <v>65</v>
      </c>
      <c r="C209" s="23"/>
      <c r="D209" s="24" t="s">
        <v>324</v>
      </c>
      <c r="E209" s="25">
        <v>3660000</v>
      </c>
      <c r="F209" s="201">
        <f>3660000+23887</f>
        <v>3683887</v>
      </c>
      <c r="G209" s="25">
        <v>2389663</v>
      </c>
      <c r="H209" s="327">
        <f t="shared" si="6"/>
        <v>64.867977763704474</v>
      </c>
      <c r="I209" s="292" t="s">
        <v>522</v>
      </c>
      <c r="J209" s="212"/>
    </row>
    <row r="210" spans="1:10" x14ac:dyDescent="0.2">
      <c r="A210" s="264">
        <v>147</v>
      </c>
      <c r="B210" s="154" t="s">
        <v>66</v>
      </c>
      <c r="C210" s="23"/>
      <c r="D210" s="46" t="s">
        <v>325</v>
      </c>
      <c r="E210" s="25">
        <v>900000</v>
      </c>
      <c r="F210" s="201">
        <f>900000+109500</f>
        <v>1009500</v>
      </c>
      <c r="G210" s="25">
        <v>578010</v>
      </c>
      <c r="H210" s="327">
        <f t="shared" si="6"/>
        <v>57.257057949479936</v>
      </c>
      <c r="I210" s="292" t="s">
        <v>522</v>
      </c>
      <c r="J210" s="212"/>
    </row>
    <row r="211" spans="1:10" x14ac:dyDescent="0.2">
      <c r="A211" s="264">
        <v>148</v>
      </c>
      <c r="B211" s="154" t="s">
        <v>67</v>
      </c>
      <c r="C211" s="23"/>
      <c r="D211" s="46" t="s">
        <v>326</v>
      </c>
      <c r="E211" s="25">
        <v>38000000</v>
      </c>
      <c r="F211" s="201">
        <v>38000000</v>
      </c>
      <c r="G211" s="25">
        <v>28500000</v>
      </c>
      <c r="H211" s="327">
        <f t="shared" si="6"/>
        <v>75</v>
      </c>
      <c r="I211" s="292"/>
      <c r="J211" s="212"/>
    </row>
    <row r="212" spans="1:10" x14ac:dyDescent="0.2">
      <c r="A212" s="264">
        <v>149</v>
      </c>
      <c r="B212" s="157" t="s">
        <v>75</v>
      </c>
      <c r="C212" s="145"/>
      <c r="D212" s="150" t="s">
        <v>327</v>
      </c>
      <c r="E212" s="25"/>
      <c r="F212" s="201">
        <v>308000</v>
      </c>
      <c r="G212" s="25"/>
      <c r="H212" s="327">
        <f t="shared" si="6"/>
        <v>0</v>
      </c>
      <c r="I212" s="292" t="s">
        <v>524</v>
      </c>
      <c r="J212" s="212"/>
    </row>
    <row r="213" spans="1:10" ht="13.5" thickBot="1" x14ac:dyDescent="0.25">
      <c r="A213" s="264"/>
      <c r="B213" s="36"/>
      <c r="C213" s="23"/>
      <c r="D213" s="46"/>
      <c r="E213" s="25"/>
      <c r="F213" s="200"/>
      <c r="G213" s="25"/>
      <c r="H213" s="292"/>
      <c r="I213" s="292"/>
      <c r="J213" s="212"/>
    </row>
    <row r="214" spans="1:10" s="126" customFormat="1" ht="15" customHeight="1" thickTop="1" thickBot="1" x14ac:dyDescent="0.25">
      <c r="A214" s="264">
        <v>150</v>
      </c>
      <c r="B214" s="37"/>
      <c r="C214" s="369" t="s">
        <v>262</v>
      </c>
      <c r="D214" s="370"/>
      <c r="E214" s="320">
        <f>SUM(E190:E213)</f>
        <v>549560000</v>
      </c>
      <c r="F214" s="421">
        <f>SUM(F190:F213)</f>
        <v>573919154</v>
      </c>
      <c r="G214" s="320">
        <f>SUM(G190:G213)</f>
        <v>459038694</v>
      </c>
      <c r="H214" s="284">
        <f>G214/F214*100</f>
        <v>79.983163273202067</v>
      </c>
      <c r="I214" s="284"/>
      <c r="J214" s="212"/>
    </row>
    <row r="215" spans="1:10" ht="14.25" thickTop="1" thickBot="1" x14ac:dyDescent="0.25">
      <c r="A215" s="264"/>
      <c r="B215" s="86"/>
      <c r="C215" s="62"/>
      <c r="D215" s="63"/>
      <c r="E215" s="51"/>
      <c r="F215" s="204"/>
      <c r="G215" s="21"/>
      <c r="H215" s="108"/>
      <c r="I215" s="108"/>
      <c r="J215" s="212"/>
    </row>
    <row r="216" spans="1:10" s="127" customFormat="1" ht="15" customHeight="1" thickBot="1" x14ac:dyDescent="0.25">
      <c r="A216" s="268">
        <v>151</v>
      </c>
      <c r="B216" s="243"/>
      <c r="C216" s="244"/>
      <c r="D216" s="245" t="s">
        <v>328</v>
      </c>
      <c r="E216" s="246">
        <f>E189+E214</f>
        <v>2497022326</v>
      </c>
      <c r="F216" s="247">
        <f>F189+F214</f>
        <v>3101816842</v>
      </c>
      <c r="G216" s="246">
        <f>G189+G214</f>
        <v>2860823071</v>
      </c>
      <c r="H216" s="285">
        <f>G216/F216*100</f>
        <v>92.230560884935713</v>
      </c>
      <c r="I216" s="285"/>
      <c r="J216" s="212"/>
    </row>
    <row r="217" spans="1:10" s="127" customFormat="1" ht="15" customHeight="1" x14ac:dyDescent="0.2">
      <c r="A217" s="268"/>
      <c r="B217" s="87"/>
      <c r="C217" s="88"/>
      <c r="D217" s="89"/>
      <c r="E217" s="90"/>
      <c r="F217" s="208"/>
      <c r="G217" s="90"/>
      <c r="H217" s="118"/>
      <c r="I217" s="118"/>
      <c r="J217" s="212"/>
    </row>
    <row r="218" spans="1:10" s="125" customFormat="1" ht="15.75" x14ac:dyDescent="0.25">
      <c r="A218" s="264">
        <v>152</v>
      </c>
      <c r="B218" s="30"/>
      <c r="C218" s="43" t="s">
        <v>329</v>
      </c>
      <c r="D218" s="20"/>
      <c r="E218" s="21"/>
      <c r="F218" s="199"/>
      <c r="G218" s="21"/>
      <c r="H218" s="106"/>
      <c r="I218" s="106"/>
      <c r="J218" s="212"/>
    </row>
    <row r="219" spans="1:10" s="125" customFormat="1" ht="15.75" x14ac:dyDescent="0.25">
      <c r="A219" s="264"/>
      <c r="B219" s="30"/>
      <c r="C219" s="43"/>
      <c r="D219" s="45"/>
      <c r="E219" s="21"/>
      <c r="F219" s="199"/>
      <c r="G219" s="21"/>
      <c r="H219" s="106"/>
      <c r="I219" s="106"/>
      <c r="J219" s="212"/>
    </row>
    <row r="220" spans="1:10" s="125" customFormat="1" ht="15.75" x14ac:dyDescent="0.25">
      <c r="A220" s="264">
        <v>153</v>
      </c>
      <c r="B220" s="30"/>
      <c r="C220" s="353" t="s">
        <v>230</v>
      </c>
      <c r="D220" s="45"/>
      <c r="E220" s="21"/>
      <c r="F220" s="199"/>
      <c r="G220" s="21"/>
      <c r="H220" s="106"/>
      <c r="I220" s="106"/>
      <c r="J220" s="212"/>
    </row>
    <row r="221" spans="1:10" x14ac:dyDescent="0.2">
      <c r="A221" s="264"/>
      <c r="B221" s="91"/>
      <c r="C221" s="53"/>
      <c r="D221" s="82"/>
      <c r="E221" s="21"/>
      <c r="F221" s="199"/>
      <c r="G221" s="21"/>
      <c r="H221" s="294"/>
      <c r="I221" s="294"/>
      <c r="J221" s="212"/>
    </row>
    <row r="222" spans="1:10" x14ac:dyDescent="0.2">
      <c r="A222" s="264">
        <v>154</v>
      </c>
      <c r="B222" s="91"/>
      <c r="C222" s="53"/>
      <c r="D222" s="82" t="s">
        <v>330</v>
      </c>
      <c r="E222" s="21"/>
      <c r="F222" s="202"/>
      <c r="G222" s="21"/>
      <c r="H222" s="294"/>
      <c r="I222" s="294"/>
      <c r="J222" s="212"/>
    </row>
    <row r="223" spans="1:10" s="123" customFormat="1" x14ac:dyDescent="0.2">
      <c r="A223" s="267">
        <v>155</v>
      </c>
      <c r="B223" s="178" t="s">
        <v>78</v>
      </c>
      <c r="C223" s="176"/>
      <c r="D223" s="177" t="s">
        <v>331</v>
      </c>
      <c r="E223" s="143">
        <v>512693260</v>
      </c>
      <c r="F223" s="201">
        <f>512693260-512693260</f>
        <v>0</v>
      </c>
      <c r="G223" s="143"/>
      <c r="H223" s="328"/>
      <c r="I223" s="297" t="s">
        <v>526</v>
      </c>
      <c r="J223" s="213"/>
    </row>
    <row r="224" spans="1:10" s="123" customFormat="1" x14ac:dyDescent="0.2">
      <c r="A224" s="267">
        <v>156</v>
      </c>
      <c r="B224" s="178" t="s">
        <v>79</v>
      </c>
      <c r="C224" s="222"/>
      <c r="D224" s="223" t="s">
        <v>490</v>
      </c>
      <c r="E224" s="165"/>
      <c r="F224" s="166">
        <v>85144000</v>
      </c>
      <c r="G224" s="165">
        <v>0</v>
      </c>
      <c r="H224" s="328">
        <f>G224/F224*100</f>
        <v>0</v>
      </c>
      <c r="I224" s="273" t="s">
        <v>523</v>
      </c>
      <c r="J224" s="213"/>
    </row>
    <row r="225" spans="1:10" s="125" customFormat="1" ht="12.75" customHeight="1" thickBot="1" x14ac:dyDescent="0.3">
      <c r="A225" s="264"/>
      <c r="B225" s="22"/>
      <c r="C225" s="43"/>
      <c r="D225" s="45"/>
      <c r="E225" s="21"/>
      <c r="F225" s="202"/>
      <c r="G225" s="21"/>
      <c r="H225" s="294"/>
      <c r="I225" s="106"/>
      <c r="J225" s="212"/>
    </row>
    <row r="226" spans="1:10" s="126" customFormat="1" ht="15" customHeight="1" thickTop="1" thickBot="1" x14ac:dyDescent="0.25">
      <c r="A226" s="264">
        <v>157</v>
      </c>
      <c r="B226" s="37"/>
      <c r="C226" s="369" t="s">
        <v>251</v>
      </c>
      <c r="D226" s="370"/>
      <c r="E226" s="320">
        <f>SUM(E221:E225)</f>
        <v>512693260</v>
      </c>
      <c r="F226" s="421">
        <f>SUM(F221:F225)</f>
        <v>85144000</v>
      </c>
      <c r="G226" s="320">
        <f>SUM(G221:G225)</f>
        <v>0</v>
      </c>
      <c r="H226" s="320">
        <f>G226/F226*100</f>
        <v>0</v>
      </c>
      <c r="I226" s="284"/>
      <c r="J226" s="212"/>
    </row>
    <row r="227" spans="1:10" ht="16.5" thickTop="1" x14ac:dyDescent="0.25">
      <c r="A227" s="264"/>
      <c r="B227" s="30"/>
      <c r="C227" s="353"/>
      <c r="D227" s="45"/>
      <c r="E227" s="21"/>
      <c r="F227" s="199"/>
      <c r="G227" s="21"/>
      <c r="H227" s="106"/>
      <c r="I227" s="106"/>
      <c r="J227" s="212"/>
    </row>
    <row r="228" spans="1:10" ht="15.75" x14ac:dyDescent="0.25">
      <c r="A228" s="264">
        <v>158</v>
      </c>
      <c r="B228" s="30"/>
      <c r="C228" s="353" t="s">
        <v>252</v>
      </c>
      <c r="D228" s="45"/>
      <c r="E228" s="21"/>
      <c r="F228" s="199"/>
      <c r="G228" s="21"/>
      <c r="H228" s="106"/>
      <c r="I228" s="106"/>
      <c r="J228" s="212"/>
    </row>
    <row r="229" spans="1:10" s="125" customFormat="1" ht="17.25" customHeight="1" x14ac:dyDescent="0.2">
      <c r="A229" s="264"/>
      <c r="B229" s="30"/>
      <c r="C229" s="92"/>
      <c r="D229" s="82"/>
      <c r="E229" s="21"/>
      <c r="F229" s="199"/>
      <c r="G229" s="21"/>
      <c r="H229" s="106"/>
      <c r="I229" s="106"/>
      <c r="J229" s="212"/>
    </row>
    <row r="230" spans="1:10" x14ac:dyDescent="0.2">
      <c r="A230" s="264">
        <v>159</v>
      </c>
      <c r="B230" s="30"/>
      <c r="C230" s="53"/>
      <c r="D230" s="82" t="s">
        <v>332</v>
      </c>
      <c r="E230" s="21"/>
      <c r="F230" s="199"/>
      <c r="G230" s="21"/>
      <c r="H230" s="294"/>
      <c r="I230" s="294"/>
      <c r="J230" s="212"/>
    </row>
    <row r="231" spans="1:10" x14ac:dyDescent="0.2">
      <c r="A231" s="264">
        <v>160</v>
      </c>
      <c r="B231" s="30"/>
      <c r="C231" s="53"/>
      <c r="D231" s="45" t="s">
        <v>333</v>
      </c>
      <c r="E231" s="21"/>
      <c r="F231" s="199"/>
      <c r="G231" s="21"/>
      <c r="H231" s="294"/>
      <c r="I231" s="294"/>
      <c r="J231" s="212"/>
    </row>
    <row r="232" spans="1:10" x14ac:dyDescent="0.2">
      <c r="A232" s="264">
        <v>161</v>
      </c>
      <c r="B232" s="22" t="s">
        <v>81</v>
      </c>
      <c r="C232" s="136"/>
      <c r="D232" s="46" t="s">
        <v>334</v>
      </c>
      <c r="E232" s="25">
        <v>4500000</v>
      </c>
      <c r="F232" s="201">
        <v>4500000</v>
      </c>
      <c r="G232" s="25">
        <v>4500000</v>
      </c>
      <c r="H232" s="327">
        <f>G232/F232*100</f>
        <v>100</v>
      </c>
      <c r="I232" s="292"/>
      <c r="J232" s="212"/>
    </row>
    <row r="233" spans="1:10" x14ac:dyDescent="0.2">
      <c r="A233" s="264">
        <v>162</v>
      </c>
      <c r="B233" s="42" t="s">
        <v>82</v>
      </c>
      <c r="C233" s="136"/>
      <c r="D233" s="46" t="s">
        <v>335</v>
      </c>
      <c r="E233" s="25">
        <v>1500000</v>
      </c>
      <c r="F233" s="201">
        <v>1500000</v>
      </c>
      <c r="G233" s="25">
        <v>1500000</v>
      </c>
      <c r="H233" s="327">
        <f>G233/F233*100</f>
        <v>100</v>
      </c>
      <c r="I233" s="292"/>
      <c r="J233" s="212"/>
    </row>
    <row r="234" spans="1:10" x14ac:dyDescent="0.2">
      <c r="A234" s="264">
        <v>163</v>
      </c>
      <c r="B234" s="42" t="s">
        <v>83</v>
      </c>
      <c r="C234" s="136"/>
      <c r="D234" s="46" t="s">
        <v>336</v>
      </c>
      <c r="E234" s="25">
        <v>7000000</v>
      </c>
      <c r="F234" s="201">
        <v>7000000</v>
      </c>
      <c r="G234" s="25">
        <v>7000000</v>
      </c>
      <c r="H234" s="327">
        <f>G234/F234*100</f>
        <v>100</v>
      </c>
      <c r="I234" s="292"/>
      <c r="J234" s="212"/>
    </row>
    <row r="235" spans="1:10" x14ac:dyDescent="0.2">
      <c r="A235" s="264">
        <v>164</v>
      </c>
      <c r="B235" s="42" t="s">
        <v>80</v>
      </c>
      <c r="C235" s="158"/>
      <c r="D235" s="61" t="s">
        <v>337</v>
      </c>
      <c r="E235" s="52">
        <v>11000000</v>
      </c>
      <c r="F235" s="166">
        <f>11000000+22283683</f>
        <v>33283683</v>
      </c>
      <c r="G235" s="52">
        <v>6277488</v>
      </c>
      <c r="H235" s="327">
        <f>G235/F235*100</f>
        <v>18.860556988239551</v>
      </c>
      <c r="I235" s="292" t="s">
        <v>522</v>
      </c>
      <c r="J235" s="212"/>
    </row>
    <row r="236" spans="1:10" x14ac:dyDescent="0.2">
      <c r="A236" s="264">
        <v>165</v>
      </c>
      <c r="B236" s="31"/>
      <c r="C236" s="93"/>
      <c r="D236" s="84" t="s">
        <v>338</v>
      </c>
      <c r="E236" s="51"/>
      <c r="F236" s="203"/>
      <c r="G236" s="51"/>
      <c r="H236" s="293"/>
      <c r="I236" s="293"/>
      <c r="J236" s="212"/>
    </row>
    <row r="237" spans="1:10" ht="25.5" x14ac:dyDescent="0.2">
      <c r="A237" s="264">
        <v>166</v>
      </c>
      <c r="B237" s="22" t="s">
        <v>87</v>
      </c>
      <c r="C237" s="53"/>
      <c r="D237" s="159" t="s">
        <v>339</v>
      </c>
      <c r="E237" s="21">
        <v>8000000</v>
      </c>
      <c r="F237" s="202">
        <v>8000000</v>
      </c>
      <c r="G237" s="21">
        <v>8000000</v>
      </c>
      <c r="H237" s="327">
        <f t="shared" ref="H237:H244" si="7">G237/F237*100</f>
        <v>100</v>
      </c>
      <c r="I237" s="292"/>
      <c r="J237" s="212"/>
    </row>
    <row r="238" spans="1:10" x14ac:dyDescent="0.2">
      <c r="A238" s="264">
        <v>167</v>
      </c>
      <c r="B238" s="42" t="s">
        <v>77</v>
      </c>
      <c r="C238" s="93"/>
      <c r="D238" s="63" t="s">
        <v>340</v>
      </c>
      <c r="E238" s="51">
        <v>2000000</v>
      </c>
      <c r="F238" s="204">
        <f>2000000+240000</f>
        <v>2240000</v>
      </c>
      <c r="G238" s="51">
        <v>240000</v>
      </c>
      <c r="H238" s="327">
        <f t="shared" si="7"/>
        <v>10.714285714285714</v>
      </c>
      <c r="I238" s="292" t="s">
        <v>522</v>
      </c>
      <c r="J238" s="212"/>
    </row>
    <row r="239" spans="1:10" x14ac:dyDescent="0.2">
      <c r="A239" s="264">
        <v>168</v>
      </c>
      <c r="B239" s="33" t="s">
        <v>84</v>
      </c>
      <c r="C239" s="93"/>
      <c r="D239" s="63" t="s">
        <v>341</v>
      </c>
      <c r="E239" s="51">
        <v>2100000</v>
      </c>
      <c r="F239" s="204">
        <v>2100000</v>
      </c>
      <c r="G239" s="51">
        <v>119992</v>
      </c>
      <c r="H239" s="327">
        <f t="shared" si="7"/>
        <v>5.7139047619047618</v>
      </c>
      <c r="I239" s="292"/>
      <c r="J239" s="212"/>
    </row>
    <row r="240" spans="1:10" x14ac:dyDescent="0.2">
      <c r="A240" s="264">
        <v>169</v>
      </c>
      <c r="B240" s="33" t="s">
        <v>86</v>
      </c>
      <c r="C240" s="93"/>
      <c r="D240" s="63" t="s">
        <v>342</v>
      </c>
      <c r="E240" s="51">
        <v>5000000</v>
      </c>
      <c r="F240" s="204">
        <v>3200000</v>
      </c>
      <c r="G240" s="51"/>
      <c r="H240" s="327">
        <f t="shared" si="7"/>
        <v>0</v>
      </c>
      <c r="I240" s="292" t="s">
        <v>526</v>
      </c>
      <c r="J240" s="212"/>
    </row>
    <row r="241" spans="1:10" ht="25.5" x14ac:dyDescent="0.2">
      <c r="A241" s="264">
        <v>170</v>
      </c>
      <c r="B241" s="138" t="s">
        <v>85</v>
      </c>
      <c r="C241" s="160"/>
      <c r="D241" s="161" t="s">
        <v>343</v>
      </c>
      <c r="E241" s="51"/>
      <c r="F241" s="204">
        <v>0</v>
      </c>
      <c r="G241" s="51"/>
      <c r="H241" s="327"/>
      <c r="I241" s="292"/>
      <c r="J241" s="212"/>
    </row>
    <row r="242" spans="1:10" x14ac:dyDescent="0.2">
      <c r="A242" s="264">
        <v>171</v>
      </c>
      <c r="B242" s="138" t="s">
        <v>507</v>
      </c>
      <c r="C242" s="160"/>
      <c r="D242" s="161" t="s">
        <v>508</v>
      </c>
      <c r="E242" s="51"/>
      <c r="F242" s="204">
        <v>42502931</v>
      </c>
      <c r="G242" s="51"/>
      <c r="H242" s="327">
        <f t="shared" si="7"/>
        <v>0</v>
      </c>
      <c r="I242" s="292" t="s">
        <v>526</v>
      </c>
      <c r="J242" s="212"/>
    </row>
    <row r="243" spans="1:10" x14ac:dyDescent="0.2">
      <c r="A243" s="264">
        <v>172</v>
      </c>
      <c r="B243" s="138" t="s">
        <v>509</v>
      </c>
      <c r="C243" s="160"/>
      <c r="D243" s="161" t="s">
        <v>510</v>
      </c>
      <c r="E243" s="51"/>
      <c r="F243" s="204">
        <v>42502931</v>
      </c>
      <c r="G243" s="51"/>
      <c r="H243" s="327">
        <f t="shared" si="7"/>
        <v>0</v>
      </c>
      <c r="I243" s="292" t="s">
        <v>526</v>
      </c>
      <c r="J243" s="212"/>
    </row>
    <row r="244" spans="1:10" x14ac:dyDescent="0.2">
      <c r="A244" s="264">
        <v>173</v>
      </c>
      <c r="B244" s="138" t="s">
        <v>511</v>
      </c>
      <c r="C244" s="160"/>
      <c r="D244" s="161" t="s">
        <v>512</v>
      </c>
      <c r="E244" s="51"/>
      <c r="F244" s="204">
        <v>42502931</v>
      </c>
      <c r="G244" s="51"/>
      <c r="H244" s="327">
        <f t="shared" si="7"/>
        <v>0</v>
      </c>
      <c r="I244" s="292" t="s">
        <v>526</v>
      </c>
      <c r="J244" s="212"/>
    </row>
    <row r="245" spans="1:10" ht="13.5" thickBot="1" x14ac:dyDescent="0.25">
      <c r="A245" s="264"/>
      <c r="B245" s="42"/>
      <c r="C245" s="93"/>
      <c r="D245" s="63"/>
      <c r="E245" s="51"/>
      <c r="F245" s="203"/>
      <c r="G245" s="51"/>
      <c r="H245" s="292"/>
      <c r="I245" s="292"/>
      <c r="J245" s="212"/>
    </row>
    <row r="246" spans="1:10" s="126" customFormat="1" ht="15" customHeight="1" thickTop="1" thickBot="1" x14ac:dyDescent="0.25">
      <c r="A246" s="264">
        <v>174</v>
      </c>
      <c r="B246" s="37"/>
      <c r="C246" s="369" t="s">
        <v>262</v>
      </c>
      <c r="D246" s="370"/>
      <c r="E246" s="320">
        <f>SUM(E229:E245)</f>
        <v>41100000</v>
      </c>
      <c r="F246" s="421">
        <f>SUM(F229:F245)</f>
        <v>189332476</v>
      </c>
      <c r="G246" s="320">
        <f>SUM(G229:G245)</f>
        <v>27637480</v>
      </c>
      <c r="H246" s="284">
        <f>G246/F246*100</f>
        <v>14.597326662542564</v>
      </c>
      <c r="I246" s="284"/>
      <c r="J246" s="212"/>
    </row>
    <row r="247" spans="1:10" ht="12.75" customHeight="1" thickTop="1" thickBot="1" x14ac:dyDescent="0.25">
      <c r="A247" s="264"/>
      <c r="B247" s="31"/>
      <c r="C247" s="62"/>
      <c r="D247" s="94"/>
      <c r="E247" s="51"/>
      <c r="F247" s="204"/>
      <c r="G247" s="51"/>
      <c r="H247" s="108"/>
      <c r="I247" s="108"/>
      <c r="J247" s="212"/>
    </row>
    <row r="248" spans="1:10" s="127" customFormat="1" ht="15" customHeight="1" thickBot="1" x14ac:dyDescent="0.25">
      <c r="A248" s="268">
        <v>175</v>
      </c>
      <c r="B248" s="243"/>
      <c r="C248" s="244"/>
      <c r="D248" s="245" t="s">
        <v>344</v>
      </c>
      <c r="E248" s="246">
        <f>E226+E246</f>
        <v>553793260</v>
      </c>
      <c r="F248" s="247">
        <f>F226+F246</f>
        <v>274476476</v>
      </c>
      <c r="G248" s="246">
        <f>G226+G246</f>
        <v>27637480</v>
      </c>
      <c r="H248" s="285">
        <f>G248/F248*100</f>
        <v>10.069161628262817</v>
      </c>
      <c r="I248" s="285"/>
      <c r="J248" s="212"/>
    </row>
    <row r="249" spans="1:10" s="135" customFormat="1" ht="15" customHeight="1" x14ac:dyDescent="0.25">
      <c r="A249" s="265"/>
      <c r="B249" s="95"/>
      <c r="C249" s="43"/>
      <c r="D249" s="20"/>
      <c r="E249" s="21"/>
      <c r="F249" s="199"/>
      <c r="G249" s="21"/>
      <c r="H249" s="106"/>
      <c r="I249" s="106"/>
      <c r="J249" s="212"/>
    </row>
    <row r="250" spans="1:10" s="125" customFormat="1" ht="15.75" x14ac:dyDescent="0.25">
      <c r="A250" s="264">
        <v>176</v>
      </c>
      <c r="B250" s="30"/>
      <c r="C250" s="43" t="s">
        <v>345</v>
      </c>
      <c r="D250" s="20"/>
      <c r="E250" s="21"/>
      <c r="F250" s="199"/>
      <c r="G250" s="21"/>
      <c r="H250" s="106"/>
      <c r="I250" s="106"/>
      <c r="J250" s="212"/>
    </row>
    <row r="251" spans="1:10" ht="15.75" x14ac:dyDescent="0.25">
      <c r="A251" s="264"/>
      <c r="B251" s="30"/>
      <c r="C251" s="96"/>
      <c r="D251" s="45"/>
      <c r="E251" s="21"/>
      <c r="F251" s="199"/>
      <c r="G251" s="21"/>
      <c r="H251" s="106"/>
      <c r="I251" s="106"/>
      <c r="J251" s="212"/>
    </row>
    <row r="252" spans="1:10" ht="15" x14ac:dyDescent="0.25">
      <c r="A252" s="264">
        <v>177</v>
      </c>
      <c r="B252" s="30"/>
      <c r="C252" s="97" t="s">
        <v>346</v>
      </c>
      <c r="D252" s="45"/>
      <c r="E252" s="21"/>
      <c r="F252" s="199"/>
      <c r="G252" s="21"/>
      <c r="H252" s="106"/>
      <c r="I252" s="106"/>
      <c r="J252" s="212"/>
    </row>
    <row r="253" spans="1:10" ht="15.75" x14ac:dyDescent="0.25">
      <c r="A253" s="264"/>
      <c r="B253" s="30"/>
      <c r="C253" s="96"/>
      <c r="D253" s="45"/>
      <c r="E253" s="21"/>
      <c r="F253" s="199"/>
      <c r="G253" s="21"/>
      <c r="H253" s="106"/>
      <c r="I253" s="106"/>
      <c r="J253" s="212"/>
    </row>
    <row r="254" spans="1:10" s="125" customFormat="1" ht="15.75" x14ac:dyDescent="0.25">
      <c r="A254" s="264">
        <v>178</v>
      </c>
      <c r="B254" s="30"/>
      <c r="C254" s="353" t="s">
        <v>230</v>
      </c>
      <c r="D254" s="45"/>
      <c r="E254" s="21"/>
      <c r="F254" s="199"/>
      <c r="G254" s="21"/>
      <c r="H254" s="106"/>
      <c r="I254" s="106"/>
      <c r="J254" s="212"/>
    </row>
    <row r="255" spans="1:10" ht="15.75" x14ac:dyDescent="0.25">
      <c r="A255" s="264"/>
      <c r="B255" s="30"/>
      <c r="C255" s="96"/>
      <c r="D255" s="45"/>
      <c r="E255" s="21"/>
      <c r="F255" s="199"/>
      <c r="G255" s="21"/>
      <c r="H255" s="106"/>
      <c r="I255" s="106"/>
      <c r="J255" s="212"/>
    </row>
    <row r="256" spans="1:10" s="125" customFormat="1" ht="17.25" customHeight="1" x14ac:dyDescent="0.2">
      <c r="A256" s="264">
        <v>179</v>
      </c>
      <c r="B256" s="30"/>
      <c r="C256" s="69"/>
      <c r="D256" s="71" t="s">
        <v>347</v>
      </c>
      <c r="E256" s="21"/>
      <c r="F256" s="199"/>
      <c r="G256" s="21"/>
      <c r="H256" s="106"/>
      <c r="I256" s="106"/>
      <c r="J256" s="212"/>
    </row>
    <row r="257" spans="1:10" x14ac:dyDescent="0.2">
      <c r="A257" s="264">
        <v>180</v>
      </c>
      <c r="B257" s="22" t="s">
        <v>89</v>
      </c>
      <c r="C257" s="23"/>
      <c r="D257" s="146" t="s">
        <v>348</v>
      </c>
      <c r="E257" s="25">
        <v>18000000</v>
      </c>
      <c r="F257" s="201">
        <v>23153517</v>
      </c>
      <c r="G257" s="25">
        <v>11162842</v>
      </c>
      <c r="H257" s="327">
        <f>G257/F257*100</f>
        <v>48.212295350205324</v>
      </c>
      <c r="I257" s="292" t="s">
        <v>521</v>
      </c>
      <c r="J257" s="212"/>
    </row>
    <row r="258" spans="1:10" s="125" customFormat="1" ht="17.25" customHeight="1" x14ac:dyDescent="0.2">
      <c r="A258" s="264">
        <v>181</v>
      </c>
      <c r="B258" s="31"/>
      <c r="C258" s="69"/>
      <c r="D258" s="71" t="s">
        <v>349</v>
      </c>
      <c r="E258" s="21"/>
      <c r="F258" s="199"/>
      <c r="G258" s="21"/>
      <c r="H258" s="106"/>
      <c r="I258" s="106"/>
      <c r="J258" s="212"/>
    </row>
    <row r="259" spans="1:10" x14ac:dyDescent="0.2">
      <c r="A259" s="264">
        <v>182</v>
      </c>
      <c r="B259" s="22" t="s">
        <v>94</v>
      </c>
      <c r="C259" s="23"/>
      <c r="D259" s="146" t="s">
        <v>350</v>
      </c>
      <c r="E259" s="25">
        <v>82253000</v>
      </c>
      <c r="F259" s="201">
        <v>88227640</v>
      </c>
      <c r="G259" s="25">
        <v>86427640</v>
      </c>
      <c r="H259" s="327">
        <f t="shared" ref="H259:H266" si="8">G259/F259*100</f>
        <v>97.959823021447704</v>
      </c>
      <c r="I259" s="292" t="s">
        <v>526</v>
      </c>
      <c r="J259" s="212"/>
    </row>
    <row r="260" spans="1:10" x14ac:dyDescent="0.2">
      <c r="A260" s="264">
        <v>183</v>
      </c>
      <c r="B260" s="59" t="s">
        <v>95</v>
      </c>
      <c r="C260" s="23"/>
      <c r="D260" s="146" t="s">
        <v>351</v>
      </c>
      <c r="E260" s="25">
        <v>36000000</v>
      </c>
      <c r="F260" s="201">
        <v>36000000</v>
      </c>
      <c r="G260" s="25">
        <v>36000000</v>
      </c>
      <c r="H260" s="327">
        <f t="shared" si="8"/>
        <v>100</v>
      </c>
      <c r="I260" s="292"/>
      <c r="J260" s="212"/>
    </row>
    <row r="261" spans="1:10" x14ac:dyDescent="0.2">
      <c r="A261" s="264">
        <v>184</v>
      </c>
      <c r="B261" s="59" t="s">
        <v>96</v>
      </c>
      <c r="C261" s="23"/>
      <c r="D261" s="146" t="s">
        <v>352</v>
      </c>
      <c r="E261" s="25">
        <v>1018236000</v>
      </c>
      <c r="F261" s="201">
        <f>1018236000+18891290</f>
        <v>1037127290</v>
      </c>
      <c r="G261" s="25">
        <v>1037127290</v>
      </c>
      <c r="H261" s="327">
        <f t="shared" si="8"/>
        <v>100</v>
      </c>
      <c r="I261" s="292" t="s">
        <v>526</v>
      </c>
      <c r="J261" s="212"/>
    </row>
    <row r="262" spans="1:10" x14ac:dyDescent="0.2">
      <c r="A262" s="264">
        <v>185</v>
      </c>
      <c r="B262" s="59" t="s">
        <v>97</v>
      </c>
      <c r="C262" s="23"/>
      <c r="D262" s="146" t="s">
        <v>353</v>
      </c>
      <c r="E262" s="25">
        <v>93263000</v>
      </c>
      <c r="F262" s="201">
        <f>93263000+1867580</f>
        <v>95130580</v>
      </c>
      <c r="G262" s="25">
        <v>95130580</v>
      </c>
      <c r="H262" s="327">
        <f t="shared" si="8"/>
        <v>100</v>
      </c>
      <c r="I262" s="292" t="s">
        <v>526</v>
      </c>
      <c r="J262" s="212"/>
    </row>
    <row r="263" spans="1:10" x14ac:dyDescent="0.2">
      <c r="A263" s="264">
        <v>186</v>
      </c>
      <c r="B263" s="59" t="s">
        <v>98</v>
      </c>
      <c r="C263" s="23"/>
      <c r="D263" s="146" t="s">
        <v>354</v>
      </c>
      <c r="E263" s="25">
        <v>354532000</v>
      </c>
      <c r="F263" s="201">
        <f>354532000+6823850</f>
        <v>361355850</v>
      </c>
      <c r="G263" s="25">
        <v>361355850</v>
      </c>
      <c r="H263" s="327">
        <f t="shared" si="8"/>
        <v>100</v>
      </c>
      <c r="I263" s="292" t="s">
        <v>526</v>
      </c>
      <c r="J263" s="212"/>
    </row>
    <row r="264" spans="1:10" x14ac:dyDescent="0.2">
      <c r="A264" s="264">
        <v>187</v>
      </c>
      <c r="B264" s="33" t="s">
        <v>99</v>
      </c>
      <c r="C264" s="72"/>
      <c r="D264" s="146" t="s">
        <v>355</v>
      </c>
      <c r="E264" s="25">
        <v>255425000</v>
      </c>
      <c r="F264" s="201">
        <f>255425000+5099930</f>
        <v>260524930</v>
      </c>
      <c r="G264" s="25">
        <v>260524930</v>
      </c>
      <c r="H264" s="327">
        <f t="shared" si="8"/>
        <v>100</v>
      </c>
      <c r="I264" s="292" t="s">
        <v>526</v>
      </c>
      <c r="J264" s="212"/>
    </row>
    <row r="265" spans="1:10" x14ac:dyDescent="0.2">
      <c r="A265" s="264">
        <v>188</v>
      </c>
      <c r="B265" s="35"/>
      <c r="C265" s="73"/>
      <c r="D265" s="98" t="s">
        <v>338</v>
      </c>
      <c r="E265" s="51"/>
      <c r="F265" s="203"/>
      <c r="G265" s="51"/>
      <c r="H265" s="329"/>
      <c r="I265" s="293"/>
      <c r="J265" s="212"/>
    </row>
    <row r="266" spans="1:10" x14ac:dyDescent="0.2">
      <c r="A266" s="264">
        <v>189</v>
      </c>
      <c r="B266" s="179" t="s">
        <v>513</v>
      </c>
      <c r="C266" s="72"/>
      <c r="D266" s="146" t="s">
        <v>514</v>
      </c>
      <c r="E266" s="25"/>
      <c r="F266" s="201">
        <v>30000000</v>
      </c>
      <c r="G266" s="25">
        <v>30000000</v>
      </c>
      <c r="H266" s="327">
        <f t="shared" si="8"/>
        <v>100</v>
      </c>
      <c r="I266" s="300" t="s">
        <v>526</v>
      </c>
      <c r="J266" s="212"/>
    </row>
    <row r="267" spans="1:10" ht="13.5" thickBot="1" x14ac:dyDescent="0.25">
      <c r="A267" s="264"/>
      <c r="B267" s="36"/>
      <c r="C267" s="72"/>
      <c r="D267" s="46"/>
      <c r="E267" s="25"/>
      <c r="F267" s="201"/>
      <c r="G267" s="25"/>
      <c r="H267" s="294"/>
      <c r="I267" s="294"/>
      <c r="J267" s="212"/>
    </row>
    <row r="268" spans="1:10" s="126" customFormat="1" ht="15" customHeight="1" thickTop="1" thickBot="1" x14ac:dyDescent="0.25">
      <c r="A268" s="264">
        <v>190</v>
      </c>
      <c r="B268" s="37"/>
      <c r="C268" s="369" t="s">
        <v>251</v>
      </c>
      <c r="D268" s="370"/>
      <c r="E268" s="320">
        <f>SUM(E255:E267)</f>
        <v>1857709000</v>
      </c>
      <c r="F268" s="421">
        <f>SUM(F255:F267)</f>
        <v>1931519807</v>
      </c>
      <c r="G268" s="320">
        <f>SUM(G255:G267)</f>
        <v>1917729132</v>
      </c>
      <c r="H268" s="289">
        <f>G268/F268*100</f>
        <v>99.286019488383118</v>
      </c>
      <c r="I268" s="289"/>
      <c r="J268" s="212"/>
    </row>
    <row r="269" spans="1:10" ht="13.5" thickTop="1" x14ac:dyDescent="0.2">
      <c r="A269" s="264"/>
      <c r="B269" s="99"/>
      <c r="C269" s="100"/>
      <c r="D269" s="101"/>
      <c r="E269" s="102"/>
      <c r="F269" s="209"/>
      <c r="G269" s="102"/>
      <c r="H269" s="119"/>
      <c r="I269" s="119"/>
      <c r="J269" s="212"/>
    </row>
    <row r="270" spans="1:10" ht="15.75" x14ac:dyDescent="0.25">
      <c r="A270" s="264">
        <v>191</v>
      </c>
      <c r="B270" s="30"/>
      <c r="C270" s="353" t="s">
        <v>252</v>
      </c>
      <c r="D270" s="45"/>
      <c r="E270" s="21"/>
      <c r="F270" s="199"/>
      <c r="G270" s="21"/>
      <c r="H270" s="106"/>
      <c r="I270" s="106"/>
      <c r="J270" s="212"/>
    </row>
    <row r="271" spans="1:10" ht="15.75" x14ac:dyDescent="0.25">
      <c r="A271" s="264"/>
      <c r="B271" s="30"/>
      <c r="C271" s="353"/>
      <c r="D271" s="45"/>
      <c r="E271" s="21"/>
      <c r="F271" s="199"/>
      <c r="G271" s="21"/>
      <c r="H271" s="106"/>
      <c r="I271" s="106"/>
      <c r="J271" s="212"/>
    </row>
    <row r="272" spans="1:10" s="125" customFormat="1" ht="17.25" customHeight="1" x14ac:dyDescent="0.2">
      <c r="A272" s="264">
        <v>192</v>
      </c>
      <c r="B272" s="30"/>
      <c r="C272" s="69"/>
      <c r="D272" s="70" t="s">
        <v>347</v>
      </c>
      <c r="E272" s="21"/>
      <c r="F272" s="199"/>
      <c r="G272" s="21"/>
      <c r="H272" s="106"/>
      <c r="I272" s="106"/>
      <c r="J272" s="212"/>
    </row>
    <row r="273" spans="1:10" ht="25.5" x14ac:dyDescent="0.2">
      <c r="A273" s="264">
        <v>193</v>
      </c>
      <c r="B273" s="22" t="s">
        <v>88</v>
      </c>
      <c r="C273" s="23"/>
      <c r="D273" s="149" t="s">
        <v>356</v>
      </c>
      <c r="E273" s="25">
        <v>81903000</v>
      </c>
      <c r="F273" s="201">
        <f>81903000+215490</f>
        <v>82118490</v>
      </c>
      <c r="G273" s="25">
        <v>82118490</v>
      </c>
      <c r="H273" s="327">
        <f>G273/F273*100</f>
        <v>100</v>
      </c>
      <c r="I273" s="292" t="s">
        <v>526</v>
      </c>
      <c r="J273" s="212"/>
    </row>
    <row r="274" spans="1:10" x14ac:dyDescent="0.2">
      <c r="A274" s="264">
        <v>194</v>
      </c>
      <c r="B274" s="22" t="s">
        <v>91</v>
      </c>
      <c r="C274" s="23"/>
      <c r="D274" s="24" t="s">
        <v>357</v>
      </c>
      <c r="E274" s="25">
        <v>35000000</v>
      </c>
      <c r="F274" s="201">
        <v>61750000</v>
      </c>
      <c r="G274" s="25">
        <v>42690399</v>
      </c>
      <c r="H274" s="327">
        <f>G274/F274*100</f>
        <v>69.134249392712547</v>
      </c>
      <c r="I274" s="292" t="s">
        <v>521</v>
      </c>
      <c r="J274" s="212"/>
    </row>
    <row r="275" spans="1:10" x14ac:dyDescent="0.2">
      <c r="A275" s="264">
        <v>195</v>
      </c>
      <c r="B275" s="22" t="s">
        <v>92</v>
      </c>
      <c r="C275" s="23"/>
      <c r="D275" s="24" t="s">
        <v>358</v>
      </c>
      <c r="E275" s="25">
        <v>7000000</v>
      </c>
      <c r="F275" s="201">
        <v>3694737</v>
      </c>
      <c r="G275" s="25">
        <v>2794737</v>
      </c>
      <c r="H275" s="327">
        <f>G275/F275*100</f>
        <v>75.641026682007407</v>
      </c>
      <c r="I275" s="292" t="s">
        <v>521</v>
      </c>
      <c r="J275" s="212"/>
    </row>
    <row r="276" spans="1:10" x14ac:dyDescent="0.2">
      <c r="A276" s="264">
        <v>196</v>
      </c>
      <c r="B276" s="31"/>
      <c r="C276" s="62"/>
      <c r="D276" s="74" t="s">
        <v>349</v>
      </c>
      <c r="E276" s="51"/>
      <c r="F276" s="203"/>
      <c r="G276" s="51"/>
      <c r="H276" s="293"/>
      <c r="I276" s="293"/>
      <c r="J276" s="212"/>
    </row>
    <row r="277" spans="1:10" x14ac:dyDescent="0.2">
      <c r="A277" s="264">
        <v>197</v>
      </c>
      <c r="B277" s="22" t="s">
        <v>93</v>
      </c>
      <c r="C277" s="23"/>
      <c r="D277" s="24" t="s">
        <v>359</v>
      </c>
      <c r="E277" s="25">
        <v>283000000</v>
      </c>
      <c r="F277" s="201">
        <f>283000000+30000000</f>
        <v>313000000</v>
      </c>
      <c r="G277" s="25">
        <v>313000000</v>
      </c>
      <c r="H277" s="327">
        <f>G277/F277*100</f>
        <v>100</v>
      </c>
      <c r="I277" s="292" t="s">
        <v>522</v>
      </c>
      <c r="J277" s="212"/>
    </row>
    <row r="278" spans="1:10" x14ac:dyDescent="0.2">
      <c r="A278" s="264">
        <v>198</v>
      </c>
      <c r="B278" s="42" t="s">
        <v>100</v>
      </c>
      <c r="C278" s="60"/>
      <c r="D278" s="76" t="s">
        <v>360</v>
      </c>
      <c r="E278" s="52">
        <v>72424000</v>
      </c>
      <c r="F278" s="166">
        <v>108429338</v>
      </c>
      <c r="G278" s="52">
        <v>108429338</v>
      </c>
      <c r="H278" s="327">
        <f>G278/F278*100</f>
        <v>100</v>
      </c>
      <c r="I278" s="295" t="s">
        <v>521</v>
      </c>
      <c r="J278" s="212"/>
    </row>
    <row r="279" spans="1:10" x14ac:dyDescent="0.2">
      <c r="A279" s="264">
        <v>199</v>
      </c>
      <c r="B279" s="42" t="s">
        <v>503</v>
      </c>
      <c r="C279" s="60"/>
      <c r="D279" s="76" t="s">
        <v>504</v>
      </c>
      <c r="E279" s="52"/>
      <c r="F279" s="166">
        <v>34879000</v>
      </c>
      <c r="G279" s="52">
        <v>34879000</v>
      </c>
      <c r="H279" s="327">
        <f>G279/F279*100</f>
        <v>100</v>
      </c>
      <c r="I279" s="295" t="s">
        <v>526</v>
      </c>
      <c r="J279" s="212"/>
    </row>
    <row r="280" spans="1:10" x14ac:dyDescent="0.2">
      <c r="A280" s="264">
        <v>200</v>
      </c>
      <c r="B280" s="42" t="s">
        <v>101</v>
      </c>
      <c r="C280" s="60"/>
      <c r="D280" s="76" t="s">
        <v>361</v>
      </c>
      <c r="E280" s="52">
        <v>3000000</v>
      </c>
      <c r="F280" s="166">
        <v>3000000</v>
      </c>
      <c r="G280" s="52">
        <v>3000000</v>
      </c>
      <c r="H280" s="327">
        <f>G280/F280*100</f>
        <v>100</v>
      </c>
      <c r="I280" s="295"/>
      <c r="J280" s="212"/>
    </row>
    <row r="281" spans="1:10" x14ac:dyDescent="0.2">
      <c r="A281" s="264">
        <v>201</v>
      </c>
      <c r="B281" s="31"/>
      <c r="C281" s="62"/>
      <c r="D281" s="74" t="s">
        <v>491</v>
      </c>
      <c r="E281" s="51"/>
      <c r="F281" s="203"/>
      <c r="G281" s="51"/>
      <c r="H281" s="327"/>
      <c r="I281" s="293"/>
      <c r="J281" s="212"/>
    </row>
    <row r="282" spans="1:10" x14ac:dyDescent="0.2">
      <c r="A282" s="264">
        <v>202</v>
      </c>
      <c r="B282" s="104" t="s">
        <v>104</v>
      </c>
      <c r="C282" s="62"/>
      <c r="D282" s="94" t="s">
        <v>492</v>
      </c>
      <c r="E282" s="51"/>
      <c r="F282" s="204">
        <v>1481900</v>
      </c>
      <c r="G282" s="51">
        <v>1481900</v>
      </c>
      <c r="H282" s="327">
        <f t="shared" ref="H282" si="9">G282/F282*100</f>
        <v>100</v>
      </c>
      <c r="I282" s="293" t="s">
        <v>526</v>
      </c>
      <c r="J282" s="212"/>
    </row>
    <row r="283" spans="1:10" x14ac:dyDescent="0.2">
      <c r="A283" s="264">
        <v>203</v>
      </c>
      <c r="B283" s="31"/>
      <c r="C283" s="62"/>
      <c r="D283" s="74" t="s">
        <v>362</v>
      </c>
      <c r="E283" s="51"/>
      <c r="F283" s="203"/>
      <c r="G283" s="51"/>
      <c r="H283" s="293"/>
      <c r="I283" s="293"/>
      <c r="J283" s="212"/>
    </row>
    <row r="284" spans="1:10" x14ac:dyDescent="0.2">
      <c r="A284" s="264">
        <v>204</v>
      </c>
      <c r="B284" s="36" t="s">
        <v>105</v>
      </c>
      <c r="C284" s="23"/>
      <c r="D284" s="24" t="s">
        <v>363</v>
      </c>
      <c r="E284" s="25">
        <v>700000</v>
      </c>
      <c r="F284" s="201">
        <v>700000</v>
      </c>
      <c r="G284" s="25">
        <v>95800</v>
      </c>
      <c r="H284" s="327">
        <f t="shared" ref="H284:H295" si="10">G284/F284*100</f>
        <v>13.685714285714285</v>
      </c>
      <c r="I284" s="292" t="s">
        <v>521</v>
      </c>
      <c r="J284" s="212"/>
    </row>
    <row r="285" spans="1:10" x14ac:dyDescent="0.2">
      <c r="A285" s="264">
        <v>205</v>
      </c>
      <c r="B285" s="33" t="s">
        <v>103</v>
      </c>
      <c r="C285" s="23"/>
      <c r="D285" s="24" t="s">
        <v>364</v>
      </c>
      <c r="E285" s="25">
        <v>2000000</v>
      </c>
      <c r="F285" s="201">
        <v>2000000</v>
      </c>
      <c r="G285" s="25">
        <v>1939800</v>
      </c>
      <c r="H285" s="327">
        <f t="shared" si="10"/>
        <v>96.99</v>
      </c>
      <c r="I285" s="292"/>
      <c r="J285" s="212"/>
    </row>
    <row r="286" spans="1:10" x14ac:dyDescent="0.2">
      <c r="A286" s="264">
        <v>206</v>
      </c>
      <c r="B286" s="33" t="s">
        <v>115</v>
      </c>
      <c r="C286" s="60"/>
      <c r="D286" s="76" t="s">
        <v>365</v>
      </c>
      <c r="E286" s="52">
        <v>12000000</v>
      </c>
      <c r="F286" s="166">
        <f>12000000+1562560+1770675</f>
        <v>15333235</v>
      </c>
      <c r="G286" s="52">
        <v>15333235</v>
      </c>
      <c r="H286" s="327">
        <f t="shared" si="10"/>
        <v>100</v>
      </c>
      <c r="I286" s="295" t="s">
        <v>521</v>
      </c>
      <c r="J286" s="212"/>
    </row>
    <row r="287" spans="1:10" x14ac:dyDescent="0.2">
      <c r="A287" s="264">
        <v>207</v>
      </c>
      <c r="B287" s="36" t="s">
        <v>106</v>
      </c>
      <c r="C287" s="23"/>
      <c r="D287" s="24" t="s">
        <v>366</v>
      </c>
      <c r="E287" s="162">
        <v>2000000</v>
      </c>
      <c r="F287" s="201">
        <v>1800000</v>
      </c>
      <c r="G287" s="25">
        <v>1665000</v>
      </c>
      <c r="H287" s="327">
        <f t="shared" si="10"/>
        <v>92.5</v>
      </c>
      <c r="I287" s="292" t="s">
        <v>526</v>
      </c>
      <c r="J287" s="212"/>
    </row>
    <row r="288" spans="1:10" x14ac:dyDescent="0.2">
      <c r="A288" s="264">
        <v>208</v>
      </c>
      <c r="B288" s="35" t="s">
        <v>108</v>
      </c>
      <c r="C288" s="60"/>
      <c r="D288" s="76" t="s">
        <v>367</v>
      </c>
      <c r="E288" s="52">
        <v>480000</v>
      </c>
      <c r="F288" s="166"/>
      <c r="G288" s="52"/>
      <c r="H288" s="327"/>
      <c r="I288" s="292" t="s">
        <v>531</v>
      </c>
      <c r="J288" s="212"/>
    </row>
    <row r="289" spans="1:10" ht="25.5" x14ac:dyDescent="0.2">
      <c r="A289" s="264">
        <v>209</v>
      </c>
      <c r="B289" s="33" t="s">
        <v>102</v>
      </c>
      <c r="C289" s="60"/>
      <c r="D289" s="156" t="s">
        <v>368</v>
      </c>
      <c r="E289" s="52">
        <v>1000000</v>
      </c>
      <c r="F289" s="166">
        <v>1000000</v>
      </c>
      <c r="G289" s="52">
        <v>1000000</v>
      </c>
      <c r="H289" s="327">
        <f t="shared" si="10"/>
        <v>100</v>
      </c>
      <c r="I289" s="295"/>
      <c r="J289" s="212"/>
    </row>
    <row r="290" spans="1:10" x14ac:dyDescent="0.2">
      <c r="A290" s="264">
        <v>210</v>
      </c>
      <c r="B290" s="36" t="s">
        <v>90</v>
      </c>
      <c r="C290" s="23"/>
      <c r="D290" s="24" t="s">
        <v>369</v>
      </c>
      <c r="E290" s="25">
        <v>4000000</v>
      </c>
      <c r="F290" s="201">
        <f>4000000+3205331-1770675</f>
        <v>5434656</v>
      </c>
      <c r="G290" s="25">
        <v>3190500</v>
      </c>
      <c r="H290" s="327">
        <f t="shared" si="10"/>
        <v>58.706567628199466</v>
      </c>
      <c r="I290" s="292" t="s">
        <v>521</v>
      </c>
      <c r="J290" s="212"/>
    </row>
    <row r="291" spans="1:10" s="125" customFormat="1" ht="12.75" customHeight="1" x14ac:dyDescent="0.2">
      <c r="A291" s="264">
        <v>211</v>
      </c>
      <c r="B291" s="42" t="s">
        <v>110</v>
      </c>
      <c r="C291" s="75"/>
      <c r="D291" s="76" t="s">
        <v>370</v>
      </c>
      <c r="E291" s="52">
        <v>10200000</v>
      </c>
      <c r="F291" s="166">
        <f>10200000+3400000</f>
        <v>13600000</v>
      </c>
      <c r="G291" s="52">
        <v>12750000</v>
      </c>
      <c r="H291" s="327">
        <f t="shared" si="10"/>
        <v>93.75</v>
      </c>
      <c r="I291" s="292" t="s">
        <v>522</v>
      </c>
      <c r="J291" s="212"/>
    </row>
    <row r="292" spans="1:10" x14ac:dyDescent="0.2">
      <c r="A292" s="264">
        <v>212</v>
      </c>
      <c r="B292" s="22" t="s">
        <v>116</v>
      </c>
      <c r="C292" s="23"/>
      <c r="D292" s="24" t="s">
        <v>371</v>
      </c>
      <c r="E292" s="25">
        <v>500000</v>
      </c>
      <c r="F292" s="201">
        <f>500000+1000000</f>
        <v>1500000</v>
      </c>
      <c r="G292" s="25"/>
      <c r="H292" s="327">
        <f t="shared" si="10"/>
        <v>0</v>
      </c>
      <c r="I292" s="292" t="s">
        <v>522</v>
      </c>
      <c r="J292" s="212"/>
    </row>
    <row r="293" spans="1:10" ht="25.5" x14ac:dyDescent="0.2">
      <c r="A293" s="264">
        <v>213</v>
      </c>
      <c r="B293" s="22" t="s">
        <v>109</v>
      </c>
      <c r="C293" s="23"/>
      <c r="D293" s="149" t="s">
        <v>372</v>
      </c>
      <c r="E293" s="25">
        <v>5400000</v>
      </c>
      <c r="F293" s="201">
        <v>0</v>
      </c>
      <c r="G293" s="25"/>
      <c r="H293" s="327"/>
      <c r="I293" s="292" t="s">
        <v>531</v>
      </c>
      <c r="J293" s="212"/>
    </row>
    <row r="294" spans="1:10" x14ac:dyDescent="0.2">
      <c r="A294" s="264">
        <v>214</v>
      </c>
      <c r="B294" s="103" t="s">
        <v>107</v>
      </c>
      <c r="C294" s="147"/>
      <c r="D294" s="148" t="s">
        <v>373</v>
      </c>
      <c r="E294" s="25"/>
      <c r="F294" s="201">
        <v>25210000</v>
      </c>
      <c r="G294" s="25"/>
      <c r="H294" s="327">
        <f t="shared" si="10"/>
        <v>0</v>
      </c>
      <c r="I294" s="292" t="s">
        <v>524</v>
      </c>
      <c r="J294" s="212"/>
    </row>
    <row r="295" spans="1:10" x14ac:dyDescent="0.2">
      <c r="A295" s="264">
        <v>215</v>
      </c>
      <c r="B295" s="42" t="s">
        <v>113</v>
      </c>
      <c r="C295" s="60"/>
      <c r="D295" s="156" t="s">
        <v>374</v>
      </c>
      <c r="E295" s="52"/>
      <c r="F295" s="166">
        <v>2000000</v>
      </c>
      <c r="G295" s="52">
        <v>2000000</v>
      </c>
      <c r="H295" s="327">
        <f t="shared" si="10"/>
        <v>100</v>
      </c>
      <c r="I295" s="295" t="s">
        <v>523</v>
      </c>
      <c r="J295" s="212"/>
    </row>
    <row r="296" spans="1:10" x14ac:dyDescent="0.2">
      <c r="A296" s="264">
        <v>216</v>
      </c>
      <c r="B296" s="35"/>
      <c r="C296" s="62"/>
      <c r="D296" s="74" t="s">
        <v>375</v>
      </c>
      <c r="E296" s="51"/>
      <c r="F296" s="203"/>
      <c r="G296" s="51"/>
      <c r="H296" s="293"/>
      <c r="I296" s="293"/>
      <c r="J296" s="212"/>
    </row>
    <row r="297" spans="1:10" x14ac:dyDescent="0.2">
      <c r="A297" s="264">
        <v>217</v>
      </c>
      <c r="B297" s="36" t="s">
        <v>114</v>
      </c>
      <c r="C297" s="23"/>
      <c r="D297" s="24" t="s">
        <v>376</v>
      </c>
      <c r="E297" s="25">
        <v>2000000</v>
      </c>
      <c r="F297" s="201">
        <v>1765000</v>
      </c>
      <c r="G297" s="25">
        <v>1702000</v>
      </c>
      <c r="H297" s="327">
        <f>G297/F297*100</f>
        <v>96.430594900849854</v>
      </c>
      <c r="I297" s="292" t="s">
        <v>521</v>
      </c>
      <c r="J297" s="212"/>
    </row>
    <row r="298" spans="1:10" x14ac:dyDescent="0.2">
      <c r="A298" s="264">
        <v>218</v>
      </c>
      <c r="B298" s="33" t="s">
        <v>111</v>
      </c>
      <c r="C298" s="23"/>
      <c r="D298" s="24" t="s">
        <v>377</v>
      </c>
      <c r="E298" s="25">
        <v>6000000</v>
      </c>
      <c r="F298" s="201">
        <f>6000000+3287786</f>
        <v>9287786</v>
      </c>
      <c r="G298" s="25">
        <v>7032178</v>
      </c>
      <c r="H298" s="327">
        <f>G298/F298*100</f>
        <v>75.714255259541943</v>
      </c>
      <c r="I298" s="292" t="s">
        <v>522</v>
      </c>
      <c r="J298" s="212"/>
    </row>
    <row r="299" spans="1:10" x14ac:dyDescent="0.2">
      <c r="A299" s="264">
        <v>219</v>
      </c>
      <c r="B299" s="33" t="s">
        <v>112</v>
      </c>
      <c r="C299" s="23"/>
      <c r="D299" s="24" t="s">
        <v>378</v>
      </c>
      <c r="E299" s="25">
        <v>40000000</v>
      </c>
      <c r="F299" s="201">
        <v>34696631</v>
      </c>
      <c r="G299" s="25">
        <v>32614159</v>
      </c>
      <c r="H299" s="327">
        <f>G299/F299*100</f>
        <v>93.998057044789164</v>
      </c>
      <c r="I299" s="292" t="s">
        <v>521</v>
      </c>
      <c r="J299" s="212"/>
    </row>
    <row r="300" spans="1:10" ht="13.5" thickBot="1" x14ac:dyDescent="0.25">
      <c r="A300" s="264"/>
      <c r="B300" s="30"/>
      <c r="C300" s="72"/>
      <c r="D300" s="46"/>
      <c r="E300" s="25"/>
      <c r="F300" s="200"/>
      <c r="G300" s="25"/>
      <c r="H300" s="105"/>
      <c r="I300" s="105"/>
      <c r="J300" s="212"/>
    </row>
    <row r="301" spans="1:10" s="126" customFormat="1" ht="15" customHeight="1" thickTop="1" thickBot="1" x14ac:dyDescent="0.25">
      <c r="A301" s="264">
        <v>220</v>
      </c>
      <c r="B301" s="37"/>
      <c r="C301" s="369" t="s">
        <v>262</v>
      </c>
      <c r="D301" s="370"/>
      <c r="E301" s="320">
        <f>SUM(E271:E300)</f>
        <v>568607000</v>
      </c>
      <c r="F301" s="421">
        <f>SUM(F271:F300)</f>
        <v>722680773</v>
      </c>
      <c r="G301" s="320">
        <f>SUM(G271:G300)</f>
        <v>667716536</v>
      </c>
      <c r="H301" s="284">
        <f>G301/F301*100</f>
        <v>92.394396107726521</v>
      </c>
      <c r="I301" s="284"/>
      <c r="J301" s="212"/>
    </row>
    <row r="302" spans="1:10" ht="14.25" thickTop="1" thickBot="1" x14ac:dyDescent="0.25">
      <c r="A302" s="264"/>
      <c r="B302" s="30"/>
      <c r="C302" s="44"/>
      <c r="D302" s="20"/>
      <c r="E302" s="21"/>
      <c r="F302" s="202"/>
      <c r="G302" s="21"/>
      <c r="H302" s="106"/>
      <c r="I302" s="106"/>
      <c r="J302" s="212"/>
    </row>
    <row r="303" spans="1:10" s="127" customFormat="1" ht="15" customHeight="1" thickBot="1" x14ac:dyDescent="0.25">
      <c r="A303" s="268">
        <v>221</v>
      </c>
      <c r="B303" s="243"/>
      <c r="C303" s="244"/>
      <c r="D303" s="245" t="s">
        <v>379</v>
      </c>
      <c r="E303" s="246">
        <f>E268+E301</f>
        <v>2426316000</v>
      </c>
      <c r="F303" s="247">
        <f>F268+F301</f>
        <v>2654200580</v>
      </c>
      <c r="G303" s="246">
        <f>G268+G301</f>
        <v>2585445668</v>
      </c>
      <c r="H303" s="285">
        <f>G303/F303*100</f>
        <v>97.409581155317198</v>
      </c>
      <c r="I303" s="285"/>
      <c r="J303" s="212"/>
    </row>
    <row r="304" spans="1:10" s="130" customFormat="1" x14ac:dyDescent="0.2">
      <c r="A304" s="265"/>
      <c r="B304" s="41"/>
      <c r="C304" s="47"/>
      <c r="D304" s="65"/>
      <c r="E304" s="49"/>
      <c r="F304" s="199"/>
      <c r="G304" s="49"/>
      <c r="H304" s="116"/>
      <c r="I304" s="116"/>
      <c r="J304" s="212"/>
    </row>
    <row r="305" spans="1:10" s="125" customFormat="1" ht="13.5" customHeight="1" x14ac:dyDescent="0.25">
      <c r="A305" s="264">
        <v>222</v>
      </c>
      <c r="B305" s="30"/>
      <c r="C305" s="43" t="s">
        <v>380</v>
      </c>
      <c r="D305" s="20"/>
      <c r="E305" s="21"/>
      <c r="F305" s="199"/>
      <c r="G305" s="21"/>
      <c r="H305" s="106"/>
      <c r="I305" s="106"/>
      <c r="J305" s="212"/>
    </row>
    <row r="306" spans="1:10" ht="15.75" x14ac:dyDescent="0.25">
      <c r="A306" s="264">
        <v>223</v>
      </c>
      <c r="B306" s="30"/>
      <c r="C306" s="353" t="s">
        <v>230</v>
      </c>
      <c r="D306" s="50"/>
      <c r="E306" s="21"/>
      <c r="F306" s="199"/>
      <c r="G306" s="21"/>
      <c r="H306" s="106"/>
      <c r="I306" s="106"/>
      <c r="J306" s="212"/>
    </row>
    <row r="307" spans="1:10" s="125" customFormat="1" ht="17.25" customHeight="1" x14ac:dyDescent="0.2">
      <c r="A307" s="264"/>
      <c r="B307" s="30"/>
      <c r="C307" s="69"/>
      <c r="D307" s="70"/>
      <c r="E307" s="21"/>
      <c r="F307" s="199"/>
      <c r="G307" s="21"/>
      <c r="H307" s="106"/>
      <c r="I307" s="106"/>
      <c r="J307" s="212"/>
    </row>
    <row r="308" spans="1:10" s="125" customFormat="1" x14ac:dyDescent="0.2">
      <c r="A308" s="264">
        <v>224</v>
      </c>
      <c r="B308" s="91"/>
      <c r="C308" s="44"/>
      <c r="D308" s="70" t="s">
        <v>381</v>
      </c>
      <c r="E308" s="21"/>
      <c r="F308" s="199"/>
      <c r="G308" s="21"/>
      <c r="H308" s="106"/>
      <c r="I308" s="106"/>
      <c r="J308" s="212"/>
    </row>
    <row r="309" spans="1:10" s="125" customFormat="1" ht="12.75" customHeight="1" x14ac:dyDescent="0.2">
      <c r="A309" s="264">
        <v>225</v>
      </c>
      <c r="B309" s="91"/>
      <c r="C309" s="44"/>
      <c r="D309" s="70" t="s">
        <v>382</v>
      </c>
      <c r="E309" s="21"/>
      <c r="F309" s="199"/>
      <c r="G309" s="21"/>
      <c r="H309" s="294"/>
      <c r="I309" s="106"/>
      <c r="J309" s="212"/>
    </row>
    <row r="310" spans="1:10" s="125" customFormat="1" ht="12.75" customHeight="1" x14ac:dyDescent="0.2">
      <c r="A310" s="264">
        <v>226</v>
      </c>
      <c r="B310" s="32" t="s">
        <v>137</v>
      </c>
      <c r="C310" s="23"/>
      <c r="D310" s="24" t="s">
        <v>383</v>
      </c>
      <c r="E310" s="25">
        <v>104517000</v>
      </c>
      <c r="F310" s="201">
        <v>112897260</v>
      </c>
      <c r="G310" s="25">
        <v>111397260</v>
      </c>
      <c r="H310" s="327">
        <f t="shared" ref="H310:H315" si="11">G310/F310*100</f>
        <v>98.67135836600464</v>
      </c>
      <c r="I310" s="105" t="s">
        <v>521</v>
      </c>
      <c r="J310" s="212"/>
    </row>
    <row r="311" spans="1:10" s="125" customFormat="1" ht="12.75" customHeight="1" x14ac:dyDescent="0.2">
      <c r="A311" s="264">
        <v>227</v>
      </c>
      <c r="B311" s="32" t="s">
        <v>135</v>
      </c>
      <c r="C311" s="23"/>
      <c r="D311" s="24" t="s">
        <v>384</v>
      </c>
      <c r="E311" s="25">
        <v>21000000</v>
      </c>
      <c r="F311" s="201">
        <v>21000000</v>
      </c>
      <c r="G311" s="25">
        <v>21000000</v>
      </c>
      <c r="H311" s="327">
        <f t="shared" si="11"/>
        <v>100</v>
      </c>
      <c r="I311" s="105"/>
      <c r="J311" s="212"/>
    </row>
    <row r="312" spans="1:10" s="125" customFormat="1" ht="12.75" customHeight="1" x14ac:dyDescent="0.2">
      <c r="A312" s="264">
        <v>228</v>
      </c>
      <c r="B312" s="32" t="s">
        <v>131</v>
      </c>
      <c r="C312" s="23"/>
      <c r="D312" s="24" t="s">
        <v>385</v>
      </c>
      <c r="E312" s="25">
        <v>15000000</v>
      </c>
      <c r="F312" s="201">
        <v>25287320</v>
      </c>
      <c r="G312" s="25">
        <v>25287320</v>
      </c>
      <c r="H312" s="327">
        <f t="shared" si="11"/>
        <v>100</v>
      </c>
      <c r="I312" s="105" t="s">
        <v>521</v>
      </c>
      <c r="J312" s="212"/>
    </row>
    <row r="313" spans="1:10" s="125" customFormat="1" ht="12.75" customHeight="1" x14ac:dyDescent="0.2">
      <c r="A313" s="264">
        <v>229</v>
      </c>
      <c r="B313" s="32" t="s">
        <v>138</v>
      </c>
      <c r="C313" s="23"/>
      <c r="D313" s="24" t="s">
        <v>386</v>
      </c>
      <c r="E313" s="25">
        <v>75155000</v>
      </c>
      <c r="F313" s="201">
        <v>78302580</v>
      </c>
      <c r="G313" s="25">
        <v>77022580</v>
      </c>
      <c r="H313" s="327">
        <f t="shared" si="11"/>
        <v>98.365315676699282</v>
      </c>
      <c r="I313" s="105" t="s">
        <v>526</v>
      </c>
      <c r="J313" s="212"/>
    </row>
    <row r="314" spans="1:10" s="125" customFormat="1" ht="12.75" customHeight="1" x14ac:dyDescent="0.2">
      <c r="A314" s="264">
        <v>230</v>
      </c>
      <c r="B314" s="59" t="s">
        <v>134</v>
      </c>
      <c r="C314" s="60"/>
      <c r="D314" s="76" t="s">
        <v>387</v>
      </c>
      <c r="E314" s="52"/>
      <c r="F314" s="166">
        <v>18507000</v>
      </c>
      <c r="G314" s="52">
        <v>18507000</v>
      </c>
      <c r="H314" s="327">
        <f t="shared" si="11"/>
        <v>100</v>
      </c>
      <c r="I314" s="107" t="s">
        <v>526</v>
      </c>
      <c r="J314" s="212"/>
    </row>
    <row r="315" spans="1:10" s="125" customFormat="1" ht="12.75" customHeight="1" x14ac:dyDescent="0.2">
      <c r="A315" s="264">
        <v>231</v>
      </c>
      <c r="B315" s="91" t="s">
        <v>136</v>
      </c>
      <c r="C315" s="44"/>
      <c r="D315" s="20" t="s">
        <v>388</v>
      </c>
      <c r="E315" s="21"/>
      <c r="F315" s="202">
        <v>5736000</v>
      </c>
      <c r="G315" s="21">
        <v>5736000</v>
      </c>
      <c r="H315" s="327">
        <f t="shared" si="11"/>
        <v>100</v>
      </c>
      <c r="I315" s="106" t="s">
        <v>526</v>
      </c>
      <c r="J315" s="212"/>
    </row>
    <row r="316" spans="1:10" s="125" customFormat="1" ht="12.75" customHeight="1" x14ac:dyDescent="0.2">
      <c r="A316" s="264">
        <v>232</v>
      </c>
      <c r="B316" s="104"/>
      <c r="C316" s="62"/>
      <c r="D316" s="74" t="s">
        <v>389</v>
      </c>
      <c r="E316" s="51"/>
      <c r="F316" s="203"/>
      <c r="G316" s="51"/>
      <c r="H316" s="293"/>
      <c r="I316" s="108"/>
      <c r="J316" s="212"/>
    </row>
    <row r="317" spans="1:10" s="125" customFormat="1" ht="12.75" customHeight="1" x14ac:dyDescent="0.2">
      <c r="A317" s="264">
        <v>233</v>
      </c>
      <c r="B317" s="32" t="s">
        <v>132</v>
      </c>
      <c r="C317" s="23"/>
      <c r="D317" s="24" t="s">
        <v>390</v>
      </c>
      <c r="E317" s="25">
        <v>213500000</v>
      </c>
      <c r="F317" s="201">
        <v>199257000</v>
      </c>
      <c r="G317" s="25">
        <v>189257000</v>
      </c>
      <c r="H317" s="327">
        <f>G317/F317*100</f>
        <v>94.981355736561326</v>
      </c>
      <c r="I317" s="105" t="s">
        <v>526</v>
      </c>
      <c r="J317" s="212"/>
    </row>
    <row r="318" spans="1:10" s="125" customFormat="1" ht="12.75" customHeight="1" x14ac:dyDescent="0.2">
      <c r="A318" s="264">
        <v>234</v>
      </c>
      <c r="B318" s="104"/>
      <c r="C318" s="62"/>
      <c r="D318" s="74" t="s">
        <v>332</v>
      </c>
      <c r="E318" s="51"/>
      <c r="F318" s="203"/>
      <c r="G318" s="51"/>
      <c r="H318" s="293"/>
      <c r="I318" s="293"/>
      <c r="J318" s="212"/>
    </row>
    <row r="319" spans="1:10" s="125" customFormat="1" ht="12.75" customHeight="1" x14ac:dyDescent="0.2">
      <c r="A319" s="264">
        <v>235</v>
      </c>
      <c r="B319" s="32" t="s">
        <v>130</v>
      </c>
      <c r="C319" s="23"/>
      <c r="D319" s="46" t="s">
        <v>391</v>
      </c>
      <c r="E319" s="25">
        <v>8000000</v>
      </c>
      <c r="F319" s="201">
        <v>14500000</v>
      </c>
      <c r="G319" s="25">
        <v>14500000</v>
      </c>
      <c r="H319" s="327">
        <f>G319/F319*100</f>
        <v>100</v>
      </c>
      <c r="I319" s="292" t="s">
        <v>521</v>
      </c>
      <c r="J319" s="212"/>
    </row>
    <row r="320" spans="1:10" s="125" customFormat="1" ht="13.5" thickBot="1" x14ac:dyDescent="0.25">
      <c r="A320" s="264"/>
      <c r="B320" s="32"/>
      <c r="C320" s="23"/>
      <c r="D320" s="46"/>
      <c r="E320" s="25"/>
      <c r="F320" s="201"/>
      <c r="G320" s="25"/>
      <c r="H320" s="105"/>
      <c r="I320" s="105"/>
      <c r="J320" s="212"/>
    </row>
    <row r="321" spans="1:10" s="126" customFormat="1" ht="15" customHeight="1" thickTop="1" thickBot="1" x14ac:dyDescent="0.25">
      <c r="A321" s="264">
        <v>236</v>
      </c>
      <c r="B321" s="37"/>
      <c r="C321" s="369" t="s">
        <v>251</v>
      </c>
      <c r="D321" s="370"/>
      <c r="E321" s="320">
        <f>SUM(E306:E320)</f>
        <v>437172000</v>
      </c>
      <c r="F321" s="421">
        <f>SUM(F306:F320)</f>
        <v>475487160</v>
      </c>
      <c r="G321" s="320">
        <f>SUM(G306:G320)</f>
        <v>462707160</v>
      </c>
      <c r="H321" s="284">
        <f>G321/F321*100</f>
        <v>97.312230260854989</v>
      </c>
      <c r="I321" s="284"/>
      <c r="J321" s="212"/>
    </row>
    <row r="322" spans="1:10" ht="13.5" thickTop="1" x14ac:dyDescent="0.2">
      <c r="A322" s="264"/>
      <c r="B322" s="99"/>
      <c r="C322" s="100"/>
      <c r="D322" s="101"/>
      <c r="E322" s="102"/>
      <c r="F322" s="209"/>
      <c r="G322" s="102"/>
      <c r="H322" s="119"/>
      <c r="I322" s="119"/>
      <c r="J322" s="212"/>
    </row>
    <row r="323" spans="1:10" ht="15.75" x14ac:dyDescent="0.25">
      <c r="A323" s="264">
        <v>237</v>
      </c>
      <c r="B323" s="30"/>
      <c r="C323" s="353" t="s">
        <v>252</v>
      </c>
      <c r="D323" s="45"/>
      <c r="E323" s="21"/>
      <c r="F323" s="199"/>
      <c r="G323" s="21"/>
      <c r="H323" s="106"/>
      <c r="I323" s="106"/>
      <c r="J323" s="212"/>
    </row>
    <row r="324" spans="1:10" s="125" customFormat="1" ht="12.75" customHeight="1" x14ac:dyDescent="0.2">
      <c r="A324" s="264"/>
      <c r="B324" s="30"/>
      <c r="C324" s="69"/>
      <c r="D324" s="70"/>
      <c r="E324" s="21"/>
      <c r="F324" s="199"/>
      <c r="G324" s="21"/>
      <c r="H324" s="106"/>
      <c r="I324" s="106"/>
      <c r="J324" s="212"/>
    </row>
    <row r="325" spans="1:10" s="125" customFormat="1" ht="12.75" customHeight="1" x14ac:dyDescent="0.2">
      <c r="A325" s="264">
        <v>238</v>
      </c>
      <c r="B325" s="22" t="s">
        <v>139</v>
      </c>
      <c r="C325" s="72"/>
      <c r="D325" s="24" t="s">
        <v>392</v>
      </c>
      <c r="E325" s="25">
        <v>29066000</v>
      </c>
      <c r="F325" s="201">
        <v>39577757</v>
      </c>
      <c r="G325" s="25">
        <v>36508220</v>
      </c>
      <c r="H325" s="327">
        <f>G325/F325*100</f>
        <v>92.244287618421623</v>
      </c>
      <c r="I325" s="105" t="s">
        <v>526</v>
      </c>
      <c r="J325" s="212"/>
    </row>
    <row r="326" spans="1:10" s="125" customFormat="1" ht="12.75" customHeight="1" x14ac:dyDescent="0.2">
      <c r="A326" s="264">
        <v>239</v>
      </c>
      <c r="B326" s="104"/>
      <c r="C326" s="73"/>
      <c r="D326" s="74" t="s">
        <v>347</v>
      </c>
      <c r="E326" s="51"/>
      <c r="F326" s="204"/>
      <c r="G326" s="51"/>
      <c r="H326" s="293"/>
      <c r="I326" s="293"/>
      <c r="J326" s="212"/>
    </row>
    <row r="327" spans="1:10" s="125" customFormat="1" ht="12.75" customHeight="1" x14ac:dyDescent="0.2">
      <c r="A327" s="264">
        <v>240</v>
      </c>
      <c r="B327" s="36" t="s">
        <v>124</v>
      </c>
      <c r="C327" s="72"/>
      <c r="D327" s="24" t="s">
        <v>393</v>
      </c>
      <c r="E327" s="25">
        <v>1500000</v>
      </c>
      <c r="F327" s="201">
        <v>1500000</v>
      </c>
      <c r="G327" s="25">
        <v>1500000</v>
      </c>
      <c r="H327" s="327">
        <f t="shared" ref="H327:H332" si="12">G327/F327*100</f>
        <v>100</v>
      </c>
      <c r="I327" s="292"/>
      <c r="J327" s="212"/>
    </row>
    <row r="328" spans="1:10" s="125" customFormat="1" ht="12.75" customHeight="1" x14ac:dyDescent="0.2">
      <c r="A328" s="264">
        <v>241</v>
      </c>
      <c r="B328" s="36" t="s">
        <v>126</v>
      </c>
      <c r="C328" s="72"/>
      <c r="D328" s="24" t="s">
        <v>394</v>
      </c>
      <c r="E328" s="25">
        <v>2000000</v>
      </c>
      <c r="F328" s="201">
        <v>2000000</v>
      </c>
      <c r="G328" s="25">
        <v>2000000</v>
      </c>
      <c r="H328" s="327">
        <f t="shared" si="12"/>
        <v>100</v>
      </c>
      <c r="I328" s="292"/>
      <c r="J328" s="212"/>
    </row>
    <row r="329" spans="1:10" s="125" customFormat="1" ht="12.75" customHeight="1" x14ac:dyDescent="0.2">
      <c r="A329" s="264">
        <v>242</v>
      </c>
      <c r="B329" s="36" t="s">
        <v>127</v>
      </c>
      <c r="C329" s="72"/>
      <c r="D329" s="24" t="s">
        <v>395</v>
      </c>
      <c r="E329" s="25">
        <v>6200000</v>
      </c>
      <c r="F329" s="201">
        <f>6200000+100000</f>
        <v>6300000</v>
      </c>
      <c r="G329" s="25">
        <v>6200000</v>
      </c>
      <c r="H329" s="327">
        <f t="shared" si="12"/>
        <v>98.412698412698404</v>
      </c>
      <c r="I329" s="292" t="s">
        <v>522</v>
      </c>
      <c r="J329" s="212"/>
    </row>
    <row r="330" spans="1:10" s="125" customFormat="1" ht="25.5" x14ac:dyDescent="0.2">
      <c r="A330" s="264">
        <v>243</v>
      </c>
      <c r="B330" s="36" t="s">
        <v>128</v>
      </c>
      <c r="C330" s="72"/>
      <c r="D330" s="149" t="s">
        <v>396</v>
      </c>
      <c r="E330" s="25">
        <v>3000000</v>
      </c>
      <c r="F330" s="201">
        <v>1256600</v>
      </c>
      <c r="G330" s="25">
        <v>1056700</v>
      </c>
      <c r="H330" s="327">
        <f t="shared" si="12"/>
        <v>84.091994270253068</v>
      </c>
      <c r="I330" s="292" t="s">
        <v>521</v>
      </c>
      <c r="J330" s="212"/>
    </row>
    <row r="331" spans="1:10" s="125" customFormat="1" ht="12.75" customHeight="1" x14ac:dyDescent="0.2">
      <c r="A331" s="264">
        <v>244</v>
      </c>
      <c r="B331" s="42" t="s">
        <v>144</v>
      </c>
      <c r="C331" s="75"/>
      <c r="D331" s="76" t="s">
        <v>397</v>
      </c>
      <c r="E331" s="52">
        <v>8000000</v>
      </c>
      <c r="F331" s="166">
        <v>7000000</v>
      </c>
      <c r="G331" s="52">
        <v>7000000</v>
      </c>
      <c r="H331" s="327">
        <f t="shared" si="12"/>
        <v>100</v>
      </c>
      <c r="I331" s="107" t="s">
        <v>526</v>
      </c>
      <c r="J331" s="212"/>
    </row>
    <row r="332" spans="1:10" s="125" customFormat="1" ht="12.75" customHeight="1" x14ac:dyDescent="0.2">
      <c r="A332" s="264">
        <v>245</v>
      </c>
      <c r="B332" s="42" t="s">
        <v>145</v>
      </c>
      <c r="C332" s="75"/>
      <c r="D332" s="76" t="s">
        <v>398</v>
      </c>
      <c r="E332" s="52">
        <v>7000000</v>
      </c>
      <c r="F332" s="166">
        <v>7000000</v>
      </c>
      <c r="G332" s="52">
        <v>7000000</v>
      </c>
      <c r="H332" s="327">
        <f t="shared" si="12"/>
        <v>100</v>
      </c>
      <c r="I332" s="107"/>
      <c r="J332" s="212"/>
    </row>
    <row r="333" spans="1:10" ht="12.75" customHeight="1" x14ac:dyDescent="0.2">
      <c r="A333" s="264">
        <v>246</v>
      </c>
      <c r="B333" s="30"/>
      <c r="C333" s="69"/>
      <c r="D333" s="74" t="s">
        <v>399</v>
      </c>
      <c r="E333" s="21"/>
      <c r="F333" s="199"/>
      <c r="G333" s="21"/>
      <c r="H333" s="294"/>
      <c r="I333" s="294"/>
      <c r="J333" s="212"/>
    </row>
    <row r="334" spans="1:10" ht="12.75" customHeight="1" x14ac:dyDescent="0.2">
      <c r="A334" s="264">
        <v>247</v>
      </c>
      <c r="B334" s="30"/>
      <c r="C334" s="69"/>
      <c r="D334" s="70" t="s">
        <v>400</v>
      </c>
      <c r="E334" s="21"/>
      <c r="F334" s="199"/>
      <c r="G334" s="21"/>
      <c r="H334" s="294"/>
      <c r="I334" s="294"/>
      <c r="J334" s="212"/>
    </row>
    <row r="335" spans="1:10" ht="12.75" customHeight="1" x14ac:dyDescent="0.2">
      <c r="A335" s="264">
        <v>248</v>
      </c>
      <c r="B335" s="22" t="s">
        <v>121</v>
      </c>
      <c r="C335" s="23"/>
      <c r="D335" s="24" t="s">
        <v>401</v>
      </c>
      <c r="E335" s="25">
        <v>38000000</v>
      </c>
      <c r="F335" s="201">
        <v>45300000</v>
      </c>
      <c r="G335" s="25">
        <v>45300000</v>
      </c>
      <c r="H335" s="327">
        <f>G335/F335*100</f>
        <v>100</v>
      </c>
      <c r="I335" s="292" t="s">
        <v>521</v>
      </c>
      <c r="J335" s="212"/>
    </row>
    <row r="336" spans="1:10" ht="12.75" customHeight="1" x14ac:dyDescent="0.2">
      <c r="A336" s="264">
        <v>249</v>
      </c>
      <c r="B336" s="31"/>
      <c r="C336" s="62"/>
      <c r="D336" s="74" t="s">
        <v>402</v>
      </c>
      <c r="E336" s="51"/>
      <c r="F336" s="203"/>
      <c r="G336" s="51"/>
      <c r="H336" s="293"/>
      <c r="I336" s="293"/>
      <c r="J336" s="212"/>
    </row>
    <row r="337" spans="1:10" ht="12.75" customHeight="1" x14ac:dyDescent="0.2">
      <c r="A337" s="264">
        <v>250</v>
      </c>
      <c r="B337" s="22" t="s">
        <v>117</v>
      </c>
      <c r="C337" s="23"/>
      <c r="D337" s="24" t="s">
        <v>403</v>
      </c>
      <c r="E337" s="25">
        <v>84000000</v>
      </c>
      <c r="F337" s="201">
        <v>104720000</v>
      </c>
      <c r="G337" s="25">
        <v>104720000</v>
      </c>
      <c r="H337" s="327">
        <f>G337/F337*100</f>
        <v>100</v>
      </c>
      <c r="I337" s="292" t="s">
        <v>521</v>
      </c>
      <c r="J337" s="212"/>
    </row>
    <row r="338" spans="1:10" ht="12.75" customHeight="1" x14ac:dyDescent="0.2">
      <c r="A338" s="264">
        <v>251</v>
      </c>
      <c r="B338" s="42" t="s">
        <v>120</v>
      </c>
      <c r="C338" s="60"/>
      <c r="D338" s="76" t="s">
        <v>404</v>
      </c>
      <c r="E338" s="52">
        <v>50000000</v>
      </c>
      <c r="F338" s="166">
        <f>50000000+5000000</f>
        <v>55000000</v>
      </c>
      <c r="G338" s="52">
        <v>55000000</v>
      </c>
      <c r="H338" s="327">
        <f>G338/F338*100</f>
        <v>100</v>
      </c>
      <c r="I338" s="292" t="s">
        <v>522</v>
      </c>
      <c r="J338" s="212"/>
    </row>
    <row r="339" spans="1:10" ht="12.75" customHeight="1" x14ac:dyDescent="0.2">
      <c r="A339" s="264">
        <v>252</v>
      </c>
      <c r="B339" s="42" t="s">
        <v>118</v>
      </c>
      <c r="C339" s="60"/>
      <c r="D339" s="76" t="s">
        <v>405</v>
      </c>
      <c r="E339" s="52">
        <v>12000000</v>
      </c>
      <c r="F339" s="166">
        <v>12000000</v>
      </c>
      <c r="G339" s="52">
        <v>12000000</v>
      </c>
      <c r="H339" s="327">
        <f>G339/F339*100</f>
        <v>100</v>
      </c>
      <c r="I339" s="292"/>
      <c r="J339" s="212"/>
    </row>
    <row r="340" spans="1:10" ht="12.75" customHeight="1" x14ac:dyDescent="0.2">
      <c r="A340" s="264">
        <v>253</v>
      </c>
      <c r="B340" s="42" t="s">
        <v>122</v>
      </c>
      <c r="C340" s="60"/>
      <c r="D340" s="76" t="s">
        <v>406</v>
      </c>
      <c r="E340" s="52">
        <v>14000000</v>
      </c>
      <c r="F340" s="166">
        <v>36000000</v>
      </c>
      <c r="G340" s="52">
        <v>29000000</v>
      </c>
      <c r="H340" s="327">
        <f>G340/F340*100</f>
        <v>80.555555555555557</v>
      </c>
      <c r="I340" s="295" t="s">
        <v>521</v>
      </c>
      <c r="J340" s="212"/>
    </row>
    <row r="341" spans="1:10" ht="12.75" customHeight="1" x14ac:dyDescent="0.2">
      <c r="A341" s="264">
        <v>254</v>
      </c>
      <c r="B341" s="42" t="s">
        <v>119</v>
      </c>
      <c r="C341" s="60"/>
      <c r="D341" s="76" t="s">
        <v>407</v>
      </c>
      <c r="E341" s="52">
        <v>1000000</v>
      </c>
      <c r="F341" s="166">
        <v>1000000</v>
      </c>
      <c r="G341" s="52">
        <v>1000000</v>
      </c>
      <c r="H341" s="327">
        <f>G341/F341*100</f>
        <v>100</v>
      </c>
      <c r="I341" s="295"/>
      <c r="J341" s="212"/>
    </row>
    <row r="342" spans="1:10" s="125" customFormat="1" ht="12.75" customHeight="1" x14ac:dyDescent="0.2">
      <c r="A342" s="264">
        <v>255</v>
      </c>
      <c r="B342" s="31"/>
      <c r="C342" s="73"/>
      <c r="D342" s="74" t="s">
        <v>338</v>
      </c>
      <c r="E342" s="51"/>
      <c r="F342" s="203"/>
      <c r="G342" s="51"/>
      <c r="H342" s="293"/>
      <c r="I342" s="108"/>
      <c r="J342" s="212"/>
    </row>
    <row r="343" spans="1:10" s="125" customFormat="1" ht="12.75" customHeight="1" x14ac:dyDescent="0.2">
      <c r="A343" s="264">
        <v>256</v>
      </c>
      <c r="B343" s="22" t="s">
        <v>123</v>
      </c>
      <c r="C343" s="23"/>
      <c r="D343" s="24" t="s">
        <v>408</v>
      </c>
      <c r="E343" s="25">
        <v>7000000</v>
      </c>
      <c r="F343" s="201">
        <v>7551325</v>
      </c>
      <c r="G343" s="25">
        <v>6350000</v>
      </c>
      <c r="H343" s="327">
        <f t="shared" ref="H343:H352" si="13">G343/F343*100</f>
        <v>84.091202537303062</v>
      </c>
      <c r="I343" s="292" t="s">
        <v>532</v>
      </c>
      <c r="J343" s="212"/>
    </row>
    <row r="344" spans="1:10" s="125" customFormat="1" ht="12.75" customHeight="1" x14ac:dyDescent="0.2">
      <c r="A344" s="264">
        <v>257</v>
      </c>
      <c r="B344" s="42" t="s">
        <v>140</v>
      </c>
      <c r="C344" s="60"/>
      <c r="D344" s="76" t="s">
        <v>409</v>
      </c>
      <c r="E344" s="52">
        <v>5500000</v>
      </c>
      <c r="F344" s="166">
        <v>5500000</v>
      </c>
      <c r="G344" s="52">
        <v>5500000</v>
      </c>
      <c r="H344" s="327">
        <f t="shared" si="13"/>
        <v>100</v>
      </c>
      <c r="I344" s="292"/>
      <c r="J344" s="212"/>
    </row>
    <row r="345" spans="1:10" s="125" customFormat="1" ht="12.75" customHeight="1" x14ac:dyDescent="0.2">
      <c r="A345" s="264">
        <v>258</v>
      </c>
      <c r="B345" s="42" t="s">
        <v>146</v>
      </c>
      <c r="C345" s="60"/>
      <c r="D345" s="76" t="s">
        <v>410</v>
      </c>
      <c r="E345" s="52">
        <v>7000000</v>
      </c>
      <c r="F345" s="166">
        <v>3000000</v>
      </c>
      <c r="G345" s="52">
        <v>1265075</v>
      </c>
      <c r="H345" s="327">
        <f t="shared" si="13"/>
        <v>42.169166666666669</v>
      </c>
      <c r="I345" s="295" t="s">
        <v>526</v>
      </c>
      <c r="J345" s="212"/>
    </row>
    <row r="346" spans="1:10" s="125" customFormat="1" ht="12.75" customHeight="1" x14ac:dyDescent="0.2">
      <c r="A346" s="264">
        <v>259</v>
      </c>
      <c r="B346" s="42" t="s">
        <v>143</v>
      </c>
      <c r="C346" s="60"/>
      <c r="D346" s="76" t="s">
        <v>411</v>
      </c>
      <c r="E346" s="52">
        <v>171800000</v>
      </c>
      <c r="F346" s="166">
        <v>29135644</v>
      </c>
      <c r="G346" s="52">
        <v>29135644</v>
      </c>
      <c r="H346" s="327">
        <f t="shared" si="13"/>
        <v>100</v>
      </c>
      <c r="I346" s="295" t="s">
        <v>521</v>
      </c>
      <c r="J346" s="212"/>
    </row>
    <row r="347" spans="1:10" s="125" customFormat="1" ht="12.75" customHeight="1" x14ac:dyDescent="0.2">
      <c r="A347" s="264">
        <v>260</v>
      </c>
      <c r="B347" s="42" t="s">
        <v>129</v>
      </c>
      <c r="C347" s="60"/>
      <c r="D347" s="76" t="s">
        <v>412</v>
      </c>
      <c r="E347" s="52"/>
      <c r="F347" s="166">
        <v>5330000</v>
      </c>
      <c r="G347" s="52">
        <v>5330000</v>
      </c>
      <c r="H347" s="327">
        <f t="shared" si="13"/>
        <v>100</v>
      </c>
      <c r="I347" s="292" t="s">
        <v>523</v>
      </c>
      <c r="J347" s="212"/>
    </row>
    <row r="348" spans="1:10" s="125" customFormat="1" ht="12.75" customHeight="1" x14ac:dyDescent="0.2">
      <c r="A348" s="264">
        <v>261</v>
      </c>
      <c r="B348" s="42" t="s">
        <v>125</v>
      </c>
      <c r="C348" s="60"/>
      <c r="D348" s="76" t="s">
        <v>413</v>
      </c>
      <c r="E348" s="52"/>
      <c r="F348" s="166">
        <v>1120000</v>
      </c>
      <c r="G348" s="52">
        <v>830000</v>
      </c>
      <c r="H348" s="327">
        <f t="shared" si="13"/>
        <v>74.107142857142861</v>
      </c>
      <c r="I348" s="292" t="s">
        <v>524</v>
      </c>
      <c r="J348" s="212"/>
    </row>
    <row r="349" spans="1:10" s="125" customFormat="1" ht="12.75" customHeight="1" x14ac:dyDescent="0.2">
      <c r="A349" s="264">
        <v>262</v>
      </c>
      <c r="B349" s="42" t="s">
        <v>133</v>
      </c>
      <c r="C349" s="60"/>
      <c r="D349" s="76" t="s">
        <v>414</v>
      </c>
      <c r="E349" s="52"/>
      <c r="F349" s="166">
        <v>936125</v>
      </c>
      <c r="G349" s="52">
        <v>889000</v>
      </c>
      <c r="H349" s="327">
        <f t="shared" si="13"/>
        <v>94.965950060088133</v>
      </c>
      <c r="I349" s="295" t="s">
        <v>524</v>
      </c>
      <c r="J349" s="212"/>
    </row>
    <row r="350" spans="1:10" s="125" customFormat="1" ht="12.75" customHeight="1" x14ac:dyDescent="0.2">
      <c r="A350" s="264">
        <v>263</v>
      </c>
      <c r="B350" s="42" t="s">
        <v>141</v>
      </c>
      <c r="C350" s="60"/>
      <c r="D350" s="76" t="s">
        <v>415</v>
      </c>
      <c r="E350" s="52"/>
      <c r="F350" s="166">
        <v>5000000</v>
      </c>
      <c r="G350" s="52">
        <v>5000000</v>
      </c>
      <c r="H350" s="327">
        <f t="shared" si="13"/>
        <v>100</v>
      </c>
      <c r="I350" s="292" t="s">
        <v>524</v>
      </c>
      <c r="J350" s="212"/>
    </row>
    <row r="351" spans="1:10" s="125" customFormat="1" ht="12.75" customHeight="1" x14ac:dyDescent="0.2">
      <c r="A351" s="264">
        <v>264</v>
      </c>
      <c r="B351" s="34" t="s">
        <v>142</v>
      </c>
      <c r="C351" s="147"/>
      <c r="D351" s="148" t="s">
        <v>416</v>
      </c>
      <c r="E351" s="52"/>
      <c r="F351" s="166">
        <v>1449991</v>
      </c>
      <c r="G351" s="52">
        <v>989870</v>
      </c>
      <c r="H351" s="327">
        <f t="shared" si="13"/>
        <v>68.267320279918977</v>
      </c>
      <c r="I351" s="292" t="s">
        <v>524</v>
      </c>
      <c r="J351" s="212"/>
    </row>
    <row r="352" spans="1:10" s="125" customFormat="1" ht="12.75" customHeight="1" x14ac:dyDescent="0.2">
      <c r="A352" s="264">
        <v>265</v>
      </c>
      <c r="B352" s="180" t="s">
        <v>515</v>
      </c>
      <c r="C352" s="147"/>
      <c r="D352" s="148" t="s">
        <v>516</v>
      </c>
      <c r="E352" s="52"/>
      <c r="F352" s="166">
        <v>18000000</v>
      </c>
      <c r="G352" s="52"/>
      <c r="H352" s="327">
        <f t="shared" si="13"/>
        <v>0</v>
      </c>
      <c r="I352" s="292" t="s">
        <v>526</v>
      </c>
      <c r="J352" s="212"/>
    </row>
    <row r="353" spans="1:10" s="125" customFormat="1" ht="12.75" customHeight="1" thickBot="1" x14ac:dyDescent="0.25">
      <c r="A353" s="264"/>
      <c r="B353" s="42"/>
      <c r="C353" s="60"/>
      <c r="D353" s="76"/>
      <c r="E353" s="52"/>
      <c r="F353" s="210"/>
      <c r="G353" s="52"/>
      <c r="H353" s="292"/>
      <c r="I353" s="295"/>
      <c r="J353" s="212"/>
    </row>
    <row r="354" spans="1:10" s="126" customFormat="1" ht="15" customHeight="1" thickTop="1" thickBot="1" x14ac:dyDescent="0.25">
      <c r="A354" s="264">
        <v>266</v>
      </c>
      <c r="B354" s="37"/>
      <c r="C354" s="369" t="s">
        <v>262</v>
      </c>
      <c r="D354" s="370"/>
      <c r="E354" s="320">
        <f>SUM(E324:E353)</f>
        <v>447066000</v>
      </c>
      <c r="F354" s="421">
        <f>SUM(F324:F353)</f>
        <v>395677442</v>
      </c>
      <c r="G354" s="320">
        <f>SUM(G324:G353)</f>
        <v>363574509</v>
      </c>
      <c r="H354" s="284">
        <f>G354/F354*100</f>
        <v>91.886590037144444</v>
      </c>
      <c r="I354" s="284"/>
      <c r="J354" s="212"/>
    </row>
    <row r="355" spans="1:10" s="125" customFormat="1" ht="14.25" thickTop="1" thickBot="1" x14ac:dyDescent="0.25">
      <c r="A355" s="264"/>
      <c r="B355" s="30"/>
      <c r="C355" s="62"/>
      <c r="D355" s="63"/>
      <c r="E355" s="51"/>
      <c r="F355" s="204"/>
      <c r="G355" s="51"/>
      <c r="H355" s="108"/>
      <c r="I355" s="108"/>
      <c r="J355" s="212"/>
    </row>
    <row r="356" spans="1:10" s="127" customFormat="1" ht="15" customHeight="1" thickBot="1" x14ac:dyDescent="0.25">
      <c r="A356" s="268">
        <v>267</v>
      </c>
      <c r="B356" s="243"/>
      <c r="C356" s="244"/>
      <c r="D356" s="245" t="s">
        <v>417</v>
      </c>
      <c r="E356" s="246">
        <f>E321+E354</f>
        <v>884238000</v>
      </c>
      <c r="F356" s="247">
        <f>F321+F354</f>
        <v>871164602</v>
      </c>
      <c r="G356" s="246">
        <f>G321+G354</f>
        <v>826281669</v>
      </c>
      <c r="H356" s="285">
        <f>G356/F356*100</f>
        <v>94.847938851399746</v>
      </c>
      <c r="I356" s="285"/>
      <c r="J356" s="212"/>
    </row>
    <row r="357" spans="1:10" s="186" customFormat="1" ht="12" customHeight="1" x14ac:dyDescent="0.2">
      <c r="A357" s="265"/>
      <c r="B357" s="183"/>
      <c r="C357" s="184"/>
      <c r="D357" s="185"/>
      <c r="E357" s="163"/>
      <c r="F357" s="199"/>
      <c r="G357" s="49"/>
      <c r="H357" s="116"/>
      <c r="I357" s="274"/>
      <c r="J357" s="212"/>
    </row>
    <row r="358" spans="1:10" s="187" customFormat="1" ht="15.75" x14ac:dyDescent="0.25">
      <c r="A358" s="264">
        <v>268</v>
      </c>
      <c r="B358" s="30"/>
      <c r="C358" s="96" t="s">
        <v>418</v>
      </c>
      <c r="D358" s="50"/>
      <c r="E358" s="21"/>
      <c r="F358" s="202"/>
      <c r="G358" s="21"/>
      <c r="H358" s="106"/>
      <c r="I358" s="275"/>
      <c r="J358" s="212"/>
    </row>
    <row r="359" spans="1:10" s="187" customFormat="1" ht="15.75" x14ac:dyDescent="0.25">
      <c r="A359" s="264"/>
      <c r="B359" s="30"/>
      <c r="C359" s="353"/>
      <c r="D359" s="50"/>
      <c r="E359" s="21"/>
      <c r="F359" s="202"/>
      <c r="G359" s="21"/>
      <c r="H359" s="106"/>
      <c r="I359" s="275"/>
      <c r="J359" s="212"/>
    </row>
    <row r="360" spans="1:10" s="187" customFormat="1" ht="15.75" x14ac:dyDescent="0.25">
      <c r="A360" s="264">
        <v>269</v>
      </c>
      <c r="B360" s="30"/>
      <c r="C360" s="96" t="s">
        <v>230</v>
      </c>
      <c r="D360" s="50"/>
      <c r="E360" s="21"/>
      <c r="F360" s="202"/>
      <c r="G360" s="21"/>
      <c r="H360" s="106"/>
      <c r="I360" s="275"/>
      <c r="J360" s="212"/>
    </row>
    <row r="361" spans="1:10" s="187" customFormat="1" ht="15.75" x14ac:dyDescent="0.25">
      <c r="A361" s="264"/>
      <c r="B361" s="30"/>
      <c r="C361" s="96"/>
      <c r="D361" s="50"/>
      <c r="E361" s="21"/>
      <c r="F361" s="202"/>
      <c r="G361" s="21"/>
      <c r="H361" s="106"/>
      <c r="I361" s="275"/>
      <c r="J361" s="212"/>
    </row>
    <row r="362" spans="1:10" s="187" customFormat="1" x14ac:dyDescent="0.2">
      <c r="A362" s="264">
        <v>270</v>
      </c>
      <c r="B362" s="224"/>
      <c r="C362" s="69"/>
      <c r="D362" s="70" t="s">
        <v>419</v>
      </c>
      <c r="E362" s="21"/>
      <c r="F362" s="202"/>
      <c r="G362" s="21"/>
      <c r="H362" s="294"/>
      <c r="I362" s="301"/>
      <c r="J362" s="212"/>
    </row>
    <row r="363" spans="1:10" s="187" customFormat="1" x14ac:dyDescent="0.2">
      <c r="A363" s="264">
        <v>271</v>
      </c>
      <c r="B363" s="225" t="s">
        <v>148</v>
      </c>
      <c r="C363" s="23"/>
      <c r="D363" s="46" t="s">
        <v>420</v>
      </c>
      <c r="E363" s="25">
        <v>1080000</v>
      </c>
      <c r="F363" s="201">
        <v>1080000</v>
      </c>
      <c r="G363" s="25">
        <v>1080000</v>
      </c>
      <c r="H363" s="327">
        <f t="shared" ref="H363:H371" si="14">G363/F363*100</f>
        <v>100</v>
      </c>
      <c r="I363" s="302"/>
      <c r="J363" s="212"/>
    </row>
    <row r="364" spans="1:10" s="187" customFormat="1" x14ac:dyDescent="0.2">
      <c r="A364" s="264">
        <v>272</v>
      </c>
      <c r="B364" s="226" t="s">
        <v>149</v>
      </c>
      <c r="C364" s="23"/>
      <c r="D364" s="46" t="s">
        <v>421</v>
      </c>
      <c r="E364" s="25">
        <v>1080000</v>
      </c>
      <c r="F364" s="201">
        <v>1080000</v>
      </c>
      <c r="G364" s="25">
        <v>1080000</v>
      </c>
      <c r="H364" s="327">
        <f t="shared" si="14"/>
        <v>100</v>
      </c>
      <c r="I364" s="302"/>
      <c r="J364" s="212"/>
    </row>
    <row r="365" spans="1:10" s="187" customFormat="1" x14ac:dyDescent="0.2">
      <c r="A365" s="264">
        <v>273</v>
      </c>
      <c r="B365" s="226" t="s">
        <v>150</v>
      </c>
      <c r="C365" s="23"/>
      <c r="D365" s="46" t="s">
        <v>422</v>
      </c>
      <c r="E365" s="25">
        <v>1080000</v>
      </c>
      <c r="F365" s="201">
        <v>1080000</v>
      </c>
      <c r="G365" s="25">
        <v>1080000</v>
      </c>
      <c r="H365" s="327">
        <f t="shared" si="14"/>
        <v>100</v>
      </c>
      <c r="I365" s="302"/>
      <c r="J365" s="212"/>
    </row>
    <row r="366" spans="1:10" s="187" customFormat="1" x14ac:dyDescent="0.2">
      <c r="A366" s="264">
        <v>274</v>
      </c>
      <c r="B366" s="226" t="s">
        <v>151</v>
      </c>
      <c r="C366" s="23"/>
      <c r="D366" s="46" t="s">
        <v>423</v>
      </c>
      <c r="E366" s="25">
        <v>1080000</v>
      </c>
      <c r="F366" s="201">
        <v>1080000</v>
      </c>
      <c r="G366" s="25">
        <v>1080000</v>
      </c>
      <c r="H366" s="327">
        <f t="shared" si="14"/>
        <v>100</v>
      </c>
      <c r="I366" s="302"/>
      <c r="J366" s="212"/>
    </row>
    <row r="367" spans="1:10" s="187" customFormat="1" x14ac:dyDescent="0.2">
      <c r="A367" s="264">
        <v>275</v>
      </c>
      <c r="B367" s="226" t="s">
        <v>156</v>
      </c>
      <c r="C367" s="23"/>
      <c r="D367" s="46" t="s">
        <v>424</v>
      </c>
      <c r="E367" s="25">
        <v>1080000</v>
      </c>
      <c r="F367" s="201">
        <v>1080000</v>
      </c>
      <c r="G367" s="25">
        <v>1080000</v>
      </c>
      <c r="H367" s="327">
        <f t="shared" si="14"/>
        <v>100</v>
      </c>
      <c r="I367" s="302"/>
      <c r="J367" s="212"/>
    </row>
    <row r="368" spans="1:10" s="187" customFormat="1" x14ac:dyDescent="0.2">
      <c r="A368" s="264">
        <v>276</v>
      </c>
      <c r="B368" s="226" t="s">
        <v>152</v>
      </c>
      <c r="C368" s="23"/>
      <c r="D368" s="46" t="s">
        <v>425</v>
      </c>
      <c r="E368" s="25">
        <v>1080000</v>
      </c>
      <c r="F368" s="201">
        <v>1080000</v>
      </c>
      <c r="G368" s="25">
        <v>1080000</v>
      </c>
      <c r="H368" s="327">
        <f t="shared" si="14"/>
        <v>100</v>
      </c>
      <c r="I368" s="302"/>
      <c r="J368" s="212"/>
    </row>
    <row r="369" spans="1:10" s="187" customFormat="1" x14ac:dyDescent="0.2">
      <c r="A369" s="264">
        <v>277</v>
      </c>
      <c r="B369" s="226" t="s">
        <v>153</v>
      </c>
      <c r="C369" s="23"/>
      <c r="D369" s="46" t="s">
        <v>426</v>
      </c>
      <c r="E369" s="25">
        <v>1080000</v>
      </c>
      <c r="F369" s="201">
        <v>1080000</v>
      </c>
      <c r="G369" s="25">
        <v>1080000</v>
      </c>
      <c r="H369" s="327">
        <f t="shared" si="14"/>
        <v>100</v>
      </c>
      <c r="I369" s="302"/>
      <c r="J369" s="212"/>
    </row>
    <row r="370" spans="1:10" s="187" customFormat="1" x14ac:dyDescent="0.2">
      <c r="A370" s="264">
        <v>278</v>
      </c>
      <c r="B370" s="226" t="s">
        <v>154</v>
      </c>
      <c r="C370" s="23"/>
      <c r="D370" s="46" t="s">
        <v>427</v>
      </c>
      <c r="E370" s="25">
        <v>1080000</v>
      </c>
      <c r="F370" s="201">
        <v>1080000</v>
      </c>
      <c r="G370" s="25">
        <v>1080000</v>
      </c>
      <c r="H370" s="327">
        <f t="shared" si="14"/>
        <v>100</v>
      </c>
      <c r="I370" s="302"/>
      <c r="J370" s="212"/>
    </row>
    <row r="371" spans="1:10" s="187" customFormat="1" x14ac:dyDescent="0.2">
      <c r="A371" s="264">
        <v>279</v>
      </c>
      <c r="B371" s="226" t="s">
        <v>155</v>
      </c>
      <c r="C371" s="60"/>
      <c r="D371" s="61" t="s">
        <v>428</v>
      </c>
      <c r="E371" s="52">
        <v>1080000</v>
      </c>
      <c r="F371" s="166">
        <v>1080000</v>
      </c>
      <c r="G371" s="25">
        <v>1080000</v>
      </c>
      <c r="H371" s="327">
        <f t="shared" si="14"/>
        <v>100</v>
      </c>
      <c r="I371" s="303"/>
      <c r="J371" s="212"/>
    </row>
    <row r="372" spans="1:10" s="187" customFormat="1" x14ac:dyDescent="0.2">
      <c r="A372" s="264">
        <v>280</v>
      </c>
      <c r="B372" s="86"/>
      <c r="C372" s="73"/>
      <c r="D372" s="74" t="s">
        <v>429</v>
      </c>
      <c r="E372" s="51"/>
      <c r="F372" s="204"/>
      <c r="G372" s="51"/>
      <c r="H372" s="293"/>
      <c r="I372" s="304"/>
      <c r="J372" s="212"/>
    </row>
    <row r="373" spans="1:10" s="187" customFormat="1" x14ac:dyDescent="0.2">
      <c r="A373" s="264">
        <v>281</v>
      </c>
      <c r="B373" s="22" t="s">
        <v>166</v>
      </c>
      <c r="C373" s="72"/>
      <c r="D373" s="24" t="s">
        <v>430</v>
      </c>
      <c r="E373" s="25">
        <v>10800000</v>
      </c>
      <c r="F373" s="201">
        <v>17281256</v>
      </c>
      <c r="G373" s="25">
        <v>5255849</v>
      </c>
      <c r="H373" s="327">
        <f>G373/F373*100</f>
        <v>30.413582207219196</v>
      </c>
      <c r="I373" s="292" t="s">
        <v>521</v>
      </c>
      <c r="J373" s="212"/>
    </row>
    <row r="374" spans="1:10" s="187" customFormat="1" ht="12.75" customHeight="1" x14ac:dyDescent="0.2">
      <c r="A374" s="264">
        <v>282</v>
      </c>
      <c r="B374" s="42" t="s">
        <v>167</v>
      </c>
      <c r="C374" s="75"/>
      <c r="D374" s="156" t="s">
        <v>431</v>
      </c>
      <c r="E374" s="52">
        <v>65000000</v>
      </c>
      <c r="F374" s="166">
        <f>65000000+36909050</f>
        <v>101909050</v>
      </c>
      <c r="G374" s="52">
        <v>28782000</v>
      </c>
      <c r="H374" s="327">
        <f>G374/F374*100</f>
        <v>28.242830249129003</v>
      </c>
      <c r="I374" s="295" t="s">
        <v>522</v>
      </c>
      <c r="J374" s="212"/>
    </row>
    <row r="375" spans="1:10" s="187" customFormat="1" x14ac:dyDescent="0.2">
      <c r="A375" s="264">
        <v>283</v>
      </c>
      <c r="B375" s="22" t="s">
        <v>165</v>
      </c>
      <c r="C375" s="23"/>
      <c r="D375" s="46" t="s">
        <v>432</v>
      </c>
      <c r="E375" s="25">
        <v>1445000</v>
      </c>
      <c r="F375" s="201">
        <v>1291883</v>
      </c>
      <c r="G375" s="143">
        <v>576161</v>
      </c>
      <c r="H375" s="327">
        <f>G375/F375*100</f>
        <v>44.598543366543254</v>
      </c>
      <c r="I375" s="292" t="s">
        <v>521</v>
      </c>
      <c r="J375" s="212"/>
    </row>
    <row r="376" spans="1:10" s="187" customFormat="1" x14ac:dyDescent="0.2">
      <c r="A376" s="264">
        <v>284</v>
      </c>
      <c r="B376" s="31"/>
      <c r="C376" s="73"/>
      <c r="D376" s="74" t="s">
        <v>338</v>
      </c>
      <c r="E376" s="51"/>
      <c r="F376" s="204"/>
      <c r="G376" s="51"/>
      <c r="H376" s="293"/>
      <c r="I376" s="304"/>
      <c r="J376" s="212"/>
    </row>
    <row r="377" spans="1:10" s="187" customFormat="1" x14ac:dyDescent="0.2">
      <c r="A377" s="264">
        <v>285</v>
      </c>
      <c r="B377" s="22" t="s">
        <v>169</v>
      </c>
      <c r="C377" s="72"/>
      <c r="D377" s="24" t="s">
        <v>433</v>
      </c>
      <c r="E377" s="25">
        <v>119973000</v>
      </c>
      <c r="F377" s="201">
        <v>119973000</v>
      </c>
      <c r="G377" s="25">
        <v>112694632</v>
      </c>
      <c r="H377" s="327">
        <f t="shared" ref="H377:H384" si="15">G377/F377*100</f>
        <v>93.933328332208077</v>
      </c>
      <c r="I377" s="276"/>
      <c r="J377" s="212"/>
    </row>
    <row r="378" spans="1:10" s="187" customFormat="1" x14ac:dyDescent="0.2">
      <c r="A378" s="264">
        <v>286</v>
      </c>
      <c r="B378" s="225" t="s">
        <v>158</v>
      </c>
      <c r="C378" s="72"/>
      <c r="D378" s="46" t="s">
        <v>434</v>
      </c>
      <c r="E378" s="25">
        <v>150000000</v>
      </c>
      <c r="F378" s="201">
        <v>384933507</v>
      </c>
      <c r="G378" s="25">
        <v>243325106</v>
      </c>
      <c r="H378" s="327">
        <f t="shared" si="15"/>
        <v>63.212243562886307</v>
      </c>
      <c r="I378" s="292" t="s">
        <v>532</v>
      </c>
      <c r="J378" s="212"/>
    </row>
    <row r="379" spans="1:10" s="187" customFormat="1" x14ac:dyDescent="0.2">
      <c r="A379" s="264">
        <v>287</v>
      </c>
      <c r="B379" s="225" t="s">
        <v>159</v>
      </c>
      <c r="C379" s="72"/>
      <c r="D379" s="46" t="s">
        <v>435</v>
      </c>
      <c r="E379" s="25"/>
      <c r="F379" s="201">
        <v>425053980</v>
      </c>
      <c r="G379" s="25">
        <v>200218473</v>
      </c>
      <c r="H379" s="327">
        <f t="shared" si="15"/>
        <v>47.1042461477481</v>
      </c>
      <c r="I379" s="292" t="s">
        <v>533</v>
      </c>
      <c r="J379" s="212"/>
    </row>
    <row r="380" spans="1:10" s="187" customFormat="1" x14ac:dyDescent="0.2">
      <c r="A380" s="264">
        <v>288</v>
      </c>
      <c r="B380" s="225" t="s">
        <v>160</v>
      </c>
      <c r="C380" s="72"/>
      <c r="D380" s="46" t="s">
        <v>436</v>
      </c>
      <c r="E380" s="25">
        <v>5024920</v>
      </c>
      <c r="F380" s="201">
        <v>5024920</v>
      </c>
      <c r="G380" s="25">
        <v>5024920</v>
      </c>
      <c r="H380" s="327">
        <f t="shared" si="15"/>
        <v>100</v>
      </c>
      <c r="I380" s="302"/>
      <c r="J380" s="212"/>
    </row>
    <row r="381" spans="1:10" s="187" customFormat="1" x14ac:dyDescent="0.2">
      <c r="A381" s="264">
        <v>289</v>
      </c>
      <c r="B381" s="225" t="s">
        <v>147</v>
      </c>
      <c r="C381" s="72"/>
      <c r="D381" s="46" t="s">
        <v>493</v>
      </c>
      <c r="E381" s="25"/>
      <c r="F381" s="201">
        <v>4787689</v>
      </c>
      <c r="G381" s="25">
        <v>0</v>
      </c>
      <c r="H381" s="327">
        <f t="shared" si="15"/>
        <v>0</v>
      </c>
      <c r="I381" s="292" t="s">
        <v>523</v>
      </c>
      <c r="J381" s="212"/>
    </row>
    <row r="382" spans="1:10" s="187" customFormat="1" ht="25.5" x14ac:dyDescent="0.2">
      <c r="A382" s="264">
        <v>290</v>
      </c>
      <c r="B382" s="225" t="s">
        <v>168</v>
      </c>
      <c r="C382" s="72"/>
      <c r="D382" s="151" t="s">
        <v>437</v>
      </c>
      <c r="E382" s="25">
        <v>5000000</v>
      </c>
      <c r="F382" s="201">
        <v>155506916</v>
      </c>
      <c r="G382" s="25">
        <v>126542111</v>
      </c>
      <c r="H382" s="327">
        <f t="shared" si="15"/>
        <v>81.373944165930212</v>
      </c>
      <c r="I382" s="299" t="s">
        <v>534</v>
      </c>
      <c r="J382" s="212"/>
    </row>
    <row r="383" spans="1:10" s="187" customFormat="1" ht="25.5" x14ac:dyDescent="0.2">
      <c r="A383" s="264">
        <v>291</v>
      </c>
      <c r="B383" s="225" t="s">
        <v>518</v>
      </c>
      <c r="C383" s="72"/>
      <c r="D383" s="151" t="s">
        <v>519</v>
      </c>
      <c r="E383" s="25"/>
      <c r="F383" s="201">
        <v>17026893</v>
      </c>
      <c r="G383" s="25"/>
      <c r="H383" s="327"/>
      <c r="I383" s="292" t="s">
        <v>523</v>
      </c>
      <c r="J383" s="212"/>
    </row>
    <row r="384" spans="1:10" s="214" customFormat="1" ht="25.5" x14ac:dyDescent="0.2">
      <c r="A384" s="264">
        <v>292</v>
      </c>
      <c r="B384" s="227" t="s">
        <v>438</v>
      </c>
      <c r="C384" s="228"/>
      <c r="D384" s="177" t="s">
        <v>439</v>
      </c>
      <c r="E384" s="143">
        <v>327215000</v>
      </c>
      <c r="F384" s="201">
        <v>412070308</v>
      </c>
      <c r="G384" s="143">
        <v>277437217</v>
      </c>
      <c r="H384" s="328">
        <f t="shared" si="15"/>
        <v>67.327640845212272</v>
      </c>
      <c r="I384" s="283" t="s">
        <v>534</v>
      </c>
      <c r="J384" s="213"/>
    </row>
    <row r="385" spans="1:10" s="214" customFormat="1" x14ac:dyDescent="0.2">
      <c r="A385" s="264">
        <v>293</v>
      </c>
      <c r="B385" s="227" t="s">
        <v>163</v>
      </c>
      <c r="C385" s="228"/>
      <c r="D385" s="177"/>
      <c r="E385" s="143"/>
      <c r="F385" s="201"/>
      <c r="G385" s="143"/>
      <c r="H385" s="297"/>
      <c r="I385" s="305"/>
      <c r="J385" s="213"/>
    </row>
    <row r="386" spans="1:10" s="187" customFormat="1" x14ac:dyDescent="0.2">
      <c r="A386" s="264">
        <v>294</v>
      </c>
      <c r="B386" s="226" t="s">
        <v>164</v>
      </c>
      <c r="C386" s="75"/>
      <c r="D386" s="61" t="s">
        <v>440</v>
      </c>
      <c r="E386" s="52">
        <v>65685254</v>
      </c>
      <c r="F386" s="166">
        <f>65685254+7254830</f>
        <v>72940084</v>
      </c>
      <c r="G386" s="52">
        <v>57356822</v>
      </c>
      <c r="H386" s="330">
        <f>G386/F386*100</f>
        <v>78.635530499251956</v>
      </c>
      <c r="I386" s="295" t="s">
        <v>526</v>
      </c>
      <c r="J386" s="212"/>
    </row>
    <row r="387" spans="1:10" s="214" customFormat="1" x14ac:dyDescent="0.2">
      <c r="A387" s="264">
        <v>295</v>
      </c>
      <c r="B387" s="229" t="s">
        <v>441</v>
      </c>
      <c r="C387" s="181"/>
      <c r="D387" s="230" t="s">
        <v>442</v>
      </c>
      <c r="E387" s="165">
        <v>63823000</v>
      </c>
      <c r="F387" s="166">
        <v>63823000</v>
      </c>
      <c r="G387" s="165">
        <v>51223049</v>
      </c>
      <c r="H387" s="328">
        <f>G387/F387*100</f>
        <v>80.257977531610862</v>
      </c>
      <c r="I387" s="306"/>
      <c r="J387" s="213"/>
    </row>
    <row r="388" spans="1:10" s="215" customFormat="1" ht="12.75" customHeight="1" x14ac:dyDescent="0.2">
      <c r="A388" s="264">
        <v>296</v>
      </c>
      <c r="B388" s="138" t="s">
        <v>170</v>
      </c>
      <c r="C388" s="181"/>
      <c r="D388" s="230"/>
      <c r="E388" s="165"/>
      <c r="F388" s="166"/>
      <c r="G388" s="165"/>
      <c r="H388" s="297"/>
      <c r="I388" s="306"/>
      <c r="J388" s="213"/>
    </row>
    <row r="389" spans="1:10" s="187" customFormat="1" x14ac:dyDescent="0.2">
      <c r="A389" s="264">
        <v>297</v>
      </c>
      <c r="B389" s="225" t="s">
        <v>177</v>
      </c>
      <c r="C389" s="23"/>
      <c r="D389" s="46" t="s">
        <v>443</v>
      </c>
      <c r="E389" s="25">
        <v>65685000</v>
      </c>
      <c r="F389" s="201">
        <f>65685000+94782568</f>
        <v>160467568</v>
      </c>
      <c r="G389" s="25">
        <v>112864940</v>
      </c>
      <c r="H389" s="327">
        <f>G389/F389*100</f>
        <v>70.335047391009255</v>
      </c>
      <c r="I389" s="292" t="s">
        <v>522</v>
      </c>
      <c r="J389" s="212"/>
    </row>
    <row r="390" spans="1:10" s="187" customFormat="1" ht="25.5" x14ac:dyDescent="0.2">
      <c r="A390" s="264">
        <v>298</v>
      </c>
      <c r="B390" s="225" t="s">
        <v>186</v>
      </c>
      <c r="C390" s="23"/>
      <c r="D390" s="151" t="s">
        <v>495</v>
      </c>
      <c r="E390" s="25"/>
      <c r="F390" s="201">
        <v>122222612</v>
      </c>
      <c r="G390" s="25"/>
      <c r="H390" s="327">
        <f>G390/F390*100</f>
        <v>0</v>
      </c>
      <c r="I390" s="292" t="s">
        <v>523</v>
      </c>
      <c r="J390" s="212"/>
    </row>
    <row r="391" spans="1:10" s="187" customFormat="1" x14ac:dyDescent="0.2">
      <c r="A391" s="264">
        <v>299</v>
      </c>
      <c r="B391" s="226" t="s">
        <v>190</v>
      </c>
      <c r="C391" s="60"/>
      <c r="D391" s="61" t="s">
        <v>444</v>
      </c>
      <c r="E391" s="52"/>
      <c r="F391" s="166">
        <v>1903440470</v>
      </c>
      <c r="G391" s="52">
        <v>1211303849</v>
      </c>
      <c r="H391" s="330">
        <f>G391/F391*100</f>
        <v>63.637600864922241</v>
      </c>
      <c r="I391" s="295" t="s">
        <v>526</v>
      </c>
      <c r="J391" s="212"/>
    </row>
    <row r="392" spans="1:10" s="187" customFormat="1" x14ac:dyDescent="0.2">
      <c r="A392" s="264">
        <v>300</v>
      </c>
      <c r="B392" s="225" t="s">
        <v>497</v>
      </c>
      <c r="C392" s="23"/>
      <c r="D392" s="46" t="s">
        <v>498</v>
      </c>
      <c r="E392" s="25"/>
      <c r="F392" s="201">
        <v>4012322</v>
      </c>
      <c r="G392" s="25">
        <v>3951672</v>
      </c>
      <c r="H392" s="327">
        <f>G392/F392*100</f>
        <v>98.488406463887983</v>
      </c>
      <c r="I392" s="292" t="s">
        <v>535</v>
      </c>
      <c r="J392" s="212"/>
    </row>
    <row r="393" spans="1:10" s="187" customFormat="1" x14ac:dyDescent="0.2">
      <c r="A393" s="264">
        <v>301</v>
      </c>
      <c r="B393" s="225" t="s">
        <v>195</v>
      </c>
      <c r="C393" s="23"/>
      <c r="D393" s="46" t="s">
        <v>445</v>
      </c>
      <c r="E393" s="25"/>
      <c r="F393" s="201"/>
      <c r="G393" s="25">
        <v>13562813</v>
      </c>
      <c r="H393" s="327"/>
      <c r="I393" s="302"/>
      <c r="J393" s="212"/>
    </row>
    <row r="394" spans="1:10" s="187" customFormat="1" ht="13.5" thickBot="1" x14ac:dyDescent="0.25">
      <c r="A394" s="264"/>
      <c r="B394" s="231"/>
      <c r="C394" s="69"/>
      <c r="D394" s="82"/>
      <c r="E394" s="217"/>
      <c r="F394" s="232"/>
      <c r="G394" s="217"/>
      <c r="H394" s="218"/>
      <c r="I394" s="275"/>
      <c r="J394" s="212"/>
    </row>
    <row r="395" spans="1:10" s="187" customFormat="1" ht="14.25" thickTop="1" thickBot="1" x14ac:dyDescent="0.25">
      <c r="A395" s="264">
        <v>302</v>
      </c>
      <c r="B395" s="37"/>
      <c r="C395" s="369" t="s">
        <v>251</v>
      </c>
      <c r="D395" s="370"/>
      <c r="E395" s="320">
        <f>SUM(E359:E394)</f>
        <v>889371174</v>
      </c>
      <c r="F395" s="421">
        <f>SUM(F359:F394)</f>
        <v>3981485458</v>
      </c>
      <c r="G395" s="320">
        <f>SUM(G359:G394)</f>
        <v>2459839614</v>
      </c>
      <c r="H395" s="284">
        <f>G395/F395*100</f>
        <v>61.781956507148436</v>
      </c>
      <c r="I395" s="290"/>
      <c r="J395" s="212"/>
    </row>
    <row r="396" spans="1:10" s="187" customFormat="1" ht="13.5" thickTop="1" x14ac:dyDescent="0.2">
      <c r="A396" s="264"/>
      <c r="B396" s="99"/>
      <c r="C396" s="100"/>
      <c r="D396" s="101"/>
      <c r="E396" s="102"/>
      <c r="F396" s="233"/>
      <c r="G396" s="102"/>
      <c r="H396" s="119"/>
      <c r="I396" s="277"/>
      <c r="J396" s="212"/>
    </row>
    <row r="397" spans="1:10" s="187" customFormat="1" ht="15.75" customHeight="1" x14ac:dyDescent="0.25">
      <c r="A397" s="264">
        <v>303</v>
      </c>
      <c r="B397" s="30"/>
      <c r="C397" s="353" t="s">
        <v>252</v>
      </c>
      <c r="D397" s="45"/>
      <c r="E397" s="21"/>
      <c r="F397" s="202"/>
      <c r="G397" s="21"/>
      <c r="H397" s="106"/>
      <c r="I397" s="275"/>
      <c r="J397" s="212"/>
    </row>
    <row r="398" spans="1:10" s="187" customFormat="1" ht="12.75" customHeight="1" x14ac:dyDescent="0.25">
      <c r="A398" s="264"/>
      <c r="B398" s="30"/>
      <c r="C398" s="353"/>
      <c r="D398" s="45"/>
      <c r="E398" s="21"/>
      <c r="F398" s="202"/>
      <c r="G398" s="21"/>
      <c r="H398" s="106"/>
      <c r="I398" s="275"/>
      <c r="J398" s="212"/>
    </row>
    <row r="399" spans="1:10" s="189" customFormat="1" ht="12.75" customHeight="1" x14ac:dyDescent="0.25">
      <c r="A399" s="264">
        <v>304</v>
      </c>
      <c r="B399" s="30"/>
      <c r="C399" s="353" t="s">
        <v>446</v>
      </c>
      <c r="D399" s="82"/>
      <c r="E399" s="21"/>
      <c r="F399" s="202"/>
      <c r="G399" s="21"/>
      <c r="H399" s="106"/>
      <c r="I399" s="275"/>
      <c r="J399" s="212"/>
    </row>
    <row r="400" spans="1:10" s="187" customFormat="1" x14ac:dyDescent="0.2">
      <c r="A400" s="264">
        <v>305</v>
      </c>
      <c r="B400" s="30"/>
      <c r="C400" s="44"/>
      <c r="D400" s="70" t="s">
        <v>447</v>
      </c>
      <c r="E400" s="21"/>
      <c r="F400" s="202"/>
      <c r="G400" s="21"/>
      <c r="H400" s="106"/>
      <c r="I400" s="275"/>
      <c r="J400" s="212"/>
    </row>
    <row r="401" spans="1:10" s="187" customFormat="1" x14ac:dyDescent="0.2">
      <c r="A401" s="264">
        <v>306</v>
      </c>
      <c r="B401" s="22" t="s">
        <v>161</v>
      </c>
      <c r="C401" s="442"/>
      <c r="D401" s="46" t="s">
        <v>448</v>
      </c>
      <c r="E401" s="25">
        <v>36500000</v>
      </c>
      <c r="F401" s="201">
        <v>44566782</v>
      </c>
      <c r="G401" s="25">
        <v>42153637</v>
      </c>
      <c r="H401" s="327">
        <f>G401/F401*100</f>
        <v>94.58532814866463</v>
      </c>
      <c r="I401" s="282" t="s">
        <v>521</v>
      </c>
      <c r="J401" s="212"/>
    </row>
    <row r="402" spans="1:10" s="187" customFormat="1" x14ac:dyDescent="0.2">
      <c r="A402" s="264">
        <v>307</v>
      </c>
      <c r="B402" s="22" t="s">
        <v>162</v>
      </c>
      <c r="C402" s="23"/>
      <c r="D402" s="24" t="s">
        <v>449</v>
      </c>
      <c r="E402" s="25">
        <v>7000000</v>
      </c>
      <c r="F402" s="201">
        <v>7915685</v>
      </c>
      <c r="G402" s="25">
        <v>6900000</v>
      </c>
      <c r="H402" s="327">
        <f>G402/F402*100</f>
        <v>87.16870365609546</v>
      </c>
      <c r="I402" s="282" t="s">
        <v>532</v>
      </c>
      <c r="J402" s="212"/>
    </row>
    <row r="403" spans="1:10" s="214" customFormat="1" ht="25.5" x14ac:dyDescent="0.2">
      <c r="A403" s="264">
        <v>308</v>
      </c>
      <c r="B403" s="142" t="s">
        <v>450</v>
      </c>
      <c r="C403" s="234"/>
      <c r="D403" s="235" t="s">
        <v>451</v>
      </c>
      <c r="E403" s="143">
        <v>11200000</v>
      </c>
      <c r="F403" s="201">
        <v>16149915</v>
      </c>
      <c r="G403" s="143">
        <v>7911421</v>
      </c>
      <c r="H403" s="328">
        <f>G403/F403*100</f>
        <v>48.98738476332538</v>
      </c>
      <c r="I403" s="283" t="s">
        <v>536</v>
      </c>
      <c r="J403" s="213"/>
    </row>
    <row r="404" spans="1:10" s="214" customFormat="1" x14ac:dyDescent="0.2">
      <c r="A404" s="264">
        <v>309</v>
      </c>
      <c r="B404" s="142" t="s">
        <v>171</v>
      </c>
      <c r="C404" s="234"/>
      <c r="D404" s="235"/>
      <c r="E404" s="143"/>
      <c r="F404" s="201"/>
      <c r="G404" s="143"/>
      <c r="H404" s="297"/>
      <c r="I404" s="305"/>
      <c r="J404" s="213"/>
    </row>
    <row r="405" spans="1:10" s="214" customFormat="1" ht="25.5" x14ac:dyDescent="0.2">
      <c r="A405" s="264">
        <v>310</v>
      </c>
      <c r="B405" s="142" t="s">
        <v>452</v>
      </c>
      <c r="C405" s="234"/>
      <c r="D405" s="235" t="s">
        <v>453</v>
      </c>
      <c r="E405" s="143">
        <v>50000000</v>
      </c>
      <c r="F405" s="201">
        <v>66893285</v>
      </c>
      <c r="G405" s="143">
        <v>50311334</v>
      </c>
      <c r="H405" s="328">
        <f>G405/F405*100</f>
        <v>75.211336982478883</v>
      </c>
      <c r="I405" s="283" t="s">
        <v>536</v>
      </c>
      <c r="J405" s="213"/>
    </row>
    <row r="406" spans="1:10" s="214" customFormat="1" x14ac:dyDescent="0.2">
      <c r="A406" s="264">
        <v>311</v>
      </c>
      <c r="B406" s="142" t="s">
        <v>454</v>
      </c>
      <c r="C406" s="234"/>
      <c r="D406" s="235"/>
      <c r="E406" s="143"/>
      <c r="F406" s="201"/>
      <c r="G406" s="143"/>
      <c r="H406" s="297"/>
      <c r="I406" s="305"/>
      <c r="J406" s="213"/>
    </row>
    <row r="407" spans="1:10" s="214" customFormat="1" x14ac:dyDescent="0.2">
      <c r="A407" s="264">
        <v>312</v>
      </c>
      <c r="B407" s="236"/>
      <c r="C407" s="237"/>
      <c r="D407" s="238" t="s">
        <v>455</v>
      </c>
      <c r="E407" s="219"/>
      <c r="F407" s="204"/>
      <c r="G407" s="219"/>
      <c r="H407" s="331"/>
      <c r="I407" s="307"/>
      <c r="J407" s="213"/>
    </row>
    <row r="408" spans="1:10" s="187" customFormat="1" x14ac:dyDescent="0.2">
      <c r="A408" s="264">
        <v>313</v>
      </c>
      <c r="B408" s="30"/>
      <c r="C408" s="44"/>
      <c r="D408" s="70" t="s">
        <v>456</v>
      </c>
      <c r="E408" s="21"/>
      <c r="F408" s="202"/>
      <c r="G408" s="21"/>
      <c r="H408" s="294"/>
      <c r="I408" s="301"/>
      <c r="J408" s="212"/>
    </row>
    <row r="409" spans="1:10" s="187" customFormat="1" x14ac:dyDescent="0.2">
      <c r="A409" s="264">
        <v>314</v>
      </c>
      <c r="B409" s="22" t="s">
        <v>172</v>
      </c>
      <c r="C409" s="23"/>
      <c r="D409" s="24" t="s">
        <v>457</v>
      </c>
      <c r="E409" s="25">
        <v>4200000</v>
      </c>
      <c r="F409" s="201">
        <v>4747980</v>
      </c>
      <c r="G409" s="25">
        <v>4747980</v>
      </c>
      <c r="H409" s="327">
        <f>G409/F409*100</f>
        <v>100</v>
      </c>
      <c r="I409" s="292" t="s">
        <v>526</v>
      </c>
      <c r="J409" s="212"/>
    </row>
    <row r="410" spans="1:10" s="187" customFormat="1" x14ac:dyDescent="0.2">
      <c r="A410" s="264">
        <v>315</v>
      </c>
      <c r="B410" s="42" t="s">
        <v>174</v>
      </c>
      <c r="C410" s="60"/>
      <c r="D410" s="76" t="s">
        <v>458</v>
      </c>
      <c r="E410" s="52">
        <v>4800000</v>
      </c>
      <c r="F410" s="166">
        <v>8142280</v>
      </c>
      <c r="G410" s="52">
        <v>7288487</v>
      </c>
      <c r="H410" s="327">
        <f>G410/F410*100</f>
        <v>89.51407959441336</v>
      </c>
      <c r="I410" s="295" t="s">
        <v>521</v>
      </c>
      <c r="J410" s="212"/>
    </row>
    <row r="411" spans="1:10" s="187" customFormat="1" x14ac:dyDescent="0.2">
      <c r="A411" s="264">
        <v>316</v>
      </c>
      <c r="B411" s="22" t="s">
        <v>175</v>
      </c>
      <c r="C411" s="23"/>
      <c r="D411" s="24" t="s">
        <v>459</v>
      </c>
      <c r="E411" s="25">
        <v>300000</v>
      </c>
      <c r="F411" s="201">
        <v>300000</v>
      </c>
      <c r="G411" s="25"/>
      <c r="H411" s="327">
        <f>G411/F411*100</f>
        <v>0</v>
      </c>
      <c r="I411" s="292"/>
      <c r="J411" s="212"/>
    </row>
    <row r="412" spans="1:10" s="187" customFormat="1" x14ac:dyDescent="0.2">
      <c r="A412" s="264">
        <v>317</v>
      </c>
      <c r="B412" s="103"/>
      <c r="C412" s="239"/>
      <c r="D412" s="98" t="s">
        <v>460</v>
      </c>
      <c r="E412" s="21"/>
      <c r="F412" s="202"/>
      <c r="G412" s="21"/>
      <c r="H412" s="294"/>
      <c r="I412" s="294"/>
      <c r="J412" s="212"/>
    </row>
    <row r="413" spans="1:10" s="187" customFormat="1" x14ac:dyDescent="0.2">
      <c r="A413" s="264">
        <v>318</v>
      </c>
      <c r="B413" s="55" t="s">
        <v>157</v>
      </c>
      <c r="C413" s="57"/>
      <c r="D413" s="58" t="s">
        <v>542</v>
      </c>
      <c r="E413" s="21"/>
      <c r="F413" s="202">
        <v>2277107</v>
      </c>
      <c r="G413" s="21">
        <v>2277107</v>
      </c>
      <c r="H413" s="327">
        <f>G413/F413*100</f>
        <v>100</v>
      </c>
      <c r="I413" s="294" t="s">
        <v>532</v>
      </c>
      <c r="J413" s="212"/>
    </row>
    <row r="414" spans="1:10" s="187" customFormat="1" x14ac:dyDescent="0.2">
      <c r="A414" s="264">
        <v>319</v>
      </c>
      <c r="B414" s="31"/>
      <c r="C414" s="62"/>
      <c r="D414" s="74" t="s">
        <v>338</v>
      </c>
      <c r="E414" s="51"/>
      <c r="F414" s="204"/>
      <c r="G414" s="51"/>
      <c r="H414" s="293"/>
      <c r="I414" s="293"/>
      <c r="J414" s="212"/>
    </row>
    <row r="415" spans="1:10" s="188" customFormat="1" ht="12.75" customHeight="1" x14ac:dyDescent="0.2">
      <c r="A415" s="264">
        <v>320</v>
      </c>
      <c r="B415" s="22" t="s">
        <v>180</v>
      </c>
      <c r="C415" s="23"/>
      <c r="D415" s="24" t="s">
        <v>461</v>
      </c>
      <c r="E415" s="25">
        <v>7000000</v>
      </c>
      <c r="F415" s="201">
        <v>8204245</v>
      </c>
      <c r="G415" s="25">
        <v>5796104</v>
      </c>
      <c r="H415" s="327">
        <f t="shared" ref="H415:H428" si="16">G415/F415*100</f>
        <v>70.647622054192681</v>
      </c>
      <c r="I415" s="292" t="s">
        <v>522</v>
      </c>
      <c r="J415" s="212"/>
    </row>
    <row r="416" spans="1:10" s="188" customFormat="1" ht="12.75" customHeight="1" x14ac:dyDescent="0.2">
      <c r="A416" s="264">
        <v>321</v>
      </c>
      <c r="B416" s="42" t="s">
        <v>179</v>
      </c>
      <c r="C416" s="60"/>
      <c r="D416" s="76" t="s">
        <v>462</v>
      </c>
      <c r="E416" s="52">
        <v>1500000</v>
      </c>
      <c r="F416" s="166">
        <f>1500000+500104</f>
        <v>2000104</v>
      </c>
      <c r="G416" s="52"/>
      <c r="H416" s="327">
        <f t="shared" si="16"/>
        <v>0</v>
      </c>
      <c r="I416" s="295" t="s">
        <v>522</v>
      </c>
      <c r="J416" s="212"/>
    </row>
    <row r="417" spans="1:10" s="187" customFormat="1" x14ac:dyDescent="0.2">
      <c r="A417" s="264">
        <v>322</v>
      </c>
      <c r="B417" s="30" t="s">
        <v>176</v>
      </c>
      <c r="C417" s="44"/>
      <c r="D417" s="20" t="s">
        <v>463</v>
      </c>
      <c r="E417" s="21">
        <v>5000000</v>
      </c>
      <c r="F417" s="202">
        <v>7700000</v>
      </c>
      <c r="G417" s="21">
        <v>2921600</v>
      </c>
      <c r="H417" s="327">
        <f t="shared" si="16"/>
        <v>37.942857142857143</v>
      </c>
      <c r="I417" s="294" t="s">
        <v>521</v>
      </c>
      <c r="J417" s="212"/>
    </row>
    <row r="418" spans="1:10" s="187" customFormat="1" x14ac:dyDescent="0.2">
      <c r="A418" s="264">
        <v>323</v>
      </c>
      <c r="B418" s="42" t="s">
        <v>178</v>
      </c>
      <c r="C418" s="75"/>
      <c r="D418" s="76" t="s">
        <v>464</v>
      </c>
      <c r="E418" s="52">
        <v>3000000</v>
      </c>
      <c r="F418" s="166">
        <f>3000000+900000</f>
        <v>3900000</v>
      </c>
      <c r="G418" s="52">
        <v>3310618</v>
      </c>
      <c r="H418" s="327">
        <f t="shared" si="16"/>
        <v>84.887641025641031</v>
      </c>
      <c r="I418" s="107" t="s">
        <v>522</v>
      </c>
      <c r="J418" s="212"/>
    </row>
    <row r="419" spans="1:10" s="187" customFormat="1" x14ac:dyDescent="0.2">
      <c r="A419" s="264">
        <v>324</v>
      </c>
      <c r="B419" s="22" t="s">
        <v>173</v>
      </c>
      <c r="C419" s="72"/>
      <c r="D419" s="24" t="s">
        <v>465</v>
      </c>
      <c r="E419" s="25">
        <v>3500000</v>
      </c>
      <c r="F419" s="201">
        <f>3500000+1760000</f>
        <v>5260000</v>
      </c>
      <c r="G419" s="25">
        <v>1960000</v>
      </c>
      <c r="H419" s="327">
        <f t="shared" si="16"/>
        <v>37.262357414448672</v>
      </c>
      <c r="I419" s="105" t="s">
        <v>522</v>
      </c>
      <c r="J419" s="212"/>
    </row>
    <row r="420" spans="1:10" s="187" customFormat="1" x14ac:dyDescent="0.2">
      <c r="A420" s="264">
        <v>325</v>
      </c>
      <c r="B420" s="22" t="s">
        <v>181</v>
      </c>
      <c r="C420" s="23"/>
      <c r="D420" s="46" t="s">
        <v>466</v>
      </c>
      <c r="E420" s="25">
        <v>4000000</v>
      </c>
      <c r="F420" s="201">
        <v>4000000</v>
      </c>
      <c r="G420" s="25"/>
      <c r="H420" s="327">
        <f t="shared" si="16"/>
        <v>0</v>
      </c>
      <c r="I420" s="292"/>
      <c r="J420" s="212"/>
    </row>
    <row r="421" spans="1:10" s="187" customFormat="1" ht="13.5" customHeight="1" x14ac:dyDescent="0.2">
      <c r="A421" s="264">
        <v>326</v>
      </c>
      <c r="B421" s="60" t="s">
        <v>182</v>
      </c>
      <c r="C421" s="75"/>
      <c r="D421" s="76" t="s">
        <v>467</v>
      </c>
      <c r="E421" s="52">
        <v>4000000</v>
      </c>
      <c r="F421" s="166">
        <v>4000000</v>
      </c>
      <c r="G421" s="52">
        <v>3000000</v>
      </c>
      <c r="H421" s="327">
        <f t="shared" si="16"/>
        <v>75</v>
      </c>
      <c r="I421" s="295"/>
      <c r="J421" s="212"/>
    </row>
    <row r="422" spans="1:10" s="190" customFormat="1" ht="12.75" customHeight="1" x14ac:dyDescent="0.2">
      <c r="A422" s="264">
        <v>327</v>
      </c>
      <c r="B422" s="23" t="s">
        <v>183</v>
      </c>
      <c r="C422" s="23"/>
      <c r="D422" s="24" t="s">
        <v>468</v>
      </c>
      <c r="E422" s="25">
        <v>2500000</v>
      </c>
      <c r="F422" s="201">
        <v>2500000</v>
      </c>
      <c r="G422" s="25">
        <v>1950000</v>
      </c>
      <c r="H422" s="327">
        <f t="shared" si="16"/>
        <v>78</v>
      </c>
      <c r="I422" s="292"/>
      <c r="J422" s="212"/>
    </row>
    <row r="423" spans="1:10" s="187" customFormat="1" ht="25.5" x14ac:dyDescent="0.2">
      <c r="A423" s="264">
        <v>328</v>
      </c>
      <c r="B423" s="42" t="s">
        <v>184</v>
      </c>
      <c r="C423" s="60"/>
      <c r="D423" s="76" t="s">
        <v>469</v>
      </c>
      <c r="E423" s="52">
        <v>275000000</v>
      </c>
      <c r="F423" s="166">
        <v>999535</v>
      </c>
      <c r="G423" s="52"/>
      <c r="H423" s="327">
        <f t="shared" si="16"/>
        <v>0</v>
      </c>
      <c r="I423" s="308" t="s">
        <v>537</v>
      </c>
      <c r="J423" s="212"/>
    </row>
    <row r="424" spans="1:10" s="187" customFormat="1" x14ac:dyDescent="0.2">
      <c r="A424" s="264">
        <v>329</v>
      </c>
      <c r="B424" s="42" t="s">
        <v>185</v>
      </c>
      <c r="C424" s="60"/>
      <c r="D424" s="76" t="s">
        <v>494</v>
      </c>
      <c r="E424" s="52"/>
      <c r="F424" s="166">
        <v>24185621</v>
      </c>
      <c r="G424" s="52">
        <v>6111325</v>
      </c>
      <c r="H424" s="327">
        <f t="shared" si="16"/>
        <v>25.268422919552076</v>
      </c>
      <c r="I424" s="295" t="s">
        <v>523</v>
      </c>
      <c r="J424" s="212"/>
    </row>
    <row r="425" spans="1:10" s="187" customFormat="1" ht="25.5" x14ac:dyDescent="0.2">
      <c r="A425" s="264">
        <v>330</v>
      </c>
      <c r="B425" s="42" t="s">
        <v>187</v>
      </c>
      <c r="C425" s="60"/>
      <c r="D425" s="156" t="s">
        <v>470</v>
      </c>
      <c r="E425" s="52"/>
      <c r="F425" s="166">
        <v>246760000</v>
      </c>
      <c r="G425" s="52">
        <v>12469452</v>
      </c>
      <c r="H425" s="327">
        <f t="shared" si="16"/>
        <v>5.0532711946830924</v>
      </c>
      <c r="I425" s="295" t="s">
        <v>525</v>
      </c>
      <c r="J425" s="212"/>
    </row>
    <row r="426" spans="1:10" s="187" customFormat="1" x14ac:dyDescent="0.2">
      <c r="A426" s="264">
        <v>331</v>
      </c>
      <c r="B426" s="240" t="s">
        <v>188</v>
      </c>
      <c r="C426" s="147"/>
      <c r="D426" s="241" t="s">
        <v>471</v>
      </c>
      <c r="E426" s="52"/>
      <c r="F426" s="166">
        <v>64000</v>
      </c>
      <c r="G426" s="52"/>
      <c r="H426" s="327">
        <f t="shared" si="16"/>
        <v>0</v>
      </c>
      <c r="I426" s="295" t="s">
        <v>524</v>
      </c>
      <c r="J426" s="212"/>
    </row>
    <row r="427" spans="1:10" s="187" customFormat="1" x14ac:dyDescent="0.2">
      <c r="A427" s="264">
        <v>332</v>
      </c>
      <c r="B427" s="240" t="s">
        <v>189</v>
      </c>
      <c r="C427" s="147"/>
      <c r="D427" s="241" t="s">
        <v>496</v>
      </c>
      <c r="E427" s="52"/>
      <c r="F427" s="166">
        <v>5000000</v>
      </c>
      <c r="G427" s="52">
        <v>5000000</v>
      </c>
      <c r="H427" s="327">
        <f t="shared" si="16"/>
        <v>100</v>
      </c>
      <c r="I427" s="295" t="s">
        <v>526</v>
      </c>
      <c r="J427" s="212"/>
    </row>
    <row r="428" spans="1:10" s="187" customFormat="1" x14ac:dyDescent="0.2">
      <c r="A428" s="264">
        <v>333</v>
      </c>
      <c r="B428" s="42" t="s">
        <v>191</v>
      </c>
      <c r="C428" s="60"/>
      <c r="D428" s="76" t="s">
        <v>472</v>
      </c>
      <c r="E428" s="52"/>
      <c r="F428" s="166">
        <v>3700000</v>
      </c>
      <c r="G428" s="52">
        <v>843345</v>
      </c>
      <c r="H428" s="327">
        <f t="shared" si="16"/>
        <v>22.793108108108111</v>
      </c>
      <c r="I428" s="295" t="s">
        <v>524</v>
      </c>
      <c r="J428" s="212"/>
    </row>
    <row r="429" spans="1:10" s="191" customFormat="1" ht="15" customHeight="1" thickBot="1" x14ac:dyDescent="0.25">
      <c r="A429" s="268"/>
      <c r="B429" s="226"/>
      <c r="C429" s="60"/>
      <c r="D429" s="76"/>
      <c r="E429" s="52"/>
      <c r="F429" s="166"/>
      <c r="G429" s="52"/>
      <c r="H429" s="295"/>
      <c r="I429" s="303"/>
      <c r="J429" s="212"/>
    </row>
    <row r="430" spans="1:10" s="192" customFormat="1" ht="14.25" thickTop="1" thickBot="1" x14ac:dyDescent="0.25">
      <c r="A430" s="265">
        <v>334</v>
      </c>
      <c r="B430" s="37"/>
      <c r="C430" s="369" t="s">
        <v>262</v>
      </c>
      <c r="D430" s="370"/>
      <c r="E430" s="320">
        <f>SUM(E399:E429)</f>
        <v>419500000</v>
      </c>
      <c r="F430" s="421">
        <f>SUM(F399:F429)</f>
        <v>469266539</v>
      </c>
      <c r="G430" s="320">
        <f>SUM(G399:G429)</f>
        <v>164952410</v>
      </c>
      <c r="H430" s="284">
        <f>G430/F430*100</f>
        <v>35.151112702710726</v>
      </c>
      <c r="I430" s="290"/>
      <c r="J430" s="212"/>
    </row>
    <row r="431" spans="1:10" s="188" customFormat="1" ht="14.25" thickTop="1" thickBot="1" x14ac:dyDescent="0.25">
      <c r="A431" s="264"/>
      <c r="B431" s="86"/>
      <c r="C431" s="62"/>
      <c r="D431" s="63"/>
      <c r="E431" s="51"/>
      <c r="F431" s="204"/>
      <c r="G431" s="51"/>
      <c r="H431" s="108"/>
      <c r="I431" s="279"/>
      <c r="J431" s="212"/>
    </row>
    <row r="432" spans="1:10" s="187" customFormat="1" ht="13.5" thickBot="1" x14ac:dyDescent="0.25">
      <c r="A432" s="264">
        <v>335</v>
      </c>
      <c r="B432" s="243"/>
      <c r="C432" s="244"/>
      <c r="D432" s="245" t="s">
        <v>473</v>
      </c>
      <c r="E432" s="246">
        <f>E395+E430</f>
        <v>1308871174</v>
      </c>
      <c r="F432" s="247">
        <f>F395+F430</f>
        <v>4450751997</v>
      </c>
      <c r="G432" s="246">
        <f>G395+G430</f>
        <v>2624792024</v>
      </c>
      <c r="H432" s="285">
        <f>G432/F432*100</f>
        <v>58.974124502313849</v>
      </c>
      <c r="I432" s="285"/>
      <c r="J432" s="212"/>
    </row>
    <row r="433" spans="1:38" s="187" customFormat="1" x14ac:dyDescent="0.2">
      <c r="A433" s="264"/>
      <c r="B433" s="41"/>
      <c r="C433" s="47"/>
      <c r="D433" s="48"/>
      <c r="E433" s="49"/>
      <c r="F433" s="202"/>
      <c r="G433" s="49"/>
      <c r="H433" s="116"/>
      <c r="I433" s="274"/>
      <c r="J433" s="212"/>
    </row>
    <row r="434" spans="1:38" s="187" customFormat="1" ht="18" customHeight="1" x14ac:dyDescent="0.25">
      <c r="A434" s="264">
        <v>336</v>
      </c>
      <c r="B434" s="30"/>
      <c r="C434" s="43" t="s">
        <v>474</v>
      </c>
      <c r="D434" s="20"/>
      <c r="E434" s="21"/>
      <c r="F434" s="202"/>
      <c r="G434" s="21"/>
      <c r="H434" s="106"/>
      <c r="I434" s="275"/>
      <c r="J434" s="212"/>
    </row>
    <row r="435" spans="1:38" s="187" customFormat="1" x14ac:dyDescent="0.2">
      <c r="A435" s="264"/>
      <c r="B435" s="30"/>
      <c r="C435" s="44"/>
      <c r="D435" s="50"/>
      <c r="E435" s="21"/>
      <c r="F435" s="202"/>
      <c r="G435" s="21"/>
      <c r="H435" s="106"/>
      <c r="I435" s="275"/>
      <c r="J435" s="212"/>
    </row>
    <row r="436" spans="1:38" s="187" customFormat="1" ht="15.75" x14ac:dyDescent="0.25">
      <c r="A436" s="264">
        <v>337</v>
      </c>
      <c r="B436" s="30"/>
      <c r="C436" s="353" t="s">
        <v>230</v>
      </c>
      <c r="D436" s="50"/>
      <c r="E436" s="21"/>
      <c r="F436" s="202"/>
      <c r="G436" s="21"/>
      <c r="H436" s="106"/>
      <c r="I436" s="275"/>
      <c r="J436" s="212"/>
    </row>
    <row r="437" spans="1:38" s="187" customFormat="1" x14ac:dyDescent="0.2">
      <c r="A437" s="264"/>
      <c r="B437" s="30"/>
      <c r="C437" s="44"/>
      <c r="D437" s="45"/>
      <c r="E437" s="21"/>
      <c r="F437" s="202"/>
      <c r="G437" s="21"/>
      <c r="H437" s="106"/>
      <c r="I437" s="275"/>
      <c r="J437" s="212"/>
    </row>
    <row r="438" spans="1:38" s="187" customFormat="1" ht="25.5" x14ac:dyDescent="0.2">
      <c r="A438" s="264">
        <v>338</v>
      </c>
      <c r="B438" s="225" t="s">
        <v>192</v>
      </c>
      <c r="C438" s="23"/>
      <c r="D438" s="24" t="s">
        <v>475</v>
      </c>
      <c r="E438" s="25">
        <v>215817000</v>
      </c>
      <c r="F438" s="201">
        <v>29382016</v>
      </c>
      <c r="G438" s="25"/>
      <c r="H438" s="327">
        <f>G438/F438*100</f>
        <v>0</v>
      </c>
      <c r="I438" s="309" t="s">
        <v>538</v>
      </c>
      <c r="J438" s="212"/>
    </row>
    <row r="439" spans="1:38" s="187" customFormat="1" x14ac:dyDescent="0.2">
      <c r="A439" s="264"/>
      <c r="B439" s="225"/>
      <c r="C439" s="23"/>
      <c r="D439" s="24"/>
      <c r="E439" s="25"/>
      <c r="F439" s="201"/>
      <c r="G439" s="25"/>
      <c r="H439" s="292"/>
      <c r="I439" s="310"/>
      <c r="J439" s="212"/>
    </row>
    <row r="440" spans="1:38" s="190" customFormat="1" ht="15" customHeight="1" x14ac:dyDescent="0.2">
      <c r="A440" s="264">
        <v>339</v>
      </c>
      <c r="B440" s="225"/>
      <c r="C440" s="23"/>
      <c r="D440" s="76" t="s">
        <v>476</v>
      </c>
      <c r="E440" s="25"/>
      <c r="F440" s="201"/>
      <c r="G440" s="25"/>
      <c r="H440" s="292"/>
      <c r="I440" s="310"/>
      <c r="J440" s="212"/>
    </row>
    <row r="441" spans="1:38" s="187" customFormat="1" x14ac:dyDescent="0.2">
      <c r="A441" s="264">
        <v>340</v>
      </c>
      <c r="B441" s="225" t="s">
        <v>193</v>
      </c>
      <c r="C441" s="23" t="s">
        <v>217</v>
      </c>
      <c r="D441" s="24" t="s">
        <v>477</v>
      </c>
      <c r="E441" s="25">
        <v>30000000</v>
      </c>
      <c r="F441" s="201"/>
      <c r="G441" s="25"/>
      <c r="H441" s="327"/>
      <c r="I441" s="105" t="s">
        <v>526</v>
      </c>
      <c r="J441" s="212"/>
    </row>
    <row r="442" spans="1:38" s="191" customFormat="1" ht="15" customHeight="1" thickBot="1" x14ac:dyDescent="0.25">
      <c r="A442" s="268"/>
      <c r="B442" s="225"/>
      <c r="C442" s="23"/>
      <c r="D442" s="24"/>
      <c r="E442" s="25"/>
      <c r="F442" s="201"/>
      <c r="G442" s="25"/>
      <c r="H442" s="292"/>
      <c r="I442" s="276"/>
      <c r="J442" s="212"/>
    </row>
    <row r="443" spans="1:38" s="192" customFormat="1" ht="14.25" thickTop="1" thickBot="1" x14ac:dyDescent="0.25">
      <c r="A443" s="265">
        <v>341</v>
      </c>
      <c r="B443" s="37"/>
      <c r="C443" s="369" t="s">
        <v>251</v>
      </c>
      <c r="D443" s="370"/>
      <c r="E443" s="320">
        <f>SUM(E436:E442)</f>
        <v>245817000</v>
      </c>
      <c r="F443" s="421">
        <f>SUM(F436:F442)</f>
        <v>29382016</v>
      </c>
      <c r="G443" s="320">
        <f>SUM(G436:G442)</f>
        <v>0</v>
      </c>
      <c r="H443" s="284"/>
      <c r="I443" s="290"/>
      <c r="J443" s="212"/>
    </row>
    <row r="444" spans="1:38" s="187" customFormat="1" ht="14.25" thickTop="1" thickBot="1" x14ac:dyDescent="0.25">
      <c r="A444" s="264"/>
      <c r="B444" s="224"/>
      <c r="C444" s="44"/>
      <c r="D444" s="45"/>
      <c r="E444" s="21"/>
      <c r="F444" s="202"/>
      <c r="G444" s="21"/>
      <c r="H444" s="106"/>
      <c r="I444" s="275"/>
      <c r="J444" s="212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</row>
    <row r="445" spans="1:38" s="187" customFormat="1" ht="13.5" thickBot="1" x14ac:dyDescent="0.25">
      <c r="A445" s="264">
        <v>342</v>
      </c>
      <c r="B445" s="243"/>
      <c r="C445" s="244"/>
      <c r="D445" s="245" t="s">
        <v>478</v>
      </c>
      <c r="E445" s="246">
        <f>SUM(E443:E444)</f>
        <v>245817000</v>
      </c>
      <c r="F445" s="247">
        <f>SUM(F443:F444)</f>
        <v>29382016</v>
      </c>
      <c r="G445" s="246">
        <f>SUM(G443:G444)</f>
        <v>0</v>
      </c>
      <c r="H445" s="285"/>
      <c r="I445" s="285"/>
      <c r="J445" s="212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</row>
    <row r="446" spans="1:38" s="187" customFormat="1" x14ac:dyDescent="0.2">
      <c r="A446" s="264"/>
      <c r="B446" s="41"/>
      <c r="C446" s="47"/>
      <c r="D446" s="48"/>
      <c r="E446" s="49"/>
      <c r="F446" s="202"/>
      <c r="G446" s="49"/>
      <c r="H446" s="116"/>
      <c r="I446" s="274"/>
      <c r="J446" s="212"/>
    </row>
    <row r="447" spans="1:38" s="187" customFormat="1" ht="15.75" x14ac:dyDescent="0.25">
      <c r="A447" s="264">
        <v>343</v>
      </c>
      <c r="B447" s="30"/>
      <c r="C447" s="43" t="s">
        <v>479</v>
      </c>
      <c r="D447" s="45"/>
      <c r="E447" s="220"/>
      <c r="F447" s="242"/>
      <c r="G447" s="220"/>
      <c r="H447" s="120"/>
      <c r="I447" s="275"/>
      <c r="J447" s="212"/>
      <c r="K447" s="188"/>
      <c r="L447" s="188"/>
      <c r="M447" s="188"/>
      <c r="N447" s="188"/>
      <c r="O447" s="188"/>
      <c r="P447" s="188"/>
      <c r="Q447" s="188"/>
      <c r="R447" s="188"/>
      <c r="S447" s="188"/>
      <c r="T447" s="188"/>
      <c r="U447" s="188"/>
      <c r="V447" s="188"/>
      <c r="W447" s="188"/>
      <c r="X447" s="188"/>
      <c r="Y447" s="188"/>
      <c r="Z447" s="188"/>
      <c r="AA447" s="188"/>
      <c r="AB447" s="188"/>
      <c r="AC447" s="188"/>
      <c r="AD447" s="188"/>
      <c r="AE447" s="188"/>
      <c r="AF447" s="188"/>
      <c r="AG447" s="188"/>
      <c r="AH447" s="188"/>
      <c r="AI447" s="188"/>
      <c r="AJ447" s="188"/>
      <c r="AK447" s="188"/>
      <c r="AL447" s="188"/>
    </row>
    <row r="448" spans="1:38" s="193" customFormat="1" x14ac:dyDescent="0.2">
      <c r="A448" s="266"/>
      <c r="B448" s="30"/>
      <c r="C448" s="53"/>
      <c r="D448" s="45"/>
      <c r="E448" s="220"/>
      <c r="F448" s="242"/>
      <c r="G448" s="220"/>
      <c r="H448" s="120"/>
      <c r="I448" s="275"/>
      <c r="J448" s="212"/>
    </row>
    <row r="449" spans="1:10" s="187" customFormat="1" ht="15.75" x14ac:dyDescent="0.25">
      <c r="A449" s="264">
        <v>344</v>
      </c>
      <c r="B449" s="30"/>
      <c r="C449" s="353" t="s">
        <v>230</v>
      </c>
      <c r="D449" s="50"/>
      <c r="E449" s="21"/>
      <c r="F449" s="202"/>
      <c r="G449" s="21"/>
      <c r="H449" s="106"/>
      <c r="I449" s="275"/>
      <c r="J449" s="212"/>
    </row>
    <row r="450" spans="1:10" s="187" customFormat="1" x14ac:dyDescent="0.2">
      <c r="A450" s="264"/>
      <c r="B450" s="30"/>
      <c r="C450" s="53"/>
      <c r="D450" s="45"/>
      <c r="E450" s="220"/>
      <c r="F450" s="242"/>
      <c r="G450" s="220"/>
      <c r="H450" s="120"/>
      <c r="I450" s="275"/>
      <c r="J450" s="212"/>
    </row>
    <row r="451" spans="1:10" s="187" customFormat="1" x14ac:dyDescent="0.2">
      <c r="A451" s="264">
        <v>345</v>
      </c>
      <c r="B451" s="154" t="s">
        <v>480</v>
      </c>
      <c r="C451" s="139"/>
      <c r="D451" s="140" t="s">
        <v>481</v>
      </c>
      <c r="E451" s="141">
        <v>72133672</v>
      </c>
      <c r="F451" s="201">
        <v>74065672</v>
      </c>
      <c r="G451" s="141">
        <v>74065672</v>
      </c>
      <c r="H451" s="327">
        <f>G451/F451*100</f>
        <v>100</v>
      </c>
      <c r="I451" s="292" t="s">
        <v>526</v>
      </c>
      <c r="J451" s="212"/>
    </row>
    <row r="452" spans="1:10" s="187" customFormat="1" x14ac:dyDescent="0.2">
      <c r="A452" s="264">
        <v>346</v>
      </c>
      <c r="B452" s="225" t="s">
        <v>482</v>
      </c>
      <c r="C452" s="23"/>
      <c r="D452" s="24"/>
      <c r="E452" s="25"/>
      <c r="F452" s="201"/>
      <c r="G452" s="25"/>
      <c r="H452" s="105"/>
      <c r="I452" s="105"/>
      <c r="J452" s="212"/>
    </row>
    <row r="453" spans="1:10" s="187" customFormat="1" x14ac:dyDescent="0.2">
      <c r="A453" s="264">
        <v>347</v>
      </c>
      <c r="B453" s="225" t="s">
        <v>483</v>
      </c>
      <c r="C453" s="23"/>
      <c r="D453" s="24"/>
      <c r="E453" s="25"/>
      <c r="F453" s="201"/>
      <c r="G453" s="25"/>
      <c r="H453" s="105"/>
      <c r="I453" s="105"/>
      <c r="J453" s="212"/>
    </row>
    <row r="454" spans="1:10" s="190" customFormat="1" ht="15" customHeight="1" x14ac:dyDescent="0.2">
      <c r="A454" s="264">
        <v>348</v>
      </c>
      <c r="B454" s="225" t="s">
        <v>484</v>
      </c>
      <c r="C454" s="23"/>
      <c r="D454" s="24"/>
      <c r="E454" s="25"/>
      <c r="F454" s="201"/>
      <c r="G454" s="25"/>
      <c r="H454" s="105"/>
      <c r="I454" s="105"/>
      <c r="J454" s="212"/>
    </row>
    <row r="455" spans="1:10" s="187" customFormat="1" x14ac:dyDescent="0.2">
      <c r="A455" s="264">
        <v>349</v>
      </c>
      <c r="B455" s="225" t="s">
        <v>194</v>
      </c>
      <c r="C455" s="23"/>
      <c r="D455" s="24" t="s">
        <v>485</v>
      </c>
      <c r="E455" s="25">
        <v>149894328</v>
      </c>
      <c r="F455" s="201">
        <v>56993000</v>
      </c>
      <c r="G455" s="143">
        <v>56993000</v>
      </c>
      <c r="H455" s="327">
        <f>G455/F455*100</f>
        <v>100</v>
      </c>
      <c r="I455" s="105" t="s">
        <v>526</v>
      </c>
      <c r="J455" s="212"/>
    </row>
    <row r="456" spans="1:10" s="191" customFormat="1" ht="13.5" thickBot="1" x14ac:dyDescent="0.25">
      <c r="A456" s="268"/>
      <c r="B456" s="224"/>
      <c r="C456" s="23"/>
      <c r="D456" s="46"/>
      <c r="E456" s="25"/>
      <c r="F456" s="201"/>
      <c r="G456" s="143"/>
      <c r="H456" s="105"/>
      <c r="I456" s="276"/>
      <c r="J456" s="212"/>
    </row>
    <row r="457" spans="1:10" s="192" customFormat="1" ht="14.25" thickTop="1" thickBot="1" x14ac:dyDescent="0.25">
      <c r="A457" s="265">
        <v>350</v>
      </c>
      <c r="B457" s="37"/>
      <c r="C457" s="369" t="s">
        <v>251</v>
      </c>
      <c r="D457" s="370"/>
      <c r="E457" s="320">
        <f>SUM(E450:E456)</f>
        <v>222028000</v>
      </c>
      <c r="F457" s="421">
        <f>SUM(F450:F456)</f>
        <v>131058672</v>
      </c>
      <c r="G457" s="422">
        <f>SUM(G450:G456)</f>
        <v>131058672</v>
      </c>
      <c r="H457" s="284">
        <f>G457/F457*100</f>
        <v>100</v>
      </c>
      <c r="I457" s="290"/>
      <c r="J457" s="212"/>
    </row>
    <row r="458" spans="1:10" s="188" customFormat="1" ht="14.25" thickTop="1" thickBot="1" x14ac:dyDescent="0.25">
      <c r="A458" s="264"/>
      <c r="B458" s="30"/>
      <c r="C458" s="53" t="s">
        <v>217</v>
      </c>
      <c r="D458" s="45" t="s">
        <v>217</v>
      </c>
      <c r="E458" s="220" t="s">
        <v>217</v>
      </c>
      <c r="F458" s="242" t="s">
        <v>217</v>
      </c>
      <c r="G458" s="221" t="s">
        <v>217</v>
      </c>
      <c r="H458" s="120"/>
      <c r="I458" s="275"/>
      <c r="J458" s="212"/>
    </row>
    <row r="459" spans="1:10" s="187" customFormat="1" ht="12" customHeight="1" thickBot="1" x14ac:dyDescent="0.25">
      <c r="A459" s="264">
        <v>351</v>
      </c>
      <c r="B459" s="243"/>
      <c r="C459" s="244"/>
      <c r="D459" s="245" t="s">
        <v>486</v>
      </c>
      <c r="E459" s="246">
        <f>SUM(E457:E458)</f>
        <v>222028000</v>
      </c>
      <c r="F459" s="247">
        <f>SUM(F457:F458)</f>
        <v>131058672</v>
      </c>
      <c r="G459" s="246">
        <f>SUM(G457:G458)</f>
        <v>131058672</v>
      </c>
      <c r="H459" s="285">
        <f>G459/F459*100</f>
        <v>100</v>
      </c>
      <c r="I459" s="285"/>
      <c r="J459" s="212"/>
    </row>
    <row r="460" spans="1:10" s="187" customFormat="1" x14ac:dyDescent="0.2">
      <c r="A460" s="264"/>
      <c r="B460" s="41"/>
      <c r="C460" s="47"/>
      <c r="D460" s="48"/>
      <c r="E460" s="49"/>
      <c r="F460" s="202"/>
      <c r="G460" s="170"/>
      <c r="H460" s="116"/>
      <c r="I460" s="274"/>
      <c r="J460" s="212"/>
    </row>
    <row r="461" spans="1:10" s="187" customFormat="1" ht="33" customHeight="1" x14ac:dyDescent="0.25">
      <c r="A461" s="264">
        <v>352</v>
      </c>
      <c r="B461" s="30"/>
      <c r="C461" s="446" t="s">
        <v>219</v>
      </c>
      <c r="D461" s="447"/>
      <c r="E461" s="21"/>
      <c r="F461" s="202"/>
      <c r="G461" s="170"/>
      <c r="H461" s="106"/>
      <c r="I461" s="275"/>
      <c r="J461" s="212"/>
    </row>
    <row r="462" spans="1:10" s="187" customFormat="1" x14ac:dyDescent="0.2">
      <c r="A462" s="264"/>
      <c r="B462" s="224"/>
      <c r="C462" s="44"/>
      <c r="D462" s="45"/>
      <c r="E462" s="21"/>
      <c r="F462" s="202"/>
      <c r="G462" s="170"/>
      <c r="H462" s="106"/>
      <c r="I462" s="275"/>
      <c r="J462" s="212"/>
    </row>
    <row r="463" spans="1:10" s="187" customFormat="1" ht="15.75" x14ac:dyDescent="0.25">
      <c r="A463" s="264">
        <v>353</v>
      </c>
      <c r="B463" s="30"/>
      <c r="C463" s="353" t="s">
        <v>230</v>
      </c>
      <c r="D463" s="50"/>
      <c r="E463" s="21"/>
      <c r="F463" s="202"/>
      <c r="G463" s="170"/>
      <c r="H463" s="106"/>
      <c r="I463" s="275"/>
      <c r="J463" s="212"/>
    </row>
    <row r="464" spans="1:10" s="187" customFormat="1" x14ac:dyDescent="0.2">
      <c r="A464" s="264"/>
      <c r="B464" s="30"/>
      <c r="C464" s="53"/>
      <c r="D464" s="45"/>
      <c r="E464" s="220"/>
      <c r="F464" s="242"/>
      <c r="G464" s="221"/>
      <c r="H464" s="120"/>
      <c r="I464" s="275"/>
      <c r="J464" s="212"/>
    </row>
    <row r="465" spans="1:10" s="190" customFormat="1" ht="25.5" x14ac:dyDescent="0.2">
      <c r="A465" s="264">
        <v>354</v>
      </c>
      <c r="B465" s="225" t="s">
        <v>196</v>
      </c>
      <c r="C465" s="23"/>
      <c r="D465" s="46" t="s">
        <v>219</v>
      </c>
      <c r="E465" s="25">
        <v>38771120</v>
      </c>
      <c r="F465" s="201">
        <v>93626814</v>
      </c>
      <c r="G465" s="143">
        <v>49618474</v>
      </c>
      <c r="H465" s="327">
        <f>G465/F465*100</f>
        <v>52.996008173470479</v>
      </c>
      <c r="I465" s="299" t="s">
        <v>529</v>
      </c>
      <c r="J465" s="212"/>
    </row>
    <row r="466" spans="1:10" s="187" customFormat="1" ht="25.5" x14ac:dyDescent="0.2">
      <c r="A466" s="264">
        <v>355</v>
      </c>
      <c r="B466" s="225" t="s">
        <v>197</v>
      </c>
      <c r="C466" s="23"/>
      <c r="D466" s="46" t="s">
        <v>487</v>
      </c>
      <c r="E466" s="25">
        <v>10468202</v>
      </c>
      <c r="F466" s="201">
        <v>10468202</v>
      </c>
      <c r="G466" s="25"/>
      <c r="H466" s="327">
        <f>G466/F466*100</f>
        <v>0</v>
      </c>
      <c r="I466" s="299" t="s">
        <v>529</v>
      </c>
      <c r="J466" s="212"/>
    </row>
    <row r="467" spans="1:10" s="191" customFormat="1" ht="15" customHeight="1" thickBot="1" x14ac:dyDescent="0.25">
      <c r="A467" s="268"/>
      <c r="B467" s="42"/>
      <c r="C467" s="440"/>
      <c r="D467" s="241"/>
      <c r="E467" s="52"/>
      <c r="F467" s="166"/>
      <c r="G467" s="52"/>
      <c r="H467" s="107"/>
      <c r="I467" s="278"/>
      <c r="J467" s="212"/>
    </row>
    <row r="468" spans="1:10" s="191" customFormat="1" ht="15" customHeight="1" thickTop="1" thickBot="1" x14ac:dyDescent="0.25">
      <c r="A468" s="268">
        <v>356</v>
      </c>
      <c r="B468" s="37"/>
      <c r="C468" s="369" t="s">
        <v>251</v>
      </c>
      <c r="D468" s="370"/>
      <c r="E468" s="320">
        <f>SUM(E463:E467)</f>
        <v>49239322</v>
      </c>
      <c r="F468" s="421">
        <f>SUM(F463:F467)</f>
        <v>104095016</v>
      </c>
      <c r="G468" s="320">
        <f>SUM(G463:G467)</f>
        <v>49618474</v>
      </c>
      <c r="H468" s="284">
        <f>G468/F468*100</f>
        <v>47.666522285754773</v>
      </c>
      <c r="I468" s="290"/>
      <c r="J468" s="212"/>
    </row>
    <row r="469" spans="1:10" s="187" customFormat="1" ht="13.5" thickTop="1" x14ac:dyDescent="0.2">
      <c r="A469" s="264"/>
      <c r="B469" s="42"/>
      <c r="C469" s="60"/>
      <c r="D469" s="61"/>
      <c r="E469" s="52"/>
      <c r="F469" s="166"/>
      <c r="G469" s="52"/>
      <c r="H469" s="107"/>
      <c r="I469" s="278"/>
      <c r="J469" s="212"/>
    </row>
    <row r="470" spans="1:10" s="187" customFormat="1" x14ac:dyDescent="0.2">
      <c r="A470" s="264">
        <v>357</v>
      </c>
      <c r="B470" s="248"/>
      <c r="C470" s="249"/>
      <c r="D470" s="250" t="s">
        <v>488</v>
      </c>
      <c r="E470" s="251"/>
      <c r="F470" s="252"/>
      <c r="G470" s="251"/>
      <c r="H470" s="253"/>
      <c r="I470" s="280"/>
      <c r="J470" s="212"/>
    </row>
    <row r="471" spans="1:10" s="187" customFormat="1" ht="13.5" thickBot="1" x14ac:dyDescent="0.25">
      <c r="A471" s="264">
        <v>358</v>
      </c>
      <c r="B471" s="254"/>
      <c r="C471" s="255"/>
      <c r="D471" s="256" t="s">
        <v>489</v>
      </c>
      <c r="E471" s="257">
        <f>SUM(E468:E470)</f>
        <v>49239322</v>
      </c>
      <c r="F471" s="258">
        <f>SUM(F468:F470)</f>
        <v>104095016</v>
      </c>
      <c r="G471" s="257">
        <f>SUM(G468:G470)</f>
        <v>49618474</v>
      </c>
      <c r="H471" s="321">
        <f>G471/F471*100</f>
        <v>47.666522285754773</v>
      </c>
      <c r="I471" s="291"/>
      <c r="J471" s="212"/>
    </row>
    <row r="472" spans="1:10" x14ac:dyDescent="0.2">
      <c r="F472" s="124"/>
    </row>
    <row r="473" spans="1:10" x14ac:dyDescent="0.2">
      <c r="F473" s="124"/>
    </row>
    <row r="474" spans="1:10" x14ac:dyDescent="0.2">
      <c r="F474" s="124"/>
    </row>
    <row r="475" spans="1:10" x14ac:dyDescent="0.2">
      <c r="F475" s="124"/>
    </row>
    <row r="476" spans="1:10" x14ac:dyDescent="0.2">
      <c r="F476" s="124"/>
    </row>
  </sheetData>
  <mergeCells count="3">
    <mergeCell ref="B1:I1"/>
    <mergeCell ref="C8:D8"/>
    <mergeCell ref="C461:D46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rowBreaks count="12" manualBreakCount="12">
    <brk id="47" max="8" man="1"/>
    <brk id="84" max="8" man="1"/>
    <brk id="120" max="8" man="1"/>
    <brk id="156" max="8" man="1"/>
    <brk id="194" max="8" man="1"/>
    <brk id="233" max="8" man="1"/>
    <brk id="268" max="8" man="1"/>
    <brk id="303" max="8" man="1"/>
    <brk id="346" max="8" man="1"/>
    <brk id="386" max="8" man="1"/>
    <brk id="425" max="8" man="1"/>
    <brk id="4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Működés 2017. évi zárszámadás</vt:lpstr>
      <vt:lpstr>'Működés 2017. évi zárszámadás'!Nyomtatási_cím</vt:lpstr>
      <vt:lpstr>'Működés 2017. évi zárszámadás'!Nyomtatási_terület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lovasne.mariann</dc:creator>
  <cp:lastModifiedBy>csordasne.agnes</cp:lastModifiedBy>
  <cp:lastPrinted>2018-05-04T07:29:12Z</cp:lastPrinted>
  <dcterms:created xsi:type="dcterms:W3CDTF">2017-07-24T07:42:15Z</dcterms:created>
  <dcterms:modified xsi:type="dcterms:W3CDTF">2018-05-17T06:17:51Z</dcterms:modified>
</cp:coreProperties>
</file>