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45" windowWidth="5940" windowHeight="5415" tabRatio="598" activeTab="0"/>
  </bookViews>
  <sheets>
    <sheet name="bor." sheetId="1" r:id="rId1"/>
    <sheet name="1.mell. -mérleg" sheetId="2" r:id="rId2"/>
    <sheet name="2.mell - bevétel" sheetId="3" r:id="rId3"/>
    <sheet name="3.mell. - bevét.Köá" sheetId="4" r:id="rId4"/>
    <sheet name="4.mell. - kiadás" sheetId="5" r:id="rId5"/>
    <sheet name="5.mell. - kiadás.köá." sheetId="6" r:id="rId6"/>
    <sheet name="6.mell - átadások" sheetId="7" r:id="rId7"/>
    <sheet name="7.mell. - ellátottak jutt." sheetId="8" r:id="rId8"/>
    <sheet name="8.mell. - beruházások" sheetId="9" r:id="rId9"/>
    <sheet name="9.mell.-felújítások" sheetId="10" r:id="rId10"/>
    <sheet name="10.mell. - közgazd.mérleg" sheetId="11" r:id="rId11"/>
    <sheet name="11.mell. -ei.felh.ütemt." sheetId="12" r:id="rId12"/>
    <sheet name="12.mell. -részesedések" sheetId="13" r:id="rId13"/>
    <sheet name="13.mell. -kezesség" sheetId="14" r:id="rId14"/>
    <sheet name="14.mell. - uniós" sheetId="15" r:id="rId15"/>
    <sheet name="15.mell.- közvetett" sheetId="16" r:id="rId16"/>
    <sheet name="16.mell.-középtávú" sheetId="17" r:id="rId17"/>
    <sheet name="17.mell." sheetId="18" r:id="rId18"/>
    <sheet name="18,mell." sheetId="19" r:id="rId19"/>
  </sheets>
  <definedNames>
    <definedName name="_xlnm.Print_Titles" localSheetId="2">'2.mell - bevétel'!$8:$10</definedName>
    <definedName name="_xlnm.Print_Area" localSheetId="2">'2.mell - bevétel'!$A$1:$I$118</definedName>
  </definedNames>
  <calcPr fullCalcOnLoad="1"/>
</workbook>
</file>

<file path=xl/sharedStrings.xml><?xml version="1.0" encoding="utf-8"?>
<sst xmlns="http://schemas.openxmlformats.org/spreadsheetml/2006/main" count="1120" uniqueCount="625">
  <si>
    <t>Megnevezés</t>
  </si>
  <si>
    <t>Ft</t>
  </si>
  <si>
    <t>Összesen:</t>
  </si>
  <si>
    <t>létszám</t>
  </si>
  <si>
    <t>Sitke község Önkormányzata</t>
  </si>
  <si>
    <t>( e Ft-ban)</t>
  </si>
  <si>
    <t>e Ft</t>
  </si>
  <si>
    <t>TÁMOGATÁSOK ÖSSZESEN:</t>
  </si>
  <si>
    <t>állandó</t>
  </si>
  <si>
    <t>juttatások</t>
  </si>
  <si>
    <t>előirányzat</t>
  </si>
  <si>
    <t>tervezett előirányzat</t>
  </si>
  <si>
    <t>Részvények, részesedések</t>
  </si>
  <si>
    <t>25% alatti részesedés:</t>
  </si>
  <si>
    <t>VASI-VÍZ Rt.</t>
  </si>
  <si>
    <t>Részesedések, részvények mindösszesen:</t>
  </si>
  <si>
    <t xml:space="preserve"> ebből:</t>
  </si>
  <si>
    <t>MŰKÖDÉSI KIADÁSOK</t>
  </si>
  <si>
    <t>FELHALMOZÁSI KIADÁSOK</t>
  </si>
  <si>
    <t>tervezett</t>
  </si>
  <si>
    <t>változás</t>
  </si>
  <si>
    <t>M  e  g  n  e  v  e  z  é  s:</t>
  </si>
  <si>
    <t>%-a</t>
  </si>
  <si>
    <t>MŰKÖDÉSI BEVÉTELEK ÖSSZESEN:</t>
  </si>
  <si>
    <t>részvényei, részesedései, értékpapírjai</t>
  </si>
  <si>
    <t>Citerazenekar támogatása</t>
  </si>
  <si>
    <t>2.</t>
  </si>
  <si>
    <t>Kistérségi tagsági díj</t>
  </si>
  <si>
    <t>Eseti társadalom, szociálpolitikai és egyéb társadalombiztosítási</t>
  </si>
  <si>
    <t>juttatások összesen:</t>
  </si>
  <si>
    <t>Működési célú szociális támogatások összesen:</t>
  </si>
  <si>
    <t>Társadalom-, szociálispolitikai és egyéb társadalom-</t>
  </si>
  <si>
    <t>biztosítási juttatások mindösszesen:</t>
  </si>
  <si>
    <t>Háziorvosi alapellátás</t>
  </si>
  <si>
    <t>Civil szervezetek működési támogatása</t>
  </si>
  <si>
    <t>Köztemető-fenntartás és működtetés</t>
  </si>
  <si>
    <t>Könyvtári szolgáltatások</t>
  </si>
  <si>
    <t>Bevételei forrásonként</t>
  </si>
  <si>
    <t xml:space="preserve">Sitke község Önkormányzata   </t>
  </si>
  <si>
    <t>Társadalom-, szociálpolitikai  és egyéb társadalombiztosítási kiadásai</t>
  </si>
  <si>
    <t>SITKE KÖZSÉG ÖNKORMÁNYZATA</t>
  </si>
  <si>
    <t>sor-</t>
  </si>
  <si>
    <t>szám</t>
  </si>
  <si>
    <t>1.</t>
  </si>
  <si>
    <t>3.</t>
  </si>
  <si>
    <t>TÁRGYÉVI BEVÉTELEK ÖSSZESEN:</t>
  </si>
  <si>
    <t xml:space="preserve">Tekeszakosztály </t>
  </si>
  <si>
    <t>TÁRGYÉVI KIADÁSOK ÖSSZESEN:</t>
  </si>
  <si>
    <t>TÁRGYÉVI BEVÉTELEK ÉS KIADÁSOK EGYENLEGE:</t>
  </si>
  <si>
    <t>I.</t>
  </si>
  <si>
    <t>önkormányzati hivatal működésének támogatása</t>
  </si>
  <si>
    <t>település-üzemeltetéshez kapcsolódó feladatellátás támogatása</t>
  </si>
  <si>
    <t>II.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</si>
  <si>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</si>
  <si>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</si>
  <si>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</si>
  <si>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</si>
  <si>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</si>
  <si>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</si>
  <si>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</si>
  <si>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VII.</t>
  </si>
  <si>
    <t>2018.                                     év</t>
  </si>
  <si>
    <t>2019.                                     év</t>
  </si>
  <si>
    <t>összesen</t>
  </si>
  <si>
    <t>Megnevezése, fajtája, száma</t>
  </si>
  <si>
    <t>Sitkei  Viziközmű Társulat által felvett hitel</t>
  </si>
  <si>
    <t>formája: készfizető kezsségvállalás</t>
  </si>
  <si>
    <t>devizaneme:       Ft</t>
  </si>
  <si>
    <t>futamideje:        2012-2019</t>
  </si>
  <si>
    <t>kezességvállalás összesen:</t>
  </si>
  <si>
    <t>KÖZHATALMI BEVÉTELEK ÖSSZESEN:</t>
  </si>
  <si>
    <t>vendégebéd térítési díja</t>
  </si>
  <si>
    <t>működési kiadások</t>
  </si>
  <si>
    <t>felhalmozási kiadások</t>
  </si>
  <si>
    <t>felújítások</t>
  </si>
  <si>
    <t>Labdarugó Szakosztály támogatása</t>
  </si>
  <si>
    <t xml:space="preserve">Tanévkezdési támogatás </t>
  </si>
  <si>
    <t xml:space="preserve">       - egyéb működési kiadások</t>
  </si>
  <si>
    <t xml:space="preserve">       - egyéb felhalmozási kiadások</t>
  </si>
  <si>
    <t>szociális étkeztetés térítési díja</t>
  </si>
  <si>
    <t>táborozás támogatása</t>
  </si>
  <si>
    <t>talajterhelési díj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</si>
  <si>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</si>
  <si>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</si>
  <si>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</si>
  <si>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</si>
  <si>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</si>
  <si>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</si>
  <si>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</si>
  <si>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</si>
  <si>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</si>
  <si>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</si>
  <si>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</si>
  <si>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</si>
  <si>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</si>
  <si>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</si>
  <si>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Nem közművel összegyűjtött háztartási szennyvíz ártalmatlanítása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</si>
  <si>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</si>
  <si>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</si>
  <si>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</si>
  <si>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</si>
  <si>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5.</t>
  </si>
  <si>
    <t>Gyermekétkeztetés támogatása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</si>
  <si>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</si>
  <si>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</si>
  <si>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</si>
  <si>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</si>
  <si>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</si>
  <si>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üdülőhelyi feladatok támogatása</t>
  </si>
  <si>
    <t>Helyi önkormányzatok  működésének  általános támogatása összesen:</t>
  </si>
  <si>
    <t>Egyéb működési célú támogatások bevételei államháztartáson belülről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</si>
  <si>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</si>
  <si>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</si>
  <si>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</si>
  <si>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KÖZHATALMI BEVÉTELEK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</si>
  <si>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</si>
  <si>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</si>
  <si>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</si>
  <si>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</si>
  <si>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</si>
  <si>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</si>
  <si>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áruhasználati és szolgáltatási adók</t>
  </si>
  <si>
    <t>Idegenforgalmi adó</t>
  </si>
  <si>
    <t>Egyéb közhatalmi bevételek</t>
  </si>
  <si>
    <t>Igazgatási szolgáltatási díjak</t>
  </si>
  <si>
    <t>Helyi adópótlék, adóbírság</t>
  </si>
  <si>
    <t xml:space="preserve">IV. </t>
  </si>
  <si>
    <t>Szolgáltatások ellenértéke</t>
  </si>
  <si>
    <t>temetkezési szolgáltatás(sírhely megváltás)</t>
  </si>
  <si>
    <t>óvodai étkeztetés nyújtása</t>
  </si>
  <si>
    <t xml:space="preserve">bérleti és lízing díjbevételek </t>
  </si>
  <si>
    <t>önkormányzati helyiségek bérbeadása</t>
  </si>
  <si>
    <t>lakbérbevételek</t>
  </si>
  <si>
    <t>közterületfogalási díjak</t>
  </si>
  <si>
    <t>földbéreleti díjak</t>
  </si>
  <si>
    <t>Tulajdonosi bevételek</t>
  </si>
  <si>
    <t>szennyvízcsatornahasználati díj</t>
  </si>
  <si>
    <t>Ellátási díjak</t>
  </si>
  <si>
    <t>alkalmazottak térítési díja</t>
  </si>
  <si>
    <t>Kiszámlázott általános forgalmi adó</t>
  </si>
  <si>
    <t>Általános forgalmi adó visszatérítése</t>
  </si>
  <si>
    <t>Kamatbevételek</t>
  </si>
  <si>
    <t>FELHALMOZÁSI CÉLÚ ÁTVETT PÉNZESZKÖZÖK</t>
  </si>
  <si>
    <t>Első lakáshoz jutók lakásépítési és -vásárlási kölcsönének törlesztése</t>
  </si>
  <si>
    <t>FELHALMOZÁSI CÉLÚ ÁTVETT PÉNZESZKÖZÖK ÖSSZESEN:</t>
  </si>
  <si>
    <t>KÖLTSÉGVETÉSI BEVÉTELEK</t>
  </si>
  <si>
    <t>VIII.</t>
  </si>
  <si>
    <t>FINANSZÍROZÁSI BEVÉTELEK</t>
  </si>
  <si>
    <t>Előző évi költségvetési maradvány igénybevétele</t>
  </si>
  <si>
    <t>BEVÉTELEK ÖSSZESEN:</t>
  </si>
  <si>
    <t>lakott külterülettel kapcsolatos feladatok</t>
  </si>
  <si>
    <t>e.</t>
  </si>
  <si>
    <t>Pénzbeni szociális ellátások kiegészítése</t>
  </si>
  <si>
    <t>Települési önkormányzatok szociális feladatainak egyéb támogatása</t>
  </si>
  <si>
    <t>egyéb szolgáltatások nyújtása miatti bevételek</t>
  </si>
  <si>
    <t>BEVÉTELEINEK ÉS KIADÁSAINAK ALAKULÁSA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</si>
  <si>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</si>
  <si>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</si>
  <si>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</si>
  <si>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</si>
  <si>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</si>
  <si>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FELHALMOZÁSI BEVÉTELEK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</si>
  <si>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</si>
  <si>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</si>
  <si>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</si>
  <si>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</si>
  <si>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</si>
  <si>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</si>
  <si>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</si>
  <si>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</si>
  <si>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</si>
  <si>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Ellátottak juttatásai</t>
  </si>
  <si>
    <t xml:space="preserve">       - Beruházások</t>
  </si>
  <si>
    <t xml:space="preserve">       - Felújítások</t>
  </si>
  <si>
    <t>FINANSZÍROZÁSI KIADÁSOK</t>
  </si>
  <si>
    <t xml:space="preserve"> ebből: fejlesztési célú hitelek törlesztése</t>
  </si>
  <si>
    <t xml:space="preserve">           befektetési célú részesedések vásárlása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</si>
  <si>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</si>
  <si>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</si>
  <si>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</si>
  <si>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</si>
  <si>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</si>
  <si>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</si>
  <si>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</si>
  <si>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</si>
  <si>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</si>
  <si>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</si>
  <si>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</si>
  <si>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</si>
  <si>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</si>
  <si>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hitel- törlesztés</t>
  </si>
  <si>
    <t>részesedés vásárlása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</si>
  <si>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</si>
  <si>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</si>
  <si>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</si>
  <si>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</si>
  <si>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</si>
  <si>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</si>
  <si>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</si>
  <si>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</si>
  <si>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051030</t>
  </si>
  <si>
    <t>Nem veszélyes (települési) hulladék vegyes (ömlesztett ) begyűjtése, szállítása, átrakás</t>
  </si>
  <si>
    <t>052080</t>
  </si>
  <si>
    <t>Szennyvízcsatorna építése, fenntartása, üzemeltetése</t>
  </si>
  <si>
    <t>061030</t>
  </si>
  <si>
    <t>Lakáshoz jutást segítő támogatások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</si>
  <si>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</si>
  <si>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</si>
  <si>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</si>
  <si>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</si>
  <si>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</si>
  <si>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</si>
  <si>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</si>
  <si>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081041</t>
  </si>
  <si>
    <t>Versenysport és utánpótlás-nevelési tevékenység és támogatása</t>
  </si>
  <si>
    <t>082044</t>
  </si>
  <si>
    <t>084031</t>
  </si>
  <si>
    <t>094260</t>
  </si>
  <si>
    <t>Hallgatói és oktatói ösztöndíjak, egyéb juttatások</t>
  </si>
  <si>
    <t>107051</t>
  </si>
  <si>
    <t>Házi segítségnyújtás</t>
  </si>
  <si>
    <t>Egyéb szociális természetbeni és pénzbeni ellátások</t>
  </si>
  <si>
    <t>EGYÉB MŰKÖDÉSI KIADÁSOK</t>
  </si>
  <si>
    <t>EGYÉB MŰKÖDÉSI CÉLÚ TÁMOGATÁSOK ÁLLAMHÁZTARTÁSON BELÜLRE</t>
  </si>
  <si>
    <t>EGYÉB MŰKÖDÉSI CÉLÚ TÁMOGATÁSOK ÁLLAMHÁZTARTÁSON BELÜLRE ÖSSZESEN:</t>
  </si>
  <si>
    <t>EGYÉB MŰKÖDÉSI CÉLÚ TÁMOGATÁSOK ÁLLAMHÁZTARTÁSON KÍVÜLRE</t>
  </si>
  <si>
    <t>EGYÉB MŰKÖDÉSI CÉLÚ TÁMOGATÁSOK ÁLLAMHÁZTARTÁSON KÍVÜLRE ÖSSZESEN:</t>
  </si>
  <si>
    <t>EGYÉB MŰKÖDÉSI KIADÁSOK ÖSSZESEN: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</si>
  <si>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</si>
  <si>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</si>
  <si>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</si>
  <si>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</si>
  <si>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</si>
  <si>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</si>
  <si>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</si>
  <si>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</si>
  <si>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</si>
  <si>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</si>
  <si>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</si>
  <si>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</si>
  <si>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</si>
  <si>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</si>
  <si>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</si>
  <si>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</si>
  <si>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</si>
  <si>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</si>
  <si>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</si>
  <si>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működési célú visszatérítendő támogatások, kölcsönök nyújtása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</si>
  <si>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</si>
  <si>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</si>
  <si>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</si>
  <si>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</si>
  <si>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</si>
  <si>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</si>
  <si>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</si>
  <si>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</si>
  <si>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</si>
  <si>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</si>
  <si>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</si>
  <si>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</si>
  <si>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</si>
  <si>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</si>
  <si>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</si>
  <si>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</si>
  <si>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</si>
  <si>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</si>
  <si>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</si>
  <si>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</si>
  <si>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</si>
  <si>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</si>
  <si>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</si>
  <si>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</si>
  <si>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</si>
  <si>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</si>
  <si>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</si>
  <si>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Hitel-, kölcsöntörlesztés államháztartáson kívülre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</si>
  <si>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</si>
  <si>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</si>
  <si>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</si>
  <si>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</si>
  <si>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</si>
  <si>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Egyéb felhalmozási kiadások államháztartáson kívülre</t>
  </si>
  <si>
    <t>Első lakáshoz jutók lakásépítésének és -vásárlásnak viszza nem térítendő támogatása</t>
  </si>
  <si>
    <t>Egyéb felhalmozási kiadások államháztartáson kívülre összesen:</t>
  </si>
  <si>
    <t>Költségvetési (működési és felhalmozási ) mérlege</t>
  </si>
  <si>
    <t>Sitke község Önkormányzta</t>
  </si>
  <si>
    <t>Kezességvállalások állománya</t>
  </si>
  <si>
    <t>mértéke: lakossági érdekeltségi hozzájárulás együttes összegének 20 %-a,  induláskor 11.322.424 Ft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</si>
  <si>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</si>
  <si>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</si>
  <si>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</si>
  <si>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</si>
  <si>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</si>
  <si>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</si>
  <si>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</si>
  <si>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</si>
  <si>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</si>
  <si>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096015</t>
  </si>
  <si>
    <t>Gyermekétkeztetés köznevelési intézményben</t>
  </si>
  <si>
    <t>096025</t>
  </si>
  <si>
    <t>Munkahelyi étkeztetés köznevelési intézményekben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</si>
  <si>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</si>
  <si>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</si>
  <si>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</si>
  <si>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</si>
  <si>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Összesen</t>
  </si>
  <si>
    <t>KÖTELEZŐ, ÖNKÉNT VÁLLALT ÉS ÁLLAMI (ÁLLAMIGAZGATÁSI) FELADATAINAK KIADÁSAI</t>
  </si>
  <si>
    <t>kiadás                                       összesen:</t>
  </si>
  <si>
    <t xml:space="preserve">SITKE KÖZSÉG ÖNKORMÁNYZATA   </t>
  </si>
  <si>
    <t>BERUHÁZÁSOK ÉS FELHALMOZÁSI KIADÁSOK</t>
  </si>
  <si>
    <t>M e g n e v e z é s:</t>
  </si>
  <si>
    <t>Előzetesen felszámított általános forgalmi adó</t>
  </si>
  <si>
    <t>BERUHÁZÁSOK ÖSSZESEN: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</si>
  <si>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</si>
  <si>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</si>
  <si>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</si>
  <si>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</si>
  <si>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</si>
  <si>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</si>
  <si>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</si>
  <si>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</si>
  <si>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</si>
  <si>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</si>
  <si>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</si>
  <si>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</si>
  <si>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</si>
  <si>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</si>
  <si>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</si>
  <si>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</si>
  <si>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</si>
  <si>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</si>
  <si>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</si>
  <si>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</si>
  <si>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</si>
  <si>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</si>
  <si>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</si>
  <si>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</si>
  <si>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</si>
  <si>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</si>
  <si>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</si>
  <si>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</si>
  <si>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</si>
  <si>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</si>
  <si>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</si>
  <si>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</si>
  <si>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</si>
  <si>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hosszú lejáratú hitel törlesztése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</si>
  <si>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</si>
  <si>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</si>
  <si>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</si>
  <si>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</si>
  <si>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</si>
  <si>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</si>
  <si>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</si>
  <si>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Szociális étkeztetés (889921)</t>
  </si>
  <si>
    <t>107052</t>
  </si>
  <si>
    <t>Gyermekvédelmi pénzbeni és természetbeni ellátások</t>
  </si>
  <si>
    <t>lakhatáshoz kapcsolódó rendszeres kiadások viseléséhez nyújtható települési támogatás</t>
  </si>
  <si>
    <t>rendkívüli települési támogatás</t>
  </si>
  <si>
    <t>újszülöttek támogatása</t>
  </si>
  <si>
    <t>Rendszeres gyermekvédelmi kedvezményben részesülők részére Erzsébet utalvány</t>
  </si>
  <si>
    <t xml:space="preserve">EURÓPAI UNIÓS TÁMOGATÁSOKBÓL FINANSZÍROZOTT PROJEKTEK FORRÁSÖSSZETÉTELE </t>
  </si>
  <si>
    <t>Sor- szám</t>
  </si>
  <si>
    <t>Projekt  megnevezése</t>
  </si>
  <si>
    <t>támoga- tás mértéke  %</t>
  </si>
  <si>
    <t>saját erőforrás</t>
  </si>
  <si>
    <t>támogatás</t>
  </si>
  <si>
    <t>Mindösszesen</t>
  </si>
  <si>
    <t>saját erő</t>
  </si>
  <si>
    <t>bekerülési költség</t>
  </si>
  <si>
    <t>összesen:</t>
  </si>
  <si>
    <t>2014.</t>
  </si>
  <si>
    <t>2015.</t>
  </si>
  <si>
    <t>Mikrobusz beszerzése (vidéki gazdaság és lakosság számára nyújtott alapszolgáltatások fejlesztése)</t>
  </si>
  <si>
    <t>KÖZVETETT TÁMOGATÁSOK</t>
  </si>
  <si>
    <t>A. helyi adónál biztosított közvetett támogatások</t>
  </si>
  <si>
    <t>A támogatás kedvezményezettje</t>
  </si>
  <si>
    <t xml:space="preserve">Adóelengedés </t>
  </si>
  <si>
    <t>Adókedvezmény</t>
  </si>
  <si>
    <t xml:space="preserve">Egyéb </t>
  </si>
  <si>
    <t>Összesen  e Ft</t>
  </si>
  <si>
    <t xml:space="preserve">jogcíme </t>
  </si>
  <si>
    <t>mértéke</t>
  </si>
  <si>
    <t>összege</t>
  </si>
  <si>
    <t>jogcíme</t>
  </si>
  <si>
    <t xml:space="preserve">összege </t>
  </si>
  <si>
    <t>(jellege)</t>
  </si>
  <si>
    <t>%</t>
  </si>
  <si>
    <t>állandó lakás céljára ténylegesen használt ingatlan adóalanya</t>
  </si>
  <si>
    <t>magánsz. kommunális adója</t>
  </si>
  <si>
    <t xml:space="preserve"> 2. Méltányossági eljárás</t>
  </si>
  <si>
    <t xml:space="preserve"> - fizetési halasztás</t>
  </si>
  <si>
    <t xml:space="preserve"> - részletfizetés</t>
  </si>
  <si>
    <t xml:space="preserve"> - elengedés</t>
  </si>
  <si>
    <t xml:space="preserve"> összesen:</t>
  </si>
  <si>
    <t>2. Gépjárműadó</t>
  </si>
  <si>
    <t>súlyos mozgáskorlátozottak</t>
  </si>
  <si>
    <t>Gjt. 5.§. f. pont</t>
  </si>
  <si>
    <t>adóalanyok</t>
  </si>
  <si>
    <t>Gjt. 6.§.(3) bek.</t>
  </si>
  <si>
    <t>B. Egyéb közvetett támogatások</t>
  </si>
  <si>
    <t>1.helyiségek, eszközök hasznosításából származó bevételekből nyújtott kedvezmény mentesség összege</t>
  </si>
  <si>
    <t>kedvezmény jogcíme</t>
  </si>
  <si>
    <t>havi kedvezmény                                   (Ft)</t>
  </si>
  <si>
    <t>éves kedvezmény              (e Ft)</t>
  </si>
  <si>
    <t>összesen                  (e Ft)</t>
  </si>
  <si>
    <t>magánszemély</t>
  </si>
  <si>
    <t>-</t>
  </si>
  <si>
    <t>2. lakosság részére lakásépítéshez, lakásfelújításhoz nyújtott kölcsönök elengedésének összege</t>
  </si>
  <si>
    <t>havi kedvezmény                                        (Ft)</t>
  </si>
  <si>
    <t>magánszemélyek</t>
  </si>
  <si>
    <t>gyermekkedvezmény</t>
  </si>
  <si>
    <t>3. ellátottak térítési díjának, illetve kártérítésének méltányossági alapon történő elengedésének összege</t>
  </si>
  <si>
    <t>térítési díj elengedése</t>
  </si>
  <si>
    <t>4. egyéb nyújtott kedvezmény vagy kölcsön elengedésének összege</t>
  </si>
  <si>
    <t>Sitke község Önkormányzata saját bevételeinek, valamint az adósságot keletkeztető ügyleteiből eredő</t>
  </si>
  <si>
    <t>fizetési kötelezettségeinek bemutatása</t>
  </si>
  <si>
    <t>megnevezés</t>
  </si>
  <si>
    <t>Saját bevétel és adósságot keletkeztető ügyletből eredő fizetési kötelezettség összegei</t>
  </si>
  <si>
    <t>év</t>
  </si>
  <si>
    <t>bírság-, pótlék- és díjbevétel</t>
  </si>
  <si>
    <t>önkormányzat saját bevételei:</t>
  </si>
  <si>
    <t>saját bevételek  50 %-a</t>
  </si>
  <si>
    <t>fizetési kötelezettség összesen</t>
  </si>
  <si>
    <t>Fizetési kötelezettséggel csökkentett saját bevétel összege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</si>
  <si>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</si>
  <si>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</si>
  <si>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</si>
  <si>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</si>
  <si>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kezesség-, illetve garanciavállalással kapcsolatos megtérülés</t>
  </si>
  <si>
    <t>hitel, kölcsön felvétele, átvállalása a folyósítás, átvállalás napjától a végtörlesztés napjáig, és annak aktuális tőketartozása</t>
  </si>
  <si>
    <t> számvitelről szóló törvény szerinti hitelviszonyt megtestesítő értékpapír forgalomba hozatala a forgalomba hozatal napjától a beváltás napjáig</t>
  </si>
  <si>
    <t> váltó kibocsátása a kibocsátás napjától a beváltás napjáig</t>
  </si>
  <si>
    <t>Szt. szerint pénzügyi lízing lízingbevevői félként történő megkötése a lízing futamideje alatt,</t>
  </si>
  <si>
    <t xml:space="preserve">vissz visszavásárlási kötelezettség kikötésével megkötött adásvételi szerződés eladói félként történő megkötése avásárlási kötelezettség kikötésével megkötött adásvételi szerződés </t>
  </si>
  <si>
    <t>szerződésben kapott, legalább háromszázhatvanöt nap időtartamú halasztott fizetés, részletfizetés</t>
  </si>
  <si>
    <t>hitelintézetek által, származékos műveletek különbözeteként az Államadósság Kezelő Központ Zrt.-nél  elhelyezett fedezeti betétek</t>
  </si>
  <si>
    <t>költségvetése</t>
  </si>
  <si>
    <t>Munkahelyi étk.köznev.int. (562920) (Vendég)</t>
  </si>
  <si>
    <t>Áht-n belüli megelőlegezések visszafizetése</t>
  </si>
  <si>
    <t>082092</t>
  </si>
  <si>
    <t>Közművelődés - Hagyományos közösségi, kulturális értékek gondozása</t>
  </si>
  <si>
    <t>082093</t>
  </si>
  <si>
    <t>Közművelődés - Amatőr művészetek</t>
  </si>
  <si>
    <t>Munkahelyi étk.közn. Int.  (562920) ( Vendég)</t>
  </si>
  <si>
    <t>052020</t>
  </si>
  <si>
    <t>Szennyvíz gyűjtése, tisztítása, elhelyezése</t>
  </si>
  <si>
    <t>Közművelődés -Hagyományos közösségi, kulturális értékek gondozása</t>
  </si>
  <si>
    <t>0820093</t>
  </si>
  <si>
    <t>Közművelődés - amatőr művészetek</t>
  </si>
  <si>
    <t xml:space="preserve"> egyéb működési és felhalmozási kiadásai</t>
  </si>
  <si>
    <t>Egyéb gép, berendezés, felszerelés beszerzése</t>
  </si>
  <si>
    <t>082044Könyvtári szolgáltatások</t>
  </si>
  <si>
    <t>Könyvtári infrastruktúra fejlesztés támogatása, eszközbeszerzés</t>
  </si>
  <si>
    <t>Áht-n belüli megelőlegezések viszafizetése</t>
  </si>
  <si>
    <t xml:space="preserve">          Áht-n belüli megelőlegezések visszafizetése</t>
  </si>
  <si>
    <t>-Áht-n belüli megelőlegezések visszafizetése</t>
  </si>
  <si>
    <t>FELÚJÍTÁSI KIADÁSOK</t>
  </si>
  <si>
    <t xml:space="preserve">Összesen: </t>
  </si>
  <si>
    <t>FELÚJÍTÁSOK ÖSSZESEN:</t>
  </si>
  <si>
    <t>Felújítási célú előzetesen felszámított le nem vonható általános forgalmi adóra</t>
  </si>
  <si>
    <t>költségvetési szerv,társadalmi szervezet</t>
  </si>
  <si>
    <t>Gjt.5.§.a.-b. pont</t>
  </si>
  <si>
    <t>( Ft-ban)</t>
  </si>
  <si>
    <t>2016. évről áthúzódó bérkompenzáció támogatása</t>
  </si>
  <si>
    <t>kiegészítés - I.1. jogcímhez kapcsolódóan</t>
  </si>
  <si>
    <t xml:space="preserve"> Ft</t>
  </si>
  <si>
    <t>sorszám</t>
  </si>
  <si>
    <t>(Ft-ban)</t>
  </si>
  <si>
    <t>018030</t>
  </si>
  <si>
    <t>Támogatási célú finanszírozási műveletek</t>
  </si>
  <si>
    <t>045160</t>
  </si>
  <si>
    <t>Közutak, hidak, alagutak üzemeltetése, fenntartása</t>
  </si>
  <si>
    <t>Egyéb különféle működési bevételek</t>
  </si>
  <si>
    <t>21.</t>
  </si>
  <si>
    <t>22.</t>
  </si>
  <si>
    <t>23.</t>
  </si>
  <si>
    <t>24.</t>
  </si>
  <si>
    <t>25.</t>
  </si>
  <si>
    <t>26.</t>
  </si>
  <si>
    <t>27.</t>
  </si>
  <si>
    <t>Sorszám</t>
  </si>
  <si>
    <t>(  Ft-ban)</t>
  </si>
  <si>
    <t>2020.</t>
  </si>
  <si>
    <t>adósságkonszolidációban nem részerült település önkormányzatok támogatása 2016. évről</t>
  </si>
  <si>
    <t>megelőlegezett állami támogatás igénybevétele</t>
  </si>
  <si>
    <t>1.1.</t>
  </si>
  <si>
    <t>1.1.1.</t>
  </si>
  <si>
    <t>1.1.2.</t>
  </si>
  <si>
    <t>1.2.</t>
  </si>
  <si>
    <t>1.3.</t>
  </si>
  <si>
    <t>1.4.</t>
  </si>
  <si>
    <t>1.5.</t>
  </si>
  <si>
    <t>1.6.</t>
  </si>
  <si>
    <t>1.6.1.</t>
  </si>
  <si>
    <t>1.7.</t>
  </si>
  <si>
    <t>1.7.1.</t>
  </si>
  <si>
    <t>1.7.2.</t>
  </si>
  <si>
    <t>3.1.</t>
  </si>
  <si>
    <t>3.1.1.</t>
  </si>
  <si>
    <t>3.1.2</t>
  </si>
  <si>
    <t>3.1.3.</t>
  </si>
  <si>
    <t>3.1.4.</t>
  </si>
  <si>
    <t>3.2</t>
  </si>
  <si>
    <t>3.2.2.</t>
  </si>
  <si>
    <t>3.2.3</t>
  </si>
  <si>
    <t>4.1.</t>
  </si>
  <si>
    <t>4.2.</t>
  </si>
  <si>
    <t>4.3.</t>
  </si>
  <si>
    <t>3.1.5.</t>
  </si>
  <si>
    <t>3.2.1.</t>
  </si>
  <si>
    <t>28.</t>
  </si>
  <si>
    <t>TÁRGYÉVI KÖLTSÉGVETÉS EGYENLEGE</t>
  </si>
  <si>
    <t>1. Magánszemélyek kommunális adója</t>
  </si>
  <si>
    <t>2016.</t>
  </si>
  <si>
    <t>Egyéb építmény felújítása</t>
  </si>
  <si>
    <t>045160 Közutak, hidak, alagutak üzemeltetése, fenntartása</t>
  </si>
  <si>
    <t>(  Ft-ban )</t>
  </si>
  <si>
    <t xml:space="preserve"> 011130 Önkormányzatok és önk. hivatalok jogalkotó és ált. igaztatási tevékenysége</t>
  </si>
  <si>
    <t xml:space="preserve">       - Általános tartalék</t>
  </si>
  <si>
    <t>3.1.6.</t>
  </si>
  <si>
    <t>2.1.</t>
  </si>
  <si>
    <t>Bursa Hungarica ösztöndíj pályázat  támogatása</t>
  </si>
  <si>
    <t>2018. év</t>
  </si>
  <si>
    <t>2018. 01.01-től</t>
  </si>
  <si>
    <t>2021.</t>
  </si>
  <si>
    <t>Polgármesteri illetmény támogatása</t>
  </si>
  <si>
    <t>A finanszírozás szempontjából elismert dolgozók bértámogatása</t>
  </si>
  <si>
    <t>Gyermekétkeztetés üzemeltetési támogatása</t>
  </si>
  <si>
    <t>Gjt. 6.§.(2) bek.</t>
  </si>
  <si>
    <t>Gjt. 6.§.(4) bek.</t>
  </si>
  <si>
    <t>041233</t>
  </si>
  <si>
    <t>Hosszabb időtartamú közfoglalkoztatás</t>
  </si>
  <si>
    <t>Sitke Község Önkormányzat összesen</t>
  </si>
  <si>
    <t>29.</t>
  </si>
  <si>
    <t>30.</t>
  </si>
  <si>
    <t>Sitke Önkormányzati Konyha összesen:</t>
  </si>
  <si>
    <t>Mindösszesen:</t>
  </si>
  <si>
    <t>Sitke község önkormányzata összesen:</t>
  </si>
  <si>
    <t xml:space="preserve">Szociális étkeztetés </t>
  </si>
  <si>
    <t>Munkahelyi étkeztetés köznevelési int. (vendég)</t>
  </si>
  <si>
    <t>Házi segítség nyújtás ellátására Sárvár Város Önkormányzattal kötött szerződés alapján fizetendő támogatás</t>
  </si>
  <si>
    <t>1.1.4.</t>
  </si>
  <si>
    <t xml:space="preserve">SITKE KÖZSÉG ÖNKORMÁNYZATA  </t>
  </si>
  <si>
    <t>BEVÉTELEINEK KÖLTSÉGVETÉSI SZERVENKÉNTI ALAKULÁSA</t>
  </si>
  <si>
    <t xml:space="preserve"> Ft-ban </t>
  </si>
  <si>
    <t>SORSZÁM</t>
  </si>
  <si>
    <t xml:space="preserve"> bevételek összesen: </t>
  </si>
  <si>
    <t xml:space="preserve"> működési bevételek </t>
  </si>
  <si>
    <t xml:space="preserve"> felhalmozási bevételek </t>
  </si>
  <si>
    <t xml:space="preserve"> finanszírozási bevételek </t>
  </si>
  <si>
    <t xml:space="preserve"> működési támogatások államháztartáson belülről </t>
  </si>
  <si>
    <t xml:space="preserve"> közhatalmi bevételek </t>
  </si>
  <si>
    <t xml:space="preserve"> működési célú átvett pénz-    eszközök </t>
  </si>
  <si>
    <t xml:space="preserve"> működési bevételek összesen </t>
  </si>
  <si>
    <t xml:space="preserve"> felhalmozási támogatások államháztar- táson belülről </t>
  </si>
  <si>
    <t xml:space="preserve"> felhalmozási bevételek összesen </t>
  </si>
  <si>
    <t xml:space="preserve"> előző évi költségvetési  maradvány igénybevétele </t>
  </si>
  <si>
    <t xml:space="preserve"> központi, irányító szervi támogatás </t>
  </si>
  <si>
    <t>Sitke Község Önkormányzata</t>
  </si>
  <si>
    <t>Sitkei önkormányzati Konyha</t>
  </si>
  <si>
    <t>ÖSSZESEN:</t>
  </si>
  <si>
    <t>KÖLTSÉGVETÉSI SZERVEK KÖZPONTI KÖLTSÉGVETÉSI ÉS ÖNKORMÁNYZATI TÁMOGATÁSA</t>
  </si>
  <si>
    <t xml:space="preserve"> (  Ft-ban ) </t>
  </si>
  <si>
    <t>központi költségvetési támogatás</t>
  </si>
  <si>
    <t>önkormányzati támogatás</t>
  </si>
  <si>
    <t xml:space="preserve"> összes támogatás </t>
  </si>
  <si>
    <t xml:space="preserve">  Ft </t>
  </si>
  <si>
    <t>megoszlás    %-a</t>
  </si>
  <si>
    <t>megoszlás %-a</t>
  </si>
  <si>
    <t>Sitkei Önkormányzati Konyha</t>
  </si>
  <si>
    <t>Intézmény megnevezése</t>
  </si>
  <si>
    <t xml:space="preserve"> felhalmozási célú átvett pénzeszk. </t>
  </si>
  <si>
    <t>052080 Szennyvízcsatorna építése, fenntartása, üzemeltetése</t>
  </si>
  <si>
    <t>1.2.1.</t>
  </si>
  <si>
    <t>Szennyvíztisztítő felújítás (gördülő fejtesztési terv alapján)</t>
  </si>
  <si>
    <t xml:space="preserve"> előirányzat     (  Ft)</t>
  </si>
  <si>
    <t xml:space="preserve"> - egyéb működési célú támogatások </t>
  </si>
  <si>
    <t>előző év költségvetési maradvány igénybevétele áthúzódó feladatokra</t>
  </si>
  <si>
    <t xml:space="preserve">Áht-n belüli megelőlegezések </t>
  </si>
  <si>
    <t xml:space="preserve">2019. évi </t>
  </si>
  <si>
    <t>2019. évre</t>
  </si>
  <si>
    <t>26..</t>
  </si>
  <si>
    <t>31.</t>
  </si>
  <si>
    <t>2019. év</t>
  </si>
  <si>
    <t>2019.év</t>
  </si>
  <si>
    <t>066020 Város - és községgazdálkodási egyéb szolgáltatások</t>
  </si>
  <si>
    <t>Műfüves pálya létesítéséhez önerő</t>
  </si>
  <si>
    <t>1.2.2</t>
  </si>
  <si>
    <t>(2018. december 31-i állapot szerint)</t>
  </si>
  <si>
    <t>2015-2019. év</t>
  </si>
  <si>
    <t>2020-2022. év</t>
  </si>
  <si>
    <t>2022.</t>
  </si>
  <si>
    <t>felhalmozási célú visszatérítendő támogatások államháztartáson kívülről</t>
  </si>
  <si>
    <t>2018.ÉVBEN MEGELŐLEGEZETT ÁLLAMI TÁMOGATÁS</t>
  </si>
  <si>
    <t xml:space="preserve">2. </t>
  </si>
  <si>
    <t>Felhalmozási célú egyéb átvett pénzeszközök (Kápolnáért Kultúrális és Sport Egyesület támogatása ( műfüves pálya önrészéhez)</t>
  </si>
  <si>
    <t>ELŐZŐ ÉVEK KÖLTSÉGVETÉSI MARADVÁNY IGÉNYBEVÉTELE 2018. ÉVRŐL ÁTHÚZÓDÓ FELADATOKRA</t>
  </si>
  <si>
    <t>2019.évre</t>
  </si>
  <si>
    <t xml:space="preserve">Sághegy Leader tagdíj </t>
  </si>
  <si>
    <t>Hímzőszakkör támogatása (2018-2019.)</t>
  </si>
  <si>
    <t>Nyugdíjas Klub ( előző évről 130.000 Ft)</t>
  </si>
  <si>
    <t>Arany János tehetséggondozó programban résztvevő támogatása</t>
  </si>
  <si>
    <t>TARTALÉKOK</t>
  </si>
  <si>
    <t>Hegyalja utca felújítása ( 2018. évben megvalósult)</t>
  </si>
  <si>
    <t>időskorúak támogatása</t>
  </si>
  <si>
    <t>Rendszeres gyermekvédelmi kedvezményben részesülők  támogatása</t>
  </si>
  <si>
    <t>1. melléklet  a  2/2019. (II.12.) önkormányzati rendelethez</t>
  </si>
  <si>
    <t>2. melléklet  a  2/2019. (II.12.) önkormányzati rendelethez</t>
  </si>
  <si>
    <t>3. melléklet  a  2/2019. (II.12.) önkormányzati rendelethez</t>
  </si>
  <si>
    <t>4. melléklet  a  2/2019. (II.12.) önkormányzati rendelethez</t>
  </si>
  <si>
    <t>5. melléklet  a 2/2019. (II.12.) önkormányzati rendelethez</t>
  </si>
  <si>
    <t>6. melléklet  a 2/2019. (II.12.) önkormányzati rendelethez</t>
  </si>
  <si>
    <t>7. melléklet  a  2/2019. (II.12.) önkormányzati rendelethez</t>
  </si>
  <si>
    <t>8. melléklet a 2/2019. (II.12.) önkormányzati rendelethez</t>
  </si>
  <si>
    <t>9. melléklet a 2/2019.(II.12.) sz. önkormányzati rendelethez</t>
  </si>
  <si>
    <t>10. melléklet a 2/2019. (II.12.) önkormányzati rendelethez</t>
  </si>
  <si>
    <t>11. melléklet a 2/2019. (II.12.) önkormányzati rendelethez</t>
  </si>
  <si>
    <t>12. melléklet a 2/2019. (II.12.) önkormányzati rendelethez</t>
  </si>
  <si>
    <t>13. melléklet a 2/2019. (II.12.) önkormányzati rendelethez</t>
  </si>
  <si>
    <t>14. melléklet  a  2/2019. (II.12.) önkormányzati rendelethez</t>
  </si>
  <si>
    <t>15. melléklet  a  2/2019. (II.12.) önkormányzati rendelethez</t>
  </si>
  <si>
    <t>16. melléklet  a  2/2019. (II.12.) önkormányzati rendelethez</t>
  </si>
  <si>
    <t xml:space="preserve"> 17. melléklet a 2/2019. (II.12.) önkormányzati rendelethez </t>
  </si>
  <si>
    <t xml:space="preserve"> 18. melléklet a 2/2019.(II.12.) önkormányzati rendelethez 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</si>
</sst>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  <numFmt numFmtId="178" formatCode="#,##0;[Red]#,##0"/>
    <numFmt numFmtId="179" formatCode="#,##0.0"/>
    <numFmt numFmtId="180" formatCode="[$¥€-2]\ #\ ##,000_);[Red]\([$€-2]\ #\ ##,000\)"/>
  </numFmts>
  <fonts count="74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2"/>
      <name val="Arial CE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2"/>
      <name val="Times New Roman"/>
      <family val="1"/>
    </font>
    <font>
      <b/>
      <sz val="18"/>
      <name val="Times New Roman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thick"/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double"/>
      <right style="thick"/>
      <top style="medium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ck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1" borderId="7" applyNumberFormat="0" applyFont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5" fillId="28" borderId="0" applyNumberFormat="0" applyBorder="0" applyAlignment="0" applyProtection="0"/>
    <xf numFmtId="0" fontId="66" fillId="29" borderId="8" applyNumberFormat="0" applyAlignment="0" applyProtection="0"/>
    <xf numFmtId="0" fontId="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70" fillId="31" borderId="0" applyNumberFormat="0" applyBorder="0" applyAlignment="0" applyProtection="0"/>
    <xf numFmtId="0" fontId="71" fillId="29" borderId="1" applyNumberFormat="0" applyAlignment="0" applyProtection="0"/>
    <xf numFmtId="9" fontId="0" fillId="0" borderId="0" applyFont="0" applyFill="0" applyBorder="0" applyAlignment="0" applyProtection="0"/>
  </cellStyleXfs>
  <cellXfs count="839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57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57" applyFont="1">
      <alignment/>
      <protection/>
    </xf>
    <xf numFmtId="0" fontId="6" fillId="0" borderId="0" xfId="57" applyFont="1">
      <alignment/>
      <protection/>
    </xf>
    <xf numFmtId="0" fontId="4" fillId="0" borderId="0" xfId="60" applyFont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59" applyFont="1">
      <alignment/>
      <protection/>
    </xf>
    <xf numFmtId="0" fontId="12" fillId="0" borderId="0" xfId="60" applyFont="1">
      <alignment/>
      <protection/>
    </xf>
    <xf numFmtId="3" fontId="10" fillId="0" borderId="0" xfId="0" applyNumberFormat="1" applyFont="1" applyAlignment="1">
      <alignment/>
    </xf>
    <xf numFmtId="0" fontId="12" fillId="0" borderId="0" xfId="59" applyFont="1" applyBorder="1">
      <alignment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68" fontId="12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0" fontId="12" fillId="0" borderId="0" xfId="56" applyFont="1">
      <alignment/>
      <protection/>
    </xf>
    <xf numFmtId="0" fontId="4" fillId="0" borderId="0" xfId="56" applyFont="1">
      <alignment/>
      <protection/>
    </xf>
    <xf numFmtId="0" fontId="6" fillId="0" borderId="0" xfId="56" applyFont="1" applyAlignment="1">
      <alignment horizontal="centerContinuous"/>
      <protection/>
    </xf>
    <xf numFmtId="0" fontId="6" fillId="0" borderId="0" xfId="56" applyFont="1">
      <alignment/>
      <protection/>
    </xf>
    <xf numFmtId="0" fontId="14" fillId="0" borderId="0" xfId="56" applyFont="1" applyAlignment="1">
      <alignment/>
      <protection/>
    </xf>
    <xf numFmtId="41" fontId="6" fillId="0" borderId="0" xfId="56" applyNumberFormat="1" applyFont="1" applyAlignment="1">
      <alignment horizontal="centerContinuous"/>
      <protection/>
    </xf>
    <xf numFmtId="0" fontId="10" fillId="0" borderId="0" xfId="56" applyFont="1" applyAlignment="1">
      <alignment horizontal="centerContinuous"/>
      <protection/>
    </xf>
    <xf numFmtId="0" fontId="15" fillId="0" borderId="0" xfId="56" applyFont="1" applyAlignment="1">
      <alignment/>
      <protection/>
    </xf>
    <xf numFmtId="41" fontId="10" fillId="0" borderId="0" xfId="56" applyNumberFormat="1" applyFont="1" applyAlignment="1">
      <alignment horizontal="centerContinuous"/>
      <protection/>
    </xf>
    <xf numFmtId="0" fontId="11" fillId="0" borderId="0" xfId="56" applyFont="1">
      <alignment/>
      <protection/>
    </xf>
    <xf numFmtId="0" fontId="12" fillId="0" borderId="0" xfId="56" applyFont="1" applyAlignment="1">
      <alignment horizontal="right"/>
      <protection/>
    </xf>
    <xf numFmtId="41" fontId="13" fillId="0" borderId="0" xfId="56" applyNumberFormat="1" applyFont="1">
      <alignment/>
      <protection/>
    </xf>
    <xf numFmtId="41" fontId="6" fillId="0" borderId="0" xfId="56" applyNumberFormat="1" applyFont="1">
      <alignment/>
      <protection/>
    </xf>
    <xf numFmtId="0" fontId="11" fillId="0" borderId="0" xfId="59" applyFont="1">
      <alignment/>
      <protection/>
    </xf>
    <xf numFmtId="0" fontId="10" fillId="0" borderId="0" xfId="59" applyFont="1" applyAlignment="1">
      <alignment horizontal="center"/>
      <protection/>
    </xf>
    <xf numFmtId="0" fontId="11" fillId="0" borderId="0" xfId="59" applyFont="1" applyAlignment="1">
      <alignment horizontal="center"/>
      <protection/>
    </xf>
    <xf numFmtId="0" fontId="10" fillId="0" borderId="10" xfId="59" applyFont="1" applyBorder="1" applyAlignment="1">
      <alignment horizontal="center"/>
      <protection/>
    </xf>
    <xf numFmtId="0" fontId="10" fillId="0" borderId="11" xfId="59" applyFont="1" applyBorder="1" applyAlignment="1">
      <alignment horizontal="center"/>
      <protection/>
    </xf>
    <xf numFmtId="0" fontId="10" fillId="0" borderId="12" xfId="59" applyFont="1" applyBorder="1" applyAlignment="1">
      <alignment horizontal="center"/>
      <protection/>
    </xf>
    <xf numFmtId="0" fontId="11" fillId="0" borderId="13" xfId="59" applyFont="1" applyBorder="1">
      <alignment/>
      <protection/>
    </xf>
    <xf numFmtId="0" fontId="10" fillId="0" borderId="14" xfId="59" applyFont="1" applyBorder="1" applyAlignment="1">
      <alignment horizontal="center"/>
      <protection/>
    </xf>
    <xf numFmtId="0" fontId="10" fillId="0" borderId="15" xfId="59" applyFont="1" applyBorder="1" applyAlignment="1">
      <alignment horizontal="center"/>
      <protection/>
    </xf>
    <xf numFmtId="0" fontId="10" fillId="0" borderId="0" xfId="59" applyFont="1">
      <alignment/>
      <protection/>
    </xf>
    <xf numFmtId="0" fontId="16" fillId="0" borderId="0" xfId="59" applyFont="1">
      <alignment/>
      <protection/>
    </xf>
    <xf numFmtId="0" fontId="17" fillId="0" borderId="0" xfId="59" applyFont="1">
      <alignment/>
      <protection/>
    </xf>
    <xf numFmtId="168" fontId="12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11" fillId="0" borderId="0" xfId="40" applyNumberFormat="1" applyFont="1" applyAlignment="1">
      <alignment/>
    </xf>
    <xf numFmtId="168" fontId="10" fillId="0" borderId="0" xfId="40" applyNumberFormat="1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57" applyFont="1">
      <alignment/>
      <protection/>
    </xf>
    <xf numFmtId="0" fontId="9" fillId="0" borderId="0" xfId="0" applyFont="1" applyAlignment="1">
      <alignment horizontal="center"/>
    </xf>
    <xf numFmtId="168" fontId="17" fillId="0" borderId="0" xfId="40" applyNumberFormat="1" applyFont="1" applyAlignment="1">
      <alignment/>
    </xf>
    <xf numFmtId="168" fontId="16" fillId="0" borderId="0" xfId="40" applyNumberFormat="1" applyFont="1" applyAlignment="1">
      <alignment/>
    </xf>
    <xf numFmtId="168" fontId="11" fillId="0" borderId="0" xfId="40" applyNumberFormat="1" applyFont="1" applyAlignment="1">
      <alignment/>
    </xf>
    <xf numFmtId="168" fontId="4" fillId="0" borderId="0" xfId="40" applyNumberFormat="1" applyFont="1" applyAlignment="1">
      <alignment/>
    </xf>
    <xf numFmtId="168" fontId="4" fillId="0" borderId="0" xfId="40" applyNumberFormat="1" applyFont="1" applyAlignment="1">
      <alignment horizontal="right"/>
    </xf>
    <xf numFmtId="168" fontId="5" fillId="0" borderId="0" xfId="40" applyNumberFormat="1" applyFont="1" applyAlignment="1">
      <alignment/>
    </xf>
    <xf numFmtId="0" fontId="9" fillId="0" borderId="0" xfId="0" applyFont="1" applyAlignment="1">
      <alignment/>
    </xf>
    <xf numFmtId="0" fontId="20" fillId="0" borderId="0" xfId="0" applyFont="1" applyAlignment="1">
      <alignment/>
    </xf>
    <xf numFmtId="14" fontId="6" fillId="0" borderId="0" xfId="0" applyNumberFormat="1" applyFont="1" applyAlignment="1">
      <alignment/>
    </xf>
    <xf numFmtId="168" fontId="12" fillId="0" borderId="0" xfId="59" applyNumberFormat="1" applyFont="1" applyBorder="1">
      <alignment/>
      <protection/>
    </xf>
    <xf numFmtId="0" fontId="12" fillId="0" borderId="0" xfId="57" applyFont="1" applyAlignment="1">
      <alignment horizontal="center"/>
      <protection/>
    </xf>
    <xf numFmtId="0" fontId="6" fillId="0" borderId="0" xfId="57" applyFont="1" applyAlignment="1">
      <alignment/>
      <protection/>
    </xf>
    <xf numFmtId="0" fontId="12" fillId="0" borderId="0" xfId="57" applyFont="1" applyAlignment="1">
      <alignment/>
      <protection/>
    </xf>
    <xf numFmtId="0" fontId="12" fillId="0" borderId="0" xfId="57" applyFont="1" applyAlignment="1">
      <alignment horizontal="left"/>
      <protection/>
    </xf>
    <xf numFmtId="0" fontId="12" fillId="0" borderId="16" xfId="57" applyFont="1" applyBorder="1" applyAlignment="1">
      <alignment horizontal="left"/>
      <protection/>
    </xf>
    <xf numFmtId="0" fontId="12" fillId="0" borderId="16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0" fontId="12" fillId="0" borderId="13" xfId="57" applyFont="1" applyBorder="1" applyAlignment="1">
      <alignment horizontal="center"/>
      <protection/>
    </xf>
    <xf numFmtId="0" fontId="12" fillId="0" borderId="15" xfId="57" applyFont="1" applyBorder="1" applyAlignment="1">
      <alignment horizontal="center"/>
      <protection/>
    </xf>
    <xf numFmtId="0" fontId="21" fillId="0" borderId="0" xfId="57" applyFont="1">
      <alignment/>
      <protection/>
    </xf>
    <xf numFmtId="0" fontId="10" fillId="0" borderId="0" xfId="57" applyFont="1" applyAlignment="1">
      <alignment/>
      <protection/>
    </xf>
    <xf numFmtId="0" fontId="7" fillId="0" borderId="0" xfId="57" applyFont="1" applyAlignment="1">
      <alignment horizontal="centerContinuous"/>
      <protection/>
    </xf>
    <xf numFmtId="0" fontId="7" fillId="0" borderId="0" xfId="57" applyFont="1" applyAlignment="1">
      <alignment horizontal="center"/>
      <protection/>
    </xf>
    <xf numFmtId="0" fontId="4" fillId="0" borderId="17" xfId="57" applyFont="1" applyBorder="1" applyAlignment="1">
      <alignment/>
      <protection/>
    </xf>
    <xf numFmtId="0" fontId="4" fillId="0" borderId="18" xfId="57" applyFont="1" applyBorder="1" applyAlignment="1">
      <alignment horizontal="center"/>
      <protection/>
    </xf>
    <xf numFmtId="0" fontId="4" fillId="0" borderId="0" xfId="57" applyFont="1">
      <alignment/>
      <protection/>
    </xf>
    <xf numFmtId="0" fontId="4" fillId="0" borderId="19" xfId="57" applyFont="1" applyBorder="1">
      <alignment/>
      <protection/>
    </xf>
    <xf numFmtId="0" fontId="4" fillId="0" borderId="12" xfId="57" applyFont="1" applyBorder="1" applyAlignment="1">
      <alignment horizontal="center"/>
      <protection/>
    </xf>
    <xf numFmtId="0" fontId="4" fillId="0" borderId="20" xfId="57" applyFont="1" applyBorder="1">
      <alignment/>
      <protection/>
    </xf>
    <xf numFmtId="0" fontId="4" fillId="0" borderId="14" xfId="57" applyFont="1" applyBorder="1" applyAlignment="1">
      <alignment horizontal="center"/>
      <protection/>
    </xf>
    <xf numFmtId="0" fontId="4" fillId="0" borderId="21" xfId="57" applyFont="1" applyBorder="1" applyAlignment="1">
      <alignment horizontal="left" vertical="center" wrapText="1"/>
      <protection/>
    </xf>
    <xf numFmtId="0" fontId="4" fillId="0" borderId="21" xfId="57" applyFont="1" applyBorder="1" applyAlignment="1">
      <alignment horizontal="left"/>
      <protection/>
    </xf>
    <xf numFmtId="0" fontId="4" fillId="0" borderId="22" xfId="57" applyFont="1" applyBorder="1">
      <alignment/>
      <protection/>
    </xf>
    <xf numFmtId="0" fontId="7" fillId="0" borderId="23" xfId="57" applyFont="1" applyBorder="1" applyAlignment="1">
      <alignment horizontal="right"/>
      <protection/>
    </xf>
    <xf numFmtId="0" fontId="7" fillId="0" borderId="24" xfId="57" applyFont="1" applyBorder="1" applyAlignment="1">
      <alignment horizontal="left"/>
      <protection/>
    </xf>
    <xf numFmtId="168" fontId="7" fillId="0" borderId="24" xfId="40" applyNumberFormat="1" applyFont="1" applyBorder="1" applyAlignment="1">
      <alignment horizontal="right"/>
    </xf>
    <xf numFmtId="168" fontId="7" fillId="0" borderId="25" xfId="40" applyNumberFormat="1" applyFont="1" applyBorder="1" applyAlignment="1">
      <alignment horizontal="right"/>
    </xf>
    <xf numFmtId="168" fontId="7" fillId="0" borderId="0" xfId="57" applyNumberFormat="1" applyFont="1">
      <alignment/>
      <protection/>
    </xf>
    <xf numFmtId="0" fontId="7" fillId="0" borderId="0" xfId="57" applyFont="1">
      <alignment/>
      <protection/>
    </xf>
    <xf numFmtId="0" fontId="7" fillId="0" borderId="0" xfId="57" applyFont="1" applyBorder="1" applyAlignment="1">
      <alignment horizontal="center"/>
      <protection/>
    </xf>
    <xf numFmtId="0" fontId="7" fillId="0" borderId="0" xfId="57" applyFont="1" applyBorder="1">
      <alignment/>
      <protection/>
    </xf>
    <xf numFmtId="168" fontId="7" fillId="0" borderId="0" xfId="40" applyNumberFormat="1" applyFont="1" applyBorder="1" applyAlignment="1">
      <alignment horizontal="center" vertical="center"/>
    </xf>
    <xf numFmtId="0" fontId="12" fillId="0" borderId="0" xfId="56" applyFont="1">
      <alignment/>
      <protection/>
    </xf>
    <xf numFmtId="168" fontId="11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8" fontId="6" fillId="0" borderId="0" xfId="40" applyNumberFormat="1" applyFont="1" applyAlignment="1">
      <alignment wrapText="1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168" fontId="12" fillId="0" borderId="0" xfId="40" applyNumberFormat="1" applyFont="1" applyAlignment="1">
      <alignment wrapText="1"/>
    </xf>
    <xf numFmtId="168" fontId="12" fillId="0" borderId="0" xfId="57" applyNumberFormat="1" applyFont="1">
      <alignment/>
      <protection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2" fillId="0" borderId="0" xfId="57" applyFont="1" applyBorder="1" applyAlignment="1">
      <alignment horizontal="center" vertical="center"/>
      <protection/>
    </xf>
    <xf numFmtId="168" fontId="12" fillId="0" borderId="13" xfId="4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0" xfId="57" applyFont="1" applyBorder="1" applyAlignment="1">
      <alignment horizontal="left" vertical="center"/>
      <protection/>
    </xf>
    <xf numFmtId="168" fontId="6" fillId="0" borderId="0" xfId="0" applyNumberFormat="1" applyFont="1" applyAlignment="1">
      <alignment/>
    </xf>
    <xf numFmtId="0" fontId="16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7" fillId="0" borderId="0" xfId="0" applyFont="1" applyAlignment="1">
      <alignment/>
    </xf>
    <xf numFmtId="168" fontId="7" fillId="0" borderId="0" xfId="40" applyNumberFormat="1" applyFont="1" applyAlignment="1">
      <alignment/>
    </xf>
    <xf numFmtId="0" fontId="12" fillId="0" borderId="0" xfId="0" applyFont="1" applyAlignment="1">
      <alignment wrapText="1"/>
    </xf>
    <xf numFmtId="168" fontId="5" fillId="0" borderId="0" xfId="40" applyNumberFormat="1" applyFont="1" applyAlignment="1">
      <alignment/>
    </xf>
    <xf numFmtId="168" fontId="7" fillId="0" borderId="0" xfId="0" applyNumberFormat="1" applyFont="1" applyAlignment="1">
      <alignment/>
    </xf>
    <xf numFmtId="0" fontId="12" fillId="0" borderId="0" xfId="59" applyFont="1">
      <alignment/>
      <protection/>
    </xf>
    <xf numFmtId="168" fontId="7" fillId="0" borderId="0" xfId="40" applyNumberFormat="1" applyFont="1" applyAlignment="1">
      <alignment horizontal="right"/>
    </xf>
    <xf numFmtId="0" fontId="10" fillId="0" borderId="0" xfId="60" applyFont="1" applyAlignment="1">
      <alignment horizontal="center"/>
      <protection/>
    </xf>
    <xf numFmtId="0" fontId="11" fillId="0" borderId="0" xfId="60" applyFont="1">
      <alignment/>
      <protection/>
    </xf>
    <xf numFmtId="0" fontId="11" fillId="0" borderId="0" xfId="57" applyFont="1">
      <alignment/>
      <protection/>
    </xf>
    <xf numFmtId="0" fontId="11" fillId="0" borderId="26" xfId="59" applyFont="1" applyBorder="1" applyAlignment="1">
      <alignment horizontal="left" wrapText="1"/>
      <protection/>
    </xf>
    <xf numFmtId="0" fontId="11" fillId="0" borderId="27" xfId="59" applyFont="1" applyBorder="1" applyAlignment="1" quotePrefix="1">
      <alignment horizontal="center" vertical="center" wrapText="1"/>
      <protection/>
    </xf>
    <xf numFmtId="0" fontId="11" fillId="0" borderId="28" xfId="60" applyFont="1" applyBorder="1">
      <alignment/>
      <protection/>
    </xf>
    <xf numFmtId="0" fontId="11" fillId="0" borderId="26" xfId="60" applyFont="1" applyBorder="1">
      <alignment/>
      <protection/>
    </xf>
    <xf numFmtId="0" fontId="11" fillId="0" borderId="0" xfId="0" applyFont="1" applyAlignment="1">
      <alignment horizontal="right"/>
    </xf>
    <xf numFmtId="0" fontId="12" fillId="0" borderId="0" xfId="60" applyFont="1" applyAlignment="1">
      <alignment horizontal="center"/>
      <protection/>
    </xf>
    <xf numFmtId="0" fontId="11" fillId="0" borderId="29" xfId="59" applyFont="1" applyBorder="1" applyAlignment="1">
      <alignment horizontal="right"/>
      <protection/>
    </xf>
    <xf numFmtId="0" fontId="12" fillId="0" borderId="0" xfId="57" applyFont="1">
      <alignment/>
      <protection/>
    </xf>
    <xf numFmtId="0" fontId="18" fillId="0" borderId="0" xfId="57" applyFont="1">
      <alignment/>
      <protection/>
    </xf>
    <xf numFmtId="0" fontId="18" fillId="0" borderId="0" xfId="0" applyFont="1" applyAlignment="1">
      <alignment/>
    </xf>
    <xf numFmtId="0" fontId="6" fillId="0" borderId="11" xfId="57" applyFont="1" applyBorder="1" applyAlignment="1">
      <alignment horizontal="center"/>
      <protection/>
    </xf>
    <xf numFmtId="0" fontId="6" fillId="0" borderId="13" xfId="57" applyFont="1" applyBorder="1">
      <alignment/>
      <protection/>
    </xf>
    <xf numFmtId="0" fontId="6" fillId="0" borderId="13" xfId="57" applyFont="1" applyBorder="1" applyAlignment="1">
      <alignment horizontal="center"/>
      <protection/>
    </xf>
    <xf numFmtId="0" fontId="6" fillId="0" borderId="15" xfId="57" applyFont="1" applyBorder="1">
      <alignment/>
      <protection/>
    </xf>
    <xf numFmtId="168" fontId="18" fillId="0" borderId="0" xfId="40" applyNumberFormat="1" applyFont="1" applyAlignment="1">
      <alignment/>
    </xf>
    <xf numFmtId="168" fontId="12" fillId="0" borderId="0" xfId="40" applyNumberFormat="1" applyFont="1" applyAlignment="1">
      <alignment/>
    </xf>
    <xf numFmtId="0" fontId="12" fillId="0" borderId="0" xfId="57" applyFont="1" applyAlignment="1">
      <alignment horizontal="right"/>
      <protection/>
    </xf>
    <xf numFmtId="0" fontId="6" fillId="0" borderId="11" xfId="57" applyFont="1" applyBorder="1" applyAlignment="1">
      <alignment/>
      <protection/>
    </xf>
    <xf numFmtId="168" fontId="6" fillId="0" borderId="11" xfId="40" applyNumberFormat="1" applyFont="1" applyBorder="1" applyAlignment="1">
      <alignment horizontal="center"/>
    </xf>
    <xf numFmtId="168" fontId="6" fillId="0" borderId="13" xfId="40" applyNumberFormat="1" applyFont="1" applyBorder="1" applyAlignment="1">
      <alignment horizontal="center"/>
    </xf>
    <xf numFmtId="0" fontId="6" fillId="0" borderId="15" xfId="57" applyFont="1" applyBorder="1" applyAlignment="1">
      <alignment horizontal="center"/>
      <protection/>
    </xf>
    <xf numFmtId="168" fontId="6" fillId="0" borderId="15" xfId="40" applyNumberFormat="1" applyFont="1" applyBorder="1" applyAlignment="1">
      <alignment horizontal="center"/>
    </xf>
    <xf numFmtId="0" fontId="12" fillId="0" borderId="0" xfId="57" applyFont="1" applyBorder="1" applyAlignment="1">
      <alignment horizontal="right"/>
      <protection/>
    </xf>
    <xf numFmtId="0" fontId="12" fillId="0" borderId="0" xfId="57" applyFont="1" applyBorder="1" applyAlignment="1">
      <alignment/>
      <protection/>
    </xf>
    <xf numFmtId="168" fontId="12" fillId="0" borderId="0" xfId="40" applyNumberFormat="1" applyFont="1" applyBorder="1" applyAlignment="1">
      <alignment/>
    </xf>
    <xf numFmtId="0" fontId="12" fillId="0" borderId="0" xfId="57" applyFont="1" applyBorder="1" applyAlignment="1">
      <alignment wrapText="1"/>
      <protection/>
    </xf>
    <xf numFmtId="0" fontId="12" fillId="0" borderId="29" xfId="57" applyFont="1" applyBorder="1" applyAlignment="1">
      <alignment horizontal="right"/>
      <protection/>
    </xf>
    <xf numFmtId="0" fontId="12" fillId="0" borderId="29" xfId="57" applyFont="1" applyBorder="1" applyAlignment="1">
      <alignment/>
      <protection/>
    </xf>
    <xf numFmtId="168" fontId="12" fillId="0" borderId="29" xfId="4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168" fontId="12" fillId="0" borderId="0" xfId="40" applyNumberFormat="1" applyFont="1" applyAlignment="1">
      <alignment horizontal="right"/>
    </xf>
    <xf numFmtId="168" fontId="6" fillId="0" borderId="0" xfId="57" applyNumberFormat="1" applyFont="1">
      <alignment/>
      <protection/>
    </xf>
    <xf numFmtId="0" fontId="6" fillId="0" borderId="30" xfId="57" applyFont="1" applyBorder="1" applyAlignment="1">
      <alignment horizontal="right"/>
      <protection/>
    </xf>
    <xf numFmtId="0" fontId="6" fillId="0" borderId="30" xfId="57" applyFont="1" applyBorder="1">
      <alignment/>
      <protection/>
    </xf>
    <xf numFmtId="168" fontId="6" fillId="0" borderId="30" xfId="40" applyNumberFormat="1" applyFont="1" applyBorder="1" applyAlignment="1">
      <alignment/>
    </xf>
    <xf numFmtId="0" fontId="6" fillId="0" borderId="0" xfId="57" applyFont="1" applyBorder="1" applyAlignment="1">
      <alignment horizontal="right"/>
      <protection/>
    </xf>
    <xf numFmtId="0" fontId="6" fillId="0" borderId="0" xfId="57" applyFont="1" applyBorder="1">
      <alignment/>
      <protection/>
    </xf>
    <xf numFmtId="168" fontId="6" fillId="0" borderId="0" xfId="40" applyNumberFormat="1" applyFont="1" applyBorder="1" applyAlignment="1">
      <alignment/>
    </xf>
    <xf numFmtId="0" fontId="12" fillId="0" borderId="0" xfId="58" applyFont="1">
      <alignment/>
      <protection/>
    </xf>
    <xf numFmtId="0" fontId="6" fillId="0" borderId="0" xfId="58" applyFont="1" applyBorder="1" applyAlignment="1">
      <alignment horizontal="center"/>
      <protection/>
    </xf>
    <xf numFmtId="0" fontId="25" fillId="0" borderId="29" xfId="0" applyFont="1" applyBorder="1" applyAlignment="1">
      <alignment/>
    </xf>
    <xf numFmtId="168" fontId="6" fillId="0" borderId="29" xfId="40" applyNumberFormat="1" applyFont="1" applyBorder="1" applyAlignment="1">
      <alignment/>
    </xf>
    <xf numFmtId="0" fontId="6" fillId="0" borderId="0" xfId="58" applyFont="1">
      <alignment/>
      <protection/>
    </xf>
    <xf numFmtId="0" fontId="6" fillId="0" borderId="30" xfId="58" applyFont="1" applyBorder="1" applyAlignment="1">
      <alignment horizontal="right"/>
      <protection/>
    </xf>
    <xf numFmtId="168" fontId="6" fillId="0" borderId="0" xfId="58" applyNumberFormat="1" applyFont="1">
      <alignment/>
      <protection/>
    </xf>
    <xf numFmtId="0" fontId="12" fillId="0" borderId="0" xfId="58" applyFont="1" applyBorder="1" applyAlignment="1">
      <alignment horizontal="center" vertical="center"/>
      <protection/>
    </xf>
    <xf numFmtId="168" fontId="6" fillId="0" borderId="0" xfId="40" applyNumberFormat="1" applyFont="1" applyBorder="1" applyAlignment="1">
      <alignment horizontal="center"/>
    </xf>
    <xf numFmtId="0" fontId="11" fillId="0" borderId="0" xfId="59" applyFont="1" applyAlignment="1">
      <alignment horizontal="left" wrapText="1"/>
      <protection/>
    </xf>
    <xf numFmtId="14" fontId="4" fillId="0" borderId="0" xfId="0" applyNumberFormat="1" applyFont="1" applyAlignment="1">
      <alignment/>
    </xf>
    <xf numFmtId="0" fontId="23" fillId="0" borderId="30" xfId="57" applyFont="1" applyBorder="1" applyAlignment="1">
      <alignment horizontal="center"/>
      <protection/>
    </xf>
    <xf numFmtId="0" fontId="7" fillId="0" borderId="30" xfId="57" applyFont="1" applyBorder="1" applyAlignment="1">
      <alignment horizontal="center"/>
      <protection/>
    </xf>
    <xf numFmtId="0" fontId="26" fillId="0" borderId="0" xfId="57" applyFont="1">
      <alignment/>
      <protection/>
    </xf>
    <xf numFmtId="0" fontId="26" fillId="0" borderId="0" xfId="57" applyFont="1" applyAlignment="1">
      <alignment horizontal="center"/>
      <protection/>
    </xf>
    <xf numFmtId="0" fontId="11" fillId="0" borderId="0" xfId="57" applyFont="1">
      <alignment/>
      <protection/>
    </xf>
    <xf numFmtId="0" fontId="10" fillId="0" borderId="0" xfId="57" applyFont="1" applyAlignment="1">
      <alignment horizontal="center"/>
      <protection/>
    </xf>
    <xf numFmtId="168" fontId="10" fillId="0" borderId="0" xfId="40" applyNumberFormat="1" applyFont="1" applyAlignment="1">
      <alignment/>
    </xf>
    <xf numFmtId="0" fontId="23" fillId="0" borderId="0" xfId="57" applyFont="1" applyAlignment="1">
      <alignment horizontal="center"/>
      <protection/>
    </xf>
    <xf numFmtId="168" fontId="23" fillId="0" borderId="0" xfId="40" applyNumberFormat="1" applyFont="1" applyAlignment="1">
      <alignment horizontal="centerContinuous"/>
    </xf>
    <xf numFmtId="168" fontId="23" fillId="0" borderId="0" xfId="40" applyNumberFormat="1" applyFont="1" applyAlignment="1">
      <alignment/>
    </xf>
    <xf numFmtId="0" fontId="4" fillId="0" borderId="0" xfId="0" applyFont="1" applyAlignment="1">
      <alignment/>
    </xf>
    <xf numFmtId="0" fontId="11" fillId="0" borderId="0" xfId="59" applyFont="1" applyBorder="1" applyAlignment="1">
      <alignment horizontal="left" wrapText="1"/>
      <protection/>
    </xf>
    <xf numFmtId="168" fontId="4" fillId="0" borderId="22" xfId="40" applyNumberFormat="1" applyFont="1" applyBorder="1" applyAlignment="1">
      <alignment/>
    </xf>
    <xf numFmtId="168" fontId="4" fillId="0" borderId="31" xfId="40" applyNumberFormat="1" applyFont="1" applyBorder="1" applyAlignment="1">
      <alignment/>
    </xf>
    <xf numFmtId="168" fontId="4" fillId="0" borderId="29" xfId="40" applyNumberFormat="1" applyFont="1" applyBorder="1" applyAlignment="1">
      <alignment/>
    </xf>
    <xf numFmtId="168" fontId="4" fillId="0" borderId="32" xfId="40" applyNumberFormat="1" applyFont="1" applyBorder="1" applyAlignment="1">
      <alignment/>
    </xf>
    <xf numFmtId="0" fontId="4" fillId="0" borderId="30" xfId="0" applyFont="1" applyBorder="1" applyAlignment="1">
      <alignment/>
    </xf>
    <xf numFmtId="0" fontId="10" fillId="0" borderId="30" xfId="59" applyFont="1" applyBorder="1">
      <alignment/>
      <protection/>
    </xf>
    <xf numFmtId="0" fontId="22" fillId="0" borderId="0" xfId="59" applyFont="1">
      <alignment/>
      <protection/>
    </xf>
    <xf numFmtId="0" fontId="6" fillId="0" borderId="0" xfId="60" applyFont="1" applyAlignment="1">
      <alignment horizontal="centerContinuous"/>
      <protection/>
    </xf>
    <xf numFmtId="0" fontId="28" fillId="0" borderId="0" xfId="60" applyFont="1">
      <alignment/>
      <protection/>
    </xf>
    <xf numFmtId="0" fontId="6" fillId="0" borderId="11" xfId="60" applyFont="1" applyBorder="1">
      <alignment/>
      <protection/>
    </xf>
    <xf numFmtId="0" fontId="6" fillId="0" borderId="11" xfId="60" applyFont="1" applyBorder="1" applyAlignment="1">
      <alignment horizontal="center"/>
      <protection/>
    </xf>
    <xf numFmtId="0" fontId="6" fillId="0" borderId="13" xfId="60" applyFont="1" applyBorder="1" applyAlignment="1">
      <alignment horizontal="center"/>
      <protection/>
    </xf>
    <xf numFmtId="0" fontId="6" fillId="0" borderId="15" xfId="60" applyFont="1" applyBorder="1">
      <alignment/>
      <protection/>
    </xf>
    <xf numFmtId="0" fontId="6" fillId="0" borderId="15" xfId="60" applyFont="1" applyBorder="1" applyAlignment="1">
      <alignment horizontal="center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center"/>
      <protection/>
    </xf>
    <xf numFmtId="0" fontId="6" fillId="0" borderId="0" xfId="60" applyFont="1" applyBorder="1" applyAlignment="1">
      <alignment horizontal="right"/>
      <protection/>
    </xf>
    <xf numFmtId="168" fontId="12" fillId="0" borderId="0" xfId="40" applyNumberFormat="1" applyFont="1" applyBorder="1" applyAlignment="1">
      <alignment horizontal="right"/>
    </xf>
    <xf numFmtId="0" fontId="12" fillId="0" borderId="0" xfId="60" applyFont="1" applyBorder="1">
      <alignment/>
      <protection/>
    </xf>
    <xf numFmtId="168" fontId="6" fillId="0" borderId="0" xfId="40" applyNumberFormat="1" applyFont="1" applyBorder="1" applyAlignment="1">
      <alignment horizontal="right"/>
    </xf>
    <xf numFmtId="168" fontId="6" fillId="0" borderId="0" xfId="40" applyNumberFormat="1" applyFont="1" applyBorder="1" applyAlignment="1">
      <alignment/>
    </xf>
    <xf numFmtId="168" fontId="12" fillId="0" borderId="0" xfId="40" applyNumberFormat="1" applyFont="1" applyAlignment="1">
      <alignment horizontal="center"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168" fontId="6" fillId="0" borderId="11" xfId="40" applyNumberFormat="1" applyFont="1" applyBorder="1" applyAlignment="1">
      <alignment/>
    </xf>
    <xf numFmtId="168" fontId="6" fillId="0" borderId="33" xfId="40" applyNumberFormat="1" applyFont="1" applyBorder="1" applyAlignment="1">
      <alignment/>
    </xf>
    <xf numFmtId="168" fontId="6" fillId="0" borderId="34" xfId="40" applyNumberFormat="1" applyFont="1" applyBorder="1" applyAlignment="1">
      <alignment/>
    </xf>
    <xf numFmtId="168" fontId="6" fillId="0" borderId="35" xfId="40" applyNumberFormat="1" applyFont="1" applyBorder="1" applyAlignment="1">
      <alignment/>
    </xf>
    <xf numFmtId="168" fontId="12" fillId="0" borderId="35" xfId="40" applyNumberFormat="1" applyFont="1" applyBorder="1" applyAlignment="1">
      <alignment/>
    </xf>
    <xf numFmtId="168" fontId="12" fillId="0" borderId="34" xfId="40" applyNumberFormat="1" applyFont="1" applyBorder="1" applyAlignment="1">
      <alignment/>
    </xf>
    <xf numFmtId="168" fontId="12" fillId="0" borderId="11" xfId="40" applyNumberFormat="1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 horizontal="center"/>
    </xf>
    <xf numFmtId="168" fontId="12" fillId="0" borderId="36" xfId="40" applyNumberFormat="1" applyFont="1" applyBorder="1" applyAlignment="1">
      <alignment horizontal="center"/>
    </xf>
    <xf numFmtId="168" fontId="12" fillId="0" borderId="37" xfId="40" applyNumberFormat="1" applyFont="1" applyBorder="1" applyAlignment="1">
      <alignment horizontal="center"/>
    </xf>
    <xf numFmtId="168" fontId="12" fillId="0" borderId="21" xfId="40" applyNumberFormat="1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/>
    </xf>
    <xf numFmtId="168" fontId="12" fillId="0" borderId="15" xfId="40" applyNumberFormat="1" applyFont="1" applyBorder="1" applyAlignment="1">
      <alignment/>
    </xf>
    <xf numFmtId="168" fontId="12" fillId="0" borderId="38" xfId="40" applyNumberFormat="1" applyFont="1" applyBorder="1" applyAlignment="1">
      <alignment/>
    </xf>
    <xf numFmtId="168" fontId="12" fillId="0" borderId="39" xfId="40" applyNumberFormat="1" applyFont="1" applyBorder="1" applyAlignment="1">
      <alignment/>
    </xf>
    <xf numFmtId="168" fontId="12" fillId="0" borderId="40" xfId="40" applyNumberFormat="1" applyFont="1" applyBorder="1" applyAlignment="1">
      <alignment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wrapText="1"/>
    </xf>
    <xf numFmtId="168" fontId="12" fillId="0" borderId="29" xfId="40" applyNumberFormat="1" applyFont="1" applyBorder="1" applyAlignment="1">
      <alignment/>
    </xf>
    <xf numFmtId="168" fontId="12" fillId="0" borderId="32" xfId="40" applyNumberFormat="1" applyFont="1" applyBorder="1" applyAlignment="1">
      <alignment/>
    </xf>
    <xf numFmtId="0" fontId="12" fillId="0" borderId="29" xfId="0" applyFont="1" applyBorder="1" applyAlignment="1">
      <alignment/>
    </xf>
    <xf numFmtId="168" fontId="12" fillId="0" borderId="29" xfId="40" applyNumberFormat="1" applyFont="1" applyBorder="1" applyAlignment="1">
      <alignment/>
    </xf>
    <xf numFmtId="168" fontId="29" fillId="0" borderId="29" xfId="40" applyNumberFormat="1" applyFont="1" applyFill="1" applyBorder="1" applyAlignment="1">
      <alignment/>
    </xf>
    <xf numFmtId="168" fontId="29" fillId="0" borderId="41" xfId="40" applyNumberFormat="1" applyFont="1" applyFill="1" applyBorder="1" applyAlignment="1">
      <alignment/>
    </xf>
    <xf numFmtId="168" fontId="12" fillId="0" borderId="29" xfId="40" applyNumberFormat="1" applyFont="1" applyFill="1" applyBorder="1" applyAlignment="1">
      <alignment/>
    </xf>
    <xf numFmtId="168" fontId="12" fillId="0" borderId="41" xfId="40" applyNumberFormat="1" applyFont="1" applyFill="1" applyBorder="1" applyAlignment="1">
      <alignment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/>
    </xf>
    <xf numFmtId="0" fontId="6" fillId="0" borderId="30" xfId="0" applyFont="1" applyBorder="1" applyAlignment="1">
      <alignment/>
    </xf>
    <xf numFmtId="168" fontId="6" fillId="0" borderId="44" xfId="40" applyNumberFormat="1" applyFont="1" applyBorder="1" applyAlignment="1">
      <alignment/>
    </xf>
    <xf numFmtId="168" fontId="6" fillId="0" borderId="30" xfId="40" applyNumberFormat="1" applyFont="1" applyBorder="1" applyAlignment="1">
      <alignment/>
    </xf>
    <xf numFmtId="0" fontId="12" fillId="0" borderId="45" xfId="0" applyFont="1" applyBorder="1" applyAlignment="1">
      <alignment horizontal="center"/>
    </xf>
    <xf numFmtId="0" fontId="6" fillId="0" borderId="22" xfId="0" applyFont="1" applyBorder="1" applyAlignment="1">
      <alignment/>
    </xf>
    <xf numFmtId="168" fontId="12" fillId="0" borderId="46" xfId="4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12" fillId="0" borderId="30" xfId="0" applyFont="1" applyBorder="1" applyAlignment="1">
      <alignment/>
    </xf>
    <xf numFmtId="0" fontId="6" fillId="0" borderId="47" xfId="0" applyFont="1" applyBorder="1" applyAlignment="1">
      <alignment/>
    </xf>
    <xf numFmtId="168" fontId="12" fillId="0" borderId="48" xfId="40" applyNumberFormat="1" applyFont="1" applyBorder="1" applyAlignment="1">
      <alignment/>
    </xf>
    <xf numFmtId="168" fontId="12" fillId="0" borderId="49" xfId="40" applyNumberFormat="1" applyFont="1" applyBorder="1" applyAlignment="1">
      <alignment/>
    </xf>
    <xf numFmtId="0" fontId="12" fillId="0" borderId="29" xfId="0" applyFont="1" applyBorder="1" applyAlignment="1">
      <alignment horizontal="left" wrapText="1"/>
    </xf>
    <xf numFmtId="169" fontId="12" fillId="0" borderId="0" xfId="40" applyNumberFormat="1" applyFont="1" applyAlignment="1">
      <alignment/>
    </xf>
    <xf numFmtId="168" fontId="1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8" fillId="0" borderId="0" xfId="0" applyFont="1" applyAlignment="1">
      <alignment/>
    </xf>
    <xf numFmtId="0" fontId="12" fillId="0" borderId="0" xfId="0" applyFont="1" applyAlignment="1">
      <alignment horizontal="center"/>
    </xf>
    <xf numFmtId="0" fontId="18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68" fontId="12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1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/>
    </xf>
    <xf numFmtId="168" fontId="7" fillId="0" borderId="0" xfId="40" applyNumberFormat="1" applyFont="1" applyAlignment="1">
      <alignment horizontal="center"/>
    </xf>
    <xf numFmtId="168" fontId="31" fillId="0" borderId="0" xfId="40" applyNumberFormat="1" applyFont="1" applyAlignment="1">
      <alignment/>
    </xf>
    <xf numFmtId="0" fontId="12" fillId="0" borderId="0" xfId="0" applyFont="1" applyAlignment="1">
      <alignment horizontal="left"/>
    </xf>
    <xf numFmtId="168" fontId="4" fillId="0" borderId="0" xfId="40" applyNumberFormat="1" applyFont="1" applyAlignment="1">
      <alignment horizontal="center"/>
    </xf>
    <xf numFmtId="0" fontId="4" fillId="0" borderId="0" xfId="0" applyFont="1" applyAlignment="1">
      <alignment horizontal="left"/>
    </xf>
    <xf numFmtId="168" fontId="32" fillId="0" borderId="0" xfId="40" applyNumberFormat="1" applyFont="1" applyAlignment="1">
      <alignment horizontal="center"/>
    </xf>
    <xf numFmtId="0" fontId="20" fillId="0" borderId="0" xfId="0" applyFont="1" applyAlignment="1">
      <alignment horizontal="left"/>
    </xf>
    <xf numFmtId="168" fontId="7" fillId="0" borderId="0" xfId="4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56" applyFont="1" applyAlignment="1">
      <alignment horizontal="center"/>
      <protection/>
    </xf>
    <xf numFmtId="0" fontId="12" fillId="0" borderId="0" xfId="56" applyFont="1" applyAlignment="1">
      <alignment horizontal="centerContinuous"/>
      <protection/>
    </xf>
    <xf numFmtId="0" fontId="6" fillId="0" borderId="11" xfId="56" applyFont="1" applyBorder="1" applyAlignment="1">
      <alignment horizontal="centerContinuous"/>
      <protection/>
    </xf>
    <xf numFmtId="0" fontId="6" fillId="0" borderId="13" xfId="56" applyFont="1" applyBorder="1" applyAlignment="1">
      <alignment horizontal="centerContinuous"/>
      <protection/>
    </xf>
    <xf numFmtId="0" fontId="6" fillId="0" borderId="30" xfId="56" applyFont="1" applyBorder="1" applyAlignment="1">
      <alignment horizontal="center"/>
      <protection/>
    </xf>
    <xf numFmtId="0" fontId="6" fillId="0" borderId="15" xfId="56" applyFont="1" applyBorder="1" applyAlignment="1">
      <alignment horizontal="centerContinuous"/>
      <protection/>
    </xf>
    <xf numFmtId="41" fontId="12" fillId="0" borderId="0" xfId="56" applyNumberFormat="1" applyFont="1">
      <alignment/>
      <protection/>
    </xf>
    <xf numFmtId="41" fontId="12" fillId="0" borderId="0" xfId="56" applyNumberFormat="1" applyFont="1" applyBorder="1" applyAlignment="1">
      <alignment horizontal="center"/>
      <protection/>
    </xf>
    <xf numFmtId="41" fontId="12" fillId="0" borderId="0" xfId="56" applyNumberFormat="1" applyFont="1" applyBorder="1">
      <alignment/>
      <protection/>
    </xf>
    <xf numFmtId="41" fontId="33" fillId="0" borderId="50" xfId="56" applyNumberFormat="1" applyFont="1" applyBorder="1" applyAlignment="1">
      <alignment horizontal="centerContinuous"/>
      <protection/>
    </xf>
    <xf numFmtId="0" fontId="21" fillId="0" borderId="0" xfId="56" applyFont="1" applyBorder="1" applyAlignment="1">
      <alignment horizontal="center"/>
      <protection/>
    </xf>
    <xf numFmtId="0" fontId="21" fillId="0" borderId="0" xfId="56" applyFont="1" applyBorder="1" applyAlignment="1">
      <alignment/>
      <protection/>
    </xf>
    <xf numFmtId="41" fontId="21" fillId="0" borderId="0" xfId="56" applyNumberFormat="1" applyFont="1" applyBorder="1" applyAlignment="1">
      <alignment horizontal="center"/>
      <protection/>
    </xf>
    <xf numFmtId="0" fontId="21" fillId="0" borderId="0" xfId="0" applyFont="1" applyBorder="1" applyAlignment="1">
      <alignment/>
    </xf>
    <xf numFmtId="0" fontId="5" fillId="0" borderId="0" xfId="56" applyFont="1" applyBorder="1" applyAlignment="1">
      <alignment horizontal="center"/>
      <protection/>
    </xf>
    <xf numFmtId="0" fontId="5" fillId="0" borderId="0" xfId="56" applyFont="1" applyBorder="1" applyAlignment="1">
      <alignment/>
      <protection/>
    </xf>
    <xf numFmtId="41" fontId="5" fillId="0" borderId="0" xfId="56" applyNumberFormat="1" applyFont="1" applyBorder="1" applyAlignment="1">
      <alignment horizontal="center"/>
      <protection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2" fillId="0" borderId="0" xfId="56" applyFont="1" applyBorder="1" applyAlignment="1">
      <alignment horizontal="center"/>
      <protection/>
    </xf>
    <xf numFmtId="0" fontId="12" fillId="0" borderId="0" xfId="56" applyFont="1" applyBorder="1" applyAlignment="1">
      <alignment wrapText="1"/>
      <protection/>
    </xf>
    <xf numFmtId="41" fontId="12" fillId="0" borderId="50" xfId="56" applyNumberFormat="1" applyFont="1" applyBorder="1">
      <alignment/>
      <protection/>
    </xf>
    <xf numFmtId="0" fontId="21" fillId="0" borderId="0" xfId="56" applyFont="1" applyBorder="1" applyAlignment="1">
      <alignment wrapText="1"/>
      <protection/>
    </xf>
    <xf numFmtId="41" fontId="21" fillId="0" borderId="0" xfId="56" applyNumberFormat="1" applyFont="1" applyBorder="1">
      <alignment/>
      <protection/>
    </xf>
    <xf numFmtId="0" fontId="5" fillId="0" borderId="0" xfId="56" applyFont="1" applyBorder="1" applyAlignment="1">
      <alignment wrapText="1"/>
      <protection/>
    </xf>
    <xf numFmtId="41" fontId="5" fillId="0" borderId="0" xfId="56" applyNumberFormat="1" applyFont="1" applyBorder="1" applyAlignment="1">
      <alignment/>
      <protection/>
    </xf>
    <xf numFmtId="0" fontId="28" fillId="0" borderId="0" xfId="0" applyFont="1" applyBorder="1" applyAlignment="1">
      <alignment/>
    </xf>
    <xf numFmtId="0" fontId="12" fillId="0" borderId="0" xfId="56" applyFont="1" applyBorder="1" applyAlignment="1">
      <alignment horizontal="right"/>
      <protection/>
    </xf>
    <xf numFmtId="0" fontId="12" fillId="0" borderId="0" xfId="56" applyFont="1" applyBorder="1">
      <alignment/>
      <protection/>
    </xf>
    <xf numFmtId="0" fontId="33" fillId="0" borderId="0" xfId="56" applyFont="1" applyBorder="1">
      <alignment/>
      <protection/>
    </xf>
    <xf numFmtId="0" fontId="25" fillId="0" borderId="0" xfId="0" applyFont="1" applyAlignment="1">
      <alignment/>
    </xf>
    <xf numFmtId="0" fontId="25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14" fontId="20" fillId="0" borderId="0" xfId="0" applyNumberFormat="1" applyFont="1" applyAlignment="1">
      <alignment/>
    </xf>
    <xf numFmtId="0" fontId="12" fillId="0" borderId="0" xfId="57" applyFont="1" applyBorder="1" applyAlignment="1">
      <alignment horizontal="center"/>
      <protection/>
    </xf>
    <xf numFmtId="168" fontId="12" fillId="0" borderId="0" xfId="60" applyNumberFormat="1" applyFont="1" applyBorder="1" applyAlignment="1">
      <alignment horizontal="right"/>
      <protection/>
    </xf>
    <xf numFmtId="168" fontId="12" fillId="0" borderId="50" xfId="60" applyNumberFormat="1" applyFont="1" applyBorder="1" applyAlignment="1">
      <alignment horizontal="right"/>
      <protection/>
    </xf>
    <xf numFmtId="168" fontId="12" fillId="0" borderId="50" xfId="40" applyNumberFormat="1" applyFont="1" applyBorder="1" applyAlignment="1">
      <alignment horizontal="right"/>
    </xf>
    <xf numFmtId="0" fontId="6" fillId="0" borderId="0" xfId="57" applyFont="1" applyBorder="1" applyAlignment="1">
      <alignment horizontal="center"/>
      <protection/>
    </xf>
    <xf numFmtId="0" fontId="6" fillId="0" borderId="51" xfId="57" applyFont="1" applyBorder="1">
      <alignment/>
      <protection/>
    </xf>
    <xf numFmtId="0" fontId="6" fillId="0" borderId="51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0" fontId="12" fillId="0" borderId="29" xfId="0" applyFont="1" applyBorder="1" applyAlignment="1" quotePrefix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0" xfId="59" applyFont="1" applyBorder="1" applyAlignment="1">
      <alignment horizontal="right"/>
      <protection/>
    </xf>
    <xf numFmtId="0" fontId="22" fillId="0" borderId="0" xfId="59" applyFont="1" applyBorder="1">
      <alignment/>
      <protection/>
    </xf>
    <xf numFmtId="0" fontId="11" fillId="0" borderId="0" xfId="59" applyFont="1" applyBorder="1">
      <alignment/>
      <protection/>
    </xf>
    <xf numFmtId="3" fontId="12" fillId="0" borderId="0" xfId="57" applyNumberFormat="1" applyFont="1">
      <alignment/>
      <protection/>
    </xf>
    <xf numFmtId="3" fontId="12" fillId="0" borderId="0" xfId="57" applyNumberFormat="1" applyFont="1" applyAlignment="1">
      <alignment horizontal="right"/>
      <protection/>
    </xf>
    <xf numFmtId="3" fontId="18" fillId="0" borderId="0" xfId="57" applyNumberFormat="1" applyFont="1" applyAlignment="1">
      <alignment horizontal="right"/>
      <protection/>
    </xf>
    <xf numFmtId="3" fontId="18" fillId="0" borderId="0" xfId="40" applyNumberFormat="1" applyFont="1" applyAlignment="1">
      <alignment horizontal="right" wrapText="1"/>
    </xf>
    <xf numFmtId="3" fontId="18" fillId="0" borderId="0" xfId="40" applyNumberFormat="1" applyFont="1" applyAlignment="1">
      <alignment horizontal="right"/>
    </xf>
    <xf numFmtId="3" fontId="6" fillId="0" borderId="0" xfId="40" applyNumberFormat="1" applyFont="1" applyAlignment="1">
      <alignment horizontal="right" wrapText="1"/>
    </xf>
    <xf numFmtId="3" fontId="12" fillId="0" borderId="0" xfId="40" applyNumberFormat="1" applyFont="1" applyAlignment="1">
      <alignment horizontal="right" wrapText="1"/>
    </xf>
    <xf numFmtId="3" fontId="12" fillId="0" borderId="0" xfId="40" applyNumberFormat="1" applyFont="1" applyAlignment="1">
      <alignment horizontal="right"/>
    </xf>
    <xf numFmtId="3" fontId="12" fillId="0" borderId="0" xfId="40" applyNumberFormat="1" applyFont="1" applyBorder="1" applyAlignment="1">
      <alignment horizontal="right"/>
    </xf>
    <xf numFmtId="3" fontId="6" fillId="0" borderId="0" xfId="40" applyNumberFormat="1" applyFont="1" applyBorder="1" applyAlignment="1">
      <alignment horizontal="right"/>
    </xf>
    <xf numFmtId="3" fontId="6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right"/>
    </xf>
    <xf numFmtId="3" fontId="6" fillId="0" borderId="0" xfId="4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1" fillId="0" borderId="52" xfId="59" applyFont="1" applyBorder="1" applyAlignment="1" quotePrefix="1">
      <alignment horizontal="center" vertical="center" wrapText="1"/>
      <protection/>
    </xf>
    <xf numFmtId="0" fontId="11" fillId="0" borderId="53" xfId="59" applyFont="1" applyBorder="1" applyAlignment="1" quotePrefix="1">
      <alignment horizontal="center" vertical="center" wrapText="1"/>
      <protection/>
    </xf>
    <xf numFmtId="0" fontId="11" fillId="0" borderId="54" xfId="59" applyFont="1" applyBorder="1" applyAlignment="1" quotePrefix="1">
      <alignment horizontal="center" vertical="center" wrapText="1"/>
      <protection/>
    </xf>
    <xf numFmtId="0" fontId="4" fillId="0" borderId="27" xfId="0" applyFont="1" applyBorder="1" applyAlignment="1">
      <alignment/>
    </xf>
    <xf numFmtId="168" fontId="23" fillId="0" borderId="55" xfId="40" applyNumberFormat="1" applyFont="1" applyBorder="1" applyAlignment="1">
      <alignment horizontal="center" vertical="center"/>
    </xf>
    <xf numFmtId="168" fontId="23" fillId="0" borderId="11" xfId="40" applyNumberFormat="1" applyFont="1" applyBorder="1" applyAlignment="1">
      <alignment horizontal="center" vertical="center"/>
    </xf>
    <xf numFmtId="168" fontId="23" fillId="0" borderId="11" xfId="40" applyNumberFormat="1" applyFont="1" applyBorder="1" applyAlignment="1">
      <alignment horizontal="center" vertical="center" wrapText="1"/>
    </xf>
    <xf numFmtId="0" fontId="4" fillId="0" borderId="56" xfId="0" applyFont="1" applyBorder="1" applyAlignment="1">
      <alignment/>
    </xf>
    <xf numFmtId="3" fontId="11" fillId="0" borderId="28" xfId="59" applyNumberFormat="1" applyFont="1" applyBorder="1" applyAlignment="1">
      <alignment horizontal="right"/>
      <protection/>
    </xf>
    <xf numFmtId="3" fontId="11" fillId="0" borderId="29" xfId="59" applyNumberFormat="1" applyFont="1" applyBorder="1" applyAlignment="1">
      <alignment horizontal="right"/>
      <protection/>
    </xf>
    <xf numFmtId="3" fontId="22" fillId="0" borderId="29" xfId="59" applyNumberFormat="1" applyFont="1" applyBorder="1">
      <alignment/>
      <protection/>
    </xf>
    <xf numFmtId="3" fontId="11" fillId="0" borderId="29" xfId="59" applyNumberFormat="1" applyFont="1" applyBorder="1">
      <alignment/>
      <protection/>
    </xf>
    <xf numFmtId="3" fontId="22" fillId="0" borderId="41" xfId="59" applyNumberFormat="1" applyFont="1" applyBorder="1">
      <alignment/>
      <protection/>
    </xf>
    <xf numFmtId="3" fontId="11" fillId="0" borderId="41" xfId="59" applyNumberFormat="1" applyFont="1" applyBorder="1">
      <alignment/>
      <protection/>
    </xf>
    <xf numFmtId="3" fontId="11" fillId="0" borderId="32" xfId="59" applyNumberFormat="1" applyFont="1" applyBorder="1">
      <alignment/>
      <protection/>
    </xf>
    <xf numFmtId="3" fontId="10" fillId="0" borderId="47" xfId="59" applyNumberFormat="1" applyFont="1" applyBorder="1" applyAlignment="1">
      <alignment horizontal="right"/>
      <protection/>
    </xf>
    <xf numFmtId="3" fontId="10" fillId="0" borderId="57" xfId="59" applyNumberFormat="1" applyFont="1" applyBorder="1" applyAlignment="1">
      <alignment horizontal="right"/>
      <protection/>
    </xf>
    <xf numFmtId="0" fontId="12" fillId="0" borderId="0" xfId="57" applyFont="1" applyBorder="1" applyAlignment="1">
      <alignment horizontal="center" vertical="center"/>
      <protection/>
    </xf>
    <xf numFmtId="0" fontId="10" fillId="0" borderId="58" xfId="60" applyFont="1" applyBorder="1">
      <alignment/>
      <protection/>
    </xf>
    <xf numFmtId="0" fontId="12" fillId="0" borderId="0" xfId="0" applyFont="1" applyAlignment="1">
      <alignment horizontal="center"/>
    </xf>
    <xf numFmtId="0" fontId="12" fillId="0" borderId="0" xfId="57" applyFont="1" applyBorder="1">
      <alignment/>
      <protection/>
    </xf>
    <xf numFmtId="0" fontId="12" fillId="0" borderId="0" xfId="0" applyFont="1" applyAlignment="1">
      <alignment vertical="top"/>
    </xf>
    <xf numFmtId="49" fontId="26" fillId="0" borderId="0" xfId="0" applyNumberFormat="1" applyFont="1" applyAlignment="1">
      <alignment horizontal="right"/>
    </xf>
    <xf numFmtId="49" fontId="26" fillId="0" borderId="0" xfId="0" applyNumberFormat="1" applyFont="1" applyAlignment="1">
      <alignment horizontal="right"/>
    </xf>
    <xf numFmtId="49" fontId="23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11" fillId="0" borderId="52" xfId="59" applyFont="1" applyBorder="1" applyAlignment="1" quotePrefix="1">
      <alignment horizontal="center" vertical="center" wrapText="1"/>
      <protection/>
    </xf>
    <xf numFmtId="0" fontId="11" fillId="0" borderId="0" xfId="59" applyFont="1" applyBorder="1" applyAlignment="1">
      <alignment horizontal="left" wrapText="1"/>
      <protection/>
    </xf>
    <xf numFmtId="0" fontId="11" fillId="0" borderId="59" xfId="59" applyFont="1" applyBorder="1" applyAlignment="1" quotePrefix="1">
      <alignment horizontal="center" vertical="center" wrapText="1"/>
      <protection/>
    </xf>
    <xf numFmtId="0" fontId="11" fillId="0" borderId="58" xfId="59" applyFont="1" applyBorder="1" applyAlignment="1">
      <alignment horizontal="left" wrapText="1"/>
      <protection/>
    </xf>
    <xf numFmtId="168" fontId="4" fillId="0" borderId="48" xfId="40" applyNumberFormat="1" applyFont="1" applyBorder="1" applyAlignment="1">
      <alignment/>
    </xf>
    <xf numFmtId="168" fontId="4" fillId="0" borderId="60" xfId="40" applyNumberFormat="1" applyFont="1" applyBorder="1" applyAlignment="1">
      <alignment/>
    </xf>
    <xf numFmtId="0" fontId="11" fillId="0" borderId="32" xfId="59" applyFont="1" applyBorder="1" applyAlignment="1">
      <alignment horizontal="right"/>
      <protection/>
    </xf>
    <xf numFmtId="0" fontId="4" fillId="0" borderId="61" xfId="0" applyFont="1" applyBorder="1" applyAlignment="1">
      <alignment/>
    </xf>
    <xf numFmtId="0" fontId="10" fillId="0" borderId="47" xfId="60" applyFont="1" applyBorder="1">
      <alignment/>
      <protection/>
    </xf>
    <xf numFmtId="168" fontId="4" fillId="0" borderId="62" xfId="40" applyNumberFormat="1" applyFont="1" applyBorder="1" applyAlignment="1">
      <alignment/>
    </xf>
    <xf numFmtId="168" fontId="4" fillId="0" borderId="63" xfId="40" applyNumberFormat="1" applyFont="1" applyBorder="1" applyAlignment="1">
      <alignment/>
    </xf>
    <xf numFmtId="168" fontId="4" fillId="0" borderId="64" xfId="40" applyNumberFormat="1" applyFont="1" applyBorder="1" applyAlignment="1">
      <alignment/>
    </xf>
    <xf numFmtId="168" fontId="4" fillId="0" borderId="64" xfId="59" applyNumberFormat="1" applyFont="1" applyBorder="1" applyAlignment="1">
      <alignment/>
      <protection/>
    </xf>
    <xf numFmtId="168" fontId="4" fillId="0" borderId="64" xfId="59" applyNumberFormat="1" applyFont="1" applyBorder="1" applyAlignment="1">
      <alignment horizontal="right"/>
      <protection/>
    </xf>
    <xf numFmtId="168" fontId="7" fillId="0" borderId="30" xfId="40" applyNumberFormat="1" applyFont="1" applyBorder="1" applyAlignment="1">
      <alignment/>
    </xf>
    <xf numFmtId="168" fontId="7" fillId="0" borderId="56" xfId="40" applyNumberFormat="1" applyFont="1" applyBorder="1" applyAlignment="1">
      <alignment/>
    </xf>
    <xf numFmtId="168" fontId="7" fillId="0" borderId="27" xfId="40" applyNumberFormat="1" applyFont="1" applyBorder="1" applyAlignment="1">
      <alignment/>
    </xf>
    <xf numFmtId="0" fontId="6" fillId="0" borderId="29" xfId="57" applyFont="1" applyBorder="1" applyAlignment="1">
      <alignment horizontal="right"/>
      <protection/>
    </xf>
    <xf numFmtId="0" fontId="6" fillId="0" borderId="29" xfId="57" applyFont="1" applyBorder="1" applyAlignment="1">
      <alignment/>
      <protection/>
    </xf>
    <xf numFmtId="0" fontId="6" fillId="0" borderId="30" xfId="58" applyFont="1" applyBorder="1" applyAlignment="1">
      <alignment vertical="center"/>
      <protection/>
    </xf>
    <xf numFmtId="168" fontId="6" fillId="0" borderId="30" xfId="58" applyNumberFormat="1" applyFont="1" applyBorder="1" applyAlignment="1">
      <alignment vertical="center"/>
      <protection/>
    </xf>
    <xf numFmtId="49" fontId="0" fillId="0" borderId="0" xfId="0" applyNumberFormat="1" applyAlignment="1">
      <alignment/>
    </xf>
    <xf numFmtId="49" fontId="35" fillId="0" borderId="0" xfId="0" applyNumberFormat="1" applyFont="1" applyAlignment="1">
      <alignment/>
    </xf>
    <xf numFmtId="0" fontId="18" fillId="0" borderId="0" xfId="59" applyFont="1">
      <alignment/>
      <protection/>
    </xf>
    <xf numFmtId="0" fontId="14" fillId="0" borderId="0" xfId="59" applyFont="1" applyBorder="1" applyAlignment="1">
      <alignment horizontal="left" wrapText="1"/>
      <protection/>
    </xf>
    <xf numFmtId="0" fontId="14" fillId="0" borderId="0" xfId="59" applyFont="1" applyBorder="1" applyAlignment="1" quotePrefix="1">
      <alignment horizontal="left" wrapText="1"/>
      <protection/>
    </xf>
    <xf numFmtId="0" fontId="12" fillId="0" borderId="0" xfId="59" applyFont="1" applyBorder="1" applyAlignment="1" quotePrefix="1">
      <alignment horizontal="left" wrapText="1"/>
      <protection/>
    </xf>
    <xf numFmtId="0" fontId="11" fillId="0" borderId="65" xfId="59" applyFont="1" applyBorder="1" applyAlignment="1" quotePrefix="1">
      <alignment horizontal="center" vertical="center" wrapText="1"/>
      <protection/>
    </xf>
    <xf numFmtId="0" fontId="10" fillId="0" borderId="58" xfId="59" applyFont="1" applyBorder="1">
      <alignment/>
      <protection/>
    </xf>
    <xf numFmtId="0" fontId="11" fillId="0" borderId="29" xfId="60" applyFont="1" applyBorder="1">
      <alignment/>
      <protection/>
    </xf>
    <xf numFmtId="49" fontId="11" fillId="0" borderId="0" xfId="59" applyNumberFormat="1" applyFont="1">
      <alignment/>
      <protection/>
    </xf>
    <xf numFmtId="49" fontId="10" fillId="0" borderId="0" xfId="59" applyNumberFormat="1" applyFont="1">
      <alignment/>
      <protection/>
    </xf>
    <xf numFmtId="49" fontId="17" fillId="0" borderId="0" xfId="59" applyNumberFormat="1" applyFont="1">
      <alignment/>
      <protection/>
    </xf>
    <xf numFmtId="49" fontId="12" fillId="0" borderId="0" xfId="60" applyNumberFormat="1" applyFont="1">
      <alignment/>
      <protection/>
    </xf>
    <xf numFmtId="4" fontId="11" fillId="0" borderId="57" xfId="60" applyNumberFormat="1" applyFont="1" applyBorder="1">
      <alignment/>
      <protection/>
    </xf>
    <xf numFmtId="4" fontId="11" fillId="0" borderId="22" xfId="60" applyNumberFormat="1" applyFont="1" applyBorder="1">
      <alignment/>
      <protection/>
    </xf>
    <xf numFmtId="4" fontId="11" fillId="0" borderId="66" xfId="60" applyNumberFormat="1" applyFont="1" applyBorder="1">
      <alignment/>
      <protection/>
    </xf>
    <xf numFmtId="4" fontId="11" fillId="0" borderId="29" xfId="60" applyNumberFormat="1" applyFont="1" applyBorder="1">
      <alignment/>
      <protection/>
    </xf>
    <xf numFmtId="4" fontId="11" fillId="0" borderId="41" xfId="60" applyNumberFormat="1" applyFont="1" applyBorder="1">
      <alignment/>
      <protection/>
    </xf>
    <xf numFmtId="4" fontId="10" fillId="0" borderId="30" xfId="60" applyNumberFormat="1" applyFont="1" applyBorder="1">
      <alignment/>
      <protection/>
    </xf>
    <xf numFmtId="3" fontId="12" fillId="0" borderId="0" xfId="0" applyNumberFormat="1" applyFont="1" applyAlignment="1">
      <alignment wrapText="1"/>
    </xf>
    <xf numFmtId="0" fontId="12" fillId="0" borderId="29" xfId="0" applyFont="1" applyBorder="1" applyAlignment="1">
      <alignment horizontal="center"/>
    </xf>
    <xf numFmtId="3" fontId="72" fillId="0" borderId="0" xfId="57" applyNumberFormat="1" applyFont="1" applyAlignment="1">
      <alignment horizontal="right"/>
      <protection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3" fontId="11" fillId="0" borderId="64" xfId="59" applyNumberFormat="1" applyFont="1" applyBorder="1" applyAlignment="1">
      <alignment horizontal="right"/>
      <protection/>
    </xf>
    <xf numFmtId="3" fontId="10" fillId="0" borderId="29" xfId="59" applyNumberFormat="1" applyFont="1" applyBorder="1" applyAlignment="1">
      <alignment horizontal="right"/>
      <protection/>
    </xf>
    <xf numFmtId="3" fontId="10" fillId="0" borderId="22" xfId="59" applyNumberFormat="1" applyFont="1" applyBorder="1" applyAlignment="1">
      <alignment horizontal="right"/>
      <protection/>
    </xf>
    <xf numFmtId="0" fontId="11" fillId="0" borderId="43" xfId="60" applyFont="1" applyBorder="1">
      <alignment/>
      <protection/>
    </xf>
    <xf numFmtId="0" fontId="11" fillId="0" borderId="42" xfId="60" applyFont="1" applyBorder="1">
      <alignment/>
      <protection/>
    </xf>
    <xf numFmtId="3" fontId="10" fillId="0" borderId="21" xfId="59" applyNumberFormat="1" applyFont="1" applyBorder="1" applyAlignment="1">
      <alignment horizontal="right"/>
      <protection/>
    </xf>
    <xf numFmtId="3" fontId="11" fillId="0" borderId="67" xfId="59" applyNumberFormat="1" applyFont="1" applyBorder="1" applyAlignment="1">
      <alignment horizontal="right"/>
      <protection/>
    </xf>
    <xf numFmtId="3" fontId="11" fillId="0" borderId="43" xfId="59" applyNumberFormat="1" applyFont="1" applyBorder="1" applyAlignment="1">
      <alignment horizontal="right"/>
      <protection/>
    </xf>
    <xf numFmtId="3" fontId="22" fillId="0" borderId="43" xfId="59" applyNumberFormat="1" applyFont="1" applyBorder="1">
      <alignment/>
      <protection/>
    </xf>
    <xf numFmtId="3" fontId="11" fillId="0" borderId="43" xfId="59" applyNumberFormat="1" applyFont="1" applyBorder="1">
      <alignment/>
      <protection/>
    </xf>
    <xf numFmtId="3" fontId="22" fillId="0" borderId="66" xfId="59" applyNumberFormat="1" applyFont="1" applyBorder="1">
      <alignment/>
      <protection/>
    </xf>
    <xf numFmtId="3" fontId="11" fillId="0" borderId="66" xfId="59" applyNumberFormat="1" applyFont="1" applyBorder="1">
      <alignment/>
      <protection/>
    </xf>
    <xf numFmtId="3" fontId="11" fillId="0" borderId="68" xfId="59" applyNumberFormat="1" applyFont="1" applyBorder="1">
      <alignment/>
      <protection/>
    </xf>
    <xf numFmtId="4" fontId="11" fillId="0" borderId="43" xfId="60" applyNumberFormat="1" applyFont="1" applyBorder="1">
      <alignment/>
      <protection/>
    </xf>
    <xf numFmtId="0" fontId="4" fillId="0" borderId="30" xfId="60" applyFont="1" applyBorder="1">
      <alignment/>
      <protection/>
    </xf>
    <xf numFmtId="0" fontId="7" fillId="0" borderId="29" xfId="60" applyFont="1" applyBorder="1">
      <alignment/>
      <protection/>
    </xf>
    <xf numFmtId="0" fontId="7" fillId="0" borderId="30" xfId="60" applyFont="1" applyBorder="1">
      <alignment/>
      <protection/>
    </xf>
    <xf numFmtId="0" fontId="10" fillId="0" borderId="30" xfId="60" applyFont="1" applyBorder="1">
      <alignment/>
      <protection/>
    </xf>
    <xf numFmtId="0" fontId="6" fillId="0" borderId="30" xfId="60" applyFont="1" applyBorder="1">
      <alignment/>
      <protection/>
    </xf>
    <xf numFmtId="0" fontId="10" fillId="0" borderId="0" xfId="59" applyFont="1" applyBorder="1">
      <alignment/>
      <protection/>
    </xf>
    <xf numFmtId="3" fontId="10" fillId="0" borderId="0" xfId="59" applyNumberFormat="1" applyFont="1" applyBorder="1" applyAlignment="1">
      <alignment horizontal="right"/>
      <protection/>
    </xf>
    <xf numFmtId="4" fontId="10" fillId="0" borderId="0" xfId="60" applyNumberFormat="1" applyFont="1" applyBorder="1">
      <alignment/>
      <protection/>
    </xf>
    <xf numFmtId="3" fontId="10" fillId="0" borderId="30" xfId="60" applyNumberFormat="1" applyFont="1" applyBorder="1">
      <alignment/>
      <protection/>
    </xf>
    <xf numFmtId="3" fontId="4" fillId="0" borderId="0" xfId="60" applyNumberFormat="1" applyFont="1">
      <alignment/>
      <protection/>
    </xf>
    <xf numFmtId="0" fontId="4" fillId="0" borderId="69" xfId="0" applyFont="1" applyBorder="1" applyAlignment="1">
      <alignment/>
    </xf>
    <xf numFmtId="0" fontId="11" fillId="0" borderId="70" xfId="60" applyFont="1" applyBorder="1">
      <alignment/>
      <protection/>
    </xf>
    <xf numFmtId="168" fontId="7" fillId="0" borderId="69" xfId="40" applyNumberFormat="1" applyFont="1" applyBorder="1" applyAlignment="1">
      <alignment/>
    </xf>
    <xf numFmtId="168" fontId="4" fillId="0" borderId="67" xfId="40" applyNumberFormat="1" applyFont="1" applyBorder="1" applyAlignment="1">
      <alignment/>
    </xf>
    <xf numFmtId="168" fontId="4" fillId="0" borderId="43" xfId="40" applyNumberFormat="1" applyFont="1" applyBorder="1" applyAlignment="1">
      <alignment/>
    </xf>
    <xf numFmtId="168" fontId="4" fillId="0" borderId="68" xfId="40" applyNumberFormat="1" applyFont="1" applyBorder="1" applyAlignment="1">
      <alignment/>
    </xf>
    <xf numFmtId="0" fontId="10" fillId="0" borderId="30" xfId="0" applyFont="1" applyBorder="1" applyAlignment="1">
      <alignment/>
    </xf>
    <xf numFmtId="168" fontId="10" fillId="0" borderId="30" xfId="0" applyNumberFormat="1" applyFont="1" applyBorder="1" applyAlignment="1">
      <alignment/>
    </xf>
    <xf numFmtId="168" fontId="10" fillId="0" borderId="30" xfId="40" applyNumberFormat="1" applyFont="1" applyBorder="1" applyAlignment="1">
      <alignment/>
    </xf>
    <xf numFmtId="168" fontId="10" fillId="0" borderId="59" xfId="40" applyNumberFormat="1" applyFont="1" applyBorder="1" applyAlignment="1">
      <alignment/>
    </xf>
    <xf numFmtId="0" fontId="11" fillId="0" borderId="0" xfId="0" applyFont="1" applyAlignment="1">
      <alignment horizontal="center" vertical="center"/>
    </xf>
    <xf numFmtId="49" fontId="0" fillId="0" borderId="0" xfId="0" applyNumberFormat="1" applyAlignment="1" quotePrefix="1">
      <alignment/>
    </xf>
    <xf numFmtId="0" fontId="0" fillId="0" borderId="0" xfId="0" applyAlignment="1">
      <alignment horizontal="right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/>
    </xf>
    <xf numFmtId="3" fontId="0" fillId="0" borderId="30" xfId="0" applyNumberFormat="1" applyBorder="1" applyAlignment="1">
      <alignment/>
    </xf>
    <xf numFmtId="179" fontId="0" fillId="0" borderId="30" xfId="0" applyNumberFormat="1" applyBorder="1" applyAlignment="1">
      <alignment/>
    </xf>
    <xf numFmtId="0" fontId="19" fillId="0" borderId="0" xfId="0" applyFont="1" applyAlignment="1">
      <alignment/>
    </xf>
    <xf numFmtId="0" fontId="10" fillId="0" borderId="27" xfId="0" applyFont="1" applyBorder="1" applyAlignment="1">
      <alignment/>
    </xf>
    <xf numFmtId="0" fontId="10" fillId="0" borderId="59" xfId="0" applyFont="1" applyBorder="1" applyAlignment="1">
      <alignment/>
    </xf>
    <xf numFmtId="168" fontId="7" fillId="0" borderId="30" xfId="0" applyNumberFormat="1" applyFont="1" applyBorder="1" applyAlignment="1">
      <alignment/>
    </xf>
    <xf numFmtId="0" fontId="0" fillId="0" borderId="0" xfId="0" applyBorder="1" applyAlignment="1">
      <alignment horizontal="center" vertical="center" textRotation="45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6" fontId="0" fillId="0" borderId="0" xfId="0" applyNumberFormat="1" applyAlignment="1" quotePrefix="1">
      <alignment/>
    </xf>
    <xf numFmtId="3" fontId="12" fillId="0" borderId="50" xfId="0" applyNumberFormat="1" applyFont="1" applyBorder="1" applyAlignment="1">
      <alignment/>
    </xf>
    <xf numFmtId="3" fontId="12" fillId="32" borderId="0" xfId="57" applyNumberFormat="1" applyFont="1" applyFill="1" applyAlignment="1">
      <alignment horizontal="right"/>
      <protection/>
    </xf>
    <xf numFmtId="3" fontId="6" fillId="0" borderId="0" xfId="40" applyNumberFormat="1" applyFont="1" applyBorder="1" applyAlignment="1">
      <alignment horizontal="right"/>
    </xf>
    <xf numFmtId="0" fontId="7" fillId="0" borderId="30" xfId="0" applyFont="1" applyBorder="1" applyAlignment="1">
      <alignment/>
    </xf>
    <xf numFmtId="168" fontId="12" fillId="0" borderId="29" xfId="40" applyNumberFormat="1" applyFont="1" applyBorder="1" applyAlignment="1">
      <alignment/>
    </xf>
    <xf numFmtId="4" fontId="10" fillId="0" borderId="30" xfId="60" applyNumberFormat="1" applyFont="1" applyBorder="1">
      <alignment/>
      <protection/>
    </xf>
    <xf numFmtId="0" fontId="7" fillId="0" borderId="43" xfId="60" applyFont="1" applyBorder="1">
      <alignment/>
      <protection/>
    </xf>
    <xf numFmtId="0" fontId="4" fillId="0" borderId="29" xfId="60" applyFont="1" applyBorder="1">
      <alignment/>
      <protection/>
    </xf>
    <xf numFmtId="3" fontId="11" fillId="0" borderId="29" xfId="59" applyNumberFormat="1" applyFont="1" applyBorder="1" applyAlignment="1">
      <alignment horizontal="right"/>
      <protection/>
    </xf>
    <xf numFmtId="4" fontId="11" fillId="0" borderId="29" xfId="60" applyNumberFormat="1" applyFont="1" applyBorder="1">
      <alignment/>
      <protection/>
    </xf>
    <xf numFmtId="4" fontId="73" fillId="0" borderId="41" xfId="60" applyNumberFormat="1" applyFont="1" applyBorder="1">
      <alignment/>
      <protection/>
    </xf>
    <xf numFmtId="4" fontId="73" fillId="0" borderId="29" xfId="60" applyNumberFormat="1" applyFont="1" applyBorder="1">
      <alignment/>
      <protection/>
    </xf>
    <xf numFmtId="0" fontId="4" fillId="0" borderId="29" xfId="0" applyFont="1" applyBorder="1" applyAlignment="1">
      <alignment/>
    </xf>
    <xf numFmtId="168" fontId="4" fillId="0" borderId="0" xfId="0" applyNumberFormat="1" applyFont="1" applyAlignment="1">
      <alignment/>
    </xf>
    <xf numFmtId="0" fontId="14" fillId="0" borderId="0" xfId="0" applyFont="1" applyAlignment="1" quotePrefix="1">
      <alignment/>
    </xf>
    <xf numFmtId="0" fontId="14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57" applyNumberFormat="1" applyFont="1" applyAlignment="1">
      <alignment horizontal="right"/>
      <protection/>
    </xf>
    <xf numFmtId="0" fontId="10" fillId="0" borderId="0" xfId="0" applyFont="1" applyAlignment="1">
      <alignment horizontal="left" wrapText="1"/>
    </xf>
    <xf numFmtId="0" fontId="12" fillId="0" borderId="0" xfId="59" applyFont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12" fillId="0" borderId="0" xfId="57" applyFont="1" applyBorder="1" applyAlignment="1">
      <alignment horizontal="left" vertical="center" wrapText="1"/>
      <protection/>
    </xf>
    <xf numFmtId="0" fontId="0" fillId="0" borderId="0" xfId="0" applyAlignment="1">
      <alignment horizontal="left" wrapText="1"/>
    </xf>
    <xf numFmtId="0" fontId="12" fillId="0" borderId="0" xfId="0" applyFont="1" applyAlignment="1" quotePrefix="1">
      <alignment horizontal="left" wrapText="1"/>
    </xf>
    <xf numFmtId="0" fontId="12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2" fillId="0" borderId="0" xfId="57" applyFont="1" applyBorder="1" applyAlignment="1">
      <alignment horizontal="left" vertical="center"/>
      <protection/>
    </xf>
    <xf numFmtId="0" fontId="12" fillId="0" borderId="0" xfId="57" applyFont="1" applyAlignment="1">
      <alignment horizontal="left" wrapText="1"/>
      <protection/>
    </xf>
    <xf numFmtId="0" fontId="21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6" fillId="0" borderId="0" xfId="57" applyFont="1" applyAlignment="1">
      <alignment horizontal="center"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51" xfId="57" applyFont="1" applyBorder="1" applyAlignment="1">
      <alignment horizontal="center" vertical="center"/>
      <protection/>
    </xf>
    <xf numFmtId="0" fontId="6" fillId="0" borderId="55" xfId="57" applyFont="1" applyBorder="1" applyAlignment="1">
      <alignment horizontal="center" vertical="center"/>
      <protection/>
    </xf>
    <xf numFmtId="0" fontId="6" fillId="0" borderId="12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 vertical="center"/>
      <protection/>
    </xf>
    <xf numFmtId="0" fontId="6" fillId="0" borderId="71" xfId="57" applyFont="1" applyBorder="1" applyAlignment="1">
      <alignment horizontal="center" vertical="center"/>
      <protection/>
    </xf>
    <xf numFmtId="0" fontId="6" fillId="0" borderId="14" xfId="57" applyFont="1" applyBorder="1" applyAlignment="1">
      <alignment horizontal="center" vertical="center"/>
      <protection/>
    </xf>
    <xf numFmtId="0" fontId="6" fillId="0" borderId="16" xfId="57" applyFont="1" applyBorder="1" applyAlignment="1">
      <alignment horizontal="center" vertical="center"/>
      <protection/>
    </xf>
    <xf numFmtId="0" fontId="6" fillId="0" borderId="72" xfId="57" applyFont="1" applyBorder="1" applyAlignment="1">
      <alignment horizontal="center" vertical="center"/>
      <protection/>
    </xf>
    <xf numFmtId="0" fontId="6" fillId="0" borderId="0" xfId="57" applyFont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0" fontId="18" fillId="0" borderId="0" xfId="0" applyFont="1" applyAlignment="1">
      <alignment horizontal="right"/>
    </xf>
    <xf numFmtId="0" fontId="10" fillId="0" borderId="0" xfId="57" applyFont="1" applyAlignment="1">
      <alignment horizontal="center" wrapText="1"/>
      <protection/>
    </xf>
    <xf numFmtId="0" fontId="4" fillId="0" borderId="11" xfId="57" applyFont="1" applyBorder="1" applyAlignment="1">
      <alignment horizontal="center" vertical="center" textRotation="255"/>
      <protection/>
    </xf>
    <xf numFmtId="0" fontId="4" fillId="0" borderId="13" xfId="57" applyFont="1" applyBorder="1" applyAlignment="1">
      <alignment horizontal="center" vertical="center" textRotation="255"/>
      <protection/>
    </xf>
    <xf numFmtId="0" fontId="4" fillId="0" borderId="15" xfId="57" applyFont="1" applyBorder="1" applyAlignment="1">
      <alignment horizontal="center" vertical="center" textRotation="255"/>
      <protection/>
    </xf>
    <xf numFmtId="0" fontId="11" fillId="0" borderId="55" xfId="59" applyFont="1" applyBorder="1" applyAlignment="1">
      <alignment horizontal="center" vertical="center" wrapText="1"/>
      <protection/>
    </xf>
    <xf numFmtId="0" fontId="11" fillId="0" borderId="71" xfId="59" applyFont="1" applyBorder="1" applyAlignment="1">
      <alignment horizontal="center" vertical="center" wrapText="1"/>
      <protection/>
    </xf>
    <xf numFmtId="0" fontId="11" fillId="0" borderId="72" xfId="59" applyFont="1" applyBorder="1" applyAlignment="1">
      <alignment horizontal="center" vertical="center" wrapText="1"/>
      <protection/>
    </xf>
    <xf numFmtId="0" fontId="11" fillId="0" borderId="11" xfId="59" applyFont="1" applyBorder="1" applyAlignment="1">
      <alignment horizontal="center" vertical="center"/>
      <protection/>
    </xf>
    <xf numFmtId="0" fontId="11" fillId="0" borderId="13" xfId="59" applyFont="1" applyBorder="1" applyAlignment="1">
      <alignment horizontal="center" vertical="center"/>
      <protection/>
    </xf>
    <xf numFmtId="0" fontId="11" fillId="0" borderId="15" xfId="59" applyFont="1" applyBorder="1" applyAlignment="1">
      <alignment horizontal="center" vertical="center"/>
      <protection/>
    </xf>
    <xf numFmtId="0" fontId="23" fillId="0" borderId="11" xfId="57" applyFont="1" applyBorder="1" applyAlignment="1">
      <alignment horizontal="center" vertical="center" wrapText="1"/>
      <protection/>
    </xf>
    <xf numFmtId="0" fontId="23" fillId="0" borderId="13" xfId="57" applyFont="1" applyBorder="1" applyAlignment="1">
      <alignment horizontal="center" vertical="center" wrapText="1"/>
      <protection/>
    </xf>
    <xf numFmtId="0" fontId="23" fillId="0" borderId="15" xfId="57" applyFont="1" applyBorder="1" applyAlignment="1">
      <alignment horizontal="center" vertical="center" wrapText="1"/>
      <protection/>
    </xf>
    <xf numFmtId="168" fontId="23" fillId="0" borderId="58" xfId="40" applyNumberFormat="1" applyFont="1" applyBorder="1" applyAlignment="1">
      <alignment horizontal="center" vertical="center"/>
    </xf>
    <xf numFmtId="168" fontId="23" fillId="0" borderId="59" xfId="40" applyNumberFormat="1" applyFont="1" applyBorder="1" applyAlignment="1">
      <alignment horizontal="center" vertical="center"/>
    </xf>
    <xf numFmtId="168" fontId="23" fillId="0" borderId="10" xfId="40" applyNumberFormat="1" applyFont="1" applyBorder="1" applyAlignment="1">
      <alignment horizontal="center" vertical="center"/>
    </xf>
    <xf numFmtId="168" fontId="23" fillId="0" borderId="51" xfId="40" applyNumberFormat="1" applyFont="1" applyBorder="1" applyAlignment="1">
      <alignment horizontal="center" vertical="center"/>
    </xf>
    <xf numFmtId="168" fontId="23" fillId="0" borderId="55" xfId="40" applyNumberFormat="1" applyFont="1" applyBorder="1" applyAlignment="1">
      <alignment horizontal="center" vertical="center"/>
    </xf>
    <xf numFmtId="168" fontId="23" fillId="0" borderId="14" xfId="40" applyNumberFormat="1" applyFont="1" applyBorder="1" applyAlignment="1">
      <alignment horizontal="center" vertical="center"/>
    </xf>
    <xf numFmtId="168" fontId="23" fillId="0" borderId="16" xfId="40" applyNumberFormat="1" applyFont="1" applyBorder="1" applyAlignment="1">
      <alignment horizontal="center" vertical="center"/>
    </xf>
    <xf numFmtId="168" fontId="23" fillId="0" borderId="72" xfId="40" applyNumberFormat="1" applyFont="1" applyBorder="1" applyAlignment="1">
      <alignment horizontal="center" vertical="center"/>
    </xf>
    <xf numFmtId="0" fontId="11" fillId="0" borderId="11" xfId="59" applyFont="1" applyBorder="1" applyAlignment="1">
      <alignment horizontal="center" vertical="center"/>
      <protection/>
    </xf>
    <xf numFmtId="0" fontId="11" fillId="0" borderId="13" xfId="59" applyFont="1" applyBorder="1" applyAlignment="1">
      <alignment horizontal="center" vertical="center"/>
      <protection/>
    </xf>
    <xf numFmtId="0" fontId="11" fillId="0" borderId="15" xfId="59" applyFont="1" applyBorder="1" applyAlignment="1">
      <alignment horizontal="center" vertical="center"/>
      <protection/>
    </xf>
    <xf numFmtId="0" fontId="11" fillId="0" borderId="11" xfId="57" applyFont="1" applyBorder="1" applyAlignment="1">
      <alignment horizontal="center" vertical="center" wrapText="1"/>
      <protection/>
    </xf>
    <xf numFmtId="0" fontId="11" fillId="0" borderId="13" xfId="57" applyFont="1" applyBorder="1" applyAlignment="1">
      <alignment horizontal="center" vertical="center" wrapText="1"/>
      <protection/>
    </xf>
    <xf numFmtId="0" fontId="11" fillId="0" borderId="15" xfId="57" applyFont="1" applyBorder="1" applyAlignment="1">
      <alignment horizontal="center" vertical="center" wrapText="1"/>
      <protection/>
    </xf>
    <xf numFmtId="0" fontId="11" fillId="0" borderId="55" xfId="59" applyFont="1" applyBorder="1" applyAlignment="1">
      <alignment horizontal="center" vertical="center" wrapText="1"/>
      <protection/>
    </xf>
    <xf numFmtId="0" fontId="11" fillId="0" borderId="71" xfId="59" applyFont="1" applyBorder="1" applyAlignment="1">
      <alignment horizontal="center" vertical="center" wrapText="1"/>
      <protection/>
    </xf>
    <xf numFmtId="0" fontId="11" fillId="0" borderId="72" xfId="59" applyFont="1" applyBorder="1" applyAlignment="1">
      <alignment horizontal="center" vertical="center" wrapText="1"/>
      <protection/>
    </xf>
    <xf numFmtId="0" fontId="11" fillId="0" borderId="43" xfId="57" applyFont="1" applyBorder="1" applyAlignment="1">
      <alignment horizontal="center" vertical="center" textRotation="180"/>
      <protection/>
    </xf>
    <xf numFmtId="0" fontId="11" fillId="0" borderId="21" xfId="57" applyFont="1" applyBorder="1" applyAlignment="1">
      <alignment horizontal="center" vertical="center" textRotation="180"/>
      <protection/>
    </xf>
    <xf numFmtId="0" fontId="11" fillId="0" borderId="22" xfId="57" applyFont="1" applyBorder="1" applyAlignment="1">
      <alignment horizontal="center" vertical="center" textRotation="180"/>
      <protection/>
    </xf>
    <xf numFmtId="0" fontId="11" fillId="0" borderId="47" xfId="57" applyFont="1" applyBorder="1" applyAlignment="1">
      <alignment horizontal="center" vertical="center" wrapText="1"/>
      <protection/>
    </xf>
    <xf numFmtId="0" fontId="11" fillId="0" borderId="58" xfId="57" applyFont="1" applyBorder="1" applyAlignment="1">
      <alignment horizontal="center" vertical="center" wrapText="1"/>
      <protection/>
    </xf>
    <xf numFmtId="0" fontId="11" fillId="0" borderId="59" xfId="57" applyFont="1" applyBorder="1" applyAlignment="1">
      <alignment horizontal="center" vertical="center" wrapText="1"/>
      <protection/>
    </xf>
    <xf numFmtId="0" fontId="27" fillId="0" borderId="11" xfId="57" applyFont="1" applyBorder="1" applyAlignment="1">
      <alignment horizontal="center" vertical="center" wrapText="1"/>
      <protection/>
    </xf>
    <xf numFmtId="0" fontId="27" fillId="0" borderId="13" xfId="57" applyFont="1" applyBorder="1" applyAlignment="1">
      <alignment horizontal="center" vertical="center" wrapText="1"/>
      <protection/>
    </xf>
    <xf numFmtId="0" fontId="27" fillId="0" borderId="15" xfId="57" applyFont="1" applyBorder="1" applyAlignment="1">
      <alignment horizontal="center" vertical="center" wrapText="1"/>
      <protection/>
    </xf>
    <xf numFmtId="44" fontId="11" fillId="0" borderId="47" xfId="62" applyFont="1" applyBorder="1" applyAlignment="1">
      <alignment horizontal="center" vertical="center"/>
    </xf>
    <xf numFmtId="44" fontId="11" fillId="0" borderId="58" xfId="62" applyFont="1" applyBorder="1" applyAlignment="1">
      <alignment horizontal="center" vertical="center"/>
    </xf>
    <xf numFmtId="44" fontId="11" fillId="0" borderId="59" xfId="62" applyFont="1" applyBorder="1" applyAlignment="1">
      <alignment horizontal="center" vertical="center"/>
    </xf>
    <xf numFmtId="0" fontId="7" fillId="0" borderId="14" xfId="57" applyFont="1" applyBorder="1" applyAlignment="1">
      <alignment horizontal="center"/>
      <protection/>
    </xf>
    <xf numFmtId="0" fontId="7" fillId="0" borderId="72" xfId="57" applyFont="1" applyBorder="1" applyAlignment="1">
      <alignment horizontal="center"/>
      <protection/>
    </xf>
    <xf numFmtId="0" fontId="11" fillId="0" borderId="16" xfId="60" applyFont="1" applyBorder="1" applyAlignment="1">
      <alignment horizontal="right"/>
      <protection/>
    </xf>
    <xf numFmtId="0" fontId="10" fillId="0" borderId="0" xfId="60" applyFont="1" applyAlignment="1">
      <alignment horizontal="center"/>
      <protection/>
    </xf>
    <xf numFmtId="0" fontId="7" fillId="0" borderId="47" xfId="57" applyFont="1" applyBorder="1" applyAlignment="1">
      <alignment horizontal="center"/>
      <protection/>
    </xf>
    <xf numFmtId="0" fontId="7" fillId="0" borderId="59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 vertical="center"/>
      <protection/>
    </xf>
    <xf numFmtId="0" fontId="11" fillId="0" borderId="13" xfId="57" applyFont="1" applyBorder="1" applyAlignment="1">
      <alignment horizontal="center" vertical="center"/>
      <protection/>
    </xf>
    <xf numFmtId="0" fontId="11" fillId="0" borderId="15" xfId="57" applyFont="1" applyBorder="1" applyAlignment="1">
      <alignment horizontal="center" vertical="center"/>
      <protection/>
    </xf>
    <xf numFmtId="0" fontId="11" fillId="0" borderId="47" xfId="57" applyFont="1" applyBorder="1" applyAlignment="1">
      <alignment horizontal="center"/>
      <protection/>
    </xf>
    <xf numFmtId="0" fontId="11" fillId="0" borderId="58" xfId="57" applyFont="1" applyBorder="1" applyAlignment="1">
      <alignment horizontal="center"/>
      <protection/>
    </xf>
    <xf numFmtId="0" fontId="11" fillId="0" borderId="59" xfId="57" applyFont="1" applyBorder="1" applyAlignment="1">
      <alignment horizontal="center"/>
      <protection/>
    </xf>
    <xf numFmtId="0" fontId="11" fillId="0" borderId="47" xfId="57" applyFont="1" applyBorder="1" applyAlignment="1">
      <alignment horizontal="center" vertical="center"/>
      <protection/>
    </xf>
    <xf numFmtId="0" fontId="11" fillId="0" borderId="58" xfId="57" applyFont="1" applyBorder="1" applyAlignment="1">
      <alignment horizontal="center" vertical="center"/>
      <protection/>
    </xf>
    <xf numFmtId="0" fontId="11" fillId="0" borderId="59" xfId="57" applyFont="1" applyBorder="1" applyAlignment="1">
      <alignment horizontal="center" vertical="center"/>
      <protection/>
    </xf>
    <xf numFmtId="0" fontId="7" fillId="0" borderId="12" xfId="57" applyFont="1" applyBorder="1" applyAlignment="1">
      <alignment horizontal="center"/>
      <protection/>
    </xf>
    <xf numFmtId="0" fontId="7" fillId="0" borderId="71" xfId="57" applyFont="1" applyBorder="1" applyAlignment="1">
      <alignment horizontal="center"/>
      <protection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7" fillId="0" borderId="0" xfId="60" applyFont="1" applyAlignment="1">
      <alignment horizontal="center"/>
      <protection/>
    </xf>
    <xf numFmtId="0" fontId="26" fillId="0" borderId="11" xfId="57" applyFont="1" applyBorder="1" applyAlignment="1">
      <alignment horizontal="center" textRotation="255"/>
      <protection/>
    </xf>
    <xf numFmtId="0" fontId="26" fillId="0" borderId="13" xfId="57" applyFont="1" applyBorder="1" applyAlignment="1">
      <alignment horizontal="center" textRotation="255"/>
      <protection/>
    </xf>
    <xf numFmtId="0" fontId="11" fillId="0" borderId="11" xfId="59" applyFont="1" applyBorder="1" applyAlignment="1">
      <alignment horizontal="center" vertical="center" wrapText="1"/>
      <protection/>
    </xf>
    <xf numFmtId="0" fontId="11" fillId="0" borderId="13" xfId="59" applyFont="1" applyBorder="1" applyAlignment="1">
      <alignment horizontal="center" vertical="center" wrapText="1"/>
      <protection/>
    </xf>
    <xf numFmtId="168" fontId="23" fillId="0" borderId="12" xfId="40" applyNumberFormat="1" applyFont="1" applyBorder="1" applyAlignment="1">
      <alignment horizontal="center" vertical="center"/>
    </xf>
    <xf numFmtId="168" fontId="23" fillId="0" borderId="0" xfId="40" applyNumberFormat="1" applyFont="1" applyBorder="1" applyAlignment="1">
      <alignment horizontal="center" vertical="center"/>
    </xf>
    <xf numFmtId="168" fontId="23" fillId="0" borderId="71" xfId="4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6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2" fillId="0" borderId="0" xfId="59" applyFont="1" applyAlignment="1">
      <alignment wrapText="1"/>
      <protection/>
    </xf>
    <xf numFmtId="0" fontId="0" fillId="0" borderId="0" xfId="0" applyAlignment="1">
      <alignment wrapText="1"/>
    </xf>
    <xf numFmtId="0" fontId="7" fillId="0" borderId="0" xfId="59" applyFont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0" fontId="11" fillId="0" borderId="11" xfId="59" applyFont="1" applyBorder="1" applyAlignment="1">
      <alignment horizontal="center" vertical="center" textRotation="180"/>
      <protection/>
    </xf>
    <xf numFmtId="0" fontId="11" fillId="0" borderId="13" xfId="59" applyFont="1" applyBorder="1" applyAlignment="1">
      <alignment horizontal="center" vertical="center" textRotation="180"/>
      <protection/>
    </xf>
    <xf numFmtId="0" fontId="11" fillId="0" borderId="15" xfId="59" applyFont="1" applyBorder="1" applyAlignment="1">
      <alignment horizontal="center" vertical="center" textRotation="180"/>
      <protection/>
    </xf>
    <xf numFmtId="0" fontId="21" fillId="0" borderId="0" xfId="0" applyFont="1" applyAlignment="1">
      <alignment horizontal="center"/>
    </xf>
    <xf numFmtId="0" fontId="12" fillId="0" borderId="11" xfId="60" applyFont="1" applyBorder="1" applyAlignment="1">
      <alignment horizontal="center" textRotation="180"/>
      <protection/>
    </xf>
    <xf numFmtId="0" fontId="12" fillId="0" borderId="13" xfId="60" applyFont="1" applyBorder="1" applyAlignment="1">
      <alignment horizontal="center" textRotation="180"/>
      <protection/>
    </xf>
    <xf numFmtId="0" fontId="12" fillId="0" borderId="15" xfId="60" applyFont="1" applyBorder="1" applyAlignment="1">
      <alignment horizontal="center" textRotation="180"/>
      <protection/>
    </xf>
    <xf numFmtId="0" fontId="12" fillId="0" borderId="0" xfId="0" applyFont="1" applyAlignment="1">
      <alignment horizontal="right"/>
    </xf>
    <xf numFmtId="0" fontId="0" fillId="0" borderId="11" xfId="0" applyBorder="1" applyAlignment="1">
      <alignment horizontal="center" vertical="center" textRotation="45"/>
    </xf>
    <xf numFmtId="0" fontId="0" fillId="0" borderId="13" xfId="0" applyBorder="1" applyAlignment="1">
      <alignment horizontal="center" vertical="center" textRotation="45"/>
    </xf>
    <xf numFmtId="0" fontId="0" fillId="0" borderId="15" xfId="0" applyBorder="1" applyAlignment="1">
      <alignment horizontal="center" vertical="center" textRotation="45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57" applyFont="1" applyBorder="1" applyAlignment="1">
      <alignment horizontal="center"/>
      <protection/>
    </xf>
    <xf numFmtId="0" fontId="5" fillId="0" borderId="0" xfId="57" applyFont="1" applyBorder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0" fontId="6" fillId="0" borderId="0" xfId="58" applyFont="1" applyBorder="1" applyAlignment="1">
      <alignment horizontal="center"/>
      <protection/>
    </xf>
    <xf numFmtId="0" fontId="5" fillId="0" borderId="0" xfId="57" applyFont="1" applyBorder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0" fontId="4" fillId="0" borderId="79" xfId="57" applyFont="1" applyBorder="1" applyAlignment="1">
      <alignment horizontal="center"/>
      <protection/>
    </xf>
    <xf numFmtId="0" fontId="4" fillId="0" borderId="80" xfId="57" applyFont="1" applyBorder="1" applyAlignment="1">
      <alignment horizontal="center"/>
      <protection/>
    </xf>
    <xf numFmtId="0" fontId="4" fillId="0" borderId="35" xfId="57" applyFont="1" applyBorder="1" applyAlignment="1">
      <alignment horizontal="left" vertical="center" wrapText="1"/>
      <protection/>
    </xf>
    <xf numFmtId="0" fontId="4" fillId="0" borderId="21" xfId="57" applyFont="1" applyBorder="1" applyAlignment="1">
      <alignment horizontal="left" vertical="center" wrapText="1"/>
      <protection/>
    </xf>
    <xf numFmtId="0" fontId="4" fillId="0" borderId="81" xfId="57" applyFont="1" applyBorder="1" applyAlignment="1">
      <alignment horizontal="center" vertical="center" wrapText="1"/>
      <protection/>
    </xf>
    <xf numFmtId="0" fontId="4" fillId="0" borderId="13" xfId="57" applyFont="1" applyBorder="1" applyAlignment="1">
      <alignment horizontal="center" vertical="center" wrapText="1"/>
      <protection/>
    </xf>
    <xf numFmtId="0" fontId="4" fillId="0" borderId="15" xfId="57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right"/>
    </xf>
    <xf numFmtId="168" fontId="4" fillId="0" borderId="82" xfId="40" applyNumberFormat="1" applyFont="1" applyBorder="1" applyAlignment="1">
      <alignment horizontal="center" vertical="center"/>
    </xf>
    <xf numFmtId="168" fontId="4" fillId="0" borderId="83" xfId="40" applyNumberFormat="1" applyFont="1" applyBorder="1" applyAlignment="1">
      <alignment horizontal="center" vertical="center"/>
    </xf>
    <xf numFmtId="0" fontId="4" fillId="0" borderId="84" xfId="57" applyFont="1" applyBorder="1" applyAlignment="1">
      <alignment horizontal="center" vertical="center"/>
      <protection/>
    </xf>
    <xf numFmtId="0" fontId="4" fillId="0" borderId="83" xfId="57" applyFont="1" applyBorder="1" applyAlignment="1">
      <alignment horizontal="center" vertical="center"/>
      <protection/>
    </xf>
    <xf numFmtId="0" fontId="4" fillId="0" borderId="85" xfId="57" applyFont="1" applyBorder="1" applyAlignment="1">
      <alignment horizontal="center" vertical="center"/>
      <protection/>
    </xf>
    <xf numFmtId="168" fontId="4" fillId="0" borderId="35" xfId="40" applyNumberFormat="1" applyFont="1" applyBorder="1" applyAlignment="1">
      <alignment horizontal="center" vertical="center"/>
    </xf>
    <xf numFmtId="168" fontId="4" fillId="0" borderId="21" xfId="40" applyNumberFormat="1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 wrapText="1"/>
    </xf>
    <xf numFmtId="0" fontId="12" fillId="0" borderId="87" xfId="0" applyFont="1" applyBorder="1" applyAlignment="1">
      <alignment horizontal="center" vertical="center" wrapText="1"/>
    </xf>
    <xf numFmtId="0" fontId="12" fillId="0" borderId="88" xfId="0" applyFont="1" applyBorder="1" applyAlignment="1">
      <alignment horizontal="center" vertical="center" wrapText="1"/>
    </xf>
    <xf numFmtId="0" fontId="12" fillId="0" borderId="8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90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68" fontId="12" fillId="0" borderId="91" xfId="40" applyNumberFormat="1" applyFont="1" applyBorder="1" applyAlignment="1">
      <alignment horizontal="center" vertical="center"/>
    </xf>
    <xf numFmtId="168" fontId="12" fillId="0" borderId="92" xfId="40" applyNumberFormat="1" applyFont="1" applyBorder="1" applyAlignment="1">
      <alignment horizontal="center" vertical="center"/>
    </xf>
    <xf numFmtId="168" fontId="12" fillId="0" borderId="93" xfId="40" applyNumberFormat="1" applyFont="1" applyBorder="1" applyAlignment="1">
      <alignment horizontal="center" vertical="center"/>
    </xf>
    <xf numFmtId="168" fontId="12" fillId="0" borderId="94" xfId="40" applyNumberFormat="1" applyFont="1" applyBorder="1" applyAlignment="1">
      <alignment horizontal="center" vertical="center"/>
    </xf>
    <xf numFmtId="168" fontId="12" fillId="0" borderId="95" xfId="40" applyNumberFormat="1" applyFont="1" applyBorder="1" applyAlignment="1">
      <alignment horizontal="center" vertical="center"/>
    </xf>
    <xf numFmtId="168" fontId="12" fillId="0" borderId="96" xfId="40" applyNumberFormat="1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90" xfId="0" applyFont="1" applyBorder="1" applyAlignment="1">
      <alignment horizontal="center"/>
    </xf>
    <xf numFmtId="0" fontId="12" fillId="0" borderId="97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72" xfId="0" applyFont="1" applyBorder="1" applyAlignment="1">
      <alignment horizontal="center"/>
    </xf>
    <xf numFmtId="2" fontId="12" fillId="0" borderId="91" xfId="0" applyNumberFormat="1" applyFont="1" applyBorder="1" applyAlignment="1">
      <alignment horizontal="center" vertical="center" wrapText="1"/>
    </xf>
    <xf numFmtId="2" fontId="12" fillId="0" borderId="92" xfId="0" applyNumberFormat="1" applyFont="1" applyBorder="1" applyAlignment="1">
      <alignment horizontal="center" vertical="center" wrapText="1"/>
    </xf>
    <xf numFmtId="2" fontId="12" fillId="0" borderId="93" xfId="0" applyNumberFormat="1" applyFont="1" applyBorder="1" applyAlignment="1">
      <alignment horizontal="center" vertical="center" wrapText="1"/>
    </xf>
    <xf numFmtId="168" fontId="12" fillId="0" borderId="98" xfId="4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 wrapText="1"/>
    </xf>
    <xf numFmtId="168" fontId="12" fillId="0" borderId="99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168" fontId="12" fillId="0" borderId="35" xfId="40" applyNumberFormat="1" applyFont="1" applyBorder="1" applyAlignment="1">
      <alignment horizontal="center" vertical="center"/>
    </xf>
    <xf numFmtId="168" fontId="12" fillId="0" borderId="21" xfId="40" applyNumberFormat="1" applyFont="1" applyBorder="1" applyAlignment="1">
      <alignment horizontal="center" vertical="center"/>
    </xf>
    <xf numFmtId="168" fontId="12" fillId="0" borderId="40" xfId="40" applyNumberFormat="1" applyFont="1" applyBorder="1" applyAlignment="1">
      <alignment horizontal="center" vertical="center"/>
    </xf>
    <xf numFmtId="168" fontId="18" fillId="0" borderId="101" xfId="40" applyNumberFormat="1" applyFont="1" applyBorder="1" applyAlignment="1">
      <alignment horizontal="center" vertical="center"/>
    </xf>
    <xf numFmtId="168" fontId="18" fillId="0" borderId="102" xfId="40" applyNumberFormat="1" applyFont="1" applyBorder="1" applyAlignment="1">
      <alignment horizontal="center" vertical="center"/>
    </xf>
    <xf numFmtId="168" fontId="18" fillId="0" borderId="103" xfId="40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2" fillId="0" borderId="104" xfId="0" applyFont="1" applyBorder="1" applyAlignment="1">
      <alignment horizontal="center"/>
    </xf>
    <xf numFmtId="0" fontId="12" fillId="0" borderId="80" xfId="0" applyFont="1" applyBorder="1" applyAlignment="1">
      <alignment horizontal="center"/>
    </xf>
    <xf numFmtId="0" fontId="12" fillId="0" borderId="105" xfId="0" applyFont="1" applyBorder="1" applyAlignment="1">
      <alignment horizontal="center"/>
    </xf>
    <xf numFmtId="0" fontId="12" fillId="0" borderId="106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107" xfId="0" applyFont="1" applyBorder="1" applyAlignment="1">
      <alignment horizontal="left" vertical="center"/>
    </xf>
    <xf numFmtId="0" fontId="12" fillId="0" borderId="108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/>
    </xf>
    <xf numFmtId="0" fontId="12" fillId="0" borderId="110" xfId="0" applyFont="1" applyBorder="1" applyAlignment="1">
      <alignment horizontal="center"/>
    </xf>
    <xf numFmtId="0" fontId="6" fillId="0" borderId="55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6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111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left" vertical="center" wrapText="1"/>
    </xf>
    <xf numFmtId="0" fontId="30" fillId="0" borderId="43" xfId="0" applyFont="1" applyBorder="1" applyAlignment="1">
      <alignment horizontal="center" wrapText="1"/>
    </xf>
    <xf numFmtId="0" fontId="30" fillId="0" borderId="21" xfId="0" applyFont="1" applyBorder="1" applyAlignment="1">
      <alignment horizontal="center" wrapText="1"/>
    </xf>
    <xf numFmtId="0" fontId="30" fillId="0" borderId="22" xfId="0" applyFont="1" applyBorder="1" applyAlignment="1">
      <alignment horizontal="center" wrapText="1"/>
    </xf>
    <xf numFmtId="0" fontId="12" fillId="0" borderId="43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168" fontId="12" fillId="0" borderId="43" xfId="40" applyNumberFormat="1" applyFont="1" applyBorder="1" applyAlignment="1">
      <alignment horizontal="center"/>
    </xf>
    <xf numFmtId="168" fontId="12" fillId="0" borderId="21" xfId="40" applyNumberFormat="1" applyFont="1" applyBorder="1" applyAlignment="1">
      <alignment horizontal="center"/>
    </xf>
    <xf numFmtId="168" fontId="12" fillId="0" borderId="22" xfId="40" applyNumberFormat="1" applyFont="1" applyBorder="1" applyAlignment="1">
      <alignment horizontal="center"/>
    </xf>
    <xf numFmtId="0" fontId="4" fillId="0" borderId="35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12" fillId="0" borderId="43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168" fontId="6" fillId="0" borderId="11" xfId="0" applyNumberFormat="1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168" fontId="12" fillId="0" borderId="43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168" fontId="6" fillId="0" borderId="11" xfId="40" applyNumberFormat="1" applyFont="1" applyBorder="1" applyAlignment="1">
      <alignment horizontal="center"/>
    </xf>
    <xf numFmtId="168" fontId="6" fillId="0" borderId="15" xfId="40" applyNumberFormat="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6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168" fontId="12" fillId="0" borderId="29" xfId="4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29" xfId="0" applyFont="1" applyBorder="1" applyAlignment="1">
      <alignment horizont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12" fillId="0" borderId="112" xfId="0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8" fontId="12" fillId="0" borderId="10" xfId="40" applyNumberFormat="1" applyFont="1" applyBorder="1" applyAlignment="1">
      <alignment horizontal="center"/>
    </xf>
    <xf numFmtId="168" fontId="12" fillId="0" borderId="55" xfId="40" applyNumberFormat="1" applyFont="1" applyBorder="1" applyAlignment="1">
      <alignment horizontal="center"/>
    </xf>
    <xf numFmtId="168" fontId="12" fillId="0" borderId="14" xfId="40" applyNumberFormat="1" applyFont="1" applyBorder="1" applyAlignment="1">
      <alignment horizontal="center"/>
    </xf>
    <xf numFmtId="168" fontId="12" fillId="0" borderId="72" xfId="40" applyNumberFormat="1" applyFont="1" applyBorder="1" applyAlignment="1">
      <alignment horizontal="center"/>
    </xf>
    <xf numFmtId="168" fontId="6" fillId="0" borderId="10" xfId="40" applyNumberFormat="1" applyFont="1" applyBorder="1" applyAlignment="1">
      <alignment horizontal="center"/>
    </xf>
    <xf numFmtId="168" fontId="6" fillId="0" borderId="55" xfId="40" applyNumberFormat="1" applyFont="1" applyBorder="1" applyAlignment="1">
      <alignment horizontal="center"/>
    </xf>
    <xf numFmtId="168" fontId="6" fillId="0" borderId="14" xfId="40" applyNumberFormat="1" applyFont="1" applyBorder="1" applyAlignment="1">
      <alignment horizontal="center"/>
    </xf>
    <xf numFmtId="168" fontId="6" fillId="0" borderId="72" xfId="40" applyNumberFormat="1" applyFont="1" applyBorder="1" applyAlignment="1">
      <alignment horizontal="center"/>
    </xf>
    <xf numFmtId="168" fontId="12" fillId="0" borderId="112" xfId="40" applyNumberFormat="1" applyFont="1" applyBorder="1" applyAlignment="1">
      <alignment horizontal="center"/>
    </xf>
    <xf numFmtId="168" fontId="12" fillId="0" borderId="62" xfId="4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41" xfId="0" applyFont="1" applyBorder="1" applyAlignment="1">
      <alignment horizontal="center"/>
    </xf>
    <xf numFmtId="0" fontId="0" fillId="0" borderId="113" xfId="0" applyBorder="1" applyAlignment="1">
      <alignment horizontal="center"/>
    </xf>
    <xf numFmtId="0" fontId="0" fillId="0" borderId="64" xfId="0" applyBorder="1" applyAlignment="1">
      <alignment horizontal="center"/>
    </xf>
    <xf numFmtId="0" fontId="4" fillId="0" borderId="41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6" fillId="0" borderId="11" xfId="56" applyFont="1" applyBorder="1" applyAlignment="1">
      <alignment horizontal="center" vertical="center"/>
      <protection/>
    </xf>
    <xf numFmtId="0" fontId="6" fillId="0" borderId="13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wrapText="1"/>
    </xf>
    <xf numFmtId="0" fontId="12" fillId="0" borderId="51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6" fillId="0" borderId="47" xfId="56" applyFont="1" applyBorder="1" applyAlignment="1">
      <alignment horizontal="center"/>
      <protection/>
    </xf>
    <xf numFmtId="0" fontId="6" fillId="0" borderId="58" xfId="56" applyFont="1" applyBorder="1" applyAlignment="1">
      <alignment horizontal="center"/>
      <protection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19" fillId="0" borderId="30" xfId="0" applyFont="1" applyBorder="1" applyAlignment="1">
      <alignment wrapText="1"/>
    </xf>
    <xf numFmtId="0" fontId="0" fillId="0" borderId="0" xfId="0" applyAlignment="1">
      <alignment/>
    </xf>
    <xf numFmtId="0" fontId="35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0" fillId="0" borderId="30" xfId="0" applyNumberFormat="1" applyBorder="1" applyAlignment="1">
      <alignment/>
    </xf>
    <xf numFmtId="0" fontId="35" fillId="0" borderId="0" xfId="0" applyFont="1" applyAlignment="1">
      <alignment horizontal="center"/>
    </xf>
    <xf numFmtId="0" fontId="0" fillId="0" borderId="30" xfId="0" applyBorder="1" applyAlignment="1">
      <alignment wrapText="1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ONEPC99" xfId="56"/>
    <cellStyle name="Normál_KTGV99" xfId="57"/>
    <cellStyle name="Normál_mérleg" xfId="58"/>
    <cellStyle name="Normál_PHKV99" xfId="59"/>
    <cellStyle name="Normál_SIKONC99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8:U63"/>
  <sheetViews>
    <sheetView tabSelected="1" zoomScalePageLayoutView="0" workbookViewId="0" topLeftCell="C28">
      <selection activeCell="L45" sqref="L45:T45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2" width="9.125" style="1" customWidth="1"/>
    <col min="13" max="13" width="9.875" style="1" bestFit="1" customWidth="1"/>
    <col min="14" max="16384" width="9.125" style="1" customWidth="1"/>
  </cols>
  <sheetData>
    <row r="38" spans="2:10" ht="27.75">
      <c r="B38" s="2"/>
      <c r="C38" s="3"/>
      <c r="D38" s="3"/>
      <c r="E38" s="3"/>
      <c r="F38" s="3"/>
      <c r="G38" s="3"/>
      <c r="H38" s="3"/>
      <c r="I38" s="3"/>
      <c r="J38" s="2"/>
    </row>
    <row r="39" spans="9:21" ht="27.75">
      <c r="I39" s="66"/>
      <c r="J39" s="2"/>
      <c r="L39" s="502" t="s">
        <v>4</v>
      </c>
      <c r="M39" s="502"/>
      <c r="N39" s="502"/>
      <c r="O39" s="502"/>
      <c r="P39" s="502"/>
      <c r="Q39" s="502"/>
      <c r="R39" s="502"/>
      <c r="S39" s="502"/>
      <c r="T39" s="502"/>
      <c r="U39" s="66"/>
    </row>
    <row r="40" spans="9:21" ht="2.25" customHeight="1">
      <c r="I40" s="3"/>
      <c r="J40" s="2"/>
      <c r="O40" s="2"/>
      <c r="P40" s="3"/>
      <c r="Q40" s="3"/>
      <c r="R40" s="3"/>
      <c r="S40" s="3"/>
      <c r="T40" s="3"/>
      <c r="U40" s="3"/>
    </row>
    <row r="41" spans="9:21" ht="27.75">
      <c r="I41" s="59"/>
      <c r="J41" s="2"/>
      <c r="L41" s="502" t="s">
        <v>580</v>
      </c>
      <c r="M41" s="502"/>
      <c r="N41" s="502"/>
      <c r="O41" s="502"/>
      <c r="P41" s="502"/>
      <c r="Q41" s="502"/>
      <c r="R41" s="502"/>
      <c r="S41" s="502"/>
      <c r="T41" s="502"/>
      <c r="U41" s="66"/>
    </row>
    <row r="42" spans="9:21" ht="12.75" customHeight="1" hidden="1">
      <c r="I42" s="3"/>
      <c r="J42" s="2"/>
      <c r="O42" s="2"/>
      <c r="P42" s="3"/>
      <c r="Q42" s="3"/>
      <c r="R42" s="3"/>
      <c r="S42" s="3"/>
      <c r="T42" s="3"/>
      <c r="U42" s="3"/>
    </row>
    <row r="43" spans="9:21" ht="27.75">
      <c r="I43" s="59"/>
      <c r="J43" s="2"/>
      <c r="L43" s="502" t="s">
        <v>437</v>
      </c>
      <c r="M43" s="502"/>
      <c r="N43" s="502"/>
      <c r="O43" s="502"/>
      <c r="P43" s="502"/>
      <c r="Q43" s="502"/>
      <c r="R43" s="502"/>
      <c r="S43" s="502"/>
      <c r="T43" s="502"/>
      <c r="U43" s="66"/>
    </row>
    <row r="44" spans="2:10" ht="27.75">
      <c r="B44" s="2"/>
      <c r="C44" s="3"/>
      <c r="D44" s="3"/>
      <c r="E44" s="3"/>
      <c r="F44" s="3"/>
      <c r="G44" s="3"/>
      <c r="H44" s="3"/>
      <c r="I44" s="3"/>
      <c r="J44" s="2"/>
    </row>
    <row r="45" spans="2:20" ht="27.75">
      <c r="B45" s="2"/>
      <c r="C45" s="3"/>
      <c r="D45" s="3"/>
      <c r="E45" s="3"/>
      <c r="F45" s="3"/>
      <c r="G45" s="3"/>
      <c r="H45" s="3"/>
      <c r="I45" s="3"/>
      <c r="J45" s="2"/>
      <c r="L45" s="503"/>
      <c r="M45" s="503"/>
      <c r="N45" s="503"/>
      <c r="O45" s="503"/>
      <c r="P45" s="503"/>
      <c r="Q45" s="503"/>
      <c r="R45" s="503"/>
      <c r="S45" s="503"/>
      <c r="T45" s="503"/>
    </row>
    <row r="46" spans="2:15" ht="27.75">
      <c r="B46" s="2"/>
      <c r="C46" s="2"/>
      <c r="D46" s="2"/>
      <c r="E46" s="2"/>
      <c r="F46" s="2"/>
      <c r="G46" s="2"/>
      <c r="H46" s="2"/>
      <c r="I46" s="2"/>
      <c r="J46" s="2"/>
      <c r="L46" s="67"/>
      <c r="M46" s="327"/>
      <c r="N46" s="18"/>
      <c r="O46" s="186"/>
    </row>
    <row r="47" spans="1:10" ht="27.75">
      <c r="A47" s="67"/>
      <c r="B47" s="68"/>
      <c r="C47" s="2"/>
      <c r="D47" s="2"/>
      <c r="E47" s="2"/>
      <c r="F47" s="2"/>
      <c r="G47" s="2"/>
      <c r="H47" s="2"/>
      <c r="I47" s="2"/>
      <c r="J47" s="2"/>
    </row>
    <row r="48" spans="2:10" ht="27.75">
      <c r="B48" s="2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 password="AF00" sheet="1"/>
  <mergeCells count="4">
    <mergeCell ref="L39:T39"/>
    <mergeCell ref="L41:T41"/>
    <mergeCell ref="L43:T43"/>
    <mergeCell ref="L45:T4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L32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6.125" style="0" customWidth="1"/>
    <col min="2" max="2" width="69.25390625" style="0" customWidth="1"/>
    <col min="3" max="3" width="14.375" style="0" customWidth="1"/>
  </cols>
  <sheetData>
    <row r="1" spans="2:4" ht="15.75">
      <c r="B1" s="627" t="s">
        <v>615</v>
      </c>
      <c r="C1" s="627"/>
      <c r="D1" s="21"/>
    </row>
    <row r="2" spans="2:4" ht="15.75">
      <c r="B2" s="21"/>
      <c r="C2" s="21"/>
      <c r="D2" s="21"/>
    </row>
    <row r="3" spans="2:4" ht="15.75">
      <c r="B3" s="21"/>
      <c r="C3" s="21"/>
      <c r="D3" s="21"/>
    </row>
    <row r="4" spans="2:4" ht="15.75">
      <c r="B4" s="603"/>
      <c r="C4" s="603"/>
      <c r="D4" s="21"/>
    </row>
    <row r="5" spans="2:4" ht="15.75">
      <c r="B5" s="21"/>
      <c r="C5" s="21"/>
      <c r="D5" s="21"/>
    </row>
    <row r="6" spans="2:12" ht="15.75">
      <c r="B6" s="603" t="s">
        <v>40</v>
      </c>
      <c r="C6" s="637"/>
      <c r="D6" s="21"/>
      <c r="L6" s="337"/>
    </row>
    <row r="7" spans="2:4" ht="15.75">
      <c r="B7" s="603" t="s">
        <v>457</v>
      </c>
      <c r="C7" s="637"/>
      <c r="D7" s="21"/>
    </row>
    <row r="8" spans="2:4" ht="15.75">
      <c r="B8" s="603" t="s">
        <v>584</v>
      </c>
      <c r="C8" s="637"/>
      <c r="D8" s="21"/>
    </row>
    <row r="9" spans="2:4" ht="16.5" thickBot="1">
      <c r="B9" s="21"/>
      <c r="C9" s="21"/>
      <c r="D9" s="21"/>
    </row>
    <row r="10" spans="1:4" ht="16.5" thickTop="1">
      <c r="A10" s="628" t="s">
        <v>481</v>
      </c>
      <c r="B10" s="631" t="s">
        <v>0</v>
      </c>
      <c r="C10" s="634" t="s">
        <v>576</v>
      </c>
      <c r="D10" s="21"/>
    </row>
    <row r="11" spans="1:4" ht="15.75">
      <c r="A11" s="629"/>
      <c r="B11" s="632"/>
      <c r="C11" s="635"/>
      <c r="D11" s="21"/>
    </row>
    <row r="12" spans="1:4" ht="21" customHeight="1" thickBot="1">
      <c r="A12" s="630"/>
      <c r="B12" s="633"/>
      <c r="C12" s="636"/>
      <c r="D12" s="21"/>
    </row>
    <row r="13" spans="1:4" ht="21" customHeight="1">
      <c r="A13" s="478"/>
      <c r="B13" s="479"/>
      <c r="C13" s="480"/>
      <c r="D13" s="21"/>
    </row>
    <row r="14" spans="1:4" ht="15.75">
      <c r="A14" s="406" t="s">
        <v>43</v>
      </c>
      <c r="B14" s="21" t="s">
        <v>515</v>
      </c>
      <c r="C14" s="21"/>
      <c r="D14" s="21"/>
    </row>
    <row r="15" spans="1:4" ht="15.75">
      <c r="A15" s="406"/>
      <c r="B15" s="21"/>
      <c r="C15" s="21"/>
      <c r="D15" s="21"/>
    </row>
    <row r="16" spans="1:4" ht="15.75">
      <c r="A16" s="481" t="s">
        <v>486</v>
      </c>
      <c r="B16" s="496" t="s">
        <v>516</v>
      </c>
      <c r="C16" s="21"/>
      <c r="D16" s="378"/>
    </row>
    <row r="17" spans="1:4" ht="27.75" customHeight="1">
      <c r="A17" s="467" t="s">
        <v>487</v>
      </c>
      <c r="B17" s="114" t="s">
        <v>604</v>
      </c>
      <c r="C17" s="425">
        <v>2204730</v>
      </c>
      <c r="D17" s="378"/>
    </row>
    <row r="18" spans="1:4" ht="18.75" customHeight="1">
      <c r="A18" s="406" t="s">
        <v>542</v>
      </c>
      <c r="B18" s="21" t="s">
        <v>460</v>
      </c>
      <c r="C18" s="482">
        <f>(C17)*0.27</f>
        <v>595277.1000000001</v>
      </c>
      <c r="D18" s="21"/>
    </row>
    <row r="19" spans="1:4" ht="18.75" customHeight="1">
      <c r="A19" s="406"/>
      <c r="B19" s="18" t="s">
        <v>458</v>
      </c>
      <c r="C19" s="19">
        <f>SUM(C17:C18)</f>
        <v>2800007.1</v>
      </c>
      <c r="D19" s="21"/>
    </row>
    <row r="20" spans="1:4" ht="18.75" customHeight="1">
      <c r="A20" s="406"/>
      <c r="B20" s="18"/>
      <c r="C20" s="19"/>
      <c r="D20" s="21"/>
    </row>
    <row r="21" spans="1:4" ht="18.75" customHeight="1">
      <c r="A21" s="467" t="s">
        <v>489</v>
      </c>
      <c r="B21" s="497" t="s">
        <v>573</v>
      </c>
      <c r="C21" s="19"/>
      <c r="D21" s="21"/>
    </row>
    <row r="22" spans="1:4" ht="18.75" customHeight="1">
      <c r="A22" s="467" t="s">
        <v>574</v>
      </c>
      <c r="B22" s="21" t="s">
        <v>575</v>
      </c>
      <c r="C22" s="498">
        <v>508000</v>
      </c>
      <c r="D22" s="21"/>
    </row>
    <row r="23" spans="1:4" ht="18.75" customHeight="1">
      <c r="A23" s="467" t="s">
        <v>588</v>
      </c>
      <c r="B23" s="21" t="s">
        <v>460</v>
      </c>
      <c r="C23" s="482">
        <f>C22*0.27</f>
        <v>137160</v>
      </c>
      <c r="D23" s="21"/>
    </row>
    <row r="24" spans="1:4" ht="18.75" customHeight="1">
      <c r="A24" s="406"/>
      <c r="B24" s="18" t="s">
        <v>458</v>
      </c>
      <c r="C24" s="19">
        <f>C22</f>
        <v>508000</v>
      </c>
      <c r="D24" s="21"/>
    </row>
    <row r="25" spans="1:4" ht="18.75" customHeight="1">
      <c r="A25" s="406"/>
      <c r="B25" s="18"/>
      <c r="C25" s="19"/>
      <c r="D25" s="21"/>
    </row>
    <row r="26" spans="1:4" s="338" customFormat="1" ht="15.75">
      <c r="A26" s="407"/>
      <c r="B26" s="18" t="s">
        <v>459</v>
      </c>
      <c r="C26" s="19">
        <f>C19+C24</f>
        <v>3308007.1</v>
      </c>
      <c r="D26" s="18"/>
    </row>
    <row r="27" spans="2:4" ht="15.75">
      <c r="B27" s="21"/>
      <c r="C27" s="21"/>
      <c r="D27" s="21"/>
    </row>
    <row r="28" spans="2:4" ht="15.75">
      <c r="B28" s="21"/>
      <c r="C28" s="21"/>
      <c r="D28" s="21"/>
    </row>
    <row r="29" spans="2:4" ht="15.75">
      <c r="B29" s="21"/>
      <c r="C29" s="21"/>
      <c r="D29" s="21"/>
    </row>
    <row r="30" spans="2:4" ht="15.75">
      <c r="B30" s="21"/>
      <c r="C30" s="21"/>
      <c r="D30" s="21"/>
    </row>
    <row r="31" spans="2:4" ht="15.75">
      <c r="B31" s="21"/>
      <c r="C31" s="21"/>
      <c r="D31" s="21"/>
    </row>
    <row r="32" spans="2:4" ht="15.75">
      <c r="B32" s="21"/>
      <c r="C32" s="21"/>
      <c r="D32" s="21"/>
    </row>
  </sheetData>
  <sheetProtection password="AF00" sheet="1"/>
  <mergeCells count="8">
    <mergeCell ref="B1:C1"/>
    <mergeCell ref="B4:C4"/>
    <mergeCell ref="A10:A12"/>
    <mergeCell ref="B10:B12"/>
    <mergeCell ref="C10:C12"/>
    <mergeCell ref="B6:C6"/>
    <mergeCell ref="B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68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5.75390625" style="8" customWidth="1"/>
    <col min="2" max="2" width="74.00390625" style="8" customWidth="1"/>
    <col min="3" max="3" width="21.00390625" style="152" customWidth="1"/>
    <col min="4" max="4" width="9.125" style="8" customWidth="1"/>
    <col min="5" max="5" width="12.625" style="8" bestFit="1" customWidth="1"/>
    <col min="6" max="6" width="14.25390625" style="8" bestFit="1" customWidth="1"/>
    <col min="7" max="16384" width="9.125" style="8" customWidth="1"/>
  </cols>
  <sheetData>
    <row r="1" spans="1:3" ht="15.75">
      <c r="A1" s="504" t="s">
        <v>616</v>
      </c>
      <c r="B1" s="504"/>
      <c r="C1" s="504"/>
    </row>
    <row r="2" s="145" customFormat="1" ht="15.75">
      <c r="C2" s="151"/>
    </row>
    <row r="3" spans="1:3" s="136" customFormat="1" ht="15">
      <c r="A3" s="640"/>
      <c r="B3" s="640"/>
      <c r="C3" s="640"/>
    </row>
    <row r="4" spans="1:3" s="136" customFormat="1" ht="6.75" customHeight="1">
      <c r="A4" s="146"/>
      <c r="B4" s="80"/>
      <c r="C4" s="80"/>
    </row>
    <row r="5" spans="1:3" ht="15.75">
      <c r="A5" s="518" t="s">
        <v>4</v>
      </c>
      <c r="B5" s="518"/>
      <c r="C5" s="518"/>
    </row>
    <row r="6" spans="1:3" ht="15.75">
      <c r="A6" s="528" t="s">
        <v>284</v>
      </c>
      <c r="B6" s="528"/>
      <c r="C6" s="528"/>
    </row>
    <row r="7" spans="1:3" ht="15.75">
      <c r="A7" s="528" t="s">
        <v>228</v>
      </c>
      <c r="B7" s="528"/>
      <c r="C7" s="528"/>
    </row>
    <row r="8" spans="1:3" ht="15.75">
      <c r="A8" s="528" t="s">
        <v>584</v>
      </c>
      <c r="B8" s="528"/>
      <c r="C8" s="528"/>
    </row>
    <row r="9" ht="16.5" thickBot="1"/>
    <row r="10" spans="1:3" ht="15.75">
      <c r="A10" s="154" t="s">
        <v>41</v>
      </c>
      <c r="B10" s="147"/>
      <c r="C10" s="155" t="s">
        <v>19</v>
      </c>
    </row>
    <row r="11" spans="1:3" ht="15.75">
      <c r="A11" s="148"/>
      <c r="B11" s="149" t="s">
        <v>0</v>
      </c>
      <c r="C11" s="156" t="s">
        <v>10</v>
      </c>
    </row>
    <row r="12" spans="1:4" ht="18" customHeight="1" thickBot="1">
      <c r="A12" s="150" t="s">
        <v>42</v>
      </c>
      <c r="B12" s="157"/>
      <c r="C12" s="158" t="s">
        <v>1</v>
      </c>
      <c r="D12" s="379"/>
    </row>
    <row r="13" spans="2:4" ht="8.25" customHeight="1">
      <c r="B13" s="333"/>
      <c r="C13" s="334"/>
      <c r="D13" s="184"/>
    </row>
    <row r="14" spans="1:3" ht="20.25" customHeight="1">
      <c r="A14" s="642" t="s">
        <v>229</v>
      </c>
      <c r="B14" s="642"/>
      <c r="C14" s="642"/>
    </row>
    <row r="15" spans="1:3" ht="20.25" customHeight="1">
      <c r="A15" s="159" t="s">
        <v>43</v>
      </c>
      <c r="B15" s="160" t="s">
        <v>230</v>
      </c>
      <c r="C15" s="161"/>
    </row>
    <row r="16" spans="1:3" ht="20.25" customHeight="1">
      <c r="A16" s="159"/>
      <c r="B16" s="21" t="s">
        <v>231</v>
      </c>
      <c r="C16" s="161">
        <f>'2.mell - bevétel'!H49</f>
        <v>31017138</v>
      </c>
    </row>
    <row r="17" spans="1:5" ht="20.25" customHeight="1">
      <c r="A17" s="159"/>
      <c r="B17" s="114" t="s">
        <v>232</v>
      </c>
      <c r="C17" s="161">
        <f>'2.mell - bevétel'!H54</f>
        <v>46400</v>
      </c>
      <c r="D17" s="111"/>
      <c r="E17" s="111"/>
    </row>
    <row r="18" spans="1:3" ht="20.25" customHeight="1">
      <c r="A18" s="159" t="s">
        <v>26</v>
      </c>
      <c r="B18" s="160" t="s">
        <v>233</v>
      </c>
      <c r="C18" s="161">
        <f>'2.mell - bevétel'!H75</f>
        <v>7813000</v>
      </c>
    </row>
    <row r="19" spans="1:3" ht="20.25" customHeight="1">
      <c r="A19" s="159" t="s">
        <v>44</v>
      </c>
      <c r="B19" s="160" t="s">
        <v>234</v>
      </c>
      <c r="C19" s="161">
        <f>'2.mell - bevétel'!H97</f>
        <v>10105565</v>
      </c>
    </row>
    <row r="20" spans="1:3" ht="20.25" customHeight="1">
      <c r="A20" s="159" t="s">
        <v>100</v>
      </c>
      <c r="B20" s="162" t="s">
        <v>235</v>
      </c>
      <c r="C20" s="161"/>
    </row>
    <row r="21" spans="1:5" ht="36" customHeight="1">
      <c r="A21" s="159"/>
      <c r="B21" s="114" t="s">
        <v>236</v>
      </c>
      <c r="C21" s="161"/>
      <c r="D21" s="114"/>
      <c r="E21" s="114"/>
    </row>
    <row r="22" spans="1:3" ht="20.25" customHeight="1">
      <c r="A22" s="159"/>
      <c r="B22" s="21" t="s">
        <v>237</v>
      </c>
      <c r="C22" s="161"/>
    </row>
    <row r="23" spans="1:3" ht="30" customHeight="1">
      <c r="A23" s="402"/>
      <c r="B23" s="403" t="s">
        <v>238</v>
      </c>
      <c r="C23" s="179">
        <f>SUM(C16:C22)</f>
        <v>48982103</v>
      </c>
    </row>
    <row r="24" spans="1:3" ht="21" customHeight="1">
      <c r="A24" s="153" t="s">
        <v>101</v>
      </c>
      <c r="B24" s="160" t="s">
        <v>239</v>
      </c>
      <c r="C24" s="24">
        <f>'4.mell. - kiadás'!E45</f>
        <v>23080228</v>
      </c>
    </row>
    <row r="25" spans="1:3" ht="21" customHeight="1">
      <c r="A25" s="153" t="s">
        <v>107</v>
      </c>
      <c r="B25" s="160" t="s">
        <v>240</v>
      </c>
      <c r="C25" s="24">
        <f>'4.mell. - kiadás'!F45</f>
        <v>4477360</v>
      </c>
    </row>
    <row r="26" spans="1:3" ht="21" customHeight="1">
      <c r="A26" s="153" t="s">
        <v>241</v>
      </c>
      <c r="B26" s="166" t="s">
        <v>242</v>
      </c>
      <c r="C26" s="24">
        <f>'4.mell. - kiadás'!G45</f>
        <v>23394529</v>
      </c>
    </row>
    <row r="27" spans="1:3" ht="21" customHeight="1">
      <c r="A27" s="153" t="s">
        <v>243</v>
      </c>
      <c r="B27" s="166" t="s">
        <v>244</v>
      </c>
      <c r="C27" s="24">
        <f>'4.mell. - kiadás'!H45</f>
        <v>3061400</v>
      </c>
    </row>
    <row r="28" spans="1:3" ht="21" customHeight="1">
      <c r="A28" s="153" t="s">
        <v>245</v>
      </c>
      <c r="B28" s="166" t="s">
        <v>246</v>
      </c>
      <c r="C28" s="24"/>
    </row>
    <row r="29" spans="1:3" ht="32.25" customHeight="1">
      <c r="A29" s="153"/>
      <c r="B29" s="114" t="s">
        <v>247</v>
      </c>
      <c r="C29" s="168"/>
    </row>
    <row r="30" spans="1:3" ht="15.75">
      <c r="A30" s="153"/>
      <c r="B30" s="167" t="s">
        <v>577</v>
      </c>
      <c r="C30" s="168">
        <f>'4.mell. - kiadás'!I45-C31</f>
        <v>2537800</v>
      </c>
    </row>
    <row r="31" spans="1:5" ht="15.75">
      <c r="A31" s="153"/>
      <c r="B31" s="167" t="s">
        <v>248</v>
      </c>
      <c r="C31" s="152">
        <f>'1.mell. -mérleg'!C39</f>
        <v>6255786</v>
      </c>
      <c r="E31" s="116"/>
    </row>
    <row r="32" spans="1:6" ht="33.75" customHeight="1">
      <c r="A32" s="402"/>
      <c r="B32" s="403" t="s">
        <v>249</v>
      </c>
      <c r="C32" s="179">
        <f>SUM(C24:C31)</f>
        <v>62807103</v>
      </c>
      <c r="E32" s="116"/>
      <c r="F32" s="116"/>
    </row>
    <row r="33" spans="1:6" ht="86.25" customHeight="1">
      <c r="A33" s="159"/>
      <c r="B33" s="160"/>
      <c r="C33" s="161"/>
      <c r="E33" s="116"/>
      <c r="F33" s="116"/>
    </row>
    <row r="34" spans="1:3" ht="15.75">
      <c r="A34" s="638">
        <v>2</v>
      </c>
      <c r="B34" s="638"/>
      <c r="C34" s="638"/>
    </row>
    <row r="35" spans="1:3" ht="16.5" thickBot="1">
      <c r="A35" s="328"/>
      <c r="B35" s="328"/>
      <c r="C35" s="328"/>
    </row>
    <row r="36" spans="1:3" ht="15.75">
      <c r="A36" s="154" t="s">
        <v>41</v>
      </c>
      <c r="B36" s="147"/>
      <c r="C36" s="155" t="s">
        <v>19</v>
      </c>
    </row>
    <row r="37" spans="1:3" ht="12.75" customHeight="1">
      <c r="A37" s="148"/>
      <c r="B37" s="149" t="s">
        <v>0</v>
      </c>
      <c r="C37" s="156"/>
    </row>
    <row r="38" spans="1:3" ht="21.75" customHeight="1" thickBot="1">
      <c r="A38" s="150" t="s">
        <v>42</v>
      </c>
      <c r="B38" s="157"/>
      <c r="C38" s="158" t="s">
        <v>10</v>
      </c>
    </row>
    <row r="39" spans="1:3" ht="12" customHeight="1">
      <c r="A39" s="174"/>
      <c r="B39" s="332"/>
      <c r="C39" s="184"/>
    </row>
    <row r="40" spans="1:3" ht="21" customHeight="1">
      <c r="A40" s="639" t="s">
        <v>250</v>
      </c>
      <c r="B40" s="639"/>
      <c r="C40" s="639"/>
    </row>
    <row r="41" spans="1:2" ht="21" customHeight="1">
      <c r="A41" s="153" t="s">
        <v>251</v>
      </c>
      <c r="B41" s="72" t="s">
        <v>252</v>
      </c>
    </row>
    <row r="42" spans="1:3" ht="21" customHeight="1">
      <c r="A42" s="153" t="s">
        <v>253</v>
      </c>
      <c r="B42" s="72" t="s">
        <v>254</v>
      </c>
      <c r="C42" s="152">
        <f>'2.mell - bevétel'!H56</f>
        <v>15833638</v>
      </c>
    </row>
    <row r="43" spans="1:2" ht="21" customHeight="1">
      <c r="A43" s="153" t="s">
        <v>255</v>
      </c>
      <c r="B43" s="162" t="s">
        <v>256</v>
      </c>
    </row>
    <row r="44" spans="1:3" ht="31.5" customHeight="1">
      <c r="A44" s="153"/>
      <c r="B44" s="129" t="s">
        <v>257</v>
      </c>
      <c r="C44" s="152">
        <f>'2.mell - bevétel'!H105</f>
        <v>346850</v>
      </c>
    </row>
    <row r="45" spans="1:3" ht="21" customHeight="1">
      <c r="A45" s="153"/>
      <c r="B45" s="57" t="s">
        <v>258</v>
      </c>
      <c r="C45" s="152">
        <f>'2.mell - bevétel'!H104</f>
        <v>0</v>
      </c>
    </row>
    <row r="46" spans="1:5" ht="30" customHeight="1">
      <c r="A46" s="402"/>
      <c r="B46" s="403" t="s">
        <v>259</v>
      </c>
      <c r="C46" s="179">
        <f>SUM(C41:C45)</f>
        <v>16180488</v>
      </c>
      <c r="E46" s="116"/>
    </row>
    <row r="47" spans="1:3" ht="21" customHeight="1">
      <c r="A47" s="153" t="s">
        <v>260</v>
      </c>
      <c r="B47" s="72" t="s">
        <v>261</v>
      </c>
      <c r="C47" s="152">
        <f>'4.mell. - kiadás'!K45</f>
        <v>8023488</v>
      </c>
    </row>
    <row r="48" spans="1:3" ht="21" customHeight="1">
      <c r="A48" s="153" t="s">
        <v>262</v>
      </c>
      <c r="B48" s="72" t="s">
        <v>263</v>
      </c>
      <c r="C48" s="152">
        <f>'4.mell. - kiadás'!L45</f>
        <v>3308007</v>
      </c>
    </row>
    <row r="49" spans="1:2" ht="21" customHeight="1">
      <c r="A49" s="153" t="s">
        <v>264</v>
      </c>
      <c r="B49" s="162" t="s">
        <v>265</v>
      </c>
    </row>
    <row r="50" spans="1:3" ht="21" customHeight="1">
      <c r="A50" s="153"/>
      <c r="B50" s="167" t="s">
        <v>266</v>
      </c>
      <c r="C50" s="152">
        <f>'4.mell. - kiadás'!M45</f>
        <v>2000000</v>
      </c>
    </row>
    <row r="51" spans="1:2" ht="21" customHeight="1">
      <c r="A51" s="153"/>
      <c r="B51" s="167" t="s">
        <v>248</v>
      </c>
    </row>
    <row r="52" spans="1:6" s="9" customFormat="1" ht="27.75" customHeight="1" thickBot="1">
      <c r="A52" s="402"/>
      <c r="B52" s="403" t="s">
        <v>267</v>
      </c>
      <c r="C52" s="179">
        <f>SUM(C47:C51)</f>
        <v>13331495</v>
      </c>
      <c r="F52" s="169"/>
    </row>
    <row r="53" spans="1:3" s="9" customFormat="1" ht="24" customHeight="1" thickBot="1">
      <c r="A53" s="170"/>
      <c r="B53" s="171" t="s">
        <v>268</v>
      </c>
      <c r="C53" s="172">
        <f>C23+C46</f>
        <v>65162591</v>
      </c>
    </row>
    <row r="54" spans="1:6" s="9" customFormat="1" ht="22.5" customHeight="1" thickBot="1">
      <c r="A54" s="170"/>
      <c r="B54" s="171" t="s">
        <v>269</v>
      </c>
      <c r="C54" s="172">
        <f>C32+C52</f>
        <v>76138598</v>
      </c>
      <c r="F54" s="169"/>
    </row>
    <row r="55" spans="1:3" s="9" customFormat="1" ht="15.75">
      <c r="A55" s="173"/>
      <c r="B55" s="174"/>
      <c r="C55" s="175"/>
    </row>
    <row r="56" spans="1:3" s="176" customFormat="1" ht="9.75" customHeight="1">
      <c r="A56" s="335"/>
      <c r="B56" s="335"/>
      <c r="C56" s="335"/>
    </row>
    <row r="57" spans="1:3" s="176" customFormat="1" ht="9" customHeight="1">
      <c r="A57" s="174"/>
      <c r="B57" s="183"/>
      <c r="C57" s="184"/>
    </row>
    <row r="58" spans="1:3" ht="20.25" customHeight="1">
      <c r="A58" s="641" t="s">
        <v>270</v>
      </c>
      <c r="B58" s="641"/>
      <c r="C58" s="641"/>
    </row>
    <row r="59" spans="1:3" ht="6.75" customHeight="1">
      <c r="A59" s="177"/>
      <c r="B59" s="177"/>
      <c r="C59" s="177"/>
    </row>
    <row r="60" spans="1:3" ht="20.25" customHeight="1">
      <c r="A60" s="163" t="s">
        <v>271</v>
      </c>
      <c r="B60" s="178" t="s">
        <v>272</v>
      </c>
      <c r="C60" s="165">
        <f>'2.mell - bevétel'!H113</f>
        <v>4976007</v>
      </c>
    </row>
    <row r="61" spans="1:3" ht="20.25" customHeight="1">
      <c r="A61" s="163" t="s">
        <v>274</v>
      </c>
      <c r="B61" s="164" t="s">
        <v>579</v>
      </c>
      <c r="C61" s="165">
        <f>'2.mell - bevétel'!H115</f>
        <v>1240566</v>
      </c>
    </row>
    <row r="62" spans="1:3" ht="21" customHeight="1">
      <c r="A62" s="163"/>
      <c r="B62" s="164" t="s">
        <v>273</v>
      </c>
      <c r="C62" s="179">
        <f>SUM(C60:C61)</f>
        <v>6216573</v>
      </c>
    </row>
    <row r="63" spans="1:3" ht="21" customHeight="1">
      <c r="A63" s="159" t="s">
        <v>276</v>
      </c>
      <c r="B63" s="164" t="s">
        <v>454</v>
      </c>
      <c r="C63" s="486">
        <f>'4.mell. - kiadás'!R45</f>
        <v>1240566</v>
      </c>
    </row>
    <row r="64" spans="1:3" ht="15.75">
      <c r="A64" s="159" t="s">
        <v>348</v>
      </c>
      <c r="B64" s="178" t="s">
        <v>275</v>
      </c>
      <c r="C64" s="165"/>
    </row>
    <row r="65" spans="1:3" ht="15.75">
      <c r="A65" s="153" t="s">
        <v>350</v>
      </c>
      <c r="B65" s="178" t="s">
        <v>277</v>
      </c>
      <c r="C65" s="165"/>
    </row>
    <row r="66" spans="1:3" s="180" customFormat="1" ht="30" customHeight="1" thickBot="1">
      <c r="A66" s="163"/>
      <c r="B66" s="164" t="s">
        <v>278</v>
      </c>
      <c r="C66" s="179">
        <f>SUM(C63:C65)</f>
        <v>1240566</v>
      </c>
    </row>
    <row r="67" spans="1:5" s="180" customFormat="1" ht="37.5" customHeight="1" thickBot="1">
      <c r="A67" s="181"/>
      <c r="B67" s="404" t="s">
        <v>279</v>
      </c>
      <c r="C67" s="405">
        <f>C53+C62</f>
        <v>71379164</v>
      </c>
      <c r="E67" s="182"/>
    </row>
    <row r="68" spans="1:5" ht="34.5" customHeight="1" thickBot="1">
      <c r="A68" s="181"/>
      <c r="B68" s="404" t="s">
        <v>280</v>
      </c>
      <c r="C68" s="405">
        <f>C54+C66</f>
        <v>77379164</v>
      </c>
      <c r="E68" s="182"/>
    </row>
  </sheetData>
  <sheetProtection password="AF00" sheet="1"/>
  <mergeCells count="10">
    <mergeCell ref="A34:C34"/>
    <mergeCell ref="A40:C40"/>
    <mergeCell ref="A1:C1"/>
    <mergeCell ref="A3:C3"/>
    <mergeCell ref="A5:C5"/>
    <mergeCell ref="A58:C58"/>
    <mergeCell ref="A6:C6"/>
    <mergeCell ref="A7:C7"/>
    <mergeCell ref="A8:C8"/>
    <mergeCell ref="A14:C14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S55"/>
  <sheetViews>
    <sheetView zoomScalePageLayoutView="0" workbookViewId="0" topLeftCell="A1">
      <selection activeCell="B5" sqref="B5:O5"/>
    </sheetView>
  </sheetViews>
  <sheetFormatPr defaultColWidth="9.00390625" defaultRowHeight="12.75"/>
  <cols>
    <col min="1" max="1" width="5.125" style="57" customWidth="1"/>
    <col min="2" max="2" width="43.625" style="57" customWidth="1"/>
    <col min="3" max="14" width="15.375" style="24" customWidth="1"/>
    <col min="15" max="15" width="16.625" style="24" customWidth="1"/>
    <col min="16" max="17" width="15.625" style="57" bestFit="1" customWidth="1"/>
    <col min="18" max="18" width="12.625" style="57" bestFit="1" customWidth="1"/>
    <col min="19" max="16384" width="9.125" style="57" customWidth="1"/>
  </cols>
  <sheetData>
    <row r="2" spans="1:15" s="117" customFormat="1" ht="15.75">
      <c r="A2" s="531" t="s">
        <v>617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</row>
    <row r="4" spans="2:15" ht="15.75">
      <c r="B4" s="506"/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</row>
    <row r="5" spans="2:15" ht="15.75"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</row>
    <row r="6" spans="2:15" ht="15.75">
      <c r="B6" s="506" t="s">
        <v>40</v>
      </c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6"/>
      <c r="N6" s="506"/>
      <c r="O6" s="506"/>
    </row>
    <row r="7" spans="2:15" ht="15.75">
      <c r="B7" s="506" t="s">
        <v>313</v>
      </c>
      <c r="C7" s="506"/>
      <c r="D7" s="506"/>
      <c r="E7" s="506"/>
      <c r="F7" s="506"/>
      <c r="G7" s="506"/>
      <c r="H7" s="506"/>
      <c r="I7" s="506"/>
      <c r="J7" s="506"/>
      <c r="K7" s="506"/>
      <c r="L7" s="506"/>
      <c r="M7" s="506"/>
      <c r="N7" s="506"/>
      <c r="O7" s="506"/>
    </row>
    <row r="8" spans="2:15" ht="15.75">
      <c r="B8" s="506" t="s">
        <v>584</v>
      </c>
      <c r="C8" s="506"/>
      <c r="D8" s="506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</row>
    <row r="9" spans="3:15" ht="16.5" thickBot="1">
      <c r="C9" s="25"/>
      <c r="D9" s="25"/>
      <c r="E9" s="25"/>
      <c r="F9" s="219"/>
      <c r="G9" s="25"/>
      <c r="H9" s="25"/>
      <c r="I9" s="25"/>
      <c r="J9" s="25"/>
      <c r="O9" s="220" t="s">
        <v>463</v>
      </c>
    </row>
    <row r="10" spans="1:15" ht="15.75">
      <c r="A10" s="221" t="s">
        <v>41</v>
      </c>
      <c r="B10" s="222"/>
      <c r="C10" s="223"/>
      <c r="D10" s="224"/>
      <c r="E10" s="225"/>
      <c r="F10" s="226"/>
      <c r="G10" s="226"/>
      <c r="H10" s="226"/>
      <c r="I10" s="226"/>
      <c r="J10" s="226"/>
      <c r="K10" s="227"/>
      <c r="L10" s="227"/>
      <c r="M10" s="227"/>
      <c r="N10" s="228"/>
      <c r="O10" s="229"/>
    </row>
    <row r="11" spans="1:15" ht="15.75">
      <c r="A11" s="230"/>
      <c r="B11" s="231" t="s">
        <v>0</v>
      </c>
      <c r="C11" s="120" t="s">
        <v>314</v>
      </c>
      <c r="D11" s="232" t="s">
        <v>315</v>
      </c>
      <c r="E11" s="233" t="s">
        <v>316</v>
      </c>
      <c r="F11" s="234" t="s">
        <v>317</v>
      </c>
      <c r="G11" s="234" t="s">
        <v>318</v>
      </c>
      <c r="H11" s="234" t="s">
        <v>319</v>
      </c>
      <c r="I11" s="234" t="s">
        <v>320</v>
      </c>
      <c r="J11" s="234" t="s">
        <v>321</v>
      </c>
      <c r="K11" s="234" t="s">
        <v>322</v>
      </c>
      <c r="L11" s="234" t="s">
        <v>323</v>
      </c>
      <c r="M11" s="234" t="s">
        <v>324</v>
      </c>
      <c r="N11" s="233" t="s">
        <v>325</v>
      </c>
      <c r="O11" s="156" t="s">
        <v>305</v>
      </c>
    </row>
    <row r="12" spans="1:15" ht="16.5" thickBot="1">
      <c r="A12" s="235" t="s">
        <v>42</v>
      </c>
      <c r="B12" s="236"/>
      <c r="C12" s="237"/>
      <c r="D12" s="238"/>
      <c r="E12" s="239"/>
      <c r="F12" s="240"/>
      <c r="G12" s="240"/>
      <c r="H12" s="240"/>
      <c r="I12" s="240"/>
      <c r="J12" s="240"/>
      <c r="K12" s="240"/>
      <c r="L12" s="240"/>
      <c r="M12" s="240"/>
      <c r="N12" s="239"/>
      <c r="O12" s="237"/>
    </row>
    <row r="13" spans="1:15" ht="28.5" customHeight="1">
      <c r="A13" s="241"/>
      <c r="B13" s="242" t="s">
        <v>326</v>
      </c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4"/>
    </row>
    <row r="14" spans="1:15" ht="28.5" customHeight="1">
      <c r="A14" s="241" t="s">
        <v>43</v>
      </c>
      <c r="B14" s="242" t="s">
        <v>327</v>
      </c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4"/>
    </row>
    <row r="15" spans="1:15" ht="28.5" customHeight="1">
      <c r="A15" s="241"/>
      <c r="B15" s="242" t="s">
        <v>328</v>
      </c>
      <c r="C15" s="243">
        <f>2243614+756325-364911-92809</f>
        <v>2542219</v>
      </c>
      <c r="D15" s="243">
        <f>2953539-364910</f>
        <v>2588629</v>
      </c>
      <c r="E15" s="243">
        <f aca="true" t="shared" si="0" ref="E15:N15">2953539-364910</f>
        <v>2588629</v>
      </c>
      <c r="F15" s="243">
        <f t="shared" si="0"/>
        <v>2588629</v>
      </c>
      <c r="G15" s="243">
        <f t="shared" si="0"/>
        <v>2588629</v>
      </c>
      <c r="H15" s="243">
        <f t="shared" si="0"/>
        <v>2588629</v>
      </c>
      <c r="I15" s="243">
        <f t="shared" si="0"/>
        <v>2588629</v>
      </c>
      <c r="J15" s="243">
        <f t="shared" si="0"/>
        <v>2588629</v>
      </c>
      <c r="K15" s="243">
        <f t="shared" si="0"/>
        <v>2588629</v>
      </c>
      <c r="L15" s="243">
        <f t="shared" si="0"/>
        <v>2588629</v>
      </c>
      <c r="M15" s="243">
        <f t="shared" si="0"/>
        <v>2588629</v>
      </c>
      <c r="N15" s="243">
        <f t="shared" si="0"/>
        <v>2588629</v>
      </c>
      <c r="O15" s="244">
        <f>SUM(C15:N15)</f>
        <v>31017138</v>
      </c>
    </row>
    <row r="16" spans="1:15" ht="28.5" customHeight="1">
      <c r="A16" s="241"/>
      <c r="B16" s="242" t="s">
        <v>329</v>
      </c>
      <c r="C16" s="243"/>
      <c r="D16" s="243"/>
      <c r="E16" s="243"/>
      <c r="F16" s="243"/>
      <c r="G16" s="243"/>
      <c r="H16" s="243"/>
      <c r="I16" s="243"/>
      <c r="J16" s="243">
        <v>23200</v>
      </c>
      <c r="K16" s="243"/>
      <c r="L16" s="243"/>
      <c r="M16" s="243">
        <v>23200</v>
      </c>
      <c r="N16" s="243"/>
      <c r="O16" s="244">
        <f>SUM(C16:N16)</f>
        <v>46400</v>
      </c>
    </row>
    <row r="17" spans="1:15" ht="15.75">
      <c r="A17" s="241" t="s">
        <v>44</v>
      </c>
      <c r="B17" s="242" t="s">
        <v>330</v>
      </c>
      <c r="C17" s="243">
        <f>(12+44+32+31)*1000</f>
        <v>119000</v>
      </c>
      <c r="D17" s="243">
        <f>(19+12+118+253+31)*1000</f>
        <v>433000</v>
      </c>
      <c r="E17" s="243">
        <f>(1127+11+620+382+31)*1000</f>
        <v>2171000</v>
      </c>
      <c r="F17" s="243">
        <f>(9+12+76+34+31+200)*1000</f>
        <v>362000</v>
      </c>
      <c r="G17" s="243">
        <f>(408+12+48+35+31-200)*1000</f>
        <v>334000</v>
      </c>
      <c r="H17" s="243">
        <f>(46+12+20+19+31)*1000</f>
        <v>128000</v>
      </c>
      <c r="I17" s="243">
        <f>(12+2+2+31)*1000</f>
        <v>47000</v>
      </c>
      <c r="J17" s="243">
        <f>(12+237+346+31)*1000</f>
        <v>626000</v>
      </c>
      <c r="K17" s="243">
        <f>(1188+11+601+335+31)*1000</f>
        <v>2166000</v>
      </c>
      <c r="L17" s="243">
        <f>(10+12+27+35+31)*1000</f>
        <v>115000</v>
      </c>
      <c r="M17" s="243">
        <f>(852+11+76+12+31)*1000</f>
        <v>982000</v>
      </c>
      <c r="N17" s="243">
        <f>(241+11+34+15+29)*1000</f>
        <v>330000</v>
      </c>
      <c r="O17" s="244">
        <f aca="true" t="shared" si="1" ref="O17:O26">SUM(C17:N17)</f>
        <v>7813000</v>
      </c>
    </row>
    <row r="18" spans="1:18" ht="15.75">
      <c r="A18" s="241" t="s">
        <v>100</v>
      </c>
      <c r="B18" s="242" t="s">
        <v>331</v>
      </c>
      <c r="C18" s="243">
        <v>840000</v>
      </c>
      <c r="D18" s="243">
        <v>840000</v>
      </c>
      <c r="E18" s="243">
        <v>840000</v>
      </c>
      <c r="F18" s="243">
        <v>840000</v>
      </c>
      <c r="G18" s="243">
        <v>840000</v>
      </c>
      <c r="H18" s="243">
        <v>840000</v>
      </c>
      <c r="I18" s="243">
        <v>840000</v>
      </c>
      <c r="J18" s="243">
        <v>840000</v>
      </c>
      <c r="K18" s="243">
        <v>840000</v>
      </c>
      <c r="L18" s="243">
        <v>840000</v>
      </c>
      <c r="M18" s="243">
        <f>840000+17846+7719</f>
        <v>865565</v>
      </c>
      <c r="N18" s="243">
        <v>840000</v>
      </c>
      <c r="O18" s="244">
        <f t="shared" si="1"/>
        <v>10105565</v>
      </c>
      <c r="Q18" s="266"/>
      <c r="R18" s="266"/>
    </row>
    <row r="19" spans="1:15" ht="15.75">
      <c r="A19" s="241" t="s">
        <v>101</v>
      </c>
      <c r="B19" s="245" t="s">
        <v>332</v>
      </c>
      <c r="C19" s="246">
        <v>15833638</v>
      </c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4">
        <f t="shared" si="1"/>
        <v>15833638</v>
      </c>
    </row>
    <row r="20" spans="1:15" ht="15.75">
      <c r="A20" s="241" t="s">
        <v>107</v>
      </c>
      <c r="B20" s="245" t="s">
        <v>235</v>
      </c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8"/>
      <c r="O20" s="244">
        <f t="shared" si="1"/>
        <v>0</v>
      </c>
    </row>
    <row r="21" spans="1:15" ht="31.5">
      <c r="A21" s="241"/>
      <c r="B21" s="242" t="s">
        <v>333</v>
      </c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50"/>
      <c r="O21" s="244">
        <f t="shared" si="1"/>
        <v>0</v>
      </c>
    </row>
    <row r="22" spans="1:15" ht="17.25" customHeight="1">
      <c r="A22" s="241"/>
      <c r="B22" s="242" t="s">
        <v>334</v>
      </c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50"/>
      <c r="O22" s="244">
        <f t="shared" si="1"/>
        <v>0</v>
      </c>
    </row>
    <row r="23" spans="1:15" ht="15.75">
      <c r="A23" s="241" t="s">
        <v>241</v>
      </c>
      <c r="B23" s="245" t="s">
        <v>335</v>
      </c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50"/>
      <c r="O23" s="244">
        <f t="shared" si="1"/>
        <v>0</v>
      </c>
    </row>
    <row r="24" spans="1:15" ht="47.25">
      <c r="A24" s="241"/>
      <c r="B24" s="264" t="s">
        <v>336</v>
      </c>
      <c r="C24" s="249">
        <v>28904</v>
      </c>
      <c r="D24" s="249">
        <v>28904</v>
      </c>
      <c r="E24" s="249">
        <v>28904</v>
      </c>
      <c r="F24" s="249">
        <v>28904</v>
      </c>
      <c r="G24" s="249">
        <v>28904</v>
      </c>
      <c r="H24" s="249">
        <v>28904</v>
      </c>
      <c r="I24" s="249">
        <v>28904</v>
      </c>
      <c r="J24" s="249">
        <v>28904</v>
      </c>
      <c r="K24" s="249">
        <v>28904</v>
      </c>
      <c r="L24" s="249">
        <v>28904</v>
      </c>
      <c r="M24" s="249">
        <f>28904+2</f>
        <v>28906</v>
      </c>
      <c r="N24" s="249">
        <v>28904</v>
      </c>
      <c r="O24" s="244">
        <f t="shared" si="1"/>
        <v>346850</v>
      </c>
    </row>
    <row r="25" spans="1:15" ht="15.75">
      <c r="A25" s="241"/>
      <c r="B25" s="242" t="s">
        <v>337</v>
      </c>
      <c r="C25" s="249"/>
      <c r="D25" s="249"/>
      <c r="E25" s="249"/>
      <c r="F25" s="249"/>
      <c r="G25" s="249"/>
      <c r="H25" s="249"/>
      <c r="I25" s="249"/>
      <c r="J25" s="249">
        <v>3000000</v>
      </c>
      <c r="K25" s="249"/>
      <c r="L25" s="249"/>
      <c r="M25" s="249"/>
      <c r="N25" s="250">
        <v>3000000</v>
      </c>
      <c r="O25" s="244">
        <f t="shared" si="1"/>
        <v>6000000</v>
      </c>
    </row>
    <row r="26" spans="1:15" ht="15.75">
      <c r="A26" s="241" t="s">
        <v>243</v>
      </c>
      <c r="B26" s="245" t="s">
        <v>338</v>
      </c>
      <c r="C26" s="249"/>
      <c r="D26" s="249">
        <v>6216573</v>
      </c>
      <c r="E26" s="249"/>
      <c r="F26" s="249"/>
      <c r="G26" s="249"/>
      <c r="H26" s="249"/>
      <c r="I26" s="249"/>
      <c r="J26" s="249"/>
      <c r="K26" s="249"/>
      <c r="L26" s="249"/>
      <c r="M26" s="249"/>
      <c r="N26" s="250"/>
      <c r="O26" s="244">
        <f t="shared" si="1"/>
        <v>6216573</v>
      </c>
    </row>
    <row r="27" spans="1:15" ht="16.5" thickBot="1">
      <c r="A27" s="251" t="s">
        <v>245</v>
      </c>
      <c r="B27" s="252" t="s">
        <v>339</v>
      </c>
      <c r="C27" s="249"/>
      <c r="D27" s="249">
        <f>C49</f>
        <v>8121726</v>
      </c>
      <c r="E27" s="249">
        <f aca="true" t="shared" si="2" ref="E27:N27">D49</f>
        <v>9664816</v>
      </c>
      <c r="F27" s="249">
        <f t="shared" si="2"/>
        <v>10049719</v>
      </c>
      <c r="G27" s="249">
        <f t="shared" si="2"/>
        <v>9587221</v>
      </c>
      <c r="H27" s="249">
        <f t="shared" si="2"/>
        <v>8527623</v>
      </c>
      <c r="I27" s="249">
        <f t="shared" si="2"/>
        <v>7921126</v>
      </c>
      <c r="J27" s="249">
        <f t="shared" si="2"/>
        <v>6893629</v>
      </c>
      <c r="K27" s="249">
        <f t="shared" si="2"/>
        <v>9143331</v>
      </c>
      <c r="L27" s="249">
        <f t="shared" si="2"/>
        <v>7599834</v>
      </c>
      <c r="M27" s="249">
        <f t="shared" si="2"/>
        <v>6850637</v>
      </c>
      <c r="N27" s="249">
        <f t="shared" si="2"/>
        <v>6271078</v>
      </c>
      <c r="O27" s="244"/>
    </row>
    <row r="28" spans="1:16" s="18" customFormat="1" ht="27.75" customHeight="1" thickBot="1">
      <c r="A28" s="253"/>
      <c r="B28" s="253" t="s">
        <v>340</v>
      </c>
      <c r="C28" s="254">
        <f aca="true" t="shared" si="3" ref="C28:N28">SUM(C15:C27)</f>
        <v>19363761</v>
      </c>
      <c r="D28" s="254">
        <f t="shared" si="3"/>
        <v>18228832</v>
      </c>
      <c r="E28" s="254">
        <f t="shared" si="3"/>
        <v>15293349</v>
      </c>
      <c r="F28" s="254">
        <f t="shared" si="3"/>
        <v>13869252</v>
      </c>
      <c r="G28" s="254">
        <f t="shared" si="3"/>
        <v>13378754</v>
      </c>
      <c r="H28" s="254">
        <f t="shared" si="3"/>
        <v>12113156</v>
      </c>
      <c r="I28" s="254">
        <f t="shared" si="3"/>
        <v>11425659</v>
      </c>
      <c r="J28" s="254">
        <f t="shared" si="3"/>
        <v>14000362</v>
      </c>
      <c r="K28" s="254">
        <f t="shared" si="3"/>
        <v>14766864</v>
      </c>
      <c r="L28" s="254">
        <f t="shared" si="3"/>
        <v>11172367</v>
      </c>
      <c r="M28" s="254">
        <f t="shared" si="3"/>
        <v>11338937</v>
      </c>
      <c r="N28" s="254">
        <f t="shared" si="3"/>
        <v>13058611</v>
      </c>
      <c r="O28" s="255">
        <f>SUM(O14:O27)</f>
        <v>77379164</v>
      </c>
      <c r="P28" s="123"/>
    </row>
    <row r="29" spans="1:15" ht="15.75">
      <c r="A29" s="256"/>
      <c r="B29" s="257" t="s">
        <v>341</v>
      </c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58"/>
    </row>
    <row r="30" spans="1:17" ht="15.75">
      <c r="A30" s="241" t="s">
        <v>251</v>
      </c>
      <c r="B30" s="245" t="s">
        <v>183</v>
      </c>
      <c r="C30" s="243">
        <f>1865910+57442</f>
        <v>1923352</v>
      </c>
      <c r="D30" s="243">
        <f>1865910+57442</f>
        <v>1923352</v>
      </c>
      <c r="E30" s="243">
        <f>1865910+57441</f>
        <v>1923351</v>
      </c>
      <c r="F30" s="243">
        <f>1865910+57442</f>
        <v>1923352</v>
      </c>
      <c r="G30" s="243">
        <f>1865910+57442</f>
        <v>1923352</v>
      </c>
      <c r="H30" s="243">
        <f>1865910+57441</f>
        <v>1923351</v>
      </c>
      <c r="I30" s="243">
        <f>1865910+57441</f>
        <v>1923351</v>
      </c>
      <c r="J30" s="243">
        <f>1865910+57442</f>
        <v>1923352</v>
      </c>
      <c r="K30" s="243">
        <f>1865910+57441</f>
        <v>1923351</v>
      </c>
      <c r="L30" s="243">
        <f>1865910+57441</f>
        <v>1923351</v>
      </c>
      <c r="M30" s="243">
        <f>1865910+57441</f>
        <v>1923351</v>
      </c>
      <c r="N30" s="243">
        <f>1865910+57452</f>
        <v>1923362</v>
      </c>
      <c r="O30" s="244">
        <f aca="true" t="shared" si="4" ref="O30:O47">SUM(C30:N30)</f>
        <v>23080228</v>
      </c>
      <c r="P30" s="266"/>
      <c r="Q30" s="266"/>
    </row>
    <row r="31" spans="1:17" ht="31.5">
      <c r="A31" s="241" t="s">
        <v>253</v>
      </c>
      <c r="B31" s="264" t="s">
        <v>342</v>
      </c>
      <c r="C31" s="243">
        <f>373679-6782</f>
        <v>366897</v>
      </c>
      <c r="D31" s="243">
        <v>373679</v>
      </c>
      <c r="E31" s="243">
        <v>373679</v>
      </c>
      <c r="F31" s="243">
        <v>373679</v>
      </c>
      <c r="G31" s="243">
        <v>373679</v>
      </c>
      <c r="H31" s="243">
        <v>373679</v>
      </c>
      <c r="I31" s="243">
        <v>373679</v>
      </c>
      <c r="J31" s="243">
        <v>373679</v>
      </c>
      <c r="K31" s="243">
        <v>373679</v>
      </c>
      <c r="L31" s="243">
        <v>373679</v>
      </c>
      <c r="M31" s="243">
        <v>373679</v>
      </c>
      <c r="N31" s="243">
        <f>373679-6</f>
        <v>373673</v>
      </c>
      <c r="O31" s="244">
        <f t="shared" si="4"/>
        <v>4477360</v>
      </c>
      <c r="Q31" s="266"/>
    </row>
    <row r="32" spans="1:17" ht="15.75">
      <c r="A32" s="241" t="s">
        <v>255</v>
      </c>
      <c r="B32" s="245" t="s">
        <v>185</v>
      </c>
      <c r="C32" s="243">
        <f>2391000-270000-500000-100000</f>
        <v>1521000</v>
      </c>
      <c r="D32" s="243">
        <f>1745000+200000</f>
        <v>1945000</v>
      </c>
      <c r="E32" s="243">
        <f>1745000+900000</f>
        <v>2645000</v>
      </c>
      <c r="F32" s="243">
        <f>1745000+50000</f>
        <v>1795000</v>
      </c>
      <c r="G32" s="243">
        <f>1745000+450000</f>
        <v>2195000</v>
      </c>
      <c r="H32" s="243">
        <v>1745000</v>
      </c>
      <c r="I32" s="243">
        <f>1745000+300000</f>
        <v>2045000</v>
      </c>
      <c r="J32" s="243">
        <f>1745000+250000</f>
        <v>1995000</v>
      </c>
      <c r="K32" s="243">
        <f>1745000+150000</f>
        <v>1895000</v>
      </c>
      <c r="L32" s="243">
        <f>1745000+60000</f>
        <v>1805000</v>
      </c>
      <c r="M32" s="243">
        <f>1745000+123732</f>
        <v>1868732</v>
      </c>
      <c r="N32" s="243">
        <f>1745000+194797</f>
        <v>1939797</v>
      </c>
      <c r="O32" s="244">
        <f t="shared" si="4"/>
        <v>23394529</v>
      </c>
      <c r="P32" s="266"/>
      <c r="Q32" s="266"/>
    </row>
    <row r="33" spans="1:15" ht="15.75">
      <c r="A33" s="241" t="s">
        <v>260</v>
      </c>
      <c r="B33" s="245" t="s">
        <v>186</v>
      </c>
      <c r="C33" s="243">
        <f>150000</f>
        <v>150000</v>
      </c>
      <c r="D33" s="243">
        <v>150000</v>
      </c>
      <c r="E33" s="243">
        <v>150000</v>
      </c>
      <c r="F33" s="243">
        <v>150000</v>
      </c>
      <c r="G33" s="243">
        <v>150000</v>
      </c>
      <c r="H33" s="243">
        <v>150000</v>
      </c>
      <c r="I33" s="243">
        <v>150000</v>
      </c>
      <c r="J33" s="243">
        <f>150000+350000</f>
        <v>500000</v>
      </c>
      <c r="K33" s="243">
        <v>150000</v>
      </c>
      <c r="L33" s="243">
        <v>150000</v>
      </c>
      <c r="M33" s="243">
        <f>150000+61400</f>
        <v>211400</v>
      </c>
      <c r="N33" s="243">
        <v>1000000</v>
      </c>
      <c r="O33" s="244">
        <f t="shared" si="4"/>
        <v>3061400</v>
      </c>
    </row>
    <row r="34" spans="1:15" ht="15.75">
      <c r="A34" s="241" t="s">
        <v>262</v>
      </c>
      <c r="B34" s="245" t="s">
        <v>343</v>
      </c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4"/>
    </row>
    <row r="35" spans="1:15" ht="15.75">
      <c r="A35" s="241"/>
      <c r="B35" s="245" t="s">
        <v>344</v>
      </c>
      <c r="C35" s="243">
        <v>25000</v>
      </c>
      <c r="D35" s="243"/>
      <c r="E35" s="243"/>
      <c r="F35" s="243"/>
      <c r="G35" s="243"/>
      <c r="H35" s="243"/>
      <c r="I35" s="243"/>
      <c r="J35" s="243">
        <v>25000</v>
      </c>
      <c r="K35" s="243">
        <v>1200000</v>
      </c>
      <c r="L35" s="243"/>
      <c r="M35" s="243"/>
      <c r="N35" s="243"/>
      <c r="O35" s="244">
        <f t="shared" si="4"/>
        <v>1250000</v>
      </c>
    </row>
    <row r="36" spans="1:16" ht="15.75">
      <c r="A36" s="241"/>
      <c r="B36" s="245" t="s">
        <v>345</v>
      </c>
      <c r="C36" s="243"/>
      <c r="D36" s="243">
        <v>79850</v>
      </c>
      <c r="E36" s="243">
        <v>50000</v>
      </c>
      <c r="F36" s="243">
        <v>40000</v>
      </c>
      <c r="G36" s="243">
        <v>209100</v>
      </c>
      <c r="H36" s="243"/>
      <c r="I36" s="243">
        <v>40000</v>
      </c>
      <c r="J36" s="243">
        <v>40000</v>
      </c>
      <c r="K36" s="243">
        <v>625000</v>
      </c>
      <c r="L36" s="243">
        <v>69700</v>
      </c>
      <c r="M36" s="243">
        <v>54300</v>
      </c>
      <c r="N36" s="243">
        <v>79850</v>
      </c>
      <c r="O36" s="244">
        <f t="shared" si="4"/>
        <v>1287800</v>
      </c>
      <c r="P36" s="266"/>
    </row>
    <row r="37" spans="1:15" ht="15.75">
      <c r="A37" s="241" t="s">
        <v>264</v>
      </c>
      <c r="B37" s="245" t="s">
        <v>189</v>
      </c>
      <c r="C37" s="243"/>
      <c r="D37" s="243">
        <v>51562</v>
      </c>
      <c r="E37" s="243">
        <v>101600</v>
      </c>
      <c r="F37" s="243"/>
      <c r="G37" s="243"/>
      <c r="H37" s="243"/>
      <c r="I37" s="243"/>
      <c r="J37" s="243"/>
      <c r="K37" s="243"/>
      <c r="L37" s="243"/>
      <c r="M37" s="243">
        <f>280797-152400</f>
        <v>128397</v>
      </c>
      <c r="N37" s="243">
        <v>7741929</v>
      </c>
      <c r="O37" s="244">
        <f t="shared" si="4"/>
        <v>8023488</v>
      </c>
    </row>
    <row r="38" spans="1:15" ht="15.75">
      <c r="A38" s="241" t="s">
        <v>271</v>
      </c>
      <c r="B38" s="245" t="s">
        <v>74</v>
      </c>
      <c r="C38" s="243"/>
      <c r="D38" s="243">
        <v>2800007</v>
      </c>
      <c r="E38" s="243"/>
      <c r="F38" s="243"/>
      <c r="G38" s="243"/>
      <c r="H38" s="243"/>
      <c r="I38" s="243"/>
      <c r="J38" s="243"/>
      <c r="K38" s="243"/>
      <c r="L38" s="243"/>
      <c r="M38" s="243">
        <v>508000</v>
      </c>
      <c r="N38" s="243"/>
      <c r="O38" s="244">
        <f t="shared" si="4"/>
        <v>3308007</v>
      </c>
    </row>
    <row r="39" spans="1:15" ht="20.25" customHeight="1">
      <c r="A39" s="241" t="s">
        <v>274</v>
      </c>
      <c r="B39" s="245" t="s">
        <v>265</v>
      </c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4">
        <f t="shared" si="4"/>
        <v>0</v>
      </c>
    </row>
    <row r="40" spans="1:15" ht="20.25" customHeight="1">
      <c r="A40" s="241"/>
      <c r="B40" s="245" t="s">
        <v>344</v>
      </c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4">
        <f t="shared" si="4"/>
        <v>0</v>
      </c>
    </row>
    <row r="41" spans="1:15" ht="15.75">
      <c r="A41" s="241"/>
      <c r="B41" s="245" t="s">
        <v>345</v>
      </c>
      <c r="C41" s="243">
        <v>1000000</v>
      </c>
      <c r="D41" s="243"/>
      <c r="E41" s="243"/>
      <c r="F41" s="243"/>
      <c r="G41" s="243"/>
      <c r="H41" s="243"/>
      <c r="I41" s="243"/>
      <c r="J41" s="243"/>
      <c r="K41" s="243">
        <v>1000000</v>
      </c>
      <c r="L41" s="243"/>
      <c r="M41" s="243"/>
      <c r="N41" s="243"/>
      <c r="O41" s="244">
        <f t="shared" si="4"/>
        <v>2000000</v>
      </c>
    </row>
    <row r="42" spans="1:15" ht="15.75">
      <c r="A42" s="241" t="s">
        <v>276</v>
      </c>
      <c r="B42" s="245" t="s">
        <v>182</v>
      </c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4">
        <f t="shared" si="4"/>
        <v>0</v>
      </c>
    </row>
    <row r="43" spans="1:15" ht="15.75">
      <c r="A43" s="241"/>
      <c r="B43" s="336" t="s">
        <v>456</v>
      </c>
      <c r="C43" s="243"/>
      <c r="D43" s="243">
        <v>1240566</v>
      </c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4">
        <f t="shared" si="4"/>
        <v>1240566</v>
      </c>
    </row>
    <row r="44" spans="1:15" ht="15.75">
      <c r="A44" s="241"/>
      <c r="B44" s="245" t="s">
        <v>346</v>
      </c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4">
        <f t="shared" si="4"/>
        <v>0</v>
      </c>
    </row>
    <row r="45" spans="1:15" ht="15.75">
      <c r="A45" s="241"/>
      <c r="B45" s="245" t="s">
        <v>347</v>
      </c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4">
        <f t="shared" si="4"/>
        <v>0</v>
      </c>
    </row>
    <row r="46" spans="1:16" ht="15.75">
      <c r="A46" s="241" t="s">
        <v>348</v>
      </c>
      <c r="B46" s="245" t="s">
        <v>349</v>
      </c>
      <c r="C46" s="243">
        <v>6255786</v>
      </c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4">
        <f t="shared" si="4"/>
        <v>6255786</v>
      </c>
      <c r="P46" s="266"/>
    </row>
    <row r="47" spans="1:15" ht="16.5" thickBot="1">
      <c r="A47" s="251" t="s">
        <v>350</v>
      </c>
      <c r="B47" s="252" t="s">
        <v>351</v>
      </c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4">
        <f t="shared" si="4"/>
        <v>0</v>
      </c>
    </row>
    <row r="48" spans="1:19" s="18" customFormat="1" ht="24" customHeight="1" thickBot="1">
      <c r="A48" s="253"/>
      <c r="B48" s="253" t="s">
        <v>352</v>
      </c>
      <c r="C48" s="254">
        <f aca="true" t="shared" si="5" ref="C48:N48">SUM(C30:C47)</f>
        <v>11242035</v>
      </c>
      <c r="D48" s="254">
        <f t="shared" si="5"/>
        <v>8564016</v>
      </c>
      <c r="E48" s="254">
        <f t="shared" si="5"/>
        <v>5243630</v>
      </c>
      <c r="F48" s="254">
        <f t="shared" si="5"/>
        <v>4282031</v>
      </c>
      <c r="G48" s="254">
        <f t="shared" si="5"/>
        <v>4851131</v>
      </c>
      <c r="H48" s="254">
        <f t="shared" si="5"/>
        <v>4192030</v>
      </c>
      <c r="I48" s="254">
        <f t="shared" si="5"/>
        <v>4532030</v>
      </c>
      <c r="J48" s="254">
        <f t="shared" si="5"/>
        <v>4857031</v>
      </c>
      <c r="K48" s="254">
        <f t="shared" si="5"/>
        <v>7167030</v>
      </c>
      <c r="L48" s="254">
        <f t="shared" si="5"/>
        <v>4321730</v>
      </c>
      <c r="M48" s="254">
        <f t="shared" si="5"/>
        <v>5067859</v>
      </c>
      <c r="N48" s="254">
        <f t="shared" si="5"/>
        <v>13058611</v>
      </c>
      <c r="O48" s="255">
        <f>SUM(O30:O47)</f>
        <v>77379164</v>
      </c>
      <c r="S48" s="259"/>
    </row>
    <row r="49" spans="1:15" ht="26.25" customHeight="1" thickBot="1">
      <c r="A49" s="260"/>
      <c r="B49" s="261" t="s">
        <v>353</v>
      </c>
      <c r="C49" s="262">
        <f aca="true" t="shared" si="6" ref="C49:N49">C28-C48</f>
        <v>8121726</v>
      </c>
      <c r="D49" s="262">
        <f t="shared" si="6"/>
        <v>9664816</v>
      </c>
      <c r="E49" s="262">
        <f t="shared" si="6"/>
        <v>10049719</v>
      </c>
      <c r="F49" s="262">
        <f t="shared" si="6"/>
        <v>9587221</v>
      </c>
      <c r="G49" s="262">
        <f t="shared" si="6"/>
        <v>8527623</v>
      </c>
      <c r="H49" s="262">
        <f t="shared" si="6"/>
        <v>7921126</v>
      </c>
      <c r="I49" s="262">
        <f t="shared" si="6"/>
        <v>6893629</v>
      </c>
      <c r="J49" s="262">
        <f t="shared" si="6"/>
        <v>9143331</v>
      </c>
      <c r="K49" s="262">
        <f t="shared" si="6"/>
        <v>7599834</v>
      </c>
      <c r="L49" s="262">
        <f t="shared" si="6"/>
        <v>6850637</v>
      </c>
      <c r="M49" s="262">
        <f t="shared" si="6"/>
        <v>6271078</v>
      </c>
      <c r="N49" s="262">
        <f t="shared" si="6"/>
        <v>0</v>
      </c>
      <c r="O49" s="263"/>
    </row>
    <row r="51" spans="3:15" ht="15.75">
      <c r="C51" s="265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265"/>
      <c r="O51" s="265"/>
    </row>
    <row r="52" ht="15.75">
      <c r="O52" s="265"/>
    </row>
    <row r="53" ht="15.75">
      <c r="O53" s="265"/>
    </row>
    <row r="54" ht="15.75">
      <c r="O54" s="265"/>
    </row>
    <row r="55" ht="15.75">
      <c r="O55" s="265"/>
    </row>
  </sheetData>
  <sheetProtection password="AF00" sheet="1"/>
  <mergeCells count="6">
    <mergeCell ref="B8:O8"/>
    <mergeCell ref="B4:O4"/>
    <mergeCell ref="B5:O5"/>
    <mergeCell ref="B6:O6"/>
    <mergeCell ref="B7:O7"/>
    <mergeCell ref="A2:O2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28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4.75390625" style="27" customWidth="1"/>
    <col min="2" max="2" width="56.25390625" style="27" customWidth="1"/>
    <col min="3" max="3" width="17.875" style="27" customWidth="1"/>
    <col min="4" max="4" width="4.875" style="27" customWidth="1"/>
    <col min="5" max="16384" width="9.125" style="27" customWidth="1"/>
  </cols>
  <sheetData>
    <row r="1" spans="1:5" ht="15.75">
      <c r="A1" s="531" t="s">
        <v>618</v>
      </c>
      <c r="B1" s="531"/>
      <c r="C1" s="531"/>
      <c r="D1" s="117"/>
      <c r="E1" s="26"/>
    </row>
    <row r="2" spans="1:5" ht="15.75">
      <c r="A2" s="28"/>
      <c r="B2" s="28"/>
      <c r="C2" s="28"/>
      <c r="D2" s="29"/>
      <c r="E2" s="26"/>
    </row>
    <row r="3" spans="1:5" ht="12.75" customHeight="1">
      <c r="A3" s="29"/>
      <c r="B3" s="29"/>
      <c r="C3" s="29"/>
      <c r="D3" s="29"/>
      <c r="E3" s="26"/>
    </row>
    <row r="4" spans="1:5" ht="15.75">
      <c r="A4" s="643" t="s">
        <v>4</v>
      </c>
      <c r="B4" s="643"/>
      <c r="C4" s="643"/>
      <c r="D4" s="643"/>
      <c r="E4" s="26"/>
    </row>
    <row r="5" spans="1:5" ht="15.75">
      <c r="A5" s="643" t="s">
        <v>24</v>
      </c>
      <c r="B5" s="643"/>
      <c r="C5" s="643"/>
      <c r="D5" s="643"/>
      <c r="E5" s="26"/>
    </row>
    <row r="6" spans="1:5" ht="15.75">
      <c r="A6" s="643" t="s">
        <v>589</v>
      </c>
      <c r="B6" s="643"/>
      <c r="C6" s="643"/>
      <c r="D6" s="643"/>
      <c r="E6" s="26"/>
    </row>
    <row r="7" spans="1:5" ht="15.75">
      <c r="A7" s="28"/>
      <c r="B7" s="28"/>
      <c r="C7" s="28"/>
      <c r="D7" s="26"/>
      <c r="E7" s="26"/>
    </row>
    <row r="8" spans="1:5" ht="15.75">
      <c r="A8" s="28"/>
      <c r="B8" s="28"/>
      <c r="C8" s="28"/>
      <c r="D8" s="26"/>
      <c r="E8" s="26"/>
    </row>
    <row r="9" spans="1:5" ht="15.75">
      <c r="A9" s="28"/>
      <c r="B9" s="28"/>
      <c r="C9" s="28"/>
      <c r="D9" s="26"/>
      <c r="E9" s="26"/>
    </row>
    <row r="10" spans="1:5" ht="15.75">
      <c r="A10" s="28"/>
      <c r="B10" s="28"/>
      <c r="C10" s="28"/>
      <c r="D10" s="26"/>
      <c r="E10" s="26"/>
    </row>
    <row r="11" spans="1:5" ht="15.75">
      <c r="A11" s="28"/>
      <c r="B11" s="30" t="s">
        <v>12</v>
      </c>
      <c r="C11" s="28"/>
      <c r="D11" s="26"/>
      <c r="E11" s="26"/>
    </row>
    <row r="12" spans="1:5" ht="10.5" customHeight="1">
      <c r="A12" s="28"/>
      <c r="B12" s="30"/>
      <c r="C12" s="28"/>
      <c r="D12" s="26"/>
      <c r="E12" s="26"/>
    </row>
    <row r="13" spans="1:5" ht="12" customHeight="1">
      <c r="A13" s="28"/>
      <c r="B13" s="30"/>
      <c r="C13" s="31"/>
      <c r="D13" s="26"/>
      <c r="E13" s="26"/>
    </row>
    <row r="14" spans="1:3" s="35" customFormat="1" ht="15">
      <c r="A14" s="32"/>
      <c r="B14" s="33" t="s">
        <v>13</v>
      </c>
      <c r="C14" s="34"/>
    </row>
    <row r="15" spans="1:5" ht="19.5" customHeight="1">
      <c r="A15" s="36"/>
      <c r="B15" s="26" t="s">
        <v>14</v>
      </c>
      <c r="C15" s="37">
        <v>1845000</v>
      </c>
      <c r="D15" s="26" t="s">
        <v>1</v>
      </c>
      <c r="E15" s="26"/>
    </row>
    <row r="16" spans="1:5" ht="19.5" customHeight="1">
      <c r="A16" s="26"/>
      <c r="B16" s="29" t="s">
        <v>15</v>
      </c>
      <c r="C16" s="38">
        <f>SUM(C15)</f>
        <v>1845000</v>
      </c>
      <c r="D16" s="29" t="s">
        <v>1</v>
      </c>
      <c r="E16" s="26"/>
    </row>
    <row r="17" spans="1:5" ht="19.5" customHeight="1">
      <c r="A17" s="26"/>
      <c r="B17" s="29"/>
      <c r="C17" s="38"/>
      <c r="D17" s="29"/>
      <c r="E17" s="26"/>
    </row>
    <row r="18" spans="1:5" ht="19.5" customHeight="1">
      <c r="A18" s="26"/>
      <c r="B18" s="29"/>
      <c r="C18" s="38"/>
      <c r="D18" s="29"/>
      <c r="E18" s="26"/>
    </row>
    <row r="19" spans="1:5" ht="10.5" customHeight="1">
      <c r="A19" s="26"/>
      <c r="B19" s="29"/>
      <c r="C19" s="38"/>
      <c r="D19" s="29"/>
      <c r="E19" s="26"/>
    </row>
    <row r="20" spans="1:5" ht="15.75">
      <c r="A20" s="26"/>
      <c r="B20" s="102"/>
      <c r="C20" s="26"/>
      <c r="D20" s="26"/>
      <c r="E20" s="26"/>
    </row>
    <row r="21" spans="1:5" ht="15.75">
      <c r="A21" s="26"/>
      <c r="B21" s="26"/>
      <c r="C21" s="26"/>
      <c r="D21" s="26"/>
      <c r="E21" s="26"/>
    </row>
    <row r="22" spans="1:5" ht="15.75">
      <c r="A22" s="26"/>
      <c r="B22" s="26"/>
      <c r="C22" s="26"/>
      <c r="D22" s="26"/>
      <c r="E22" s="26"/>
    </row>
    <row r="23" spans="1:5" ht="15.75">
      <c r="A23" s="26"/>
      <c r="B23" s="26"/>
      <c r="C23" s="26"/>
      <c r="D23" s="26"/>
      <c r="E23" s="26"/>
    </row>
    <row r="24" spans="1:5" ht="15.75">
      <c r="A24" s="26"/>
      <c r="B24" s="26"/>
      <c r="C24" s="26"/>
      <c r="D24" s="26"/>
      <c r="E24" s="26"/>
    </row>
    <row r="25" spans="1:5" ht="15.75">
      <c r="A25" s="26"/>
      <c r="B25" s="26"/>
      <c r="C25" s="26"/>
      <c r="D25" s="26"/>
      <c r="E25" s="26"/>
    </row>
    <row r="26" spans="1:5" ht="15.75">
      <c r="A26" s="26"/>
      <c r="B26" s="26"/>
      <c r="C26" s="26"/>
      <c r="D26" s="26"/>
      <c r="E26" s="26"/>
    </row>
    <row r="27" spans="1:5" ht="15.75">
      <c r="A27" s="26"/>
      <c r="B27" s="26"/>
      <c r="C27" s="26"/>
      <c r="D27" s="26"/>
      <c r="E27" s="26"/>
    </row>
    <row r="28" spans="1:5" ht="15.75">
      <c r="A28" s="26"/>
      <c r="B28" s="26"/>
      <c r="C28" s="26"/>
      <c r="D28" s="26"/>
      <c r="E28" s="26"/>
    </row>
  </sheetData>
  <sheetProtection password="AF00" sheet="1"/>
  <mergeCells count="4">
    <mergeCell ref="A6:D6"/>
    <mergeCell ref="A4:D4"/>
    <mergeCell ref="A5:D5"/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19"/>
  <sheetViews>
    <sheetView zoomScalePageLayoutView="0" workbookViewId="0" topLeftCell="A1">
      <selection activeCell="H15" sqref="H15"/>
    </sheetView>
  </sheetViews>
  <sheetFormatPr defaultColWidth="9.00390625" defaultRowHeight="12.75"/>
  <cols>
    <col min="1" max="1" width="4.875" style="1" customWidth="1"/>
    <col min="2" max="2" width="45.00390625" style="1" customWidth="1"/>
    <col min="3" max="4" width="11.875" style="1" customWidth="1"/>
    <col min="5" max="5" width="12.375" style="1" customWidth="1"/>
    <col min="6" max="16384" width="9.125" style="1" customWidth="1"/>
  </cols>
  <sheetData>
    <row r="1" spans="1:5" ht="15.75">
      <c r="A1" s="117" t="s">
        <v>619</v>
      </c>
      <c r="C1" s="651"/>
      <c r="D1" s="651"/>
      <c r="E1" s="651"/>
    </row>
    <row r="3" spans="1:5" ht="12.75">
      <c r="A3" s="507"/>
      <c r="B3" s="507"/>
      <c r="C3" s="507"/>
      <c r="D3" s="507"/>
      <c r="E3" s="507"/>
    </row>
    <row r="4" spans="1:6" ht="14.25">
      <c r="A4" s="640"/>
      <c r="B4" s="640"/>
      <c r="C4" s="640"/>
      <c r="D4" s="640"/>
      <c r="E4" s="640"/>
      <c r="F4" s="80"/>
    </row>
    <row r="5" spans="1:6" ht="14.25">
      <c r="A5" s="640" t="s">
        <v>285</v>
      </c>
      <c r="B5" s="640"/>
      <c r="C5" s="640"/>
      <c r="D5" s="640"/>
      <c r="E5" s="640"/>
      <c r="F5" s="80"/>
    </row>
    <row r="6" spans="1:6" s="5" customFormat="1" ht="15.75">
      <c r="A6" s="528" t="s">
        <v>286</v>
      </c>
      <c r="B6" s="528"/>
      <c r="C6" s="528"/>
      <c r="D6" s="528"/>
      <c r="E6" s="528"/>
      <c r="F6" s="71"/>
    </row>
    <row r="7" spans="1:6" s="5" customFormat="1" ht="15.75">
      <c r="A7" s="528" t="s">
        <v>524</v>
      </c>
      <c r="B7" s="528"/>
      <c r="C7" s="528"/>
      <c r="D7" s="528"/>
      <c r="E7" s="528"/>
      <c r="F7" s="71"/>
    </row>
    <row r="8" spans="1:5" s="5" customFormat="1" ht="13.5" thickBot="1">
      <c r="A8" s="81"/>
      <c r="B8" s="81"/>
      <c r="C8" s="81"/>
      <c r="D8" s="81"/>
      <c r="E8" s="82" t="s">
        <v>5</v>
      </c>
    </row>
    <row r="9" spans="1:5" s="85" customFormat="1" ht="22.5" customHeight="1" thickTop="1">
      <c r="A9" s="83" t="s">
        <v>41</v>
      </c>
      <c r="B9" s="84"/>
      <c r="C9" s="648" t="s">
        <v>61</v>
      </c>
      <c r="D9" s="648" t="s">
        <v>62</v>
      </c>
      <c r="E9" s="654" t="s">
        <v>63</v>
      </c>
    </row>
    <row r="10" spans="1:5" s="85" customFormat="1" ht="12.75">
      <c r="A10" s="86"/>
      <c r="B10" s="87" t="s">
        <v>64</v>
      </c>
      <c r="C10" s="649"/>
      <c r="D10" s="649"/>
      <c r="E10" s="655"/>
    </row>
    <row r="11" spans="1:5" s="85" customFormat="1" ht="13.5" thickBot="1">
      <c r="A11" s="88" t="s">
        <v>42</v>
      </c>
      <c r="B11" s="89"/>
      <c r="C11" s="650"/>
      <c r="D11" s="650"/>
      <c r="E11" s="656"/>
    </row>
    <row r="12" spans="1:5" s="85" customFormat="1" ht="12.75">
      <c r="A12" s="644" t="s">
        <v>43</v>
      </c>
      <c r="B12" s="646" t="s">
        <v>65</v>
      </c>
      <c r="C12" s="657">
        <v>1887</v>
      </c>
      <c r="D12" s="657">
        <v>1887</v>
      </c>
      <c r="E12" s="652">
        <f>SUM(C12:D17)</f>
        <v>3774</v>
      </c>
    </row>
    <row r="13" spans="1:5" s="85" customFormat="1" ht="15" customHeight="1">
      <c r="A13" s="645"/>
      <c r="B13" s="647"/>
      <c r="C13" s="658"/>
      <c r="D13" s="658"/>
      <c r="E13" s="653"/>
    </row>
    <row r="14" spans="1:5" s="85" customFormat="1" ht="15" customHeight="1">
      <c r="A14" s="645"/>
      <c r="B14" s="90" t="s">
        <v>66</v>
      </c>
      <c r="C14" s="658"/>
      <c r="D14" s="658"/>
      <c r="E14" s="653"/>
    </row>
    <row r="15" spans="1:5" s="85" customFormat="1" ht="25.5">
      <c r="A15" s="645"/>
      <c r="B15" s="90" t="s">
        <v>287</v>
      </c>
      <c r="C15" s="658"/>
      <c r="D15" s="658"/>
      <c r="E15" s="653"/>
    </row>
    <row r="16" spans="1:5" s="85" customFormat="1" ht="12.75">
      <c r="A16" s="645"/>
      <c r="B16" s="91" t="s">
        <v>67</v>
      </c>
      <c r="C16" s="658"/>
      <c r="D16" s="658"/>
      <c r="E16" s="653"/>
    </row>
    <row r="17" spans="1:5" s="85" customFormat="1" ht="13.5" thickBot="1">
      <c r="A17" s="645"/>
      <c r="B17" s="92" t="s">
        <v>68</v>
      </c>
      <c r="C17" s="658"/>
      <c r="D17" s="658"/>
      <c r="E17" s="653"/>
    </row>
    <row r="18" spans="1:6" s="98" customFormat="1" ht="40.5" customHeight="1" thickBot="1" thickTop="1">
      <c r="A18" s="93"/>
      <c r="B18" s="94" t="s">
        <v>69</v>
      </c>
      <c r="C18" s="95">
        <f>SUM(C12:C17)</f>
        <v>1887</v>
      </c>
      <c r="D18" s="95">
        <f>SUM(D12:D17)</f>
        <v>1887</v>
      </c>
      <c r="E18" s="96">
        <f>SUM(E12:E17)</f>
        <v>3774</v>
      </c>
      <c r="F18" s="97"/>
    </row>
    <row r="19" spans="1:4" s="98" customFormat="1" ht="27" customHeight="1">
      <c r="A19" s="99"/>
      <c r="B19" s="100"/>
      <c r="C19" s="101"/>
      <c r="D19" s="101"/>
    </row>
  </sheetData>
  <sheetProtection password="AF00" sheet="1"/>
  <mergeCells count="14">
    <mergeCell ref="C1:E1"/>
    <mergeCell ref="E12:E17"/>
    <mergeCell ref="E9:E11"/>
    <mergeCell ref="C12:C17"/>
    <mergeCell ref="C9:C11"/>
    <mergeCell ref="D12:D17"/>
    <mergeCell ref="A3:E3"/>
    <mergeCell ref="A4:E4"/>
    <mergeCell ref="A12:A17"/>
    <mergeCell ref="B12:B13"/>
    <mergeCell ref="A6:E6"/>
    <mergeCell ref="A7:E7"/>
    <mergeCell ref="A5:E5"/>
    <mergeCell ref="D9:D11"/>
  </mergeCells>
  <printOptions/>
  <pageMargins left="1.535433070866142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P30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5.875" style="57" customWidth="1"/>
    <col min="2" max="2" width="37.375" style="57" customWidth="1"/>
    <col min="3" max="3" width="9.625" style="57" customWidth="1"/>
    <col min="4" max="15" width="15.75390625" style="57" customWidth="1"/>
    <col min="16" max="16" width="13.625" style="57" bestFit="1" customWidth="1"/>
    <col min="17" max="16384" width="9.125" style="57" customWidth="1"/>
  </cols>
  <sheetData>
    <row r="2" spans="1:15" ht="15.75">
      <c r="A2" s="700" t="s">
        <v>620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0"/>
      <c r="O2" s="700"/>
    </row>
    <row r="3" spans="1:15" ht="15.75">
      <c r="A3" s="506"/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</row>
    <row r="4" spans="2:15" ht="15.75"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</row>
    <row r="5" spans="1:15" ht="15.75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</row>
    <row r="6" spans="1:15" ht="15.75">
      <c r="A6" s="506" t="s">
        <v>40</v>
      </c>
      <c r="B6" s="506"/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6"/>
      <c r="N6" s="506"/>
      <c r="O6" s="506"/>
    </row>
    <row r="7" spans="1:15" ht="15.75">
      <c r="A7" s="506" t="s">
        <v>361</v>
      </c>
      <c r="B7" s="506"/>
      <c r="C7" s="506"/>
      <c r="D7" s="506"/>
      <c r="E7" s="506"/>
      <c r="F7" s="506"/>
      <c r="G7" s="506"/>
      <c r="H7" s="506"/>
      <c r="I7" s="506"/>
      <c r="J7" s="506"/>
      <c r="K7" s="506"/>
      <c r="L7" s="506"/>
      <c r="M7" s="506"/>
      <c r="N7" s="506"/>
      <c r="O7" s="506"/>
    </row>
    <row r="8" spans="1:15" ht="15.75">
      <c r="A8" s="506" t="s">
        <v>590</v>
      </c>
      <c r="B8" s="506"/>
      <c r="C8" s="506"/>
      <c r="D8" s="506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</row>
    <row r="9" spans="1:15" ht="15.75">
      <c r="A9" s="267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</row>
    <row r="10" spans="1:15" ht="15.75">
      <c r="A10" s="267"/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</row>
    <row r="11" ht="16.5" thickBot="1">
      <c r="O11" s="269" t="s">
        <v>482</v>
      </c>
    </row>
    <row r="12" spans="1:15" ht="32.25" customHeight="1" thickTop="1">
      <c r="A12" s="687" t="s">
        <v>362</v>
      </c>
      <c r="B12" s="676" t="s">
        <v>363</v>
      </c>
      <c r="C12" s="676" t="s">
        <v>364</v>
      </c>
      <c r="D12" s="679" t="s">
        <v>365</v>
      </c>
      <c r="E12" s="679"/>
      <c r="F12" s="680"/>
      <c r="G12" s="679" t="s">
        <v>366</v>
      </c>
      <c r="H12" s="679"/>
      <c r="I12" s="680"/>
      <c r="J12" s="679" t="s">
        <v>63</v>
      </c>
      <c r="K12" s="679"/>
      <c r="L12" s="680"/>
      <c r="M12" s="663" t="s">
        <v>367</v>
      </c>
      <c r="N12" s="664"/>
      <c r="O12" s="665"/>
    </row>
    <row r="13" spans="1:15" ht="16.5" thickBot="1">
      <c r="A13" s="677"/>
      <c r="B13" s="677"/>
      <c r="C13" s="677"/>
      <c r="D13" s="681"/>
      <c r="E13" s="681"/>
      <c r="F13" s="682"/>
      <c r="G13" s="681"/>
      <c r="H13" s="681"/>
      <c r="I13" s="682"/>
      <c r="J13" s="681"/>
      <c r="K13" s="681"/>
      <c r="L13" s="682"/>
      <c r="M13" s="666"/>
      <c r="N13" s="667"/>
      <c r="O13" s="662"/>
    </row>
    <row r="14" spans="1:15" ht="15.75">
      <c r="A14" s="677"/>
      <c r="B14" s="677"/>
      <c r="C14" s="677"/>
      <c r="D14" s="668" t="s">
        <v>371</v>
      </c>
      <c r="E14" s="668" t="s">
        <v>372</v>
      </c>
      <c r="F14" s="668" t="s">
        <v>514</v>
      </c>
      <c r="G14" s="668" t="s">
        <v>371</v>
      </c>
      <c r="H14" s="668" t="s">
        <v>372</v>
      </c>
      <c r="I14" s="668" t="s">
        <v>514</v>
      </c>
      <c r="J14" s="668" t="s">
        <v>371</v>
      </c>
      <c r="K14" s="668" t="s">
        <v>372</v>
      </c>
      <c r="L14" s="668" t="s">
        <v>514</v>
      </c>
      <c r="M14" s="668" t="s">
        <v>368</v>
      </c>
      <c r="N14" s="659" t="s">
        <v>366</v>
      </c>
      <c r="O14" s="661" t="s">
        <v>369</v>
      </c>
    </row>
    <row r="15" spans="1:15" ht="16.5" thickBot="1">
      <c r="A15" s="678"/>
      <c r="B15" s="678"/>
      <c r="C15" s="678"/>
      <c r="D15" s="669"/>
      <c r="E15" s="669"/>
      <c r="F15" s="669"/>
      <c r="G15" s="669"/>
      <c r="H15" s="669"/>
      <c r="I15" s="669"/>
      <c r="J15" s="669"/>
      <c r="K15" s="669"/>
      <c r="L15" s="669"/>
      <c r="M15" s="669"/>
      <c r="N15" s="660"/>
      <c r="O15" s="662"/>
    </row>
    <row r="16" spans="1:16" ht="26.25" customHeight="1">
      <c r="A16" s="710" t="s">
        <v>43</v>
      </c>
      <c r="B16" s="688" t="s">
        <v>373</v>
      </c>
      <c r="C16" s="683"/>
      <c r="D16" s="670">
        <f>12559-9743</f>
        <v>2816</v>
      </c>
      <c r="E16" s="670"/>
      <c r="F16" s="670"/>
      <c r="G16" s="670"/>
      <c r="H16" s="670">
        <v>9743</v>
      </c>
      <c r="I16" s="670"/>
      <c r="J16" s="670">
        <f>D16+G16</f>
        <v>2816</v>
      </c>
      <c r="K16" s="670">
        <f>F16+H16</f>
        <v>9743</v>
      </c>
      <c r="L16" s="670"/>
      <c r="M16" s="697">
        <f>D16+F16</f>
        <v>2816</v>
      </c>
      <c r="N16" s="694">
        <f>G16+H16</f>
        <v>9743</v>
      </c>
      <c r="O16" s="673">
        <f>J16+K16</f>
        <v>12559</v>
      </c>
      <c r="P16" s="266"/>
    </row>
    <row r="17" spans="1:15" ht="26.25" customHeight="1">
      <c r="A17" s="702"/>
      <c r="B17" s="689"/>
      <c r="C17" s="684"/>
      <c r="D17" s="671"/>
      <c r="E17" s="671"/>
      <c r="F17" s="671"/>
      <c r="G17" s="671"/>
      <c r="H17" s="671"/>
      <c r="I17" s="671"/>
      <c r="J17" s="671"/>
      <c r="K17" s="671"/>
      <c r="L17" s="671"/>
      <c r="M17" s="698"/>
      <c r="N17" s="695"/>
      <c r="O17" s="674"/>
    </row>
    <row r="18" spans="1:15" s="270" customFormat="1" ht="26.25" customHeight="1" thickBot="1">
      <c r="A18" s="711"/>
      <c r="B18" s="690"/>
      <c r="C18" s="685"/>
      <c r="D18" s="686"/>
      <c r="E18" s="686"/>
      <c r="F18" s="686"/>
      <c r="G18" s="672"/>
      <c r="H18" s="672"/>
      <c r="I18" s="672"/>
      <c r="J18" s="672"/>
      <c r="K18" s="672"/>
      <c r="L18" s="672"/>
      <c r="M18" s="699"/>
      <c r="N18" s="696"/>
      <c r="O18" s="675"/>
    </row>
    <row r="19" spans="1:15" ht="26.25" customHeight="1" thickTop="1">
      <c r="A19" s="701"/>
      <c r="B19" s="704" t="s">
        <v>370</v>
      </c>
      <c r="C19" s="707"/>
      <c r="D19" s="691">
        <f>D16</f>
        <v>2816</v>
      </c>
      <c r="E19" s="691"/>
      <c r="F19" s="691">
        <f aca="true" t="shared" si="0" ref="F19:O19">F16</f>
        <v>0</v>
      </c>
      <c r="G19" s="691">
        <f t="shared" si="0"/>
        <v>0</v>
      </c>
      <c r="H19" s="691">
        <f>H16</f>
        <v>9743</v>
      </c>
      <c r="I19" s="691">
        <f>I16</f>
        <v>0</v>
      </c>
      <c r="J19" s="691">
        <f t="shared" si="0"/>
        <v>2816</v>
      </c>
      <c r="K19" s="691">
        <f>K16</f>
        <v>9743</v>
      </c>
      <c r="L19" s="691"/>
      <c r="M19" s="691">
        <f t="shared" si="0"/>
        <v>2816</v>
      </c>
      <c r="N19" s="691">
        <f t="shared" si="0"/>
        <v>9743</v>
      </c>
      <c r="O19" s="691">
        <f t="shared" si="0"/>
        <v>12559</v>
      </c>
    </row>
    <row r="20" spans="1:15" ht="26.25" customHeight="1">
      <c r="A20" s="702"/>
      <c r="B20" s="705"/>
      <c r="C20" s="708"/>
      <c r="D20" s="692"/>
      <c r="E20" s="692"/>
      <c r="F20" s="692"/>
      <c r="G20" s="692"/>
      <c r="H20" s="692"/>
      <c r="I20" s="692"/>
      <c r="J20" s="692"/>
      <c r="K20" s="692"/>
      <c r="L20" s="692"/>
      <c r="M20" s="692"/>
      <c r="N20" s="692"/>
      <c r="O20" s="692"/>
    </row>
    <row r="21" spans="1:15" s="270" customFormat="1" ht="26.25" customHeight="1" thickBot="1">
      <c r="A21" s="703"/>
      <c r="B21" s="706"/>
      <c r="C21" s="709"/>
      <c r="D21" s="693"/>
      <c r="E21" s="693"/>
      <c r="F21" s="693"/>
      <c r="G21" s="693"/>
      <c r="H21" s="693"/>
      <c r="I21" s="693"/>
      <c r="J21" s="693"/>
      <c r="K21" s="693"/>
      <c r="L21" s="693"/>
      <c r="M21" s="693"/>
      <c r="N21" s="693"/>
      <c r="O21" s="693"/>
    </row>
    <row r="22" spans="1:15" ht="26.25" customHeight="1" thickTop="1">
      <c r="A22" s="271"/>
      <c r="B22" s="271"/>
      <c r="C22" s="271"/>
      <c r="D22" s="272"/>
      <c r="E22" s="272"/>
      <c r="F22" s="272"/>
      <c r="G22" s="273"/>
      <c r="H22" s="273"/>
      <c r="I22" s="273"/>
      <c r="J22" s="273"/>
      <c r="K22" s="273"/>
      <c r="L22" s="273"/>
      <c r="M22" s="272"/>
      <c r="N22" s="273"/>
      <c r="O22" s="272"/>
    </row>
    <row r="23" spans="1:15" ht="26.25" customHeight="1">
      <c r="A23" s="271"/>
      <c r="B23" s="271"/>
      <c r="C23" s="271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</row>
    <row r="24" spans="1:15" ht="26.25" customHeight="1">
      <c r="A24" s="271"/>
      <c r="B24" s="271"/>
      <c r="C24" s="271"/>
      <c r="D24" s="272"/>
      <c r="E24" s="272"/>
      <c r="F24" s="272"/>
      <c r="G24" s="272"/>
      <c r="H24" s="272"/>
      <c r="I24" s="272"/>
      <c r="J24" s="273"/>
      <c r="K24" s="273"/>
      <c r="L24" s="273"/>
      <c r="M24" s="272"/>
      <c r="N24" s="272"/>
      <c r="O24" s="272"/>
    </row>
    <row r="25" spans="1:15" ht="26.25" customHeight="1">
      <c r="A25" s="271"/>
      <c r="B25" s="271"/>
      <c r="C25" s="271"/>
      <c r="D25" s="272"/>
      <c r="E25" s="272"/>
      <c r="F25" s="272"/>
      <c r="G25" s="273"/>
      <c r="H25" s="273"/>
      <c r="I25" s="273"/>
      <c r="J25" s="272"/>
      <c r="K25" s="272"/>
      <c r="L25" s="272"/>
      <c r="M25" s="272"/>
      <c r="N25" s="272"/>
      <c r="O25" s="272"/>
    </row>
    <row r="26" spans="1:15" ht="26.25" customHeight="1">
      <c r="A26" s="271"/>
      <c r="B26" s="271"/>
      <c r="C26" s="271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</row>
    <row r="30" spans="7:9" ht="15.75">
      <c r="G30" s="266"/>
      <c r="H30" s="266"/>
      <c r="I30" s="266"/>
    </row>
  </sheetData>
  <sheetProtection password="AF00" sheet="1"/>
  <mergeCells count="54">
    <mergeCell ref="E16:E18"/>
    <mergeCell ref="E19:E21"/>
    <mergeCell ref="I14:I15"/>
    <mergeCell ref="I16:I18"/>
    <mergeCell ref="I19:I21"/>
    <mergeCell ref="L14:L15"/>
    <mergeCell ref="L16:L18"/>
    <mergeCell ref="L19:L21"/>
    <mergeCell ref="G19:G21"/>
    <mergeCell ref="A2:O2"/>
    <mergeCell ref="O19:O21"/>
    <mergeCell ref="G16:G18"/>
    <mergeCell ref="A19:A21"/>
    <mergeCell ref="B19:B21"/>
    <mergeCell ref="C19:C21"/>
    <mergeCell ref="D19:D21"/>
    <mergeCell ref="F19:F21"/>
    <mergeCell ref="F16:F18"/>
    <mergeCell ref="A16:A18"/>
    <mergeCell ref="B16:B18"/>
    <mergeCell ref="J19:J21"/>
    <mergeCell ref="J16:J18"/>
    <mergeCell ref="N19:N21"/>
    <mergeCell ref="N16:N18"/>
    <mergeCell ref="H19:H21"/>
    <mergeCell ref="H16:H18"/>
    <mergeCell ref="M16:M18"/>
    <mergeCell ref="K19:K21"/>
    <mergeCell ref="M19:M21"/>
    <mergeCell ref="C16:C18"/>
    <mergeCell ref="D16:D18"/>
    <mergeCell ref="A3:O3"/>
    <mergeCell ref="A6:O6"/>
    <mergeCell ref="A7:O7"/>
    <mergeCell ref="A8:O8"/>
    <mergeCell ref="A12:A15"/>
    <mergeCell ref="B12:B15"/>
    <mergeCell ref="D14:D15"/>
    <mergeCell ref="E14:E15"/>
    <mergeCell ref="C12:C15"/>
    <mergeCell ref="D12:F13"/>
    <mergeCell ref="G12:I13"/>
    <mergeCell ref="J12:L13"/>
    <mergeCell ref="H14:H15"/>
    <mergeCell ref="J14:J15"/>
    <mergeCell ref="K14:K15"/>
    <mergeCell ref="G14:G15"/>
    <mergeCell ref="F14:F15"/>
    <mergeCell ref="N14:N15"/>
    <mergeCell ref="O14:O15"/>
    <mergeCell ref="M12:O13"/>
    <mergeCell ref="M14:M15"/>
    <mergeCell ref="K16:K18"/>
    <mergeCell ref="O16:O18"/>
  </mergeCells>
  <printOptions horizontalCentered="1"/>
  <pageMargins left="0" right="0" top="0" bottom="0.15748031496062992" header="0.31496062992125984" footer="0.31496062992125984"/>
  <pageSetup fitToHeight="1" fitToWidth="1" horizontalDpi="600" verticalDpi="600" orientation="landscape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M95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2" width="9.125" style="1" customWidth="1"/>
    <col min="3" max="3" width="17.625" style="1" customWidth="1"/>
    <col min="4" max="4" width="22.875" style="1" customWidth="1"/>
    <col min="5" max="6" width="10.375" style="1" customWidth="1"/>
    <col min="7" max="7" width="20.875" style="1" customWidth="1"/>
    <col min="8" max="12" width="10.375" style="1" customWidth="1"/>
    <col min="13" max="13" width="10.875" style="1" customWidth="1"/>
    <col min="14" max="16384" width="9.125" style="1" customWidth="1"/>
  </cols>
  <sheetData>
    <row r="1" spans="1:13" ht="19.5" customHeight="1">
      <c r="A1" s="531" t="s">
        <v>621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</row>
    <row r="2" spans="1:13" ht="12.75">
      <c r="A2" s="507"/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</row>
    <row r="4" spans="1:13" ht="20.25" customHeight="1">
      <c r="A4" s="802"/>
      <c r="B4" s="802"/>
      <c r="C4" s="802"/>
      <c r="D4" s="802"/>
      <c r="E4" s="802"/>
      <c r="F4" s="802"/>
      <c r="G4" s="802"/>
      <c r="H4" s="802"/>
      <c r="I4" s="802"/>
      <c r="J4" s="802"/>
      <c r="K4" s="802"/>
      <c r="L4" s="802"/>
      <c r="M4" s="802"/>
    </row>
    <row r="5" spans="1:13" s="57" customFormat="1" ht="15.75">
      <c r="A5" s="506" t="s">
        <v>40</v>
      </c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</row>
    <row r="6" spans="1:13" s="57" customFormat="1" ht="15.75">
      <c r="A6" s="506" t="s">
        <v>374</v>
      </c>
      <c r="B6" s="506"/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6"/>
    </row>
    <row r="7" spans="1:13" s="57" customFormat="1" ht="15.75">
      <c r="A7" s="506" t="s">
        <v>584</v>
      </c>
      <c r="B7" s="506"/>
      <c r="C7" s="506"/>
      <c r="D7" s="506"/>
      <c r="E7" s="506"/>
      <c r="F7" s="506"/>
      <c r="G7" s="506"/>
      <c r="H7" s="506"/>
      <c r="I7" s="506"/>
      <c r="J7" s="506"/>
      <c r="K7" s="506"/>
      <c r="L7" s="506"/>
      <c r="M7" s="506"/>
    </row>
    <row r="8" spans="1:13" ht="12" customHeight="1">
      <c r="A8" s="274"/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</row>
    <row r="9" spans="1:13" s="57" customFormat="1" ht="15.75">
      <c r="A9" s="275" t="s">
        <v>375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</row>
    <row r="10" spans="1:13" ht="12" customHeight="1">
      <c r="A10" s="274"/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</row>
    <row r="11" spans="1:13" ht="15.75">
      <c r="A11" s="276" t="s">
        <v>513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ht="12" customHeight="1" thickBot="1">
      <c r="A12" s="274"/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</row>
    <row r="13" spans="1:13" ht="16.5" thickBot="1">
      <c r="A13" s="741" t="s">
        <v>376</v>
      </c>
      <c r="B13" s="742"/>
      <c r="C13" s="742"/>
      <c r="D13" s="745" t="s">
        <v>377</v>
      </c>
      <c r="E13" s="746"/>
      <c r="F13" s="747"/>
      <c r="G13" s="745" t="s">
        <v>378</v>
      </c>
      <c r="H13" s="746"/>
      <c r="I13" s="747"/>
      <c r="J13" s="745" t="s">
        <v>379</v>
      </c>
      <c r="K13" s="746"/>
      <c r="L13" s="747"/>
      <c r="M13" s="712" t="s">
        <v>380</v>
      </c>
    </row>
    <row r="14" spans="1:13" ht="15.75">
      <c r="A14" s="743"/>
      <c r="B14" s="744"/>
      <c r="C14" s="744"/>
      <c r="D14" s="277" t="s">
        <v>381</v>
      </c>
      <c r="E14" s="278" t="s">
        <v>382</v>
      </c>
      <c r="F14" s="279" t="s">
        <v>383</v>
      </c>
      <c r="G14" s="278" t="s">
        <v>384</v>
      </c>
      <c r="H14" s="278" t="s">
        <v>382</v>
      </c>
      <c r="I14" s="279" t="s">
        <v>385</v>
      </c>
      <c r="J14" s="278" t="s">
        <v>384</v>
      </c>
      <c r="K14" s="279" t="s">
        <v>382</v>
      </c>
      <c r="L14" s="278" t="s">
        <v>385</v>
      </c>
      <c r="M14" s="713"/>
    </row>
    <row r="15" spans="1:13" ht="16.5" thickBot="1">
      <c r="A15" s="743"/>
      <c r="B15" s="744"/>
      <c r="C15" s="744"/>
      <c r="D15" s="280" t="s">
        <v>386</v>
      </c>
      <c r="E15" s="281" t="s">
        <v>387</v>
      </c>
      <c r="F15" s="282" t="s">
        <v>6</v>
      </c>
      <c r="G15" s="283" t="s">
        <v>386</v>
      </c>
      <c r="H15" s="281" t="s">
        <v>387</v>
      </c>
      <c r="I15" s="282" t="s">
        <v>6</v>
      </c>
      <c r="J15" s="283" t="s">
        <v>386</v>
      </c>
      <c r="K15" s="282" t="s">
        <v>387</v>
      </c>
      <c r="L15" s="281" t="s">
        <v>6</v>
      </c>
      <c r="M15" s="714"/>
    </row>
    <row r="16" spans="1:13" ht="7.5" customHeight="1">
      <c r="A16" s="715" t="s">
        <v>388</v>
      </c>
      <c r="B16" s="716"/>
      <c r="C16" s="717"/>
      <c r="D16" s="724"/>
      <c r="E16" s="727"/>
      <c r="F16" s="730"/>
      <c r="G16" s="733" t="s">
        <v>389</v>
      </c>
      <c r="H16" s="736"/>
      <c r="I16" s="749">
        <v>2210</v>
      </c>
      <c r="J16" s="727"/>
      <c r="K16" s="727"/>
      <c r="L16" s="727"/>
      <c r="M16" s="751">
        <f>I16</f>
        <v>2210</v>
      </c>
    </row>
    <row r="17" spans="1:13" ht="7.5" customHeight="1">
      <c r="A17" s="718"/>
      <c r="B17" s="719"/>
      <c r="C17" s="720"/>
      <c r="D17" s="725"/>
      <c r="E17" s="728"/>
      <c r="F17" s="731"/>
      <c r="G17" s="734"/>
      <c r="H17" s="737"/>
      <c r="I17" s="728"/>
      <c r="J17" s="728"/>
      <c r="K17" s="728"/>
      <c r="L17" s="728"/>
      <c r="M17" s="728"/>
    </row>
    <row r="18" spans="1:13" ht="15.75" customHeight="1" thickBot="1">
      <c r="A18" s="721"/>
      <c r="B18" s="722"/>
      <c r="C18" s="723"/>
      <c r="D18" s="726"/>
      <c r="E18" s="729"/>
      <c r="F18" s="732"/>
      <c r="G18" s="735"/>
      <c r="H18" s="738"/>
      <c r="I18" s="750"/>
      <c r="J18" s="729"/>
      <c r="K18" s="729"/>
      <c r="L18" s="729"/>
      <c r="M18" s="729"/>
    </row>
    <row r="19" spans="1:13" s="127" customFormat="1" ht="12.75" customHeight="1">
      <c r="A19" s="752" t="s">
        <v>2</v>
      </c>
      <c r="B19" s="753"/>
      <c r="C19" s="754"/>
      <c r="D19" s="739"/>
      <c r="E19" s="739"/>
      <c r="F19" s="758">
        <f>SUM(F16)</f>
        <v>0</v>
      </c>
      <c r="G19" s="739"/>
      <c r="H19" s="739"/>
      <c r="I19" s="739">
        <f>I16</f>
        <v>2210</v>
      </c>
      <c r="J19" s="739"/>
      <c r="K19" s="739"/>
      <c r="L19" s="739"/>
      <c r="M19" s="748">
        <f>M16</f>
        <v>2210</v>
      </c>
    </row>
    <row r="20" spans="1:13" s="127" customFormat="1" ht="13.5" customHeight="1" thickBot="1">
      <c r="A20" s="755"/>
      <c r="B20" s="756"/>
      <c r="C20" s="757"/>
      <c r="D20" s="740"/>
      <c r="E20" s="740"/>
      <c r="F20" s="759"/>
      <c r="G20" s="740"/>
      <c r="H20" s="740"/>
      <c r="I20" s="740"/>
      <c r="J20" s="740"/>
      <c r="K20" s="740"/>
      <c r="L20" s="740"/>
      <c r="M20" s="740"/>
    </row>
    <row r="21" spans="1:13" ht="12" customHeight="1">
      <c r="A21" s="274"/>
      <c r="B21" s="274"/>
      <c r="C21" s="274"/>
      <c r="D21" s="274"/>
      <c r="E21" s="274"/>
      <c r="F21" s="284"/>
      <c r="G21" s="274"/>
      <c r="H21" s="274"/>
      <c r="I21" s="274"/>
      <c r="J21" s="274"/>
      <c r="K21" s="274"/>
      <c r="L21" s="274"/>
      <c r="M21" s="274"/>
    </row>
    <row r="22" spans="1:6" s="276" customFormat="1" ht="12" customHeight="1">
      <c r="A22" s="276" t="s">
        <v>390</v>
      </c>
      <c r="F22" s="285"/>
    </row>
    <row r="23" spans="1:13" ht="17.25" customHeight="1">
      <c r="A23" s="286" t="s">
        <v>391</v>
      </c>
      <c r="B23" s="286"/>
      <c r="C23" s="286"/>
      <c r="D23" s="286"/>
      <c r="E23" s="286"/>
      <c r="F23" s="287"/>
      <c r="G23" s="288" t="s">
        <v>6</v>
      </c>
      <c r="H23" s="274"/>
      <c r="I23" s="274"/>
      <c r="J23" s="274"/>
      <c r="K23" s="274"/>
      <c r="L23" s="274"/>
      <c r="M23" s="274"/>
    </row>
    <row r="24" spans="1:13" ht="17.25" customHeight="1">
      <c r="A24" s="286" t="s">
        <v>392</v>
      </c>
      <c r="B24" s="286"/>
      <c r="C24" s="286"/>
      <c r="D24" s="286"/>
      <c r="E24" s="286"/>
      <c r="F24" s="287"/>
      <c r="G24" s="288" t="s">
        <v>6</v>
      </c>
      <c r="H24" s="274"/>
      <c r="I24" s="274"/>
      <c r="J24" s="274"/>
      <c r="K24" s="274"/>
      <c r="L24" s="274"/>
      <c r="M24" s="274"/>
    </row>
    <row r="25" spans="1:13" ht="15.75" customHeight="1">
      <c r="A25" s="286" t="s">
        <v>393</v>
      </c>
      <c r="B25" s="286"/>
      <c r="C25" s="286"/>
      <c r="D25" s="286"/>
      <c r="E25" s="286"/>
      <c r="F25" s="289">
        <v>41</v>
      </c>
      <c r="G25" s="290" t="s">
        <v>6</v>
      </c>
      <c r="H25" s="274"/>
      <c r="I25" s="274"/>
      <c r="J25" s="274"/>
      <c r="K25" s="274"/>
      <c r="L25" s="274"/>
      <c r="M25" s="274"/>
    </row>
    <row r="26" spans="1:13" ht="17.25" customHeight="1">
      <c r="A26" s="286" t="s">
        <v>394</v>
      </c>
      <c r="B26" s="286"/>
      <c r="C26" s="286"/>
      <c r="D26" s="286"/>
      <c r="E26" s="286"/>
      <c r="F26" s="291">
        <f>SUM(F23:F25)</f>
        <v>41</v>
      </c>
      <c r="G26" s="292" t="s">
        <v>6</v>
      </c>
      <c r="H26" s="274"/>
      <c r="I26" s="274"/>
      <c r="J26" s="274"/>
      <c r="K26" s="274"/>
      <c r="L26" s="274"/>
      <c r="M26" s="274"/>
    </row>
    <row r="27" spans="1:13" ht="13.5" customHeight="1">
      <c r="A27" s="286"/>
      <c r="B27" s="286"/>
      <c r="C27" s="286"/>
      <c r="D27" s="286"/>
      <c r="E27" s="286"/>
      <c r="F27" s="291"/>
      <c r="G27" s="292"/>
      <c r="H27" s="274"/>
      <c r="I27" s="274"/>
      <c r="J27" s="274"/>
      <c r="K27" s="274"/>
      <c r="L27" s="274"/>
      <c r="M27" s="274"/>
    </row>
    <row r="28" spans="1:13" ht="15.75">
      <c r="A28" s="276" t="s">
        <v>395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29" spans="1:13" ht="13.5" customHeight="1">
      <c r="A29" s="286"/>
      <c r="B29" s="286"/>
      <c r="C29" s="286"/>
      <c r="D29" s="286"/>
      <c r="E29" s="286"/>
      <c r="F29" s="291"/>
      <c r="G29" s="292"/>
      <c r="H29" s="274"/>
      <c r="I29" s="274"/>
      <c r="J29" s="274"/>
      <c r="K29" s="274"/>
      <c r="L29" s="274"/>
      <c r="M29" s="274"/>
    </row>
    <row r="30" spans="1:13" ht="13.5" customHeight="1" thickBot="1">
      <c r="A30" s="286"/>
      <c r="B30" s="286"/>
      <c r="C30" s="286"/>
      <c r="D30" s="286"/>
      <c r="E30" s="286"/>
      <c r="F30" s="291"/>
      <c r="G30" s="292"/>
      <c r="H30" s="274"/>
      <c r="I30" s="274"/>
      <c r="J30" s="274"/>
      <c r="K30" s="274"/>
      <c r="L30" s="274"/>
      <c r="M30" s="274"/>
    </row>
    <row r="31" spans="1:13" ht="16.5" thickBot="1">
      <c r="A31" s="741" t="s">
        <v>376</v>
      </c>
      <c r="B31" s="742"/>
      <c r="C31" s="742"/>
      <c r="D31" s="745" t="s">
        <v>377</v>
      </c>
      <c r="E31" s="746"/>
      <c r="F31" s="747"/>
      <c r="G31" s="745" t="s">
        <v>378</v>
      </c>
      <c r="H31" s="746"/>
      <c r="I31" s="747"/>
      <c r="J31" s="745" t="s">
        <v>379</v>
      </c>
      <c r="K31" s="746"/>
      <c r="L31" s="747"/>
      <c r="M31" s="712" t="s">
        <v>380</v>
      </c>
    </row>
    <row r="32" spans="1:13" ht="15.75">
      <c r="A32" s="743"/>
      <c r="B32" s="744"/>
      <c r="C32" s="744"/>
      <c r="D32" s="277" t="s">
        <v>381</v>
      </c>
      <c r="E32" s="278" t="s">
        <v>382</v>
      </c>
      <c r="F32" s="279" t="s">
        <v>383</v>
      </c>
      <c r="G32" s="278" t="s">
        <v>384</v>
      </c>
      <c r="H32" s="278" t="s">
        <v>382</v>
      </c>
      <c r="I32" s="279" t="s">
        <v>385</v>
      </c>
      <c r="J32" s="278" t="s">
        <v>384</v>
      </c>
      <c r="K32" s="279" t="s">
        <v>382</v>
      </c>
      <c r="L32" s="278" t="s">
        <v>385</v>
      </c>
      <c r="M32" s="713"/>
    </row>
    <row r="33" spans="1:13" ht="16.5" thickBot="1">
      <c r="A33" s="743"/>
      <c r="B33" s="744"/>
      <c r="C33" s="744"/>
      <c r="D33" s="280" t="s">
        <v>386</v>
      </c>
      <c r="E33" s="281" t="s">
        <v>387</v>
      </c>
      <c r="F33" s="282" t="s">
        <v>6</v>
      </c>
      <c r="G33" s="283" t="s">
        <v>386</v>
      </c>
      <c r="H33" s="281" t="s">
        <v>387</v>
      </c>
      <c r="I33" s="282" t="s">
        <v>6</v>
      </c>
      <c r="J33" s="283" t="s">
        <v>386</v>
      </c>
      <c r="K33" s="282" t="s">
        <v>387</v>
      </c>
      <c r="L33" s="281" t="s">
        <v>6</v>
      </c>
      <c r="M33" s="714"/>
    </row>
    <row r="34" spans="1:13" ht="7.5" customHeight="1">
      <c r="A34" s="761" t="s">
        <v>396</v>
      </c>
      <c r="B34" s="762"/>
      <c r="C34" s="763"/>
      <c r="D34" s="724" t="s">
        <v>397</v>
      </c>
      <c r="E34" s="727"/>
      <c r="F34" s="730">
        <v>13</v>
      </c>
      <c r="G34" s="760"/>
      <c r="H34" s="760"/>
      <c r="I34" s="760"/>
      <c r="J34" s="727"/>
      <c r="K34" s="727"/>
      <c r="L34" s="727"/>
      <c r="M34" s="751">
        <f>L34+I34+F34</f>
        <v>13</v>
      </c>
    </row>
    <row r="35" spans="1:13" ht="7.5" customHeight="1">
      <c r="A35" s="764"/>
      <c r="B35" s="765"/>
      <c r="C35" s="766"/>
      <c r="D35" s="725"/>
      <c r="E35" s="728"/>
      <c r="F35" s="731"/>
      <c r="G35" s="760"/>
      <c r="H35" s="760"/>
      <c r="I35" s="760"/>
      <c r="J35" s="728"/>
      <c r="K35" s="728"/>
      <c r="L35" s="728"/>
      <c r="M35" s="728"/>
    </row>
    <row r="36" spans="1:13" ht="7.5" customHeight="1">
      <c r="A36" s="767"/>
      <c r="B36" s="768"/>
      <c r="C36" s="769"/>
      <c r="D36" s="726"/>
      <c r="E36" s="729"/>
      <c r="F36" s="732"/>
      <c r="G36" s="760"/>
      <c r="H36" s="760"/>
      <c r="I36" s="760"/>
      <c r="J36" s="729"/>
      <c r="K36" s="729"/>
      <c r="L36" s="729"/>
      <c r="M36" s="729"/>
    </row>
    <row r="37" spans="1:13" ht="7.5" customHeight="1">
      <c r="A37" s="774" t="s">
        <v>461</v>
      </c>
      <c r="B37" s="803"/>
      <c r="C37" s="804"/>
      <c r="D37" s="724" t="s">
        <v>462</v>
      </c>
      <c r="E37" s="727"/>
      <c r="F37" s="730">
        <v>67</v>
      </c>
      <c r="G37" s="727"/>
      <c r="H37" s="727"/>
      <c r="I37" s="727"/>
      <c r="J37" s="727"/>
      <c r="K37" s="727"/>
      <c r="L37" s="727"/>
      <c r="M37" s="751">
        <f>L37+I37+F37</f>
        <v>67</v>
      </c>
    </row>
    <row r="38" spans="1:13" ht="7.5" customHeight="1">
      <c r="A38" s="805"/>
      <c r="B38" s="806"/>
      <c r="C38" s="807"/>
      <c r="D38" s="811"/>
      <c r="E38" s="771"/>
      <c r="F38" s="771"/>
      <c r="G38" s="771"/>
      <c r="H38" s="771"/>
      <c r="I38" s="771"/>
      <c r="J38" s="771"/>
      <c r="K38" s="771"/>
      <c r="L38" s="771"/>
      <c r="M38" s="728"/>
    </row>
    <row r="39" spans="1:13" ht="7.5" customHeight="1">
      <c r="A39" s="808"/>
      <c r="B39" s="809"/>
      <c r="C39" s="810"/>
      <c r="D39" s="812"/>
      <c r="E39" s="772"/>
      <c r="F39" s="772"/>
      <c r="G39" s="772"/>
      <c r="H39" s="772"/>
      <c r="I39" s="772"/>
      <c r="J39" s="772"/>
      <c r="K39" s="772"/>
      <c r="L39" s="772"/>
      <c r="M39" s="729"/>
    </row>
    <row r="40" spans="1:13" ht="19.5" customHeight="1">
      <c r="A40" s="813" t="s">
        <v>398</v>
      </c>
      <c r="B40" s="814"/>
      <c r="C40" s="815"/>
      <c r="D40" s="428"/>
      <c r="E40" s="429"/>
      <c r="F40" s="429"/>
      <c r="G40" s="430" t="s">
        <v>529</v>
      </c>
      <c r="H40" s="429"/>
      <c r="I40" s="429">
        <v>8</v>
      </c>
      <c r="J40" s="429"/>
      <c r="K40" s="429"/>
      <c r="L40" s="429"/>
      <c r="M40" s="426">
        <f>I40</f>
        <v>8</v>
      </c>
    </row>
    <row r="41" spans="1:13" ht="24.75" customHeight="1">
      <c r="A41" s="816" t="s">
        <v>398</v>
      </c>
      <c r="B41" s="817"/>
      <c r="C41" s="818"/>
      <c r="D41" s="428"/>
      <c r="E41" s="429"/>
      <c r="F41" s="429"/>
      <c r="G41" s="431" t="s">
        <v>399</v>
      </c>
      <c r="H41" s="429"/>
      <c r="I41" s="429">
        <v>250</v>
      </c>
      <c r="J41" s="429"/>
      <c r="K41" s="429"/>
      <c r="L41" s="429"/>
      <c r="M41" s="426">
        <f>I41</f>
        <v>250</v>
      </c>
    </row>
    <row r="42" spans="1:13" ht="7.5" customHeight="1">
      <c r="A42" s="774" t="s">
        <v>398</v>
      </c>
      <c r="B42" s="775"/>
      <c r="C42" s="776"/>
      <c r="D42" s="724"/>
      <c r="E42" s="727"/>
      <c r="F42" s="730"/>
      <c r="G42" s="773" t="s">
        <v>530</v>
      </c>
      <c r="H42" s="760"/>
      <c r="I42" s="770"/>
      <c r="J42" s="727"/>
      <c r="K42" s="727"/>
      <c r="L42" s="727"/>
      <c r="M42" s="751">
        <f>L42+I42+F42</f>
        <v>0</v>
      </c>
    </row>
    <row r="43" spans="1:13" ht="7.5" customHeight="1">
      <c r="A43" s="764"/>
      <c r="B43" s="765"/>
      <c r="C43" s="766"/>
      <c r="D43" s="725"/>
      <c r="E43" s="728"/>
      <c r="F43" s="731"/>
      <c r="G43" s="773"/>
      <c r="H43" s="760"/>
      <c r="I43" s="770"/>
      <c r="J43" s="728"/>
      <c r="K43" s="728"/>
      <c r="L43" s="728"/>
      <c r="M43" s="728"/>
    </row>
    <row r="44" spans="1:13" ht="7.5" customHeight="1" thickBot="1">
      <c r="A44" s="767"/>
      <c r="B44" s="768"/>
      <c r="C44" s="769"/>
      <c r="D44" s="726"/>
      <c r="E44" s="729"/>
      <c r="F44" s="732"/>
      <c r="G44" s="773"/>
      <c r="H44" s="760"/>
      <c r="I44" s="770"/>
      <c r="J44" s="729"/>
      <c r="K44" s="729"/>
      <c r="L44" s="729"/>
      <c r="M44" s="729"/>
    </row>
    <row r="45" spans="1:13" s="127" customFormat="1" ht="12.75" customHeight="1">
      <c r="A45" s="752" t="s">
        <v>2</v>
      </c>
      <c r="B45" s="753"/>
      <c r="C45" s="754"/>
      <c r="D45" s="739"/>
      <c r="E45" s="739"/>
      <c r="F45" s="758">
        <f>SUM(F34:F44)</f>
        <v>80</v>
      </c>
      <c r="G45" s="739"/>
      <c r="H45" s="739"/>
      <c r="I45" s="748">
        <f>SUM(I34:I44)</f>
        <v>258</v>
      </c>
      <c r="J45" s="739"/>
      <c r="K45" s="739"/>
      <c r="L45" s="739"/>
      <c r="M45" s="748">
        <f>SUM(M34:M44)</f>
        <v>338</v>
      </c>
    </row>
    <row r="46" spans="1:13" s="127" customFormat="1" ht="13.5" customHeight="1" thickBot="1">
      <c r="A46" s="755"/>
      <c r="B46" s="756"/>
      <c r="C46" s="757"/>
      <c r="D46" s="740"/>
      <c r="E46" s="740"/>
      <c r="F46" s="759"/>
      <c r="G46" s="740"/>
      <c r="H46" s="740"/>
      <c r="I46" s="740"/>
      <c r="J46" s="740"/>
      <c r="K46" s="740"/>
      <c r="L46" s="740"/>
      <c r="M46" s="740"/>
    </row>
    <row r="47" spans="1:13" ht="13.5" customHeight="1">
      <c r="A47" s="286"/>
      <c r="B47" s="286"/>
      <c r="C47" s="286"/>
      <c r="D47" s="286"/>
      <c r="E47" s="286"/>
      <c r="F47" s="291"/>
      <c r="G47" s="292"/>
      <c r="H47" s="274"/>
      <c r="I47" s="274"/>
      <c r="J47" s="274"/>
      <c r="K47" s="274"/>
      <c r="L47" s="274"/>
      <c r="M47" s="274"/>
    </row>
    <row r="48" spans="1:13" ht="13.5" customHeight="1">
      <c r="A48" s="286"/>
      <c r="B48" s="286"/>
      <c r="C48" s="286"/>
      <c r="D48" s="286"/>
      <c r="E48" s="286"/>
      <c r="F48" s="291"/>
      <c r="G48" s="292"/>
      <c r="H48" s="274"/>
      <c r="I48" s="274"/>
      <c r="J48" s="274"/>
      <c r="K48" s="274"/>
      <c r="L48" s="274"/>
      <c r="M48" s="274"/>
    </row>
    <row r="49" spans="1:13" ht="13.5" customHeight="1">
      <c r="A49" s="286"/>
      <c r="B49" s="286"/>
      <c r="C49" s="286"/>
      <c r="D49" s="286"/>
      <c r="E49" s="286"/>
      <c r="F49" s="291"/>
      <c r="G49" s="292"/>
      <c r="H49" s="274"/>
      <c r="I49" s="274"/>
      <c r="J49" s="274"/>
      <c r="K49" s="274"/>
      <c r="L49" s="274"/>
      <c r="M49" s="274"/>
    </row>
    <row r="50" spans="1:13" ht="13.5" customHeight="1">
      <c r="A50" s="286"/>
      <c r="B50" s="286"/>
      <c r="C50" s="286"/>
      <c r="D50" s="286"/>
      <c r="E50" s="286"/>
      <c r="F50" s="291"/>
      <c r="G50" s="292"/>
      <c r="H50" s="274"/>
      <c r="I50" s="274"/>
      <c r="J50" s="274"/>
      <c r="K50" s="274"/>
      <c r="L50" s="274"/>
      <c r="M50" s="274"/>
    </row>
    <row r="51" spans="1:13" ht="13.5" customHeight="1">
      <c r="A51" s="286"/>
      <c r="B51" s="286"/>
      <c r="C51" s="286"/>
      <c r="D51" s="286"/>
      <c r="E51" s="286"/>
      <c r="F51" s="291"/>
      <c r="G51" s="292"/>
      <c r="H51" s="274"/>
      <c r="I51" s="274"/>
      <c r="J51" s="274"/>
      <c r="K51" s="274"/>
      <c r="L51" s="274"/>
      <c r="M51" s="274"/>
    </row>
    <row r="52" spans="1:13" ht="13.5" customHeight="1">
      <c r="A52" s="286"/>
      <c r="B52" s="286"/>
      <c r="C52" s="286"/>
      <c r="D52" s="286"/>
      <c r="E52" s="286"/>
      <c r="F52" s="291"/>
      <c r="G52" s="292"/>
      <c r="H52" s="274"/>
      <c r="I52" s="274"/>
      <c r="J52" s="274"/>
      <c r="K52" s="274"/>
      <c r="L52" s="274"/>
      <c r="M52" s="274"/>
    </row>
    <row r="53" spans="1:13" ht="13.5" customHeight="1">
      <c r="A53" s="286"/>
      <c r="B53" s="286"/>
      <c r="C53" s="286"/>
      <c r="D53" s="286"/>
      <c r="E53" s="286"/>
      <c r="F53" s="291"/>
      <c r="G53" s="292"/>
      <c r="H53" s="274"/>
      <c r="I53" s="274"/>
      <c r="J53" s="274"/>
      <c r="K53" s="274"/>
      <c r="L53" s="274"/>
      <c r="M53" s="274"/>
    </row>
    <row r="54" spans="1:13" ht="13.5" customHeight="1">
      <c r="A54" s="286"/>
      <c r="B54" s="286"/>
      <c r="C54" s="286"/>
      <c r="D54" s="286"/>
      <c r="E54" s="286"/>
      <c r="F54" s="291"/>
      <c r="G54" s="292"/>
      <c r="H54" s="274"/>
      <c r="I54" s="274"/>
      <c r="J54" s="274"/>
      <c r="K54" s="274"/>
      <c r="L54" s="274"/>
      <c r="M54" s="274"/>
    </row>
    <row r="55" spans="1:13" ht="13.5" customHeight="1">
      <c r="A55" s="286"/>
      <c r="B55" s="286"/>
      <c r="C55" s="286"/>
      <c r="D55" s="286"/>
      <c r="E55" s="286"/>
      <c r="F55" s="291"/>
      <c r="G55" s="292"/>
      <c r="H55" s="274"/>
      <c r="I55" s="274"/>
      <c r="J55" s="274"/>
      <c r="K55" s="274"/>
      <c r="L55" s="274"/>
      <c r="M55" s="274"/>
    </row>
    <row r="56" spans="1:13" ht="13.5" customHeight="1">
      <c r="A56" s="286"/>
      <c r="B56" s="286"/>
      <c r="C56" s="286"/>
      <c r="D56" s="286"/>
      <c r="E56" s="286"/>
      <c r="F56" s="291"/>
      <c r="G56" s="292"/>
      <c r="H56" s="274"/>
      <c r="I56" s="274"/>
      <c r="J56" s="274"/>
      <c r="K56" s="274"/>
      <c r="L56" s="274"/>
      <c r="M56" s="274"/>
    </row>
    <row r="57" spans="1:13" ht="13.5" customHeight="1">
      <c r="A57" s="286"/>
      <c r="B57" s="286"/>
      <c r="C57" s="286"/>
      <c r="D57" s="286"/>
      <c r="E57" s="286"/>
      <c r="F57" s="291"/>
      <c r="G57" s="292"/>
      <c r="H57" s="274"/>
      <c r="I57" s="274"/>
      <c r="J57" s="274"/>
      <c r="K57" s="274"/>
      <c r="L57" s="274"/>
      <c r="M57" s="274"/>
    </row>
    <row r="58" spans="1:13" ht="13.5" customHeight="1">
      <c r="A58" s="286"/>
      <c r="B58" s="286"/>
      <c r="C58" s="286"/>
      <c r="D58" s="286"/>
      <c r="E58" s="286"/>
      <c r="F58" s="291"/>
      <c r="G58" s="292"/>
      <c r="H58" s="274"/>
      <c r="I58" s="274"/>
      <c r="J58" s="274"/>
      <c r="K58" s="274"/>
      <c r="L58" s="274"/>
      <c r="M58" s="274"/>
    </row>
    <row r="59" spans="1:13" ht="15.75">
      <c r="A59" s="7" t="s">
        <v>400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1:13" ht="12" customHeight="1">
      <c r="A60" s="274"/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</row>
    <row r="61" spans="1:13" ht="15.75">
      <c r="A61" s="7" t="s">
        <v>401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</row>
    <row r="62" spans="1:13" ht="12" customHeight="1" thickBot="1">
      <c r="A62" s="274"/>
      <c r="B62" s="274"/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</row>
    <row r="63" spans="1:11" ht="12.75" customHeight="1">
      <c r="A63" s="741" t="s">
        <v>376</v>
      </c>
      <c r="B63" s="742"/>
      <c r="C63" s="742"/>
      <c r="D63" s="741" t="s">
        <v>402</v>
      </c>
      <c r="E63" s="712"/>
      <c r="F63" s="741" t="s">
        <v>403</v>
      </c>
      <c r="G63" s="712"/>
      <c r="H63" s="741" t="s">
        <v>404</v>
      </c>
      <c r="I63" s="712"/>
      <c r="J63" s="741" t="s">
        <v>405</v>
      </c>
      <c r="K63" s="712"/>
    </row>
    <row r="64" spans="1:11" ht="12.75" customHeight="1">
      <c r="A64" s="743"/>
      <c r="B64" s="744"/>
      <c r="C64" s="744"/>
      <c r="D64" s="743"/>
      <c r="E64" s="713"/>
      <c r="F64" s="743"/>
      <c r="G64" s="713"/>
      <c r="H64" s="743"/>
      <c r="I64" s="713"/>
      <c r="J64" s="743"/>
      <c r="K64" s="713"/>
    </row>
    <row r="65" spans="1:11" ht="13.5" customHeight="1" thickBot="1">
      <c r="A65" s="778"/>
      <c r="B65" s="781"/>
      <c r="C65" s="781"/>
      <c r="D65" s="778"/>
      <c r="E65" s="714"/>
      <c r="F65" s="778"/>
      <c r="G65" s="714"/>
      <c r="H65" s="778"/>
      <c r="I65" s="714"/>
      <c r="J65" s="778"/>
      <c r="K65" s="714"/>
    </row>
    <row r="66" spans="1:12" s="57" customFormat="1" ht="25.5" customHeight="1" thickBot="1">
      <c r="A66" s="728" t="s">
        <v>406</v>
      </c>
      <c r="B66" s="728"/>
      <c r="C66" s="728"/>
      <c r="D66" s="728" t="s">
        <v>407</v>
      </c>
      <c r="E66" s="728"/>
      <c r="F66" s="779" t="s">
        <v>407</v>
      </c>
      <c r="G66" s="780"/>
      <c r="H66" s="779" t="s">
        <v>407</v>
      </c>
      <c r="I66" s="780"/>
      <c r="J66" s="728" t="s">
        <v>407</v>
      </c>
      <c r="K66" s="728"/>
      <c r="L66" s="293"/>
    </row>
    <row r="67" spans="1:13" s="127" customFormat="1" ht="12.75" customHeight="1">
      <c r="A67" s="752" t="s">
        <v>2</v>
      </c>
      <c r="B67" s="753"/>
      <c r="C67" s="754"/>
      <c r="D67" s="752"/>
      <c r="E67" s="754"/>
      <c r="F67" s="752"/>
      <c r="G67" s="754"/>
      <c r="H67" s="752"/>
      <c r="I67" s="754"/>
      <c r="J67" s="752" t="s">
        <v>407</v>
      </c>
      <c r="K67" s="754"/>
      <c r="L67" s="777"/>
      <c r="M67" s="777"/>
    </row>
    <row r="68" spans="1:13" s="127" customFormat="1" ht="13.5" customHeight="1" thickBot="1">
      <c r="A68" s="755"/>
      <c r="B68" s="756"/>
      <c r="C68" s="757"/>
      <c r="D68" s="755"/>
      <c r="E68" s="757"/>
      <c r="F68" s="755"/>
      <c r="G68" s="757"/>
      <c r="H68" s="755"/>
      <c r="I68" s="757"/>
      <c r="J68" s="755"/>
      <c r="K68" s="757"/>
      <c r="L68" s="777"/>
      <c r="M68" s="777"/>
    </row>
    <row r="70" spans="1:13" ht="15.75">
      <c r="A70" s="7" t="s">
        <v>408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</row>
    <row r="71" ht="13.5" thickBot="1"/>
    <row r="72" spans="1:11" ht="12.75" customHeight="1">
      <c r="A72" s="741" t="s">
        <v>376</v>
      </c>
      <c r="B72" s="742"/>
      <c r="C72" s="742"/>
      <c r="D72" s="741" t="s">
        <v>402</v>
      </c>
      <c r="E72" s="712"/>
      <c r="F72" s="741" t="s">
        <v>409</v>
      </c>
      <c r="G72" s="712"/>
      <c r="H72" s="741" t="s">
        <v>404</v>
      </c>
      <c r="I72" s="712"/>
      <c r="J72" s="741" t="s">
        <v>405</v>
      </c>
      <c r="K72" s="712"/>
    </row>
    <row r="73" spans="1:11" ht="12.75" customHeight="1">
      <c r="A73" s="743"/>
      <c r="B73" s="744"/>
      <c r="C73" s="744"/>
      <c r="D73" s="743"/>
      <c r="E73" s="713"/>
      <c r="F73" s="743"/>
      <c r="G73" s="713"/>
      <c r="H73" s="743"/>
      <c r="I73" s="713"/>
      <c r="J73" s="743"/>
      <c r="K73" s="713"/>
    </row>
    <row r="74" spans="1:11" ht="13.5" customHeight="1" thickBot="1">
      <c r="A74" s="778"/>
      <c r="B74" s="781"/>
      <c r="C74" s="781"/>
      <c r="D74" s="778"/>
      <c r="E74" s="714"/>
      <c r="F74" s="778"/>
      <c r="G74" s="714"/>
      <c r="H74" s="778"/>
      <c r="I74" s="714"/>
      <c r="J74" s="778"/>
      <c r="K74" s="714"/>
    </row>
    <row r="75" spans="1:12" s="57" customFormat="1" ht="25.5" customHeight="1" thickBot="1">
      <c r="A75" s="728" t="s">
        <v>410</v>
      </c>
      <c r="B75" s="728"/>
      <c r="C75" s="728"/>
      <c r="D75" s="728" t="s">
        <v>411</v>
      </c>
      <c r="E75" s="728"/>
      <c r="F75" s="799" t="s">
        <v>407</v>
      </c>
      <c r="G75" s="800"/>
      <c r="H75" s="799"/>
      <c r="I75" s="800"/>
      <c r="J75" s="731"/>
      <c r="K75" s="731"/>
      <c r="L75" s="293"/>
    </row>
    <row r="76" spans="1:13" ht="12.75" customHeight="1">
      <c r="A76" s="782" t="s">
        <v>2</v>
      </c>
      <c r="B76" s="783"/>
      <c r="C76" s="784"/>
      <c r="D76" s="788"/>
      <c r="E76" s="789"/>
      <c r="F76" s="791">
        <f>SUM(F75)</f>
        <v>0</v>
      </c>
      <c r="G76" s="792"/>
      <c r="H76" s="795">
        <f>SUM(H75)</f>
        <v>0</v>
      </c>
      <c r="I76" s="796"/>
      <c r="J76" s="795">
        <f>SUM(J75)</f>
        <v>0</v>
      </c>
      <c r="K76" s="796"/>
      <c r="L76" s="801"/>
      <c r="M76" s="801"/>
    </row>
    <row r="77" spans="1:13" ht="13.5" customHeight="1" thickBot="1">
      <c r="A77" s="785"/>
      <c r="B77" s="786"/>
      <c r="C77" s="787"/>
      <c r="D77" s="790"/>
      <c r="E77" s="682"/>
      <c r="F77" s="793"/>
      <c r="G77" s="794"/>
      <c r="H77" s="797"/>
      <c r="I77" s="798"/>
      <c r="J77" s="797"/>
      <c r="K77" s="798"/>
      <c r="L77" s="801"/>
      <c r="M77" s="801"/>
    </row>
    <row r="79" spans="1:13" ht="15.75">
      <c r="A79" s="7" t="s">
        <v>412</v>
      </c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</row>
    <row r="80" ht="13.5" thickBot="1"/>
    <row r="81" spans="1:11" ht="12.75" customHeight="1">
      <c r="A81" s="741" t="s">
        <v>376</v>
      </c>
      <c r="B81" s="742"/>
      <c r="C81" s="742"/>
      <c r="D81" s="741" t="s">
        <v>402</v>
      </c>
      <c r="E81" s="712"/>
      <c r="F81" s="741" t="s">
        <v>403</v>
      </c>
      <c r="G81" s="712"/>
      <c r="H81" s="741" t="s">
        <v>404</v>
      </c>
      <c r="I81" s="712"/>
      <c r="J81" s="741" t="s">
        <v>405</v>
      </c>
      <c r="K81" s="712"/>
    </row>
    <row r="82" spans="1:11" ht="12.75" customHeight="1">
      <c r="A82" s="743"/>
      <c r="B82" s="744"/>
      <c r="C82" s="744"/>
      <c r="D82" s="743"/>
      <c r="E82" s="713"/>
      <c r="F82" s="743"/>
      <c r="G82" s="713"/>
      <c r="H82" s="743"/>
      <c r="I82" s="713"/>
      <c r="J82" s="743"/>
      <c r="K82" s="713"/>
    </row>
    <row r="83" spans="1:11" ht="13.5" customHeight="1" thickBot="1">
      <c r="A83" s="778"/>
      <c r="B83" s="781"/>
      <c r="C83" s="781"/>
      <c r="D83" s="778"/>
      <c r="E83" s="714"/>
      <c r="F83" s="778"/>
      <c r="G83" s="714"/>
      <c r="H83" s="778"/>
      <c r="I83" s="714"/>
      <c r="J83" s="778"/>
      <c r="K83" s="714"/>
    </row>
    <row r="84" spans="1:12" s="57" customFormat="1" ht="25.5" customHeight="1" thickBot="1">
      <c r="A84" s="728" t="s">
        <v>410</v>
      </c>
      <c r="B84" s="728"/>
      <c r="C84" s="728"/>
      <c r="D84" s="728" t="s">
        <v>413</v>
      </c>
      <c r="E84" s="728"/>
      <c r="F84" s="779" t="s">
        <v>407</v>
      </c>
      <c r="G84" s="780"/>
      <c r="H84" s="779"/>
      <c r="I84" s="780"/>
      <c r="J84" s="728"/>
      <c r="K84" s="728"/>
      <c r="L84" s="293"/>
    </row>
    <row r="85" spans="1:13" ht="12.75" customHeight="1">
      <c r="A85" s="782" t="s">
        <v>2</v>
      </c>
      <c r="B85" s="783"/>
      <c r="C85" s="784"/>
      <c r="D85" s="788"/>
      <c r="E85" s="789"/>
      <c r="F85" s="788"/>
      <c r="G85" s="789"/>
      <c r="H85" s="752">
        <f>SUM(H84)</f>
        <v>0</v>
      </c>
      <c r="I85" s="754"/>
      <c r="J85" s="752">
        <f>SUM(J84)</f>
        <v>0</v>
      </c>
      <c r="K85" s="754"/>
      <c r="L85" s="801"/>
      <c r="M85" s="801"/>
    </row>
    <row r="86" spans="1:13" ht="13.5" customHeight="1" thickBot="1">
      <c r="A86" s="785"/>
      <c r="B86" s="786"/>
      <c r="C86" s="787"/>
      <c r="D86" s="790"/>
      <c r="E86" s="682"/>
      <c r="F86" s="790"/>
      <c r="G86" s="682"/>
      <c r="H86" s="755"/>
      <c r="I86" s="757"/>
      <c r="J86" s="755"/>
      <c r="K86" s="757"/>
      <c r="L86" s="801"/>
      <c r="M86" s="801"/>
    </row>
    <row r="88" spans="1:13" ht="15.75">
      <c r="A88" s="7" t="s">
        <v>414</v>
      </c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</row>
    <row r="89" ht="13.5" thickBot="1"/>
    <row r="90" spans="1:11" ht="12.75" customHeight="1">
      <c r="A90" s="741" t="s">
        <v>376</v>
      </c>
      <c r="B90" s="742"/>
      <c r="C90" s="742"/>
      <c r="D90" s="741" t="s">
        <v>402</v>
      </c>
      <c r="E90" s="712"/>
      <c r="F90" s="741" t="s">
        <v>403</v>
      </c>
      <c r="G90" s="712"/>
      <c r="H90" s="741" t="s">
        <v>404</v>
      </c>
      <c r="I90" s="712"/>
      <c r="J90" s="741" t="s">
        <v>405</v>
      </c>
      <c r="K90" s="712"/>
    </row>
    <row r="91" spans="1:11" ht="12.75" customHeight="1">
      <c r="A91" s="743"/>
      <c r="B91" s="744"/>
      <c r="C91" s="744"/>
      <c r="D91" s="743"/>
      <c r="E91" s="713"/>
      <c r="F91" s="743"/>
      <c r="G91" s="713"/>
      <c r="H91" s="743"/>
      <c r="I91" s="713"/>
      <c r="J91" s="743"/>
      <c r="K91" s="713"/>
    </row>
    <row r="92" spans="1:11" ht="13.5" customHeight="1" thickBot="1">
      <c r="A92" s="778"/>
      <c r="B92" s="781"/>
      <c r="C92" s="781"/>
      <c r="D92" s="778"/>
      <c r="E92" s="714"/>
      <c r="F92" s="778"/>
      <c r="G92" s="714"/>
      <c r="H92" s="778"/>
      <c r="I92" s="714"/>
      <c r="J92" s="778"/>
      <c r="K92" s="714"/>
    </row>
    <row r="93" spans="1:12" s="57" customFormat="1" ht="25.5" customHeight="1" thickBot="1">
      <c r="A93" s="728" t="s">
        <v>410</v>
      </c>
      <c r="B93" s="728"/>
      <c r="C93" s="728"/>
      <c r="D93" s="728"/>
      <c r="E93" s="728"/>
      <c r="F93" s="779" t="s">
        <v>407</v>
      </c>
      <c r="G93" s="780"/>
      <c r="H93" s="779"/>
      <c r="I93" s="780"/>
      <c r="J93" s="728"/>
      <c r="K93" s="728"/>
      <c r="L93" s="293"/>
    </row>
    <row r="94" spans="1:13" ht="12.75" customHeight="1">
      <c r="A94" s="782" t="s">
        <v>2</v>
      </c>
      <c r="B94" s="783"/>
      <c r="C94" s="784"/>
      <c r="D94" s="788"/>
      <c r="E94" s="789"/>
      <c r="F94" s="788"/>
      <c r="G94" s="789"/>
      <c r="H94" s="752">
        <f>SUM(H93)</f>
        <v>0</v>
      </c>
      <c r="I94" s="754"/>
      <c r="J94" s="752">
        <f>SUM(J93)</f>
        <v>0</v>
      </c>
      <c r="K94" s="754"/>
      <c r="L94" s="801"/>
      <c r="M94" s="801"/>
    </row>
    <row r="95" spans="1:13" ht="13.5" customHeight="1" thickBot="1">
      <c r="A95" s="785"/>
      <c r="B95" s="786"/>
      <c r="C95" s="787"/>
      <c r="D95" s="790"/>
      <c r="E95" s="682"/>
      <c r="F95" s="790"/>
      <c r="G95" s="682"/>
      <c r="H95" s="755"/>
      <c r="I95" s="757"/>
      <c r="J95" s="755"/>
      <c r="K95" s="757"/>
      <c r="L95" s="801"/>
      <c r="M95" s="801"/>
    </row>
  </sheetData>
  <sheetProtection password="AF00" sheet="1"/>
  <mergeCells count="152">
    <mergeCell ref="A40:C40"/>
    <mergeCell ref="A41:C41"/>
    <mergeCell ref="G37:G39"/>
    <mergeCell ref="A90:C92"/>
    <mergeCell ref="D90:E92"/>
    <mergeCell ref="F90:G92"/>
    <mergeCell ref="A85:C86"/>
    <mergeCell ref="D85:E86"/>
    <mergeCell ref="F85:G86"/>
    <mergeCell ref="A84:C84"/>
    <mergeCell ref="D84:E84"/>
    <mergeCell ref="F84:G84"/>
    <mergeCell ref="A1:M1"/>
    <mergeCell ref="A4:M4"/>
    <mergeCell ref="K37:K39"/>
    <mergeCell ref="L37:L39"/>
    <mergeCell ref="M37:M39"/>
    <mergeCell ref="A37:C39"/>
    <mergeCell ref="D37:D39"/>
    <mergeCell ref="I34:I36"/>
    <mergeCell ref="J34:J36"/>
    <mergeCell ref="L34:L36"/>
    <mergeCell ref="A94:C95"/>
    <mergeCell ref="D94:E95"/>
    <mergeCell ref="F94:G95"/>
    <mergeCell ref="A93:C93"/>
    <mergeCell ref="D93:E93"/>
    <mergeCell ref="F93:G93"/>
    <mergeCell ref="L94:L95"/>
    <mergeCell ref="L76:L77"/>
    <mergeCell ref="M94:M95"/>
    <mergeCell ref="J93:K93"/>
    <mergeCell ref="H93:I93"/>
    <mergeCell ref="H94:I95"/>
    <mergeCell ref="J94:K95"/>
    <mergeCell ref="H90:I92"/>
    <mergeCell ref="M85:M86"/>
    <mergeCell ref="J90:K92"/>
    <mergeCell ref="L85:L86"/>
    <mergeCell ref="J84:K84"/>
    <mergeCell ref="J85:K86"/>
    <mergeCell ref="H85:I86"/>
    <mergeCell ref="H84:I84"/>
    <mergeCell ref="M76:M77"/>
    <mergeCell ref="A81:C83"/>
    <mergeCell ref="D81:E83"/>
    <mergeCell ref="F81:G83"/>
    <mergeCell ref="H81:I83"/>
    <mergeCell ref="J81:K83"/>
    <mergeCell ref="J75:K75"/>
    <mergeCell ref="A76:C77"/>
    <mergeCell ref="D76:E77"/>
    <mergeCell ref="F76:G77"/>
    <mergeCell ref="H76:I77"/>
    <mergeCell ref="J76:K77"/>
    <mergeCell ref="A75:C75"/>
    <mergeCell ref="D75:E75"/>
    <mergeCell ref="F75:G75"/>
    <mergeCell ref="H75:I75"/>
    <mergeCell ref="J72:K74"/>
    <mergeCell ref="A67:C68"/>
    <mergeCell ref="D67:E68"/>
    <mergeCell ref="F67:G68"/>
    <mergeCell ref="H67:I68"/>
    <mergeCell ref="A72:C74"/>
    <mergeCell ref="D72:E74"/>
    <mergeCell ref="F72:G74"/>
    <mergeCell ref="H72:I74"/>
    <mergeCell ref="A66:C66"/>
    <mergeCell ref="D66:E66"/>
    <mergeCell ref="F66:G66"/>
    <mergeCell ref="M67:M68"/>
    <mergeCell ref="A63:C65"/>
    <mergeCell ref="D63:E65"/>
    <mergeCell ref="F63:G65"/>
    <mergeCell ref="H63:I65"/>
    <mergeCell ref="H66:I66"/>
    <mergeCell ref="K42:K44"/>
    <mergeCell ref="L42:L44"/>
    <mergeCell ref="J67:K68"/>
    <mergeCell ref="L67:L68"/>
    <mergeCell ref="J63:K65"/>
    <mergeCell ref="M42:M44"/>
    <mergeCell ref="J66:K66"/>
    <mergeCell ref="H45:H46"/>
    <mergeCell ref="I45:I46"/>
    <mergeCell ref="J45:J46"/>
    <mergeCell ref="L45:L46"/>
    <mergeCell ref="M45:M46"/>
    <mergeCell ref="K45:K46"/>
    <mergeCell ref="G45:G46"/>
    <mergeCell ref="G42:G44"/>
    <mergeCell ref="A45:C46"/>
    <mergeCell ref="D45:D46"/>
    <mergeCell ref="E45:E46"/>
    <mergeCell ref="F45:F46"/>
    <mergeCell ref="F42:F44"/>
    <mergeCell ref="A42:C44"/>
    <mergeCell ref="D42:D44"/>
    <mergeCell ref="I42:I44"/>
    <mergeCell ref="J42:J44"/>
    <mergeCell ref="E34:E36"/>
    <mergeCell ref="E42:E44"/>
    <mergeCell ref="H42:H44"/>
    <mergeCell ref="I37:I39"/>
    <mergeCell ref="J37:J39"/>
    <mergeCell ref="H37:H39"/>
    <mergeCell ref="E37:E39"/>
    <mergeCell ref="F37:F39"/>
    <mergeCell ref="M34:M36"/>
    <mergeCell ref="A31:C33"/>
    <mergeCell ref="D31:F31"/>
    <mergeCell ref="G31:I31"/>
    <mergeCell ref="J31:L31"/>
    <mergeCell ref="M31:M33"/>
    <mergeCell ref="A34:C36"/>
    <mergeCell ref="D34:D36"/>
    <mergeCell ref="H34:H36"/>
    <mergeCell ref="K34:K36"/>
    <mergeCell ref="A19:C20"/>
    <mergeCell ref="D19:D20"/>
    <mergeCell ref="E19:E20"/>
    <mergeCell ref="F19:F20"/>
    <mergeCell ref="F34:F36"/>
    <mergeCell ref="G34:G36"/>
    <mergeCell ref="H19:H20"/>
    <mergeCell ref="G19:G20"/>
    <mergeCell ref="I19:I20"/>
    <mergeCell ref="M19:M20"/>
    <mergeCell ref="I16:I18"/>
    <mergeCell ref="J16:J18"/>
    <mergeCell ref="K16:K18"/>
    <mergeCell ref="L16:L18"/>
    <mergeCell ref="M16:M18"/>
    <mergeCell ref="J19:J20"/>
    <mergeCell ref="K19:K20"/>
    <mergeCell ref="L19:L20"/>
    <mergeCell ref="A2:M2"/>
    <mergeCell ref="A5:M5"/>
    <mergeCell ref="A6:M6"/>
    <mergeCell ref="A7:M7"/>
    <mergeCell ref="A13:C15"/>
    <mergeCell ref="D13:F13"/>
    <mergeCell ref="G13:I13"/>
    <mergeCell ref="J13:L13"/>
    <mergeCell ref="M13:M15"/>
    <mergeCell ref="A16:C18"/>
    <mergeCell ref="D16:D18"/>
    <mergeCell ref="E16:E18"/>
    <mergeCell ref="F16:F18"/>
    <mergeCell ref="G16:G18"/>
    <mergeCell ref="H16:H18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5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5.75390625" style="26" customWidth="1"/>
    <col min="2" max="2" width="65.75390625" style="26" customWidth="1"/>
    <col min="3" max="5" width="15.75390625" style="26" bestFit="1" customWidth="1"/>
    <col min="6" max="6" width="18.00390625" style="26" bestFit="1" customWidth="1"/>
    <col min="7" max="7" width="11.375" style="57" bestFit="1" customWidth="1"/>
    <col min="8" max="16384" width="9.125" style="57" customWidth="1"/>
  </cols>
  <sheetData>
    <row r="1" spans="1:6" ht="15.75">
      <c r="A1" s="531" t="s">
        <v>622</v>
      </c>
      <c r="B1" s="531"/>
      <c r="C1" s="531"/>
      <c r="D1" s="531"/>
      <c r="E1" s="531"/>
      <c r="F1" s="531"/>
    </row>
    <row r="2" spans="1:6" ht="21" customHeight="1">
      <c r="A2" s="643"/>
      <c r="B2" s="643"/>
      <c r="C2" s="643"/>
      <c r="D2" s="643"/>
      <c r="E2" s="643"/>
      <c r="F2" s="643"/>
    </row>
    <row r="3" spans="1:6" ht="15.75">
      <c r="A3" s="643" t="s">
        <v>415</v>
      </c>
      <c r="B3" s="643"/>
      <c r="C3" s="643"/>
      <c r="D3" s="643"/>
      <c r="E3" s="643"/>
      <c r="F3" s="643"/>
    </row>
    <row r="4" spans="1:6" ht="15.75">
      <c r="A4" s="643" t="s">
        <v>416</v>
      </c>
      <c r="B4" s="643"/>
      <c r="C4" s="643"/>
      <c r="D4" s="643"/>
      <c r="E4" s="643"/>
      <c r="F4" s="643"/>
    </row>
    <row r="5" spans="1:6" ht="15.75">
      <c r="A5" s="643" t="s">
        <v>591</v>
      </c>
      <c r="B5" s="643"/>
      <c r="C5" s="643"/>
      <c r="D5" s="643"/>
      <c r="E5" s="643"/>
      <c r="F5" s="643"/>
    </row>
    <row r="6" spans="1:6" ht="16.5" thickBot="1">
      <c r="A6" s="28"/>
      <c r="B6" s="28"/>
      <c r="C6" s="57"/>
      <c r="D6" s="295"/>
      <c r="E6" s="57"/>
      <c r="F6" s="295" t="s">
        <v>5</v>
      </c>
    </row>
    <row r="7" spans="1:6" ht="15.75">
      <c r="A7" s="296" t="s">
        <v>41</v>
      </c>
      <c r="B7" s="819" t="s">
        <v>417</v>
      </c>
      <c r="C7" s="822" t="s">
        <v>418</v>
      </c>
      <c r="D7" s="823"/>
      <c r="E7" s="823"/>
      <c r="F7" s="819" t="s">
        <v>305</v>
      </c>
    </row>
    <row r="8" spans="1:6" ht="16.5" thickBot="1">
      <c r="A8" s="297"/>
      <c r="B8" s="820"/>
      <c r="C8" s="824"/>
      <c r="D8" s="825"/>
      <c r="E8" s="825"/>
      <c r="F8" s="820"/>
    </row>
    <row r="9" spans="1:6" ht="16.5" thickBot="1">
      <c r="A9" s="297"/>
      <c r="B9" s="820"/>
      <c r="C9" s="298" t="s">
        <v>483</v>
      </c>
      <c r="D9" s="298" t="s">
        <v>525</v>
      </c>
      <c r="E9" s="298" t="s">
        <v>592</v>
      </c>
      <c r="F9" s="820"/>
    </row>
    <row r="10" spans="1:6" ht="16.5" thickBot="1">
      <c r="A10" s="299" t="s">
        <v>42</v>
      </c>
      <c r="B10" s="821"/>
      <c r="C10" s="826" t="s">
        <v>419</v>
      </c>
      <c r="D10" s="827"/>
      <c r="E10" s="827"/>
      <c r="F10" s="821"/>
    </row>
    <row r="11" spans="1:6" ht="15.75">
      <c r="A11" s="294" t="s">
        <v>43</v>
      </c>
      <c r="B11" s="324" t="s">
        <v>425</v>
      </c>
      <c r="C11" s="300">
        <v>7733</v>
      </c>
      <c r="D11" s="300">
        <v>7733</v>
      </c>
      <c r="E11" s="300">
        <v>7733</v>
      </c>
      <c r="F11" s="300">
        <f>SUM(C11:E11)</f>
        <v>23199</v>
      </c>
    </row>
    <row r="12" spans="1:6" ht="31.5">
      <c r="A12" s="294" t="s">
        <v>26</v>
      </c>
      <c r="B12" s="325" t="s">
        <v>426</v>
      </c>
      <c r="C12" s="301"/>
      <c r="D12" s="301"/>
      <c r="E12" s="301"/>
      <c r="F12" s="300">
        <f>SUM(C12:E12)</f>
        <v>0</v>
      </c>
    </row>
    <row r="13" spans="1:2" s="272" customFormat="1" ht="15.75">
      <c r="A13" s="294" t="s">
        <v>44</v>
      </c>
      <c r="B13" s="324" t="s">
        <v>427</v>
      </c>
    </row>
    <row r="14" spans="1:6" s="272" customFormat="1" ht="31.5">
      <c r="A14" s="294" t="s">
        <v>100</v>
      </c>
      <c r="B14" s="325" t="s">
        <v>428</v>
      </c>
      <c r="C14" s="302"/>
      <c r="D14" s="302"/>
      <c r="E14" s="302"/>
      <c r="F14" s="300">
        <f>SUM(C14:E14)</f>
        <v>0</v>
      </c>
    </row>
    <row r="15" spans="1:6" s="272" customFormat="1" ht="15.75">
      <c r="A15" s="294" t="s">
        <v>101</v>
      </c>
      <c r="B15" s="324" t="s">
        <v>420</v>
      </c>
      <c r="C15" s="302">
        <v>75</v>
      </c>
      <c r="D15" s="302">
        <v>75</v>
      </c>
      <c r="E15" s="302">
        <v>75</v>
      </c>
      <c r="F15" s="300">
        <f>SUM(C15:E15)</f>
        <v>225</v>
      </c>
    </row>
    <row r="16" spans="1:6" s="272" customFormat="1" ht="15.75">
      <c r="A16" s="294" t="s">
        <v>107</v>
      </c>
      <c r="B16" s="324" t="s">
        <v>429</v>
      </c>
      <c r="C16" s="303"/>
      <c r="D16" s="303"/>
      <c r="E16" s="303"/>
      <c r="F16" s="303"/>
    </row>
    <row r="17" spans="1:6" s="307" customFormat="1" ht="15.75">
      <c r="A17" s="304" t="s">
        <v>241</v>
      </c>
      <c r="B17" s="305" t="s">
        <v>421</v>
      </c>
      <c r="C17" s="306">
        <f>SUM(C11:C16)</f>
        <v>7808</v>
      </c>
      <c r="D17" s="306">
        <f>SUM(D11:D16)</f>
        <v>7808</v>
      </c>
      <c r="E17" s="306">
        <f>SUM(E11:E16)</f>
        <v>7808</v>
      </c>
      <c r="F17" s="306">
        <f>SUM(F11:F16)</f>
        <v>23424</v>
      </c>
    </row>
    <row r="18" spans="1:6" s="312" customFormat="1" ht="18.75">
      <c r="A18" s="308" t="s">
        <v>245</v>
      </c>
      <c r="B18" s="309" t="s">
        <v>422</v>
      </c>
      <c r="C18" s="310">
        <f>C17*0.5</f>
        <v>3904</v>
      </c>
      <c r="D18" s="310">
        <f>D17*0.5</f>
        <v>3904</v>
      </c>
      <c r="E18" s="310">
        <f>E17*0.5</f>
        <v>3904</v>
      </c>
      <c r="F18" s="311">
        <f>SUM(C18:E18)</f>
        <v>11712</v>
      </c>
    </row>
    <row r="19" spans="1:6" s="272" customFormat="1" ht="31.5">
      <c r="A19" s="313" t="s">
        <v>251</v>
      </c>
      <c r="B19" s="325" t="s">
        <v>430</v>
      </c>
      <c r="C19" s="302"/>
      <c r="D19" s="302"/>
      <c r="E19" s="302"/>
      <c r="F19" s="302">
        <f>SUM(C19:E19)</f>
        <v>0</v>
      </c>
    </row>
    <row r="20" spans="1:6" s="272" customFormat="1" ht="31.5">
      <c r="A20" s="313" t="s">
        <v>253</v>
      </c>
      <c r="B20" s="325" t="s">
        <v>431</v>
      </c>
      <c r="C20" s="302"/>
      <c r="D20" s="302"/>
      <c r="E20" s="302"/>
      <c r="F20" s="302">
        <f>SUM(C20:E20)</f>
        <v>0</v>
      </c>
    </row>
    <row r="21" spans="1:6" s="272" customFormat="1" ht="15.75">
      <c r="A21" s="313" t="s">
        <v>255</v>
      </c>
      <c r="B21" s="324" t="s">
        <v>432</v>
      </c>
      <c r="C21" s="302"/>
      <c r="D21" s="302"/>
      <c r="E21" s="302"/>
      <c r="F21" s="302"/>
    </row>
    <row r="22" spans="1:6" s="272" customFormat="1" ht="31.5">
      <c r="A22" s="313" t="s">
        <v>260</v>
      </c>
      <c r="B22" s="314" t="s">
        <v>433</v>
      </c>
      <c r="C22" s="302"/>
      <c r="D22" s="302"/>
      <c r="E22" s="302"/>
      <c r="F22" s="302"/>
    </row>
    <row r="23" spans="1:6" s="272" customFormat="1" ht="47.25">
      <c r="A23" s="313" t="s">
        <v>262</v>
      </c>
      <c r="B23" s="314" t="s">
        <v>434</v>
      </c>
      <c r="C23" s="302"/>
      <c r="D23" s="302"/>
      <c r="E23" s="302"/>
      <c r="F23" s="302"/>
    </row>
    <row r="24" spans="1:6" s="272" customFormat="1" ht="31.5">
      <c r="A24" s="313" t="s">
        <v>264</v>
      </c>
      <c r="B24" s="314" t="s">
        <v>435</v>
      </c>
      <c r="C24" s="302"/>
      <c r="D24" s="302"/>
      <c r="E24" s="302"/>
      <c r="F24" s="302"/>
    </row>
    <row r="25" spans="1:6" s="272" customFormat="1" ht="31.5">
      <c r="A25" s="313" t="s">
        <v>271</v>
      </c>
      <c r="B25" s="314" t="s">
        <v>436</v>
      </c>
      <c r="C25" s="315"/>
      <c r="D25" s="315"/>
      <c r="E25" s="315"/>
      <c r="F25" s="315"/>
    </row>
    <row r="26" spans="1:6" s="307" customFormat="1" ht="15.75">
      <c r="A26" s="304" t="s">
        <v>274</v>
      </c>
      <c r="B26" s="316" t="s">
        <v>423</v>
      </c>
      <c r="C26" s="317">
        <f>SUM(C19:C24)</f>
        <v>0</v>
      </c>
      <c r="D26" s="317">
        <f>SUM(D19:D24)</f>
        <v>0</v>
      </c>
      <c r="E26" s="317">
        <f>SUM(E19:E24)</f>
        <v>0</v>
      </c>
      <c r="F26" s="317">
        <f>SUM(F19:F24)</f>
        <v>0</v>
      </c>
    </row>
    <row r="27" spans="1:6" s="320" customFormat="1" ht="37.5">
      <c r="A27" s="308" t="s">
        <v>276</v>
      </c>
      <c r="B27" s="318" t="s">
        <v>424</v>
      </c>
      <c r="C27" s="319">
        <f>C18-C26</f>
        <v>3904</v>
      </c>
      <c r="D27" s="319">
        <f>D18-D26</f>
        <v>3904</v>
      </c>
      <c r="E27" s="319">
        <f>E18-E26</f>
        <v>3904</v>
      </c>
      <c r="F27" s="319">
        <f>SUM(C27:E27)</f>
        <v>11712</v>
      </c>
    </row>
    <row r="28" spans="1:6" s="272" customFormat="1" ht="15.75">
      <c r="A28" s="321"/>
      <c r="B28" s="322"/>
      <c r="C28" s="302"/>
      <c r="D28" s="302"/>
      <c r="E28" s="302"/>
      <c r="F28" s="302"/>
    </row>
    <row r="29" spans="1:7" s="272" customFormat="1" ht="15.75">
      <c r="A29" s="321"/>
      <c r="B29" s="322"/>
      <c r="C29" s="302"/>
      <c r="D29" s="302"/>
      <c r="E29" s="302"/>
      <c r="F29" s="302"/>
      <c r="G29" s="302"/>
    </row>
    <row r="30" spans="1:6" s="272" customFormat="1" ht="15.75">
      <c r="A30" s="322"/>
      <c r="B30" s="322"/>
      <c r="C30" s="302"/>
      <c r="D30" s="302"/>
      <c r="E30" s="302"/>
      <c r="F30" s="302"/>
    </row>
    <row r="31" spans="1:6" s="272" customFormat="1" ht="15.75">
      <c r="A31" s="322"/>
      <c r="B31" s="322"/>
      <c r="C31" s="302"/>
      <c r="D31" s="302"/>
      <c r="E31" s="302"/>
      <c r="F31" s="302"/>
    </row>
    <row r="32" spans="1:6" s="272" customFormat="1" ht="15.75">
      <c r="A32" s="322"/>
      <c r="B32" s="322"/>
      <c r="C32" s="302"/>
      <c r="D32" s="302"/>
      <c r="E32" s="302"/>
      <c r="F32" s="302"/>
    </row>
    <row r="33" spans="1:6" s="272" customFormat="1" ht="15.75">
      <c r="A33" s="322"/>
      <c r="B33" s="323"/>
      <c r="C33" s="302"/>
      <c r="D33" s="302"/>
      <c r="E33" s="302"/>
      <c r="F33" s="302"/>
    </row>
    <row r="34" spans="1:6" s="272" customFormat="1" ht="15.75">
      <c r="A34" s="322"/>
      <c r="B34" s="322"/>
      <c r="C34" s="302"/>
      <c r="D34" s="302"/>
      <c r="E34" s="302"/>
      <c r="F34" s="302"/>
    </row>
    <row r="35" spans="1:6" s="272" customFormat="1" ht="15.75">
      <c r="A35" s="322"/>
      <c r="B35" s="322"/>
      <c r="C35" s="302"/>
      <c r="D35" s="302"/>
      <c r="E35" s="302"/>
      <c r="F35" s="302"/>
    </row>
  </sheetData>
  <sheetProtection password="AF00" sheet="1"/>
  <mergeCells count="9">
    <mergeCell ref="A1:F1"/>
    <mergeCell ref="A2:F2"/>
    <mergeCell ref="A3:F3"/>
    <mergeCell ref="A4:F4"/>
    <mergeCell ref="B7:B10"/>
    <mergeCell ref="C7:E8"/>
    <mergeCell ref="F7:F10"/>
    <mergeCell ref="C10:E10"/>
    <mergeCell ref="A5:F5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2:N23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1.875" style="0" customWidth="1"/>
    <col min="2" max="2" width="27.625" style="0" customWidth="1"/>
    <col min="3" max="3" width="11.125" style="0" customWidth="1"/>
    <col min="4" max="4" width="15.75390625" style="0" customWidth="1"/>
    <col min="5" max="5" width="12.875" style="0" customWidth="1"/>
    <col min="6" max="6" width="12.00390625" style="0" customWidth="1"/>
    <col min="7" max="7" width="10.125" style="0" customWidth="1"/>
    <col min="8" max="8" width="11.125" style="0" customWidth="1"/>
    <col min="9" max="9" width="12.375" style="0" customWidth="1"/>
    <col min="10" max="11" width="12.00390625" style="0" customWidth="1"/>
    <col min="12" max="12" width="13.375" style="0" customWidth="1"/>
    <col min="13" max="13" width="12.75390625" style="0" customWidth="1"/>
    <col min="14" max="14" width="11.875" style="0" customWidth="1"/>
  </cols>
  <sheetData>
    <row r="2" spans="1:4" ht="12.75">
      <c r="A2" s="831" t="s">
        <v>623</v>
      </c>
      <c r="B2" s="831"/>
      <c r="C2" s="831"/>
      <c r="D2" s="831"/>
    </row>
    <row r="4" spans="1:14" ht="18.75" customHeight="1">
      <c r="A4" s="832"/>
      <c r="B4" s="832"/>
      <c r="C4" s="832"/>
      <c r="D4" s="832"/>
      <c r="E4" s="832"/>
      <c r="F4" s="832"/>
      <c r="G4" s="832"/>
      <c r="H4" s="832"/>
      <c r="I4" s="832"/>
      <c r="J4" s="832"/>
      <c r="K4" s="832"/>
      <c r="L4" s="832"/>
      <c r="M4" s="832"/>
      <c r="N4" s="832"/>
    </row>
    <row r="5" spans="1:14" ht="18" customHeight="1">
      <c r="A5" s="832" t="s">
        <v>543</v>
      </c>
      <c r="B5" s="832"/>
      <c r="C5" s="832"/>
      <c r="D5" s="832"/>
      <c r="E5" s="832"/>
      <c r="F5" s="832"/>
      <c r="G5" s="832"/>
      <c r="H5" s="832"/>
      <c r="I5" s="832"/>
      <c r="J5" s="832"/>
      <c r="K5" s="832"/>
      <c r="L5" s="832"/>
      <c r="M5" s="832"/>
      <c r="N5" s="832"/>
    </row>
    <row r="6" spans="1:14" ht="16.5" customHeight="1">
      <c r="A6" s="832" t="s">
        <v>544</v>
      </c>
      <c r="B6" s="832"/>
      <c r="C6" s="832"/>
      <c r="D6" s="832"/>
      <c r="E6" s="832"/>
      <c r="F6" s="832"/>
      <c r="G6" s="832"/>
      <c r="H6" s="832"/>
      <c r="I6" s="832"/>
      <c r="J6" s="832"/>
      <c r="K6" s="832"/>
      <c r="L6" s="832"/>
      <c r="M6" s="832"/>
      <c r="N6" s="832"/>
    </row>
    <row r="7" spans="1:14" ht="16.5" customHeight="1">
      <c r="A7" s="832" t="s">
        <v>584</v>
      </c>
      <c r="B7" s="832"/>
      <c r="C7" s="832"/>
      <c r="D7" s="832"/>
      <c r="E7" s="832"/>
      <c r="F7" s="832"/>
      <c r="G7" s="832"/>
      <c r="H7" s="832"/>
      <c r="I7" s="832"/>
      <c r="J7" s="832"/>
      <c r="K7" s="832"/>
      <c r="L7" s="832"/>
      <c r="M7" s="832"/>
      <c r="N7" s="832"/>
    </row>
    <row r="9" ht="13.5" thickBot="1">
      <c r="N9" s="468" t="s">
        <v>545</v>
      </c>
    </row>
    <row r="10" spans="1:14" ht="21" customHeight="1" thickBot="1">
      <c r="A10" s="830" t="s">
        <v>546</v>
      </c>
      <c r="B10" s="833" t="s">
        <v>0</v>
      </c>
      <c r="C10" s="834" t="s">
        <v>547</v>
      </c>
      <c r="D10" s="828" t="s">
        <v>548</v>
      </c>
      <c r="E10" s="828"/>
      <c r="F10" s="828"/>
      <c r="G10" s="828"/>
      <c r="H10" s="828"/>
      <c r="I10" s="829" t="s">
        <v>549</v>
      </c>
      <c r="J10" s="829"/>
      <c r="K10" s="829"/>
      <c r="L10" s="829"/>
      <c r="M10" s="829" t="s">
        <v>550</v>
      </c>
      <c r="N10" s="829"/>
    </row>
    <row r="11" spans="1:14" ht="63" customHeight="1" thickBot="1">
      <c r="A11" s="830"/>
      <c r="B11" s="833"/>
      <c r="C11" s="834"/>
      <c r="D11" s="470" t="s">
        <v>551</v>
      </c>
      <c r="E11" s="470" t="s">
        <v>552</v>
      </c>
      <c r="F11" s="470" t="s">
        <v>548</v>
      </c>
      <c r="G11" s="470" t="s">
        <v>553</v>
      </c>
      <c r="H11" s="470" t="s">
        <v>554</v>
      </c>
      <c r="I11" s="470" t="s">
        <v>555</v>
      </c>
      <c r="J11" s="470" t="s">
        <v>549</v>
      </c>
      <c r="K11" s="470" t="s">
        <v>572</v>
      </c>
      <c r="L11" s="470" t="s">
        <v>556</v>
      </c>
      <c r="M11" s="470" t="s">
        <v>557</v>
      </c>
      <c r="N11" s="470" t="s">
        <v>558</v>
      </c>
    </row>
    <row r="12" spans="1:14" ht="16.5" customHeight="1" thickBot="1">
      <c r="A12" s="471" t="s">
        <v>43</v>
      </c>
      <c r="B12" s="471" t="s">
        <v>559</v>
      </c>
      <c r="C12" s="472">
        <f>H12+M12+L12+N12</f>
        <v>62548681</v>
      </c>
      <c r="D12" s="472">
        <v>31063538</v>
      </c>
      <c r="E12" s="472">
        <v>7813000</v>
      </c>
      <c r="F12" s="472">
        <v>6687685</v>
      </c>
      <c r="G12" s="471"/>
      <c r="H12" s="472">
        <f>D12+E12+F12</f>
        <v>45564223</v>
      </c>
      <c r="I12" s="471">
        <v>15833638</v>
      </c>
      <c r="J12" s="472"/>
      <c r="K12" s="471">
        <v>6346850</v>
      </c>
      <c r="L12" s="472">
        <f>I12+J12+K12</f>
        <v>22180488</v>
      </c>
      <c r="M12" s="472">
        <v>6216573</v>
      </c>
      <c r="N12" s="472">
        <v>-11412603</v>
      </c>
    </row>
    <row r="13" spans="1:14" ht="18.75" customHeight="1" thickBot="1">
      <c r="A13" s="471" t="s">
        <v>26</v>
      </c>
      <c r="B13" s="471" t="s">
        <v>560</v>
      </c>
      <c r="C13" s="472">
        <f>H13+N13</f>
        <v>14830483</v>
      </c>
      <c r="D13" s="471"/>
      <c r="E13" s="471"/>
      <c r="F13" s="472">
        <v>3417880</v>
      </c>
      <c r="G13" s="471"/>
      <c r="H13" s="472">
        <f>D13+E13+F13</f>
        <v>3417880</v>
      </c>
      <c r="I13" s="471"/>
      <c r="J13" s="471"/>
      <c r="K13" s="471"/>
      <c r="L13" s="471"/>
      <c r="M13" s="471"/>
      <c r="N13" s="472">
        <v>11412603</v>
      </c>
    </row>
    <row r="14" spans="1:14" ht="20.25" customHeight="1" thickBot="1">
      <c r="A14" s="471" t="s">
        <v>44</v>
      </c>
      <c r="B14" s="471" t="s">
        <v>561</v>
      </c>
      <c r="C14" s="472">
        <f>C12+C13</f>
        <v>77379164</v>
      </c>
      <c r="D14" s="472">
        <f aca="true" t="shared" si="0" ref="D14:N14">D12+D13</f>
        <v>31063538</v>
      </c>
      <c r="E14" s="472">
        <f t="shared" si="0"/>
        <v>7813000</v>
      </c>
      <c r="F14" s="472">
        <f t="shared" si="0"/>
        <v>10105565</v>
      </c>
      <c r="G14" s="472">
        <f t="shared" si="0"/>
        <v>0</v>
      </c>
      <c r="H14" s="472">
        <f t="shared" si="0"/>
        <v>48982103</v>
      </c>
      <c r="I14" s="472">
        <f t="shared" si="0"/>
        <v>15833638</v>
      </c>
      <c r="J14" s="472">
        <f t="shared" si="0"/>
        <v>0</v>
      </c>
      <c r="K14" s="472">
        <f t="shared" si="0"/>
        <v>6346850</v>
      </c>
      <c r="L14" s="472">
        <f t="shared" si="0"/>
        <v>22180488</v>
      </c>
      <c r="M14" s="472">
        <f t="shared" si="0"/>
        <v>6216573</v>
      </c>
      <c r="N14" s="472">
        <f t="shared" si="0"/>
        <v>0</v>
      </c>
    </row>
    <row r="23" ht="12.75">
      <c r="B23" s="474"/>
    </row>
  </sheetData>
  <sheetProtection password="AF00" sheet="1"/>
  <mergeCells count="11">
    <mergeCell ref="C10:C11"/>
    <mergeCell ref="D10:H10"/>
    <mergeCell ref="I10:L10"/>
    <mergeCell ref="M10:N10"/>
    <mergeCell ref="A10:A11"/>
    <mergeCell ref="A2:D2"/>
    <mergeCell ref="A4:N4"/>
    <mergeCell ref="A5:N5"/>
    <mergeCell ref="A6:N6"/>
    <mergeCell ref="A7:N7"/>
    <mergeCell ref="B10:B11"/>
  </mergeCells>
  <printOptions/>
  <pageMargins left="0.11811023622047245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2:H14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2.75390625" style="0" customWidth="1"/>
    <col min="2" max="2" width="26.75390625" style="0" customWidth="1"/>
    <col min="3" max="3" width="14.25390625" style="0" customWidth="1"/>
    <col min="4" max="4" width="9.75390625" style="0" customWidth="1"/>
    <col min="5" max="5" width="12.375" style="0" customWidth="1"/>
    <col min="6" max="6" width="10.625" style="0" customWidth="1"/>
    <col min="8" max="8" width="6.375" style="0" customWidth="1"/>
  </cols>
  <sheetData>
    <row r="2" spans="1:8" ht="12.75">
      <c r="A2" s="831" t="s">
        <v>624</v>
      </c>
      <c r="B2" s="831"/>
      <c r="C2" s="831"/>
      <c r="D2" s="831"/>
      <c r="E2" s="831"/>
      <c r="F2" s="831"/>
      <c r="G2" s="831"/>
      <c r="H2" s="831"/>
    </row>
    <row r="5" spans="1:8" ht="20.25" customHeight="1">
      <c r="A5" s="832"/>
      <c r="B5" s="832"/>
      <c r="C5" s="832"/>
      <c r="D5" s="832"/>
      <c r="E5" s="832"/>
      <c r="F5" s="832"/>
      <c r="G5" s="832"/>
      <c r="H5" s="832"/>
    </row>
    <row r="6" spans="1:8" ht="17.25" customHeight="1">
      <c r="A6" s="832" t="s">
        <v>40</v>
      </c>
      <c r="B6" s="832"/>
      <c r="C6" s="832"/>
      <c r="D6" s="832"/>
      <c r="E6" s="832"/>
      <c r="F6" s="832"/>
      <c r="G6" s="832"/>
      <c r="H6" s="832"/>
    </row>
    <row r="7" spans="1:8" ht="25.5" customHeight="1">
      <c r="A7" s="837" t="s">
        <v>562</v>
      </c>
      <c r="B7" s="837"/>
      <c r="C7" s="837"/>
      <c r="D7" s="837"/>
      <c r="E7" s="837"/>
      <c r="F7" s="837"/>
      <c r="G7" s="837"/>
      <c r="H7" s="837"/>
    </row>
    <row r="8" spans="1:8" ht="16.5" customHeight="1">
      <c r="A8" s="832" t="s">
        <v>584</v>
      </c>
      <c r="B8" s="832"/>
      <c r="C8" s="832"/>
      <c r="D8" s="832"/>
      <c r="E8" s="832"/>
      <c r="F8" s="832"/>
      <c r="G8" s="832"/>
      <c r="H8" s="832"/>
    </row>
    <row r="10" spans="7:8" ht="13.5" thickBot="1">
      <c r="G10" s="835" t="s">
        <v>563</v>
      </c>
      <c r="H10" s="835"/>
    </row>
    <row r="11" spans="1:8" ht="71.25" customHeight="1" thickBot="1">
      <c r="A11" s="838" t="s">
        <v>546</v>
      </c>
      <c r="B11" s="833" t="s">
        <v>571</v>
      </c>
      <c r="C11" s="834" t="s">
        <v>564</v>
      </c>
      <c r="D11" s="838"/>
      <c r="E11" s="833" t="s">
        <v>565</v>
      </c>
      <c r="F11" s="829"/>
      <c r="G11" s="833" t="s">
        <v>566</v>
      </c>
      <c r="H11" s="833"/>
    </row>
    <row r="12" spans="1:8" ht="24.75" customHeight="1" thickBot="1">
      <c r="A12" s="838"/>
      <c r="B12" s="829"/>
      <c r="C12" s="469" t="s">
        <v>567</v>
      </c>
      <c r="D12" s="470" t="s">
        <v>568</v>
      </c>
      <c r="E12" s="471" t="s">
        <v>567</v>
      </c>
      <c r="F12" s="470" t="s">
        <v>569</v>
      </c>
      <c r="G12" s="829"/>
      <c r="H12" s="829"/>
    </row>
    <row r="13" spans="1:8" ht="18" customHeight="1" thickBot="1">
      <c r="A13" s="471" t="s">
        <v>43</v>
      </c>
      <c r="B13" s="471" t="s">
        <v>570</v>
      </c>
      <c r="C13" s="472">
        <v>6691748</v>
      </c>
      <c r="D13" s="473">
        <f>C13/G13*100</f>
        <v>58.63472163186611</v>
      </c>
      <c r="E13" s="472">
        <v>4720855</v>
      </c>
      <c r="F13" s="473">
        <f>E13/G13*100</f>
        <v>41.36527836813389</v>
      </c>
      <c r="G13" s="836">
        <f>C13+E13</f>
        <v>11412603</v>
      </c>
      <c r="H13" s="829"/>
    </row>
    <row r="14" spans="1:8" ht="23.25" customHeight="1" thickBot="1">
      <c r="A14" s="471" t="s">
        <v>26</v>
      </c>
      <c r="B14" s="471" t="s">
        <v>2</v>
      </c>
      <c r="C14" s="472">
        <f>C13</f>
        <v>6691748</v>
      </c>
      <c r="D14" s="473">
        <f>C14/G14*100</f>
        <v>58.63472163186611</v>
      </c>
      <c r="E14" s="472">
        <f>E13</f>
        <v>4720855</v>
      </c>
      <c r="F14" s="473">
        <f>E14/G14*100</f>
        <v>41.36527836813389</v>
      </c>
      <c r="G14" s="836">
        <f>C14+E14</f>
        <v>11412603</v>
      </c>
      <c r="H14" s="829"/>
    </row>
  </sheetData>
  <sheetProtection password="AF00" sheet="1"/>
  <mergeCells count="14">
    <mergeCell ref="C11:D11"/>
    <mergeCell ref="B11:B12"/>
    <mergeCell ref="E11:F11"/>
    <mergeCell ref="G11:H11"/>
    <mergeCell ref="G10:H10"/>
    <mergeCell ref="G12:H12"/>
    <mergeCell ref="G13:H13"/>
    <mergeCell ref="G14:H14"/>
    <mergeCell ref="A2:H2"/>
    <mergeCell ref="A5:H5"/>
    <mergeCell ref="A6:H6"/>
    <mergeCell ref="A7:H7"/>
    <mergeCell ref="A8:H8"/>
    <mergeCell ref="A11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59"/>
  <sheetViews>
    <sheetView zoomScalePageLayoutView="0" workbookViewId="0" topLeftCell="A1">
      <selection activeCell="B3" sqref="B3:F3"/>
    </sheetView>
  </sheetViews>
  <sheetFormatPr defaultColWidth="9.00390625" defaultRowHeight="12.75"/>
  <cols>
    <col min="1" max="1" width="5.625" style="4" customWidth="1"/>
    <col min="2" max="2" width="64.625" style="4" customWidth="1"/>
    <col min="3" max="3" width="14.625" style="62" customWidth="1"/>
    <col min="4" max="4" width="4.875" style="4" customWidth="1"/>
    <col min="5" max="5" width="16.375" style="62" customWidth="1"/>
    <col min="6" max="6" width="5.25390625" style="4" customWidth="1"/>
    <col min="7" max="7" width="9.125" style="4" customWidth="1"/>
    <col min="8" max="8" width="14.25390625" style="4" bestFit="1" customWidth="1"/>
    <col min="9" max="16384" width="9.125" style="4" customWidth="1"/>
  </cols>
  <sheetData>
    <row r="1" spans="2:6" ht="15">
      <c r="B1" s="504" t="s">
        <v>607</v>
      </c>
      <c r="C1" s="504"/>
      <c r="D1" s="504"/>
      <c r="E1" s="504"/>
      <c r="F1" s="504"/>
    </row>
    <row r="2" spans="2:6" ht="15">
      <c r="B2" s="109"/>
      <c r="C2" s="109"/>
      <c r="D2" s="109"/>
      <c r="E2" s="109"/>
      <c r="F2" s="109"/>
    </row>
    <row r="3" spans="2:6" s="57" customFormat="1" ht="15.75">
      <c r="B3" s="507"/>
      <c r="C3" s="507"/>
      <c r="D3" s="507"/>
      <c r="E3" s="507"/>
      <c r="F3" s="507"/>
    </row>
    <row r="4" spans="2:6" s="57" customFormat="1" ht="15.75">
      <c r="B4" s="506" t="s">
        <v>40</v>
      </c>
      <c r="C4" s="506"/>
      <c r="D4" s="506"/>
      <c r="E4" s="506"/>
      <c r="F4" s="506"/>
    </row>
    <row r="5" spans="2:6" ht="15.75">
      <c r="B5" s="506" t="s">
        <v>155</v>
      </c>
      <c r="C5" s="506"/>
      <c r="D5" s="506"/>
      <c r="E5" s="506"/>
      <c r="F5" s="506"/>
    </row>
    <row r="6" spans="2:6" ht="12.75" customHeight="1">
      <c r="B6" s="505" t="s">
        <v>581</v>
      </c>
      <c r="C6" s="505"/>
      <c r="D6" s="505"/>
      <c r="E6" s="505"/>
      <c r="F6" s="505"/>
    </row>
    <row r="7" spans="2:6" s="1" customFormat="1" ht="15">
      <c r="B7" s="4"/>
      <c r="C7" s="62"/>
      <c r="D7" s="4"/>
      <c r="E7" s="54"/>
      <c r="F7" s="4"/>
    </row>
    <row r="8" spans="1:5" s="1" customFormat="1" ht="18.75">
      <c r="A8" s="381" t="s">
        <v>43</v>
      </c>
      <c r="B8" s="126" t="s">
        <v>156</v>
      </c>
      <c r="C8" s="63"/>
      <c r="E8" s="127"/>
    </row>
    <row r="9" spans="1:6" ht="15.75">
      <c r="A9" s="381" t="s">
        <v>486</v>
      </c>
      <c r="B9" s="7" t="s">
        <v>157</v>
      </c>
      <c r="C9" s="63"/>
      <c r="D9" s="1"/>
      <c r="E9" s="128">
        <f>C10+C11</f>
        <v>31063538</v>
      </c>
      <c r="F9" s="1" t="s">
        <v>466</v>
      </c>
    </row>
    <row r="10" spans="1:8" ht="15.75">
      <c r="A10" s="381" t="s">
        <v>487</v>
      </c>
      <c r="B10" s="129" t="s">
        <v>158</v>
      </c>
      <c r="C10" s="62">
        <f>'2.mell - bevétel'!H49</f>
        <v>31017138</v>
      </c>
      <c r="D10" s="4" t="s">
        <v>6</v>
      </c>
      <c r="E10" s="54"/>
      <c r="H10" s="103"/>
    </row>
    <row r="11" spans="1:6" s="1" customFormat="1" ht="15.75" customHeight="1">
      <c r="A11" s="381" t="s">
        <v>488</v>
      </c>
      <c r="B11" s="129" t="s">
        <v>159</v>
      </c>
      <c r="C11" s="62">
        <f>'2.mell - bevétel'!H54</f>
        <v>46400</v>
      </c>
      <c r="D11" s="4" t="s">
        <v>6</v>
      </c>
      <c r="E11" s="54"/>
      <c r="F11" s="4"/>
    </row>
    <row r="12" spans="1:5" s="1" customFormat="1" ht="15.75">
      <c r="A12" s="381"/>
      <c r="B12" s="7"/>
      <c r="C12" s="63"/>
      <c r="E12" s="128"/>
    </row>
    <row r="13" spans="1:6" s="1" customFormat="1" ht="15.75">
      <c r="A13" s="381" t="s">
        <v>489</v>
      </c>
      <c r="B13" s="7" t="s">
        <v>160</v>
      </c>
      <c r="C13" s="63"/>
      <c r="E13" s="128"/>
      <c r="F13" s="1" t="s">
        <v>466</v>
      </c>
    </row>
    <row r="14" spans="1:5" s="1" customFormat="1" ht="15.75">
      <c r="A14" s="381"/>
      <c r="B14" s="7"/>
      <c r="C14" s="63"/>
      <c r="E14" s="128"/>
    </row>
    <row r="15" spans="1:6" s="1" customFormat="1" ht="15.75">
      <c r="A15" s="381" t="s">
        <v>490</v>
      </c>
      <c r="B15" s="7" t="s">
        <v>114</v>
      </c>
      <c r="C15" s="63"/>
      <c r="E15" s="128">
        <f>'2.mell - bevétel'!G75</f>
        <v>7813000</v>
      </c>
      <c r="F15" s="1" t="s">
        <v>466</v>
      </c>
    </row>
    <row r="16" spans="1:8" s="1" customFormat="1" ht="15.75">
      <c r="A16" s="381"/>
      <c r="B16" s="7"/>
      <c r="C16" s="63"/>
      <c r="E16" s="128"/>
      <c r="H16" s="104"/>
    </row>
    <row r="17" spans="1:6" s="1" customFormat="1" ht="15.75">
      <c r="A17" s="381" t="s">
        <v>491</v>
      </c>
      <c r="B17" s="7" t="s">
        <v>55</v>
      </c>
      <c r="C17" s="63"/>
      <c r="E17" s="128">
        <f>'2.mell - bevétel'!H97</f>
        <v>10105565</v>
      </c>
      <c r="F17" s="1" t="s">
        <v>466</v>
      </c>
    </row>
    <row r="18" spans="1:5" s="1" customFormat="1" ht="15.75">
      <c r="A18" s="381"/>
      <c r="B18" s="8"/>
      <c r="C18" s="64"/>
      <c r="E18" s="128"/>
    </row>
    <row r="19" spans="1:6" s="1" customFormat="1" ht="15.75">
      <c r="A19" s="381" t="s">
        <v>492</v>
      </c>
      <c r="B19" s="7" t="s">
        <v>161</v>
      </c>
      <c r="C19" s="63"/>
      <c r="E19" s="128">
        <f>'2.mell - bevétel'!H56</f>
        <v>15833638</v>
      </c>
      <c r="F19" s="1" t="s">
        <v>466</v>
      </c>
    </row>
    <row r="20" spans="1:5" s="1" customFormat="1" ht="15.75">
      <c r="A20" s="381"/>
      <c r="B20" s="8"/>
      <c r="C20" s="63"/>
      <c r="E20" s="128"/>
    </row>
    <row r="21" spans="1:6" s="1" customFormat="1" ht="15.75">
      <c r="A21" s="381" t="s">
        <v>493</v>
      </c>
      <c r="B21" s="7" t="s">
        <v>162</v>
      </c>
      <c r="E21" s="128">
        <f>C22+C23</f>
        <v>0</v>
      </c>
      <c r="F21" s="1" t="s">
        <v>466</v>
      </c>
    </row>
    <row r="22" spans="1:8" s="6" customFormat="1" ht="32.25">
      <c r="A22" s="382" t="s">
        <v>494</v>
      </c>
      <c r="B22" s="129" t="s">
        <v>163</v>
      </c>
      <c r="C22" s="64">
        <v>0</v>
      </c>
      <c r="D22" s="1" t="s">
        <v>6</v>
      </c>
      <c r="E22" s="128"/>
      <c r="F22" s="1"/>
      <c r="G22" s="1"/>
      <c r="H22" s="105"/>
    </row>
    <row r="23" spans="1:8" ht="18.75">
      <c r="A23" s="381"/>
      <c r="B23" s="57" t="s">
        <v>164</v>
      </c>
      <c r="C23" s="63">
        <v>0</v>
      </c>
      <c r="D23" s="1" t="s">
        <v>6</v>
      </c>
      <c r="E23" s="128"/>
      <c r="F23" s="1"/>
      <c r="G23" s="6"/>
      <c r="H23" s="106"/>
    </row>
    <row r="24" spans="1:8" s="1" customFormat="1" ht="18.75">
      <c r="A24" s="381"/>
      <c r="B24" s="73"/>
      <c r="C24" s="62"/>
      <c r="D24" s="4"/>
      <c r="E24" s="130"/>
      <c r="F24" s="6"/>
      <c r="H24" s="107"/>
    </row>
    <row r="25" spans="1:6" s="1" customFormat="1" ht="15.75">
      <c r="A25" s="381" t="s">
        <v>495</v>
      </c>
      <c r="B25" s="7" t="s">
        <v>142</v>
      </c>
      <c r="C25" s="63"/>
      <c r="E25" s="128">
        <f>C26+C27</f>
        <v>6346850</v>
      </c>
      <c r="F25" s="1" t="s">
        <v>466</v>
      </c>
    </row>
    <row r="26" spans="1:5" s="1" customFormat="1" ht="31.5">
      <c r="A26" s="381" t="s">
        <v>496</v>
      </c>
      <c r="B26" s="129" t="s">
        <v>165</v>
      </c>
      <c r="C26" s="63">
        <f>'2.mell - bevétel'!H105</f>
        <v>346850</v>
      </c>
      <c r="D26" s="1" t="s">
        <v>6</v>
      </c>
      <c r="E26" s="128"/>
    </row>
    <row r="27" spans="1:5" s="1" customFormat="1" ht="15.75">
      <c r="A27" s="381" t="s">
        <v>497</v>
      </c>
      <c r="B27" s="57" t="s">
        <v>166</v>
      </c>
      <c r="C27" s="63">
        <f>'2.mell - bevétel'!H106</f>
        <v>6000000</v>
      </c>
      <c r="D27" s="1" t="s">
        <v>6</v>
      </c>
      <c r="E27" s="128"/>
    </row>
    <row r="28" spans="1:5" s="1" customFormat="1" ht="15.75">
      <c r="A28" s="381"/>
      <c r="B28" s="73"/>
      <c r="E28" s="127"/>
    </row>
    <row r="29" spans="1:6" s="1" customFormat="1" ht="15.75">
      <c r="A29" s="381" t="s">
        <v>26</v>
      </c>
      <c r="B29" s="7" t="s">
        <v>45</v>
      </c>
      <c r="E29" s="131">
        <f>SUM(E9:E28)</f>
        <v>71162591</v>
      </c>
      <c r="F29" s="1" t="s">
        <v>466</v>
      </c>
    </row>
    <row r="30" spans="1:5" s="1" customFormat="1" ht="15.75">
      <c r="A30" s="381"/>
      <c r="B30" s="57"/>
      <c r="E30" s="127"/>
    </row>
    <row r="31" spans="1:5" s="1" customFormat="1" ht="18.75">
      <c r="A31" s="381" t="s">
        <v>44</v>
      </c>
      <c r="B31" s="126" t="s">
        <v>167</v>
      </c>
      <c r="E31" s="127"/>
    </row>
    <row r="32" spans="1:6" s="1" customFormat="1" ht="15.75">
      <c r="A32" s="381" t="s">
        <v>498</v>
      </c>
      <c r="B32" s="9" t="s">
        <v>17</v>
      </c>
      <c r="C32" s="63"/>
      <c r="E32" s="128">
        <f>C34+C35+C36+C37+C38+C39</f>
        <v>62807103</v>
      </c>
      <c r="F32" s="1" t="s">
        <v>466</v>
      </c>
    </row>
    <row r="33" spans="1:5" s="1" customFormat="1" ht="15.75">
      <c r="A33" s="381"/>
      <c r="B33" s="8" t="s">
        <v>16</v>
      </c>
      <c r="C33" s="63"/>
      <c r="E33" s="128"/>
    </row>
    <row r="34" spans="1:5" s="1" customFormat="1" ht="15.75">
      <c r="A34" s="381" t="s">
        <v>499</v>
      </c>
      <c r="B34" s="57" t="s">
        <v>168</v>
      </c>
      <c r="C34" s="63">
        <f>'4.mell. - kiadás'!E45</f>
        <v>23080228</v>
      </c>
      <c r="D34" s="1" t="s">
        <v>466</v>
      </c>
      <c r="E34" s="128"/>
    </row>
    <row r="35" spans="1:5" s="1" customFormat="1" ht="15.75">
      <c r="A35" s="381" t="s">
        <v>500</v>
      </c>
      <c r="B35" s="57" t="s">
        <v>169</v>
      </c>
      <c r="C35" s="63">
        <f>'4.mell. - kiadás'!F45</f>
        <v>4477360</v>
      </c>
      <c r="D35" s="1" t="s">
        <v>466</v>
      </c>
      <c r="E35" s="128"/>
    </row>
    <row r="36" spans="1:5" s="1" customFormat="1" ht="15.75">
      <c r="A36" s="381" t="s">
        <v>501</v>
      </c>
      <c r="B36" s="57" t="s">
        <v>170</v>
      </c>
      <c r="C36" s="63">
        <f>'4.mell. - kiadás'!G45</f>
        <v>23394529</v>
      </c>
      <c r="D36" s="1" t="s">
        <v>466</v>
      </c>
      <c r="E36" s="128"/>
    </row>
    <row r="37" spans="1:5" s="1" customFormat="1" ht="15.75">
      <c r="A37" s="381" t="s">
        <v>502</v>
      </c>
      <c r="B37" s="132" t="s">
        <v>171</v>
      </c>
      <c r="C37" s="63">
        <f>'4.mell. - kiadás'!H45</f>
        <v>3061400</v>
      </c>
      <c r="D37" s="1" t="s">
        <v>466</v>
      </c>
      <c r="E37" s="128"/>
    </row>
    <row r="38" spans="1:5" s="1" customFormat="1" ht="15.75">
      <c r="A38" s="381" t="s">
        <v>509</v>
      </c>
      <c r="B38" s="57" t="s">
        <v>77</v>
      </c>
      <c r="C38" s="63">
        <f>'4.mell. - kiadás'!I45-C39</f>
        <v>2537800</v>
      </c>
      <c r="D38" s="1" t="s">
        <v>466</v>
      </c>
      <c r="E38" s="128"/>
    </row>
    <row r="39" spans="1:5" s="1" customFormat="1" ht="15.75">
      <c r="A39" s="381" t="s">
        <v>520</v>
      </c>
      <c r="B39" s="57" t="s">
        <v>519</v>
      </c>
      <c r="C39" s="64">
        <v>6255786</v>
      </c>
      <c r="D39" s="1" t="s">
        <v>1</v>
      </c>
      <c r="E39" s="128"/>
    </row>
    <row r="40" spans="1:6" s="1" customFormat="1" ht="15.75">
      <c r="A40" s="381" t="s">
        <v>503</v>
      </c>
      <c r="B40" s="9" t="s">
        <v>18</v>
      </c>
      <c r="C40" s="63"/>
      <c r="E40" s="133">
        <f>C42+C43+C44</f>
        <v>13331495</v>
      </c>
      <c r="F40" s="1" t="s">
        <v>466</v>
      </c>
    </row>
    <row r="41" spans="1:5" s="1" customFormat="1" ht="15.75">
      <c r="A41" s="381"/>
      <c r="B41" s="8" t="s">
        <v>16</v>
      </c>
      <c r="C41" s="63"/>
      <c r="E41" s="128"/>
    </row>
    <row r="42" spans="1:5" s="1" customFormat="1" ht="15.75">
      <c r="A42" s="381" t="s">
        <v>510</v>
      </c>
      <c r="B42" s="57" t="s">
        <v>172</v>
      </c>
      <c r="C42" s="64">
        <f>'4.mell. - kiadás'!K45</f>
        <v>8023488</v>
      </c>
      <c r="D42" s="1" t="s">
        <v>466</v>
      </c>
      <c r="E42" s="128"/>
    </row>
    <row r="43" spans="1:5" s="1" customFormat="1" ht="15.75">
      <c r="A43" s="381" t="s">
        <v>504</v>
      </c>
      <c r="B43" s="57" t="s">
        <v>173</v>
      </c>
      <c r="C43" s="64">
        <f>'4.mell. - kiadás'!L45</f>
        <v>3308007</v>
      </c>
      <c r="D43" s="1" t="s">
        <v>466</v>
      </c>
      <c r="E43" s="128"/>
    </row>
    <row r="44" spans="1:7" ht="15.75">
      <c r="A44" s="381" t="s">
        <v>505</v>
      </c>
      <c r="B44" s="57" t="s">
        <v>78</v>
      </c>
      <c r="C44" s="64">
        <f>'4.mell. - kiadás'!M45</f>
        <v>2000000</v>
      </c>
      <c r="D44" s="1" t="s">
        <v>466</v>
      </c>
      <c r="E44" s="128"/>
      <c r="F44" s="1"/>
      <c r="G44" s="1"/>
    </row>
    <row r="45" s="1" customFormat="1" ht="7.5" customHeight="1">
      <c r="E45" s="128"/>
    </row>
    <row r="46" spans="1:6" s="1" customFormat="1" ht="15.75">
      <c r="A46" s="381" t="s">
        <v>100</v>
      </c>
      <c r="B46" s="18" t="s">
        <v>174</v>
      </c>
      <c r="C46" s="64"/>
      <c r="E46" s="128">
        <f>C47+C48+C49</f>
        <v>1240566</v>
      </c>
      <c r="F46" s="1" t="s">
        <v>466</v>
      </c>
    </row>
    <row r="47" spans="1:5" s="1" customFormat="1" ht="15.75">
      <c r="A47" s="381" t="s">
        <v>506</v>
      </c>
      <c r="B47" s="57" t="s">
        <v>175</v>
      </c>
      <c r="C47" s="63"/>
      <c r="D47" s="1" t="s">
        <v>466</v>
      </c>
      <c r="E47" s="128"/>
    </row>
    <row r="48" spans="1:7" s="6" customFormat="1" ht="18.75">
      <c r="A48" s="383" t="s">
        <v>507</v>
      </c>
      <c r="B48" s="57" t="s">
        <v>176</v>
      </c>
      <c r="C48" s="63"/>
      <c r="D48" s="1" t="s">
        <v>466</v>
      </c>
      <c r="E48" s="128"/>
      <c r="F48" s="1"/>
      <c r="G48" s="4"/>
    </row>
    <row r="49" spans="1:7" ht="15.75">
      <c r="A49" s="381" t="s">
        <v>508</v>
      </c>
      <c r="B49" s="57" t="s">
        <v>455</v>
      </c>
      <c r="C49" s="64">
        <f>'4.mell. - kiadás'!O17</f>
        <v>1240566</v>
      </c>
      <c r="D49" s="1" t="s">
        <v>466</v>
      </c>
      <c r="E49" s="128"/>
      <c r="F49" s="1"/>
      <c r="G49" s="1"/>
    </row>
    <row r="50" spans="1:7" ht="15.75">
      <c r="A50" s="381" t="s">
        <v>101</v>
      </c>
      <c r="B50" s="7" t="s">
        <v>47</v>
      </c>
      <c r="C50" s="64"/>
      <c r="D50" s="1"/>
      <c r="E50" s="54">
        <f>SUM(E32:E49)</f>
        <v>77379164</v>
      </c>
      <c r="F50" s="4" t="s">
        <v>466</v>
      </c>
      <c r="G50" s="1"/>
    </row>
    <row r="51" spans="1:7" ht="15.75">
      <c r="A51" s="381"/>
      <c r="B51" s="57"/>
      <c r="C51" s="63"/>
      <c r="D51" s="1"/>
      <c r="E51" s="133"/>
      <c r="F51" s="1"/>
      <c r="G51" s="1"/>
    </row>
    <row r="52" spans="1:7" ht="18.75">
      <c r="A52" s="381" t="s">
        <v>107</v>
      </c>
      <c r="B52" s="7" t="s">
        <v>48</v>
      </c>
      <c r="C52" s="63"/>
      <c r="D52" s="1"/>
      <c r="E52" s="54">
        <f>E29-E50</f>
        <v>-6216573</v>
      </c>
      <c r="F52" s="4" t="s">
        <v>466</v>
      </c>
      <c r="G52" s="6"/>
    </row>
    <row r="53" spans="1:5" ht="15.75">
      <c r="A53" s="381"/>
      <c r="B53" s="57"/>
      <c r="C53" s="63"/>
      <c r="D53" s="1"/>
      <c r="E53" s="54"/>
    </row>
    <row r="54" spans="1:6" ht="32.25">
      <c r="A54" s="381" t="s">
        <v>241</v>
      </c>
      <c r="B54" s="121" t="s">
        <v>597</v>
      </c>
      <c r="C54" s="65"/>
      <c r="D54" s="6"/>
      <c r="E54" s="54">
        <f>'2.mell - bevétel'!H113</f>
        <v>4976007</v>
      </c>
      <c r="F54" s="4" t="s">
        <v>466</v>
      </c>
    </row>
    <row r="55" spans="1:7" s="1" customFormat="1" ht="15.75">
      <c r="A55" s="381" t="s">
        <v>243</v>
      </c>
      <c r="B55" s="21" t="s">
        <v>594</v>
      </c>
      <c r="C55" s="62"/>
      <c r="D55" s="4"/>
      <c r="E55" s="54">
        <f>'4.mell. - kiadás'!O17</f>
        <v>1240566</v>
      </c>
      <c r="F55" s="4"/>
      <c r="G55" s="4"/>
    </row>
    <row r="56" spans="1:6" ht="15.75">
      <c r="A56" s="384" t="s">
        <v>245</v>
      </c>
      <c r="B56" s="7" t="s">
        <v>512</v>
      </c>
      <c r="E56" s="54">
        <f>E52+E54+E55</f>
        <v>0</v>
      </c>
      <c r="F56" s="4" t="s">
        <v>466</v>
      </c>
    </row>
    <row r="57" spans="2:5" s="1" customFormat="1" ht="10.5" customHeight="1">
      <c r="B57" s="5"/>
      <c r="C57" s="63"/>
      <c r="E57" s="24"/>
    </row>
    <row r="58" spans="2:6" ht="15.75">
      <c r="B58" s="5"/>
      <c r="C58" s="63"/>
      <c r="D58" s="1"/>
      <c r="E58" s="24"/>
      <c r="F58" s="7"/>
    </row>
    <row r="59" spans="2:6" ht="15.75">
      <c r="B59" s="7"/>
      <c r="E59" s="25"/>
      <c r="F59" s="7"/>
    </row>
  </sheetData>
  <sheetProtection password="AF00" sheet="1"/>
  <mergeCells count="5">
    <mergeCell ref="B1:F1"/>
    <mergeCell ref="B6:F6"/>
    <mergeCell ref="B4:F4"/>
    <mergeCell ref="B3:F3"/>
    <mergeCell ref="B5:F5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3"/>
  <sheetViews>
    <sheetView zoomScalePageLayoutView="0" workbookViewId="0" topLeftCell="A1">
      <selection activeCell="L16" sqref="L16"/>
    </sheetView>
  </sheetViews>
  <sheetFormatPr defaultColWidth="9.00390625" defaultRowHeight="12.75"/>
  <cols>
    <col min="1" max="1" width="4.25390625" style="72" customWidth="1"/>
    <col min="2" max="5" width="3.125" style="70" customWidth="1"/>
    <col min="6" max="6" width="54.25390625" style="8" customWidth="1"/>
    <col min="7" max="7" width="13.25390625" style="8" customWidth="1"/>
    <col min="8" max="8" width="12.625" style="8" customWidth="1"/>
    <col min="9" max="9" width="9.375" style="8" customWidth="1"/>
    <col min="10" max="10" width="9.125" style="8" customWidth="1"/>
    <col min="11" max="11" width="10.125" style="8" bestFit="1" customWidth="1"/>
    <col min="12" max="16384" width="9.125" style="8" customWidth="1"/>
  </cols>
  <sheetData>
    <row r="1" spans="1:9" ht="15.75">
      <c r="A1" s="504" t="s">
        <v>608</v>
      </c>
      <c r="B1" s="504"/>
      <c r="C1" s="504"/>
      <c r="D1" s="504"/>
      <c r="E1" s="504"/>
      <c r="F1" s="504"/>
      <c r="G1" s="504"/>
      <c r="H1" s="504"/>
      <c r="I1" s="504"/>
    </row>
    <row r="2" spans="1:9" s="9" customFormat="1" ht="15.75">
      <c r="A2" s="528" t="s">
        <v>4</v>
      </c>
      <c r="B2" s="528"/>
      <c r="C2" s="528"/>
      <c r="D2" s="528"/>
      <c r="E2" s="528"/>
      <c r="F2" s="528"/>
      <c r="G2" s="528"/>
      <c r="H2" s="528"/>
      <c r="I2" s="528"/>
    </row>
    <row r="3" spans="1:9" s="9" customFormat="1" ht="15.75">
      <c r="A3" s="528" t="s">
        <v>37</v>
      </c>
      <c r="B3" s="528"/>
      <c r="C3" s="528"/>
      <c r="D3" s="528"/>
      <c r="E3" s="528"/>
      <c r="F3" s="528"/>
      <c r="G3" s="528"/>
      <c r="H3" s="528"/>
      <c r="I3" s="528"/>
    </row>
    <row r="4" spans="1:9" ht="15.75">
      <c r="A4" s="528" t="s">
        <v>584</v>
      </c>
      <c r="B4" s="528"/>
      <c r="C4" s="528"/>
      <c r="D4" s="528"/>
      <c r="E4" s="528"/>
      <c r="F4" s="528"/>
      <c r="G4" s="528"/>
      <c r="H4" s="528"/>
      <c r="I4" s="528"/>
    </row>
    <row r="5" ht="15.75" hidden="1"/>
    <row r="6" spans="1:9" ht="15.75">
      <c r="A6" s="518"/>
      <c r="B6" s="518"/>
      <c r="C6" s="518"/>
      <c r="D6" s="518"/>
      <c r="E6" s="518"/>
      <c r="F6" s="518"/>
      <c r="G6" s="518"/>
      <c r="H6" s="518"/>
      <c r="I6" s="518"/>
    </row>
    <row r="7" spans="8:9" ht="16.5" thickBot="1">
      <c r="H7" s="74"/>
      <c r="I7" s="75" t="s">
        <v>463</v>
      </c>
    </row>
    <row r="8" spans="1:9" ht="15.75">
      <c r="A8" s="519" t="s">
        <v>21</v>
      </c>
      <c r="B8" s="520"/>
      <c r="C8" s="520"/>
      <c r="D8" s="520"/>
      <c r="E8" s="520"/>
      <c r="F8" s="521"/>
      <c r="G8" s="76" t="s">
        <v>19</v>
      </c>
      <c r="H8" s="76" t="s">
        <v>19</v>
      </c>
      <c r="I8" s="76" t="s">
        <v>20</v>
      </c>
    </row>
    <row r="9" spans="1:9" ht="15.75">
      <c r="A9" s="522"/>
      <c r="B9" s="523"/>
      <c r="C9" s="523"/>
      <c r="D9" s="523"/>
      <c r="E9" s="523"/>
      <c r="F9" s="524"/>
      <c r="G9" s="77" t="s">
        <v>10</v>
      </c>
      <c r="H9" s="77" t="s">
        <v>10</v>
      </c>
      <c r="I9" s="77"/>
    </row>
    <row r="10" spans="1:9" ht="16.5" thickBot="1">
      <c r="A10" s="525"/>
      <c r="B10" s="526"/>
      <c r="C10" s="526"/>
      <c r="D10" s="526"/>
      <c r="E10" s="526"/>
      <c r="F10" s="527"/>
      <c r="G10" s="78" t="s">
        <v>523</v>
      </c>
      <c r="H10" s="78" t="s">
        <v>584</v>
      </c>
      <c r="I10" s="78" t="s">
        <v>22</v>
      </c>
    </row>
    <row r="11" spans="1:9" ht="6.75" customHeight="1">
      <c r="A11" s="328"/>
      <c r="B11" s="328"/>
      <c r="C11" s="328"/>
      <c r="D11" s="328"/>
      <c r="E11" s="328"/>
      <c r="F11" s="328"/>
      <c r="G11" s="328"/>
      <c r="H11" s="328"/>
      <c r="I11" s="328"/>
    </row>
    <row r="12" spans="1:9" ht="15.75">
      <c r="A12" s="18" t="s">
        <v>49</v>
      </c>
      <c r="B12" s="508" t="s">
        <v>82</v>
      </c>
      <c r="C12" s="508"/>
      <c r="D12" s="508"/>
      <c r="E12" s="508"/>
      <c r="F12" s="508"/>
      <c r="G12" s="111"/>
      <c r="H12" s="112"/>
      <c r="I12" s="111"/>
    </row>
    <row r="13" spans="1:9" ht="15.75">
      <c r="A13" s="18"/>
      <c r="B13" s="18" t="s">
        <v>49</v>
      </c>
      <c r="C13" s="18" t="s">
        <v>83</v>
      </c>
      <c r="D13" s="18"/>
      <c r="E13" s="18"/>
      <c r="F13" s="18"/>
      <c r="G13" s="52"/>
      <c r="H13" s="52"/>
      <c r="I13" s="18"/>
    </row>
    <row r="14" spans="1:9" ht="18" customHeight="1">
      <c r="A14" s="18"/>
      <c r="B14" s="18"/>
      <c r="C14" s="18" t="s">
        <v>43</v>
      </c>
      <c r="D14" s="508" t="s">
        <v>84</v>
      </c>
      <c r="E14" s="508"/>
      <c r="F14" s="508"/>
      <c r="G14" s="112"/>
      <c r="H14" s="112"/>
      <c r="I14" s="111"/>
    </row>
    <row r="15" spans="1:9" ht="21.75" customHeight="1">
      <c r="A15" s="18"/>
      <c r="B15" s="18"/>
      <c r="C15" s="18"/>
      <c r="D15" s="18" t="s">
        <v>43</v>
      </c>
      <c r="E15" s="508" t="s">
        <v>85</v>
      </c>
      <c r="F15" s="508"/>
      <c r="G15" s="112"/>
      <c r="H15" s="112"/>
      <c r="I15" s="111"/>
    </row>
    <row r="16" spans="1:9" ht="15.75">
      <c r="A16" s="21"/>
      <c r="B16" s="21"/>
      <c r="C16" s="21"/>
      <c r="D16" s="21"/>
      <c r="E16" s="21" t="s">
        <v>56</v>
      </c>
      <c r="F16" s="21" t="s">
        <v>50</v>
      </c>
      <c r="G16" s="51"/>
      <c r="H16" s="51"/>
      <c r="I16" s="113"/>
    </row>
    <row r="17" spans="1:9" ht="17.25" customHeight="1">
      <c r="A17" s="21"/>
      <c r="B17" s="21"/>
      <c r="C17" s="21"/>
      <c r="D17" s="21"/>
      <c r="E17" s="21"/>
      <c r="F17" s="21" t="s">
        <v>86</v>
      </c>
      <c r="G17" s="51"/>
      <c r="I17" s="113"/>
    </row>
    <row r="18" spans="1:9" ht="17.25" customHeight="1">
      <c r="A18" s="21"/>
      <c r="B18" s="21"/>
      <c r="C18" s="21"/>
      <c r="D18" s="21"/>
      <c r="E18" s="21" t="s">
        <v>57</v>
      </c>
      <c r="F18" s="114" t="s">
        <v>51</v>
      </c>
      <c r="G18" s="115"/>
      <c r="I18" s="113"/>
    </row>
    <row r="19" spans="1:9" ht="36.75" customHeight="1">
      <c r="A19" s="21"/>
      <c r="B19" s="21"/>
      <c r="C19" s="21"/>
      <c r="D19" s="21"/>
      <c r="E19" s="21" t="s">
        <v>87</v>
      </c>
      <c r="F19" s="114" t="s">
        <v>88</v>
      </c>
      <c r="G19" s="344">
        <f>2553350</f>
        <v>2553350</v>
      </c>
      <c r="H19" s="344">
        <v>2553350</v>
      </c>
      <c r="I19" s="113">
        <f>H19/G19*100</f>
        <v>100</v>
      </c>
    </row>
    <row r="20" spans="1:9" ht="15.75">
      <c r="A20" s="21"/>
      <c r="B20" s="21"/>
      <c r="C20" s="21"/>
      <c r="D20" s="21"/>
      <c r="E20" s="21"/>
      <c r="F20" s="21" t="s">
        <v>86</v>
      </c>
      <c r="G20" s="344"/>
      <c r="H20" s="344"/>
      <c r="I20" s="113"/>
    </row>
    <row r="21" spans="1:9" ht="15.75">
      <c r="A21" s="21"/>
      <c r="B21" s="21"/>
      <c r="C21" s="21"/>
      <c r="D21" s="21"/>
      <c r="E21" s="21" t="s">
        <v>89</v>
      </c>
      <c r="F21" s="114" t="s">
        <v>90</v>
      </c>
      <c r="G21" s="344">
        <v>3040000</v>
      </c>
      <c r="H21" s="344">
        <v>3072000</v>
      </c>
      <c r="I21" s="113">
        <f>H21/G21*100</f>
        <v>101.05263157894737</v>
      </c>
    </row>
    <row r="22" spans="1:9" ht="15.75">
      <c r="A22" s="21"/>
      <c r="B22" s="21"/>
      <c r="C22" s="21"/>
      <c r="D22" s="21"/>
      <c r="E22" s="21"/>
      <c r="F22" s="21" t="s">
        <v>86</v>
      </c>
      <c r="G22" s="344"/>
      <c r="H22" s="344"/>
      <c r="I22" s="113"/>
    </row>
    <row r="23" spans="1:9" ht="17.25" customHeight="1">
      <c r="A23" s="21"/>
      <c r="B23" s="21"/>
      <c r="C23" s="21"/>
      <c r="D23" s="21"/>
      <c r="E23" s="21" t="s">
        <v>91</v>
      </c>
      <c r="F23" s="114" t="s">
        <v>92</v>
      </c>
      <c r="G23" s="344">
        <v>100000</v>
      </c>
      <c r="H23" s="344">
        <v>100000</v>
      </c>
      <c r="I23" s="113">
        <f>H23/G23*100</f>
        <v>100</v>
      </c>
    </row>
    <row r="24" spans="1:9" ht="15.75">
      <c r="A24" s="21"/>
      <c r="B24" s="21"/>
      <c r="C24" s="21"/>
      <c r="D24" s="21"/>
      <c r="E24" s="21"/>
      <c r="F24" s="21" t="s">
        <v>86</v>
      </c>
      <c r="G24" s="344"/>
      <c r="H24" s="344"/>
      <c r="I24" s="113"/>
    </row>
    <row r="25" spans="1:9" ht="15.75">
      <c r="A25" s="21"/>
      <c r="B25" s="21"/>
      <c r="C25" s="21"/>
      <c r="D25" s="21"/>
      <c r="E25" s="21" t="s">
        <v>93</v>
      </c>
      <c r="F25" s="114" t="s">
        <v>94</v>
      </c>
      <c r="G25" s="344">
        <v>7506890</v>
      </c>
      <c r="H25" s="344">
        <v>7506890</v>
      </c>
      <c r="I25" s="113">
        <f>H25/G25*100</f>
        <v>100</v>
      </c>
    </row>
    <row r="26" spans="1:9" s="58" customFormat="1" ht="15.75">
      <c r="A26" s="21"/>
      <c r="B26" s="21"/>
      <c r="C26" s="21"/>
      <c r="D26" s="21"/>
      <c r="E26" s="21"/>
      <c r="F26" s="21" t="s">
        <v>86</v>
      </c>
      <c r="G26" s="345"/>
      <c r="H26" s="345"/>
      <c r="I26" s="113"/>
    </row>
    <row r="27" spans="1:9" ht="15.75">
      <c r="A27" s="21"/>
      <c r="B27" s="21"/>
      <c r="C27" s="21"/>
      <c r="D27" s="21" t="s">
        <v>58</v>
      </c>
      <c r="E27" s="21" t="s">
        <v>95</v>
      </c>
      <c r="F27" s="21"/>
      <c r="G27" s="344">
        <v>5000000</v>
      </c>
      <c r="H27" s="344">
        <v>5000000</v>
      </c>
      <c r="I27" s="113">
        <f>H27/G27*100</f>
        <v>100</v>
      </c>
    </row>
    <row r="28" spans="1:9" ht="15.75">
      <c r="A28" s="21"/>
      <c r="B28" s="21"/>
      <c r="C28" s="21"/>
      <c r="D28" s="21"/>
      <c r="E28" s="21"/>
      <c r="F28" s="21" t="s">
        <v>86</v>
      </c>
      <c r="G28" s="344"/>
      <c r="H28" s="344"/>
      <c r="I28" s="113"/>
    </row>
    <row r="29" spans="1:9" ht="15.75">
      <c r="A29" s="21"/>
      <c r="B29" s="21"/>
      <c r="C29" s="21"/>
      <c r="D29" s="21"/>
      <c r="E29" s="21" t="s">
        <v>465</v>
      </c>
      <c r="F29" s="21"/>
      <c r="G29" s="344">
        <v>3664298</v>
      </c>
      <c r="H29" s="344"/>
      <c r="I29" s="113"/>
    </row>
    <row r="30" spans="1:9" ht="15.75">
      <c r="A30" s="21"/>
      <c r="B30" s="21"/>
      <c r="C30" s="21"/>
      <c r="D30" s="21" t="s">
        <v>59</v>
      </c>
      <c r="E30" s="21" t="s">
        <v>150</v>
      </c>
      <c r="F30" s="21"/>
      <c r="G30" s="344">
        <v>17850</v>
      </c>
      <c r="H30" s="344">
        <v>17850</v>
      </c>
      <c r="I30" s="113">
        <f>H30/G30*100</f>
        <v>100</v>
      </c>
    </row>
    <row r="31" spans="1:9" ht="15.75">
      <c r="A31" s="21"/>
      <c r="B31" s="21"/>
      <c r="C31" s="21"/>
      <c r="D31" s="21" t="s">
        <v>151</v>
      </c>
      <c r="E31" s="21" t="s">
        <v>108</v>
      </c>
      <c r="F31" s="21"/>
      <c r="G31" s="344">
        <v>103400</v>
      </c>
      <c r="H31" s="344">
        <v>423800</v>
      </c>
      <c r="I31" s="113">
        <f>H31/G31*100</f>
        <v>409.8646034816247</v>
      </c>
    </row>
    <row r="32" spans="1:9" ht="15.75">
      <c r="A32" s="21"/>
      <c r="B32" s="21"/>
      <c r="C32" s="21" t="s">
        <v>26</v>
      </c>
      <c r="D32" s="512" t="s">
        <v>96</v>
      </c>
      <c r="E32" s="512"/>
      <c r="F32" s="512"/>
      <c r="G32" s="344">
        <v>3000</v>
      </c>
      <c r="H32" s="344">
        <v>3000</v>
      </c>
      <c r="I32" s="113">
        <f>H32/G32*100</f>
        <v>100</v>
      </c>
    </row>
    <row r="33" spans="1:9" ht="15.75">
      <c r="A33" s="21"/>
      <c r="B33" s="21"/>
      <c r="C33" s="21" t="s">
        <v>101</v>
      </c>
      <c r="D33" s="21" t="s">
        <v>464</v>
      </c>
      <c r="E33" s="21"/>
      <c r="F33" s="21"/>
      <c r="G33" s="344"/>
      <c r="H33" s="344"/>
      <c r="I33" s="113"/>
    </row>
    <row r="34" spans="1:9" ht="16.5" customHeight="1">
      <c r="A34" s="21"/>
      <c r="B34" s="21"/>
      <c r="C34" s="21" t="s">
        <v>107</v>
      </c>
      <c r="D34" s="21" t="s">
        <v>526</v>
      </c>
      <c r="E34" s="21"/>
      <c r="F34" s="21"/>
      <c r="G34" s="344">
        <v>1170400</v>
      </c>
      <c r="H34" s="344">
        <v>1120500</v>
      </c>
      <c r="I34" s="113">
        <f>H34/G34*100</f>
        <v>95.7365003417635</v>
      </c>
    </row>
    <row r="35" spans="1:9" ht="21" customHeight="1">
      <c r="A35" s="117"/>
      <c r="B35" s="117"/>
      <c r="C35" s="118"/>
      <c r="D35" s="517" t="s">
        <v>97</v>
      </c>
      <c r="E35" s="517"/>
      <c r="F35" s="517"/>
      <c r="G35" s="346">
        <f>SUM(G16:G34)</f>
        <v>23159188</v>
      </c>
      <c r="H35" s="346">
        <f>SUM(H16:H34)</f>
        <v>19797390</v>
      </c>
      <c r="I35" s="113">
        <f>H35/G35*100</f>
        <v>85.48395565509465</v>
      </c>
    </row>
    <row r="36" spans="1:9" ht="33" customHeight="1">
      <c r="A36" s="21"/>
      <c r="B36" s="18" t="s">
        <v>53</v>
      </c>
      <c r="C36" s="18" t="s">
        <v>44</v>
      </c>
      <c r="D36" s="508" t="s">
        <v>98</v>
      </c>
      <c r="E36" s="508"/>
      <c r="F36" s="508"/>
      <c r="G36" s="344"/>
      <c r="H36" s="344"/>
      <c r="I36" s="113"/>
    </row>
    <row r="37" spans="1:9" ht="15.75">
      <c r="A37" s="21"/>
      <c r="B37" s="21"/>
      <c r="C37" s="21"/>
      <c r="D37" s="21" t="s">
        <v>43</v>
      </c>
      <c r="E37" s="21" t="s">
        <v>152</v>
      </c>
      <c r="F37" s="21"/>
      <c r="G37" s="344"/>
      <c r="H37" s="344"/>
      <c r="I37" s="113"/>
    </row>
    <row r="38" spans="1:9" ht="30.75" customHeight="1">
      <c r="A38" s="21"/>
      <c r="B38" s="21"/>
      <c r="C38" s="21"/>
      <c r="D38" s="21" t="s">
        <v>26</v>
      </c>
      <c r="E38" s="512" t="s">
        <v>153</v>
      </c>
      <c r="F38" s="512"/>
      <c r="G38" s="344">
        <v>4111000</v>
      </c>
      <c r="H38" s="344">
        <v>2728000</v>
      </c>
      <c r="I38" s="113">
        <f>H38/G38*100</f>
        <v>66.35855023108734</v>
      </c>
    </row>
    <row r="39" spans="1:9" ht="15.75">
      <c r="A39" s="21"/>
      <c r="B39" s="21"/>
      <c r="C39" s="21"/>
      <c r="D39" s="21" t="s">
        <v>44</v>
      </c>
      <c r="E39" s="21" t="s">
        <v>99</v>
      </c>
      <c r="F39" s="21"/>
      <c r="G39" s="344">
        <v>830400</v>
      </c>
      <c r="H39" s="344">
        <v>719680</v>
      </c>
      <c r="I39" s="113">
        <f>H39/G39*100</f>
        <v>86.66666666666667</v>
      </c>
    </row>
    <row r="40" spans="1:9" ht="15.75">
      <c r="A40" s="21"/>
      <c r="B40" s="21"/>
      <c r="C40" s="21"/>
      <c r="D40" s="21" t="s">
        <v>101</v>
      </c>
      <c r="E40" s="21" t="s">
        <v>102</v>
      </c>
      <c r="F40" s="21"/>
      <c r="G40" s="344"/>
      <c r="H40" s="344"/>
      <c r="I40" s="113"/>
    </row>
    <row r="41" spans="1:9" ht="31.5">
      <c r="A41" s="21"/>
      <c r="B41" s="21"/>
      <c r="C41" s="21"/>
      <c r="D41" s="21"/>
      <c r="E41" s="21" t="s">
        <v>56</v>
      </c>
      <c r="F41" s="114" t="s">
        <v>527</v>
      </c>
      <c r="G41" s="344">
        <v>1672000</v>
      </c>
      <c r="H41" s="344">
        <v>1900000</v>
      </c>
      <c r="I41" s="113">
        <f>H41/G41*100</f>
        <v>113.63636363636364</v>
      </c>
    </row>
    <row r="42" spans="1:9" ht="15.75">
      <c r="A42" s="21"/>
      <c r="B42" s="21"/>
      <c r="C42" s="21"/>
      <c r="D42" s="21"/>
      <c r="E42" s="21" t="s">
        <v>57</v>
      </c>
      <c r="F42" s="21" t="s">
        <v>528</v>
      </c>
      <c r="G42" s="344">
        <v>3869880</v>
      </c>
      <c r="H42" s="344">
        <v>4072068</v>
      </c>
      <c r="I42" s="113">
        <f>H42/G42*100</f>
        <v>105.22465812893422</v>
      </c>
    </row>
    <row r="43" spans="1:9" ht="33.75" customHeight="1">
      <c r="A43" s="117"/>
      <c r="B43" s="117"/>
      <c r="C43" s="517" t="s">
        <v>103</v>
      </c>
      <c r="D43" s="517"/>
      <c r="E43" s="517"/>
      <c r="F43" s="517"/>
      <c r="G43" s="347">
        <f>SUM(G37:G42)</f>
        <v>10483280</v>
      </c>
      <c r="H43" s="347">
        <f>SUM(H37:H42)</f>
        <v>9419748</v>
      </c>
      <c r="I43" s="113">
        <f>H43/G43*100</f>
        <v>89.85496905548645</v>
      </c>
    </row>
    <row r="44" spans="1:9" ht="3" customHeight="1">
      <c r="A44" s="117"/>
      <c r="B44" s="117"/>
      <c r="C44" s="326"/>
      <c r="D44" s="326"/>
      <c r="E44" s="326"/>
      <c r="F44" s="326"/>
      <c r="G44" s="347"/>
      <c r="H44" s="344"/>
      <c r="I44" s="113"/>
    </row>
    <row r="45" spans="1:9" ht="14.25" customHeight="1">
      <c r="A45" s="21"/>
      <c r="B45" s="21"/>
      <c r="C45" s="18" t="s">
        <v>100</v>
      </c>
      <c r="D45" s="508" t="s">
        <v>104</v>
      </c>
      <c r="E45" s="508"/>
      <c r="F45" s="508"/>
      <c r="G45" s="348"/>
      <c r="H45" s="344"/>
      <c r="I45" s="113"/>
    </row>
    <row r="46" spans="1:9" ht="15.75">
      <c r="A46" s="21"/>
      <c r="B46" s="21"/>
      <c r="C46" s="21"/>
      <c r="D46" s="21" t="s">
        <v>43</v>
      </c>
      <c r="E46" s="512" t="s">
        <v>54</v>
      </c>
      <c r="F46" s="512"/>
      <c r="G46" s="349"/>
      <c r="H46" s="344"/>
      <c r="I46" s="113"/>
    </row>
    <row r="47" spans="1:9" ht="31.5">
      <c r="A47" s="21"/>
      <c r="B47" s="21"/>
      <c r="C47" s="21"/>
      <c r="D47" s="21"/>
      <c r="E47" s="21" t="s">
        <v>59</v>
      </c>
      <c r="F47" s="114" t="s">
        <v>105</v>
      </c>
      <c r="G47" s="349">
        <v>1800000</v>
      </c>
      <c r="H47" s="344">
        <v>1800000</v>
      </c>
      <c r="I47" s="113">
        <f>H47/G47*100</f>
        <v>100</v>
      </c>
    </row>
    <row r="48" spans="1:9" ht="30" customHeight="1">
      <c r="A48" s="117"/>
      <c r="B48" s="117"/>
      <c r="C48" s="516" t="s">
        <v>106</v>
      </c>
      <c r="D48" s="516"/>
      <c r="E48" s="516"/>
      <c r="F48" s="516"/>
      <c r="G48" s="347">
        <f>SUM(G47:G47)</f>
        <v>1800000</v>
      </c>
      <c r="H48" s="347">
        <f>SUM(H47:H47)</f>
        <v>1800000</v>
      </c>
      <c r="I48" s="113">
        <f>H48/G48*100</f>
        <v>100</v>
      </c>
    </row>
    <row r="49" spans="1:9" ht="15.75">
      <c r="A49" s="119"/>
      <c r="B49" s="508" t="s">
        <v>109</v>
      </c>
      <c r="C49" s="508"/>
      <c r="D49" s="508"/>
      <c r="E49" s="508"/>
      <c r="F49" s="508"/>
      <c r="G49" s="352">
        <f>G35+G43+G48</f>
        <v>35442468</v>
      </c>
      <c r="H49" s="352">
        <f>H35+H43+H48</f>
        <v>31017138</v>
      </c>
      <c r="I49" s="113">
        <f>H49/G49*100</f>
        <v>87.51404670803399</v>
      </c>
    </row>
    <row r="50" spans="1:9" ht="12" customHeight="1">
      <c r="A50" s="21"/>
      <c r="B50" s="21"/>
      <c r="C50" s="21"/>
      <c r="D50" s="21"/>
      <c r="E50" s="21"/>
      <c r="F50" s="21"/>
      <c r="G50" s="350"/>
      <c r="H50" s="344"/>
      <c r="I50" s="113"/>
    </row>
    <row r="51" spans="1:9" ht="15.75">
      <c r="A51" s="119"/>
      <c r="B51" s="18" t="s">
        <v>52</v>
      </c>
      <c r="C51" s="508" t="s">
        <v>110</v>
      </c>
      <c r="D51" s="508"/>
      <c r="E51" s="508"/>
      <c r="F51" s="508"/>
      <c r="G51" s="348"/>
      <c r="H51" s="344"/>
      <c r="I51" s="113"/>
    </row>
    <row r="52" spans="1:9" ht="30" customHeight="1">
      <c r="A52" s="21"/>
      <c r="B52" s="21"/>
      <c r="C52" s="21" t="s">
        <v>43</v>
      </c>
      <c r="D52" s="515" t="s">
        <v>606</v>
      </c>
      <c r="E52" s="515"/>
      <c r="F52" s="515"/>
      <c r="G52" s="350">
        <v>46400</v>
      </c>
      <c r="H52" s="344">
        <v>46400</v>
      </c>
      <c r="I52" s="113">
        <f>H52/G52*100</f>
        <v>100</v>
      </c>
    </row>
    <row r="53" spans="1:9" ht="12" customHeight="1">
      <c r="A53" s="21"/>
      <c r="B53" s="21"/>
      <c r="C53" s="21"/>
      <c r="D53" s="21"/>
      <c r="E53" s="21"/>
      <c r="F53" s="21"/>
      <c r="G53" s="350"/>
      <c r="H53" s="344"/>
      <c r="I53" s="113"/>
    </row>
    <row r="54" spans="1:9" ht="15.75" customHeight="1">
      <c r="A54" s="119"/>
      <c r="B54" s="508" t="s">
        <v>111</v>
      </c>
      <c r="C54" s="508"/>
      <c r="D54" s="508"/>
      <c r="E54" s="508"/>
      <c r="F54" s="508"/>
      <c r="G54" s="352">
        <f>SUM(G52:G53)</f>
        <v>46400</v>
      </c>
      <c r="H54" s="352">
        <f>SUM(H52:H53)</f>
        <v>46400</v>
      </c>
      <c r="I54" s="113">
        <f>H54/G54*100</f>
        <v>100</v>
      </c>
    </row>
    <row r="55" spans="1:9" ht="36" customHeight="1">
      <c r="A55" s="508" t="s">
        <v>112</v>
      </c>
      <c r="B55" s="508"/>
      <c r="C55" s="508"/>
      <c r="D55" s="508"/>
      <c r="E55" s="508"/>
      <c r="F55" s="508"/>
      <c r="G55" s="353">
        <f>G54+G49</f>
        <v>35488868</v>
      </c>
      <c r="H55" s="353">
        <f>H54+H49</f>
        <v>31063538</v>
      </c>
      <c r="I55" s="113">
        <f>H55/G55*100</f>
        <v>87.5303714956476</v>
      </c>
    </row>
    <row r="56" spans="1:9" s="79" customFormat="1" ht="32.25" customHeight="1">
      <c r="A56" s="18" t="s">
        <v>52</v>
      </c>
      <c r="B56" s="508" t="s">
        <v>113</v>
      </c>
      <c r="C56" s="508"/>
      <c r="D56" s="508"/>
      <c r="E56" s="508"/>
      <c r="F56" s="508"/>
      <c r="G56" s="353"/>
      <c r="H56" s="348">
        <v>15833638</v>
      </c>
      <c r="I56" s="113"/>
    </row>
    <row r="57" spans="1:9" ht="11.25" customHeight="1">
      <c r="A57" s="110"/>
      <c r="B57" s="110"/>
      <c r="C57" s="110"/>
      <c r="D57" s="110"/>
      <c r="E57" s="110"/>
      <c r="F57" s="110"/>
      <c r="G57" s="352"/>
      <c r="H57" s="352"/>
      <c r="I57" s="113"/>
    </row>
    <row r="58" spans="1:9" ht="15.75">
      <c r="A58" s="18" t="s">
        <v>53</v>
      </c>
      <c r="B58" s="18" t="s">
        <v>114</v>
      </c>
      <c r="C58" s="18"/>
      <c r="D58" s="18"/>
      <c r="E58" s="18"/>
      <c r="F58" s="18"/>
      <c r="G58" s="354"/>
      <c r="H58" s="355"/>
      <c r="I58" s="113"/>
    </row>
    <row r="59" spans="1:9" ht="12" customHeight="1">
      <c r="A59" s="21"/>
      <c r="B59" s="21"/>
      <c r="C59" s="21"/>
      <c r="D59" s="21"/>
      <c r="E59" s="21"/>
      <c r="F59" s="21"/>
      <c r="G59" s="350"/>
      <c r="H59" s="350"/>
      <c r="I59" s="113"/>
    </row>
    <row r="60" spans="1:9" ht="15.75">
      <c r="A60" s="21"/>
      <c r="B60" s="21" t="s">
        <v>43</v>
      </c>
      <c r="C60" s="21" t="s">
        <v>115</v>
      </c>
      <c r="D60" s="21"/>
      <c r="E60" s="21"/>
      <c r="F60" s="21"/>
      <c r="G60" s="356"/>
      <c r="H60" s="350"/>
      <c r="I60" s="113"/>
    </row>
    <row r="61" spans="1:9" ht="15.75">
      <c r="A61" s="21"/>
      <c r="B61" s="21"/>
      <c r="C61" s="21" t="s">
        <v>43</v>
      </c>
      <c r="D61" s="21" t="s">
        <v>116</v>
      </c>
      <c r="E61" s="21"/>
      <c r="F61" s="21"/>
      <c r="G61" s="350">
        <v>1500000</v>
      </c>
      <c r="H61" s="344">
        <v>1500000</v>
      </c>
      <c r="I61" s="113">
        <f>H61/G61*100</f>
        <v>100</v>
      </c>
    </row>
    <row r="62" spans="1:9" ht="15.75">
      <c r="A62" s="18"/>
      <c r="B62" s="18" t="s">
        <v>26</v>
      </c>
      <c r="C62" s="18" t="s">
        <v>117</v>
      </c>
      <c r="D62" s="18"/>
      <c r="E62" s="18"/>
      <c r="F62" s="18"/>
      <c r="G62" s="355"/>
      <c r="H62" s="344"/>
      <c r="I62" s="113"/>
    </row>
    <row r="63" spans="1:9" s="9" customFormat="1" ht="15.75">
      <c r="A63" s="21"/>
      <c r="B63" s="21"/>
      <c r="C63" s="21" t="s">
        <v>43</v>
      </c>
      <c r="D63" s="21" t="s">
        <v>118</v>
      </c>
      <c r="E63" s="21"/>
      <c r="F63" s="21"/>
      <c r="G63" s="350">
        <v>3900000</v>
      </c>
      <c r="H63" s="499">
        <v>3900000</v>
      </c>
      <c r="I63" s="113">
        <f>H63/G63*100</f>
        <v>100</v>
      </c>
    </row>
    <row r="64" spans="1:9" ht="15.75">
      <c r="A64" s="18"/>
      <c r="B64" s="18" t="s">
        <v>44</v>
      </c>
      <c r="C64" s="18" t="s">
        <v>119</v>
      </c>
      <c r="D64" s="18"/>
      <c r="E64" s="18"/>
      <c r="F64" s="18"/>
      <c r="G64" s="355"/>
      <c r="H64" s="344"/>
      <c r="I64" s="113"/>
    </row>
    <row r="65" spans="1:9" ht="15.75">
      <c r="A65" s="21"/>
      <c r="B65" s="21"/>
      <c r="C65" s="21" t="s">
        <v>43</v>
      </c>
      <c r="D65" s="21" t="s">
        <v>120</v>
      </c>
      <c r="E65" s="21"/>
      <c r="F65" s="21"/>
      <c r="G65" s="350">
        <v>1913000</v>
      </c>
      <c r="H65" s="344">
        <v>1913000</v>
      </c>
      <c r="I65" s="113">
        <f>H65/G65*100</f>
        <v>100</v>
      </c>
    </row>
    <row r="66" spans="1:9" ht="15.75">
      <c r="A66" s="21"/>
      <c r="B66" s="18" t="s">
        <v>100</v>
      </c>
      <c r="C66" s="18" t="s">
        <v>121</v>
      </c>
      <c r="D66" s="21"/>
      <c r="E66" s="21"/>
      <c r="F66" s="21"/>
      <c r="G66" s="350"/>
      <c r="H66" s="344"/>
      <c r="I66" s="113"/>
    </row>
    <row r="67" spans="1:9" ht="15.75">
      <c r="A67" s="21"/>
      <c r="B67" s="21"/>
      <c r="C67" s="21" t="s">
        <v>43</v>
      </c>
      <c r="D67" s="21" t="s">
        <v>122</v>
      </c>
      <c r="E67" s="21"/>
      <c r="F67" s="21"/>
      <c r="G67" s="350">
        <v>140000</v>
      </c>
      <c r="H67" s="344">
        <v>140000</v>
      </c>
      <c r="I67" s="113">
        <f>H67/G67*100</f>
        <v>100</v>
      </c>
    </row>
    <row r="68" spans="1:9" ht="15.75">
      <c r="A68" s="21"/>
      <c r="B68" s="21"/>
      <c r="C68" s="21"/>
      <c r="D68" s="21"/>
      <c r="E68" s="21"/>
      <c r="F68" s="21"/>
      <c r="G68" s="350"/>
      <c r="H68" s="344"/>
      <c r="I68" s="113"/>
    </row>
    <row r="69" spans="1:9" ht="15.75">
      <c r="A69" s="21"/>
      <c r="B69" s="21"/>
      <c r="C69" s="18" t="s">
        <v>26</v>
      </c>
      <c r="D69" s="21" t="s">
        <v>81</v>
      </c>
      <c r="E69" s="21"/>
      <c r="F69" s="21"/>
      <c r="G69" s="350">
        <v>280000</v>
      </c>
      <c r="H69" s="344">
        <v>280000</v>
      </c>
      <c r="I69" s="113">
        <f>H69/G69*100</f>
        <v>100</v>
      </c>
    </row>
    <row r="70" spans="1:9" ht="15.75">
      <c r="A70" s="18"/>
      <c r="B70" s="18" t="s">
        <v>101</v>
      </c>
      <c r="C70" s="18" t="s">
        <v>123</v>
      </c>
      <c r="D70" s="18"/>
      <c r="E70" s="18"/>
      <c r="F70" s="18"/>
      <c r="G70" s="355"/>
      <c r="H70" s="344"/>
      <c r="I70" s="113"/>
    </row>
    <row r="71" spans="1:9" ht="15.75">
      <c r="A71" s="21"/>
      <c r="B71" s="21"/>
      <c r="C71" s="18" t="s">
        <v>43</v>
      </c>
      <c r="D71" s="21" t="s">
        <v>124</v>
      </c>
      <c r="E71" s="21"/>
      <c r="F71" s="21"/>
      <c r="G71" s="350">
        <v>5000</v>
      </c>
      <c r="H71" s="344">
        <v>5000</v>
      </c>
      <c r="I71" s="113">
        <f>H71/G71*100</f>
        <v>100</v>
      </c>
    </row>
    <row r="72" spans="1:9" ht="15.75" customHeight="1">
      <c r="A72" s="119"/>
      <c r="B72" s="119"/>
      <c r="C72" s="119" t="s">
        <v>44</v>
      </c>
      <c r="D72" s="122" t="s">
        <v>123</v>
      </c>
      <c r="E72" s="119"/>
      <c r="F72" s="119"/>
      <c r="G72" s="351"/>
      <c r="H72" s="344"/>
      <c r="I72" s="113"/>
    </row>
    <row r="73" spans="1:9" ht="15.75">
      <c r="A73" s="21"/>
      <c r="B73" s="21"/>
      <c r="C73" s="18" t="s">
        <v>100</v>
      </c>
      <c r="D73" s="21" t="s">
        <v>125</v>
      </c>
      <c r="E73" s="21"/>
      <c r="F73" s="21"/>
      <c r="G73" s="350">
        <v>75000</v>
      </c>
      <c r="H73" s="344">
        <v>75000</v>
      </c>
      <c r="I73" s="113">
        <f>H73/G73*100</f>
        <v>100</v>
      </c>
    </row>
    <row r="74" spans="1:9" ht="9" customHeight="1">
      <c r="A74" s="119"/>
      <c r="B74" s="119"/>
      <c r="C74" s="119"/>
      <c r="D74" s="119"/>
      <c r="E74" s="119"/>
      <c r="F74" s="119"/>
      <c r="G74" s="351"/>
      <c r="H74" s="344"/>
      <c r="I74" s="113"/>
    </row>
    <row r="75" spans="1:9" s="9" customFormat="1" ht="15.75">
      <c r="A75" s="18" t="s">
        <v>70</v>
      </c>
      <c r="B75" s="119"/>
      <c r="C75" s="119"/>
      <c r="D75" s="119"/>
      <c r="E75" s="119"/>
      <c r="F75" s="119"/>
      <c r="G75" s="352">
        <f>G61+G63+G65+G67+G69+G71+G72+G73</f>
        <v>7813000</v>
      </c>
      <c r="H75" s="352">
        <f>H61+H63+H65+H67+H69+H71+H72+H73</f>
        <v>7813000</v>
      </c>
      <c r="I75" s="113">
        <f>H75/G75*100</f>
        <v>100</v>
      </c>
    </row>
    <row r="76" spans="1:9" ht="12.75" customHeight="1">
      <c r="A76" s="119"/>
      <c r="B76" s="119"/>
      <c r="C76" s="119"/>
      <c r="D76" s="119"/>
      <c r="E76" s="119"/>
      <c r="F76" s="119"/>
      <c r="G76" s="351"/>
      <c r="H76" s="351"/>
      <c r="I76" s="113"/>
    </row>
    <row r="77" spans="1:9" ht="15.75">
      <c r="A77" s="18" t="s">
        <v>126</v>
      </c>
      <c r="B77" s="18" t="s">
        <v>55</v>
      </c>
      <c r="C77" s="18"/>
      <c r="D77" s="18"/>
      <c r="E77" s="18"/>
      <c r="F77" s="18"/>
      <c r="G77" s="354"/>
      <c r="H77" s="355"/>
      <c r="I77" s="113"/>
    </row>
    <row r="78" spans="1:9" ht="15.75">
      <c r="A78" s="119"/>
      <c r="B78" s="119" t="s">
        <v>43</v>
      </c>
      <c r="C78" s="514" t="s">
        <v>127</v>
      </c>
      <c r="D78" s="514"/>
      <c r="E78" s="514"/>
      <c r="F78" s="514"/>
      <c r="G78" s="351"/>
      <c r="H78" s="351"/>
      <c r="I78" s="113"/>
    </row>
    <row r="79" spans="1:9" ht="15.75">
      <c r="A79" s="119"/>
      <c r="B79" s="119"/>
      <c r="C79" s="119" t="s">
        <v>43</v>
      </c>
      <c r="D79" s="122" t="s">
        <v>138</v>
      </c>
      <c r="E79" s="122"/>
      <c r="F79" s="122"/>
      <c r="G79" s="351">
        <v>82942</v>
      </c>
      <c r="H79" s="344">
        <v>282128</v>
      </c>
      <c r="I79" s="113">
        <f>H79/G79*100</f>
        <v>340.150948855827</v>
      </c>
    </row>
    <row r="80" spans="1:9" ht="15.75">
      <c r="A80" s="119"/>
      <c r="B80" s="119"/>
      <c r="C80" s="119" t="s">
        <v>26</v>
      </c>
      <c r="D80" s="122" t="s">
        <v>130</v>
      </c>
      <c r="E80" s="122"/>
      <c r="F80" s="122"/>
      <c r="G80" s="351"/>
      <c r="H80" s="427"/>
      <c r="I80" s="113"/>
    </row>
    <row r="81" spans="1:9" ht="15.75">
      <c r="A81" s="119"/>
      <c r="B81" s="119"/>
      <c r="C81" s="119"/>
      <c r="D81" s="122" t="s">
        <v>43</v>
      </c>
      <c r="E81" s="122" t="s">
        <v>131</v>
      </c>
      <c r="F81" s="122"/>
      <c r="G81" s="351">
        <v>20000</v>
      </c>
      <c r="H81" s="344">
        <v>20000</v>
      </c>
      <c r="I81" s="113">
        <f>H81/G81*100</f>
        <v>100</v>
      </c>
    </row>
    <row r="82" spans="1:9" ht="15.75">
      <c r="A82" s="119"/>
      <c r="B82" s="119"/>
      <c r="C82" s="119"/>
      <c r="D82" s="122" t="s">
        <v>26</v>
      </c>
      <c r="E82" s="122" t="s">
        <v>132</v>
      </c>
      <c r="F82" s="122"/>
      <c r="G82" s="351">
        <v>820000</v>
      </c>
      <c r="H82" s="344">
        <v>64680</v>
      </c>
      <c r="I82" s="113">
        <f>H82/G82*100</f>
        <v>7.88780487804878</v>
      </c>
    </row>
    <row r="83" spans="1:9" ht="15.75">
      <c r="A83" s="119"/>
      <c r="B83" s="119"/>
      <c r="C83" s="119"/>
      <c r="D83" s="122" t="s">
        <v>44</v>
      </c>
      <c r="E83" s="122" t="s">
        <v>133</v>
      </c>
      <c r="F83" s="122"/>
      <c r="G83" s="351">
        <v>2000</v>
      </c>
      <c r="H83" s="344">
        <v>2000</v>
      </c>
      <c r="I83" s="113">
        <f>H83/G83*100</f>
        <v>100</v>
      </c>
    </row>
    <row r="84" spans="1:9" ht="15.75">
      <c r="A84" s="119"/>
      <c r="B84" s="119"/>
      <c r="C84" s="119"/>
      <c r="D84" s="122" t="s">
        <v>100</v>
      </c>
      <c r="E84" s="122" t="s">
        <v>134</v>
      </c>
      <c r="F84" s="122"/>
      <c r="G84" s="351">
        <v>85179</v>
      </c>
      <c r="H84" s="344">
        <v>203028</v>
      </c>
      <c r="I84" s="113">
        <f>H84/G84*100</f>
        <v>238.35452400239495</v>
      </c>
    </row>
    <row r="85" spans="1:9" ht="15.75">
      <c r="A85" s="119"/>
      <c r="B85" s="119"/>
      <c r="C85" s="119" t="s">
        <v>44</v>
      </c>
      <c r="D85" s="122" t="s">
        <v>154</v>
      </c>
      <c r="E85" s="122"/>
      <c r="F85" s="122"/>
      <c r="G85" s="351"/>
      <c r="H85" s="427"/>
      <c r="I85" s="113"/>
    </row>
    <row r="86" spans="1:9" ht="15.75">
      <c r="A86" s="119"/>
      <c r="B86" s="119"/>
      <c r="D86" s="119" t="s">
        <v>43</v>
      </c>
      <c r="E86" s="122" t="s">
        <v>128</v>
      </c>
      <c r="F86" s="119"/>
      <c r="G86" s="351">
        <v>41000</v>
      </c>
      <c r="H86" s="344">
        <v>41000</v>
      </c>
      <c r="I86" s="113">
        <f>H86/G86*100</f>
        <v>100</v>
      </c>
    </row>
    <row r="87" spans="1:9" ht="15.75">
      <c r="A87" s="119"/>
      <c r="B87" s="119"/>
      <c r="D87" s="119" t="s">
        <v>26</v>
      </c>
      <c r="E87" s="122" t="s">
        <v>129</v>
      </c>
      <c r="F87" s="122"/>
      <c r="G87" s="351">
        <v>274498</v>
      </c>
      <c r="H87" s="344">
        <v>411746</v>
      </c>
      <c r="I87" s="113">
        <f>H87/G87*100</f>
        <v>149.99963569862075</v>
      </c>
    </row>
    <row r="88" spans="4:9" ht="15.75">
      <c r="D88" s="70" t="s">
        <v>44</v>
      </c>
      <c r="E88" s="122" t="s">
        <v>71</v>
      </c>
      <c r="G88" s="351">
        <v>521023</v>
      </c>
      <c r="H88" s="344">
        <v>521023</v>
      </c>
      <c r="I88" s="113">
        <f>H88/G88*100</f>
        <v>100</v>
      </c>
    </row>
    <row r="89" spans="1:9" ht="15.75">
      <c r="A89" s="119"/>
      <c r="B89" s="119" t="s">
        <v>26</v>
      </c>
      <c r="C89" s="122" t="s">
        <v>135</v>
      </c>
      <c r="D89" s="122"/>
      <c r="E89" s="122"/>
      <c r="F89" s="122"/>
      <c r="G89" s="351"/>
      <c r="H89" s="427"/>
      <c r="I89" s="113"/>
    </row>
    <row r="90" spans="1:9" ht="15.75">
      <c r="A90" s="119"/>
      <c r="B90" s="119"/>
      <c r="C90" s="119" t="s">
        <v>43</v>
      </c>
      <c r="D90" s="122" t="s">
        <v>136</v>
      </c>
      <c r="E90" s="122"/>
      <c r="F90" s="122"/>
      <c r="G90" s="351">
        <v>4099152</v>
      </c>
      <c r="H90" s="344">
        <v>4156873</v>
      </c>
      <c r="I90" s="113">
        <f>H90/G90*100</f>
        <v>101.4081205088272</v>
      </c>
    </row>
    <row r="91" spans="1:9" ht="15.75">
      <c r="A91" s="119"/>
      <c r="B91" s="119" t="s">
        <v>44</v>
      </c>
      <c r="C91" s="122" t="s">
        <v>137</v>
      </c>
      <c r="D91" s="122"/>
      <c r="E91" s="122"/>
      <c r="F91" s="122"/>
      <c r="G91" s="351"/>
      <c r="H91" s="427"/>
      <c r="I91" s="113"/>
    </row>
    <row r="92" spans="1:9" ht="15.75">
      <c r="A92" s="119"/>
      <c r="B92" s="119"/>
      <c r="C92" s="119" t="s">
        <v>43</v>
      </c>
      <c r="D92" s="122" t="s">
        <v>79</v>
      </c>
      <c r="E92" s="122"/>
      <c r="F92" s="122"/>
      <c r="G92" s="351">
        <v>1267352</v>
      </c>
      <c r="H92" s="344">
        <v>1098372</v>
      </c>
      <c r="I92" s="113">
        <f aca="true" t="shared" si="0" ref="I92:I97">H92/G92*100</f>
        <v>86.66668770791382</v>
      </c>
    </row>
    <row r="93" spans="1:9" ht="15.75">
      <c r="A93" s="119"/>
      <c r="B93" s="119" t="s">
        <v>100</v>
      </c>
      <c r="C93" s="122" t="s">
        <v>139</v>
      </c>
      <c r="D93" s="119"/>
      <c r="E93" s="119"/>
      <c r="F93" s="119"/>
      <c r="G93" s="351">
        <v>1725879</v>
      </c>
      <c r="H93" s="344">
        <f>1818765-270</f>
        <v>1818495</v>
      </c>
      <c r="I93" s="113">
        <f t="shared" si="0"/>
        <v>105.36630899385182</v>
      </c>
    </row>
    <row r="94" spans="1:9" ht="15.75">
      <c r="A94" s="119"/>
      <c r="B94" s="119" t="s">
        <v>101</v>
      </c>
      <c r="C94" s="122" t="s">
        <v>140</v>
      </c>
      <c r="D94" s="119"/>
      <c r="E94" s="119"/>
      <c r="F94" s="119"/>
      <c r="G94" s="351">
        <v>1156821</v>
      </c>
      <c r="H94" s="344">
        <f>1004191+480029</f>
        <v>1484220</v>
      </c>
      <c r="I94" s="113">
        <f t="shared" si="0"/>
        <v>128.30161278192566</v>
      </c>
    </row>
    <row r="95" spans="1:9" ht="24.75" customHeight="1">
      <c r="A95" s="119"/>
      <c r="B95" s="119" t="s">
        <v>107</v>
      </c>
      <c r="C95" s="122" t="s">
        <v>141</v>
      </c>
      <c r="D95" s="119"/>
      <c r="E95" s="119"/>
      <c r="F95" s="119"/>
      <c r="G95" s="351">
        <v>2000</v>
      </c>
      <c r="H95" s="344">
        <v>2000</v>
      </c>
      <c r="I95" s="113">
        <f t="shared" si="0"/>
        <v>100</v>
      </c>
    </row>
    <row r="96" spans="1:9" ht="19.5" customHeight="1">
      <c r="A96" s="119"/>
      <c r="B96" s="376" t="s">
        <v>241</v>
      </c>
      <c r="C96" s="514" t="s">
        <v>473</v>
      </c>
      <c r="D96" s="514"/>
      <c r="E96" s="514"/>
      <c r="F96" s="514"/>
      <c r="G96" s="351"/>
      <c r="H96" s="344"/>
      <c r="I96" s="113"/>
    </row>
    <row r="97" spans="1:11" ht="15.75">
      <c r="A97" s="18" t="s">
        <v>23</v>
      </c>
      <c r="B97" s="119"/>
      <c r="C97" s="119"/>
      <c r="D97" s="119"/>
      <c r="E97" s="119"/>
      <c r="F97" s="119"/>
      <c r="G97" s="352">
        <f>SUM(G78:G96)</f>
        <v>10097846</v>
      </c>
      <c r="H97" s="484">
        <f>SUM(H78:H96)</f>
        <v>10105565</v>
      </c>
      <c r="I97" s="113">
        <f t="shared" si="0"/>
        <v>100.07644204516488</v>
      </c>
      <c r="K97" s="343"/>
    </row>
    <row r="98" spans="1:9" ht="1.5" customHeight="1">
      <c r="A98" s="119"/>
      <c r="B98" s="119"/>
      <c r="C98" s="119"/>
      <c r="D98" s="119"/>
      <c r="E98" s="119"/>
      <c r="F98" s="119"/>
      <c r="G98" s="351"/>
      <c r="H98" s="427"/>
      <c r="I98" s="113"/>
    </row>
    <row r="99" spans="1:9" ht="1.5" customHeight="1">
      <c r="A99" s="119"/>
      <c r="B99" s="119"/>
      <c r="C99" s="119"/>
      <c r="D99" s="119"/>
      <c r="E99" s="119"/>
      <c r="F99" s="119"/>
      <c r="G99" s="351"/>
      <c r="H99" s="427"/>
      <c r="I99" s="113"/>
    </row>
    <row r="100" spans="1:9" ht="1.5" customHeight="1">
      <c r="A100" s="119"/>
      <c r="B100" s="119"/>
      <c r="C100" s="119"/>
      <c r="D100" s="119"/>
      <c r="E100" s="119"/>
      <c r="F100" s="119"/>
      <c r="G100" s="351"/>
      <c r="H100" s="427"/>
      <c r="I100" s="113"/>
    </row>
    <row r="101" spans="1:9" ht="3.75" customHeight="1">
      <c r="A101" s="119"/>
      <c r="B101" s="119"/>
      <c r="C101" s="119"/>
      <c r="D101" s="119"/>
      <c r="E101" s="119"/>
      <c r="F101" s="119"/>
      <c r="G101" s="351"/>
      <c r="H101" s="427"/>
      <c r="I101" s="113"/>
    </row>
    <row r="102" spans="1:9" ht="15.75">
      <c r="A102" s="18" t="s">
        <v>60</v>
      </c>
      <c r="B102" s="18" t="s">
        <v>142</v>
      </c>
      <c r="C102" s="18"/>
      <c r="D102" s="18"/>
      <c r="E102" s="18"/>
      <c r="F102" s="18"/>
      <c r="G102" s="355"/>
      <c r="H102" s="427"/>
      <c r="I102" s="113"/>
    </row>
    <row r="103" spans="1:9" ht="15.75">
      <c r="A103" s="18"/>
      <c r="B103" s="18"/>
      <c r="C103" s="18"/>
      <c r="D103" s="18"/>
      <c r="E103" s="18"/>
      <c r="F103" s="18"/>
      <c r="G103" s="355"/>
      <c r="H103" s="427"/>
      <c r="I103" s="113"/>
    </row>
    <row r="104" spans="1:9" ht="59.25" customHeight="1">
      <c r="A104" s="21"/>
      <c r="B104" s="21" t="s">
        <v>43</v>
      </c>
      <c r="C104" s="512" t="s">
        <v>593</v>
      </c>
      <c r="D104" s="512"/>
      <c r="E104" s="512"/>
      <c r="F104" s="512"/>
      <c r="G104" s="349"/>
      <c r="H104" s="344"/>
      <c r="I104" s="113"/>
    </row>
    <row r="105" spans="1:9" ht="35.25" customHeight="1">
      <c r="A105" s="21"/>
      <c r="B105" s="21"/>
      <c r="C105" s="121" t="s">
        <v>43</v>
      </c>
      <c r="D105" s="512" t="s">
        <v>143</v>
      </c>
      <c r="E105" s="512"/>
      <c r="F105" s="512"/>
      <c r="G105" s="349">
        <v>121800</v>
      </c>
      <c r="H105" s="344">
        <v>346850</v>
      </c>
      <c r="I105" s="113">
        <f>H105/G105*100</f>
        <v>284.7701149425288</v>
      </c>
    </row>
    <row r="106" spans="1:9" ht="39.75" customHeight="1">
      <c r="A106" s="119"/>
      <c r="B106" s="119" t="s">
        <v>595</v>
      </c>
      <c r="C106" s="509" t="s">
        <v>596</v>
      </c>
      <c r="D106" s="510"/>
      <c r="E106" s="510"/>
      <c r="F106" s="510"/>
      <c r="G106" s="351"/>
      <c r="H106" s="344">
        <v>6000000</v>
      </c>
      <c r="I106" s="113"/>
    </row>
    <row r="107" spans="1:9" ht="15.75">
      <c r="A107" s="513" t="s">
        <v>144</v>
      </c>
      <c r="B107" s="513"/>
      <c r="C107" s="513"/>
      <c r="D107" s="513"/>
      <c r="E107" s="513"/>
      <c r="F107" s="513"/>
      <c r="G107" s="354">
        <f>SUM(G105:G106)</f>
        <v>121800</v>
      </c>
      <c r="H107" s="354">
        <f>SUM(H104:H106)</f>
        <v>6346850</v>
      </c>
      <c r="I107" s="113">
        <f>H107/G107*100</f>
        <v>5210.878489326766</v>
      </c>
    </row>
    <row r="108" spans="1:9" ht="14.25" customHeight="1">
      <c r="A108" s="119"/>
      <c r="B108" s="119"/>
      <c r="C108" s="119"/>
      <c r="D108" s="119"/>
      <c r="E108" s="119"/>
      <c r="F108" s="119"/>
      <c r="G108" s="351"/>
      <c r="H108" s="344"/>
      <c r="I108" s="113"/>
    </row>
    <row r="109" spans="1:9" ht="16.5">
      <c r="A109" s="124" t="s">
        <v>145</v>
      </c>
      <c r="B109" s="124"/>
      <c r="C109" s="124"/>
      <c r="D109" s="124"/>
      <c r="E109" s="124"/>
      <c r="F109" s="124"/>
      <c r="G109" s="354">
        <f>G107+G97+G75+G55</f>
        <v>53521514</v>
      </c>
      <c r="H109" s="354">
        <f>H107+H97+H75+H55+H56</f>
        <v>71162591</v>
      </c>
      <c r="I109" s="113">
        <f>H109/G109*100</f>
        <v>132.96072117840313</v>
      </c>
    </row>
    <row r="110" spans="1:9" ht="16.5">
      <c r="A110" s="124"/>
      <c r="B110" s="124"/>
      <c r="C110" s="124"/>
      <c r="D110" s="124"/>
      <c r="E110" s="124"/>
      <c r="F110" s="124"/>
      <c r="G110" s="357"/>
      <c r="H110" s="344"/>
      <c r="I110" s="113"/>
    </row>
    <row r="111" spans="1:9" ht="15.75">
      <c r="A111" s="125" t="s">
        <v>146</v>
      </c>
      <c r="B111" s="508" t="s">
        <v>147</v>
      </c>
      <c r="C111" s="508"/>
      <c r="D111" s="508"/>
      <c r="E111" s="508"/>
      <c r="F111" s="508"/>
      <c r="G111" s="349"/>
      <c r="H111" s="344"/>
      <c r="I111" s="113"/>
    </row>
    <row r="112" spans="1:9" ht="15.75">
      <c r="A112" s="18"/>
      <c r="B112" s="110" t="s">
        <v>43</v>
      </c>
      <c r="C112" s="508" t="s">
        <v>148</v>
      </c>
      <c r="D112" s="508"/>
      <c r="E112" s="508"/>
      <c r="F112" s="508"/>
      <c r="G112" s="349"/>
      <c r="H112" s="344"/>
      <c r="I112" s="113"/>
    </row>
    <row r="113" spans="1:9" ht="36" customHeight="1">
      <c r="A113" s="18"/>
      <c r="B113" s="110"/>
      <c r="C113" s="121" t="s">
        <v>43</v>
      </c>
      <c r="D113" s="512" t="s">
        <v>578</v>
      </c>
      <c r="E113" s="512"/>
      <c r="F113" s="512"/>
      <c r="G113" s="349">
        <v>56048698</v>
      </c>
      <c r="H113" s="344">
        <v>4976007</v>
      </c>
      <c r="I113" s="113">
        <f>H113/G113*100</f>
        <v>8.87800640792762</v>
      </c>
    </row>
    <row r="114" spans="1:9" ht="39" customHeight="1">
      <c r="A114" s="21"/>
      <c r="B114" s="21"/>
      <c r="C114" s="380" t="s">
        <v>26</v>
      </c>
      <c r="D114" s="511" t="s">
        <v>484</v>
      </c>
      <c r="E114" s="511"/>
      <c r="F114" s="511"/>
      <c r="G114" s="350"/>
      <c r="H114" s="427"/>
      <c r="I114" s="113"/>
    </row>
    <row r="115" spans="1:9" ht="16.5" customHeight="1">
      <c r="A115" s="21"/>
      <c r="B115" s="21"/>
      <c r="C115" s="21" t="s">
        <v>44</v>
      </c>
      <c r="D115" s="511" t="s">
        <v>485</v>
      </c>
      <c r="E115" s="511"/>
      <c r="F115" s="511"/>
      <c r="G115" s="350">
        <v>1417579</v>
      </c>
      <c r="H115" s="483">
        <v>1240566</v>
      </c>
      <c r="I115" s="113"/>
    </row>
    <row r="116" spans="1:9" ht="16.5">
      <c r="A116" s="124" t="s">
        <v>147</v>
      </c>
      <c r="B116" s="124"/>
      <c r="C116" s="124"/>
      <c r="D116" s="124"/>
      <c r="E116" s="124"/>
      <c r="F116" s="124"/>
      <c r="G116" s="354">
        <f>G113+G114+G115</f>
        <v>57466277</v>
      </c>
      <c r="H116" s="354">
        <f>SUM(H113:H115)</f>
        <v>6216573</v>
      </c>
      <c r="I116" s="113">
        <f>H116/G116*100</f>
        <v>10.817775788746504</v>
      </c>
    </row>
    <row r="117" spans="1:9" ht="15" customHeight="1">
      <c r="A117" s="21"/>
      <c r="B117" s="21"/>
      <c r="C117" s="21"/>
      <c r="D117" s="21"/>
      <c r="E117" s="21"/>
      <c r="F117" s="21"/>
      <c r="G117" s="358"/>
      <c r="H117" s="356"/>
      <c r="I117" s="113"/>
    </row>
    <row r="118" spans="1:9" ht="18.75">
      <c r="A118" s="20" t="s">
        <v>149</v>
      </c>
      <c r="B118" s="20"/>
      <c r="C118" s="20"/>
      <c r="D118" s="20"/>
      <c r="E118" s="20"/>
      <c r="F118" s="20"/>
      <c r="G118" s="354">
        <f>G109+G116</f>
        <v>110987791</v>
      </c>
      <c r="H118" s="354">
        <f>H109+H116</f>
        <v>77379164</v>
      </c>
      <c r="I118" s="113">
        <f>H118/G118*100</f>
        <v>69.71862697943055</v>
      </c>
    </row>
    <row r="119" spans="7:9" ht="15.75">
      <c r="G119" s="343"/>
      <c r="H119" s="343"/>
      <c r="I119" s="113"/>
    </row>
    <row r="120" spans="7:9" ht="15.75">
      <c r="G120" s="343"/>
      <c r="H120" s="343"/>
      <c r="I120" s="113"/>
    </row>
    <row r="121" spans="7:8" ht="15.75">
      <c r="G121" s="343"/>
      <c r="H121" s="343"/>
    </row>
    <row r="122" spans="7:8" ht="15.75">
      <c r="G122" s="343"/>
      <c r="H122" s="343"/>
    </row>
    <row r="123" spans="7:8" ht="15.75">
      <c r="G123" s="343"/>
      <c r="H123" s="343"/>
    </row>
    <row r="124" spans="7:8" ht="15.75">
      <c r="G124" s="343"/>
      <c r="H124" s="343"/>
    </row>
    <row r="125" spans="7:8" ht="15.75">
      <c r="G125" s="343"/>
      <c r="H125" s="343"/>
    </row>
    <row r="126" spans="7:8" ht="15.75">
      <c r="G126" s="343"/>
      <c r="H126" s="343"/>
    </row>
    <row r="127" spans="7:8" ht="15.75">
      <c r="G127" s="343"/>
      <c r="H127" s="343"/>
    </row>
    <row r="128" spans="7:8" ht="15.75">
      <c r="G128" s="343"/>
      <c r="H128" s="343"/>
    </row>
    <row r="129" spans="7:8" ht="15.75">
      <c r="G129" s="343"/>
      <c r="H129" s="343"/>
    </row>
    <row r="130" spans="7:8" ht="15.75">
      <c r="G130" s="343"/>
      <c r="H130" s="343"/>
    </row>
    <row r="131" spans="7:8" ht="15.75">
      <c r="G131" s="343"/>
      <c r="H131" s="343"/>
    </row>
    <row r="132" spans="7:8" ht="15.75">
      <c r="G132" s="343"/>
      <c r="H132" s="343"/>
    </row>
    <row r="133" spans="7:8" ht="15.75">
      <c r="G133" s="343"/>
      <c r="H133" s="343"/>
    </row>
    <row r="134" spans="7:8" ht="15.75">
      <c r="G134" s="343"/>
      <c r="H134" s="343"/>
    </row>
    <row r="135" spans="7:8" ht="15.75">
      <c r="G135" s="343"/>
      <c r="H135" s="343"/>
    </row>
    <row r="136" spans="7:8" ht="15.75">
      <c r="G136" s="343"/>
      <c r="H136" s="343"/>
    </row>
    <row r="137" spans="7:8" ht="15.75">
      <c r="G137" s="343"/>
      <c r="H137" s="343"/>
    </row>
    <row r="138" spans="7:8" ht="15.75">
      <c r="G138" s="343"/>
      <c r="H138" s="343"/>
    </row>
    <row r="139" spans="7:8" ht="15.75">
      <c r="G139" s="343"/>
      <c r="H139" s="343"/>
    </row>
    <row r="140" spans="7:8" ht="15.75">
      <c r="G140" s="343"/>
      <c r="H140" s="343"/>
    </row>
    <row r="141" spans="7:8" ht="15.75">
      <c r="G141" s="343"/>
      <c r="H141" s="343"/>
    </row>
    <row r="142" spans="7:8" ht="15.75">
      <c r="G142" s="343"/>
      <c r="H142" s="343"/>
    </row>
    <row r="143" spans="7:8" ht="15.75">
      <c r="G143" s="343"/>
      <c r="H143" s="343"/>
    </row>
    <row r="144" spans="7:8" ht="15.75">
      <c r="G144" s="343"/>
      <c r="H144" s="343"/>
    </row>
    <row r="145" spans="7:8" ht="15.75">
      <c r="G145" s="343"/>
      <c r="H145" s="343"/>
    </row>
    <row r="146" spans="7:8" ht="15.75">
      <c r="G146" s="343"/>
      <c r="H146" s="343"/>
    </row>
    <row r="147" spans="7:8" ht="15.75">
      <c r="G147" s="343"/>
      <c r="H147" s="343"/>
    </row>
    <row r="148" spans="7:8" ht="15.75">
      <c r="G148" s="343"/>
      <c r="H148" s="343"/>
    </row>
    <row r="149" spans="7:8" ht="15.75">
      <c r="G149" s="343"/>
      <c r="H149" s="343"/>
    </row>
    <row r="150" spans="7:8" ht="15.75">
      <c r="G150" s="343"/>
      <c r="H150" s="343"/>
    </row>
    <row r="151" spans="7:8" ht="15.75">
      <c r="G151" s="343"/>
      <c r="H151" s="343"/>
    </row>
    <row r="152" spans="7:8" ht="15.75">
      <c r="G152" s="343"/>
      <c r="H152" s="343"/>
    </row>
    <row r="153" spans="7:8" ht="15.75">
      <c r="G153" s="343"/>
      <c r="H153" s="343"/>
    </row>
  </sheetData>
  <sheetProtection password="AF00" sheet="1"/>
  <mergeCells count="35">
    <mergeCell ref="D14:F14"/>
    <mergeCell ref="C96:F96"/>
    <mergeCell ref="A1:I1"/>
    <mergeCell ref="A6:I6"/>
    <mergeCell ref="B12:F12"/>
    <mergeCell ref="A8:F10"/>
    <mergeCell ref="A2:I2"/>
    <mergeCell ref="A3:I3"/>
    <mergeCell ref="A4:I4"/>
    <mergeCell ref="D45:F45"/>
    <mergeCell ref="E46:F46"/>
    <mergeCell ref="C48:F48"/>
    <mergeCell ref="C43:F43"/>
    <mergeCell ref="E15:F15"/>
    <mergeCell ref="D32:F32"/>
    <mergeCell ref="D35:F35"/>
    <mergeCell ref="D36:F36"/>
    <mergeCell ref="E38:F38"/>
    <mergeCell ref="A55:F55"/>
    <mergeCell ref="C78:F78"/>
    <mergeCell ref="B56:F56"/>
    <mergeCell ref="C51:F51"/>
    <mergeCell ref="D52:F52"/>
    <mergeCell ref="B54:F54"/>
    <mergeCell ref="B49:F49"/>
    <mergeCell ref="C106:F106"/>
    <mergeCell ref="D114:F114"/>
    <mergeCell ref="D115:F115"/>
    <mergeCell ref="C104:F104"/>
    <mergeCell ref="C112:F112"/>
    <mergeCell ref="D113:F113"/>
    <mergeCell ref="D105:F105"/>
    <mergeCell ref="A107:F107"/>
    <mergeCell ref="B111:F111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G30"/>
  <sheetViews>
    <sheetView zoomScalePageLayoutView="0" workbookViewId="0" topLeftCell="A1">
      <selection activeCell="B5" sqref="B5:G5"/>
    </sheetView>
  </sheetViews>
  <sheetFormatPr defaultColWidth="9.00390625" defaultRowHeight="12.75"/>
  <cols>
    <col min="1" max="1" width="3.875" style="197" customWidth="1"/>
    <col min="2" max="2" width="9.125" style="197" customWidth="1"/>
    <col min="3" max="3" width="61.125" style="197" customWidth="1"/>
    <col min="4" max="7" width="26.25390625" style="197" customWidth="1"/>
    <col min="8" max="16384" width="9.125" style="197" customWidth="1"/>
  </cols>
  <sheetData>
    <row r="2" spans="2:7" s="189" customFormat="1" ht="15.75">
      <c r="B2" s="531" t="s">
        <v>609</v>
      </c>
      <c r="C2" s="531"/>
      <c r="D2" s="531"/>
      <c r="E2" s="531"/>
      <c r="F2" s="531"/>
      <c r="G2" s="531"/>
    </row>
    <row r="3" spans="3:7" s="85" customFormat="1" ht="15" customHeight="1">
      <c r="C3" s="529"/>
      <c r="D3" s="529"/>
      <c r="E3" s="529"/>
      <c r="F3" s="529"/>
      <c r="G3" s="529"/>
    </row>
    <row r="4" spans="2:7" s="191" customFormat="1" ht="15" customHeight="1">
      <c r="B4" s="530"/>
      <c r="C4" s="530"/>
      <c r="D4" s="530"/>
      <c r="E4" s="530"/>
      <c r="F4" s="530"/>
      <c r="G4" s="530"/>
    </row>
    <row r="5" spans="2:7" s="144" customFormat="1" ht="15" customHeight="1">
      <c r="B5" s="530" t="s">
        <v>40</v>
      </c>
      <c r="C5" s="530"/>
      <c r="D5" s="530"/>
      <c r="E5" s="530"/>
      <c r="F5" s="530"/>
      <c r="G5" s="530"/>
    </row>
    <row r="6" spans="2:7" s="144" customFormat="1" ht="15.75" customHeight="1">
      <c r="B6" s="532" t="s">
        <v>288</v>
      </c>
      <c r="C6" s="532"/>
      <c r="D6" s="532"/>
      <c r="E6" s="532"/>
      <c r="F6" s="532"/>
      <c r="G6" s="532"/>
    </row>
    <row r="7" spans="3:7" s="144" customFormat="1" ht="15" customHeight="1">
      <c r="C7" s="530" t="s">
        <v>584</v>
      </c>
      <c r="D7" s="530"/>
      <c r="E7" s="530"/>
      <c r="F7" s="530"/>
      <c r="G7" s="530"/>
    </row>
    <row r="8" spans="3:7" s="189" customFormat="1" ht="12" customHeight="1" thickBot="1">
      <c r="C8" s="190"/>
      <c r="D8" s="194"/>
      <c r="E8" s="195"/>
      <c r="F8" s="195"/>
      <c r="G8" s="196"/>
    </row>
    <row r="9" spans="1:7" s="189" customFormat="1" ht="23.25" customHeight="1" thickBot="1">
      <c r="A9" s="533" t="s">
        <v>467</v>
      </c>
      <c r="B9" s="536" t="s">
        <v>178</v>
      </c>
      <c r="C9" s="539" t="s">
        <v>179</v>
      </c>
      <c r="D9" s="542" t="s">
        <v>289</v>
      </c>
      <c r="E9" s="545" t="s">
        <v>290</v>
      </c>
      <c r="F9" s="545"/>
      <c r="G9" s="546"/>
    </row>
    <row r="10" spans="1:7" s="189" customFormat="1" ht="39.75" customHeight="1" thickBot="1">
      <c r="A10" s="534"/>
      <c r="B10" s="537"/>
      <c r="C10" s="540"/>
      <c r="D10" s="543"/>
      <c r="E10" s="363" t="s">
        <v>291</v>
      </c>
      <c r="F10" s="364" t="s">
        <v>292</v>
      </c>
      <c r="G10" s="365" t="s">
        <v>293</v>
      </c>
    </row>
    <row r="11" spans="1:7" s="189" customFormat="1" ht="22.5" customHeight="1">
      <c r="A11" s="534"/>
      <c r="B11" s="537"/>
      <c r="C11" s="540"/>
      <c r="D11" s="543"/>
      <c r="E11" s="547" t="s">
        <v>294</v>
      </c>
      <c r="F11" s="548"/>
      <c r="G11" s="549"/>
    </row>
    <row r="12" spans="1:7" ht="21.75" customHeight="1" thickBot="1">
      <c r="A12" s="535"/>
      <c r="B12" s="538"/>
      <c r="C12" s="541"/>
      <c r="D12" s="544"/>
      <c r="E12" s="550"/>
      <c r="F12" s="551"/>
      <c r="G12" s="552"/>
    </row>
    <row r="13" spans="1:7" ht="30">
      <c r="A13" s="366" t="s">
        <v>43</v>
      </c>
      <c r="B13" s="359" t="s">
        <v>195</v>
      </c>
      <c r="C13" s="198" t="s">
        <v>196</v>
      </c>
      <c r="D13" s="199">
        <f>SUM(E13:G13)</f>
        <v>353850</v>
      </c>
      <c r="E13" s="199">
        <v>7000</v>
      </c>
      <c r="F13" s="199">
        <v>346850</v>
      </c>
      <c r="G13" s="200"/>
    </row>
    <row r="14" spans="1:7" ht="15">
      <c r="A14" s="362" t="s">
        <v>26</v>
      </c>
      <c r="B14" s="360" t="s">
        <v>197</v>
      </c>
      <c r="C14" s="137" t="s">
        <v>35</v>
      </c>
      <c r="D14" s="201">
        <f aca="true" t="shared" si="0" ref="D14:D22">SUM(E14:G14)</f>
        <v>51800</v>
      </c>
      <c r="E14" s="201">
        <v>51800</v>
      </c>
      <c r="F14" s="201"/>
      <c r="G14" s="202"/>
    </row>
    <row r="15" spans="1:7" ht="15">
      <c r="A15" s="362" t="s">
        <v>44</v>
      </c>
      <c r="B15" s="360" t="s">
        <v>198</v>
      </c>
      <c r="C15" s="137" t="s">
        <v>199</v>
      </c>
      <c r="D15" s="201">
        <f t="shared" si="0"/>
        <v>350466</v>
      </c>
      <c r="E15" s="201">
        <v>64680</v>
      </c>
      <c r="F15" s="201">
        <v>285786</v>
      </c>
      <c r="G15" s="202"/>
    </row>
    <row r="16" spans="1:7" ht="15">
      <c r="A16" s="362" t="s">
        <v>100</v>
      </c>
      <c r="B16" s="360" t="s">
        <v>295</v>
      </c>
      <c r="C16" s="137" t="s">
        <v>296</v>
      </c>
      <c r="D16" s="201">
        <f t="shared" si="0"/>
        <v>31017138</v>
      </c>
      <c r="E16" s="201">
        <v>31017138</v>
      </c>
      <c r="F16" s="201"/>
      <c r="G16" s="202"/>
    </row>
    <row r="17" spans="1:7" ht="15">
      <c r="A17" s="362" t="s">
        <v>101</v>
      </c>
      <c r="B17" s="360" t="s">
        <v>469</v>
      </c>
      <c r="C17" s="137" t="s">
        <v>470</v>
      </c>
      <c r="D17" s="201">
        <f t="shared" si="0"/>
        <v>6216573</v>
      </c>
      <c r="E17" s="201">
        <v>6216573</v>
      </c>
      <c r="F17" s="201"/>
      <c r="G17" s="202"/>
    </row>
    <row r="18" spans="1:7" ht="15">
      <c r="A18" s="362" t="s">
        <v>107</v>
      </c>
      <c r="B18" s="360" t="s">
        <v>471</v>
      </c>
      <c r="C18" s="137" t="s">
        <v>472</v>
      </c>
      <c r="D18" s="201">
        <f t="shared" si="0"/>
        <v>15833638</v>
      </c>
      <c r="E18" s="201">
        <v>15833638</v>
      </c>
      <c r="F18" s="201"/>
      <c r="G18" s="202"/>
    </row>
    <row r="19" spans="1:7" ht="15">
      <c r="A19" s="362" t="s">
        <v>241</v>
      </c>
      <c r="B19" s="360" t="s">
        <v>202</v>
      </c>
      <c r="C19" s="137" t="s">
        <v>203</v>
      </c>
      <c r="D19" s="201">
        <f t="shared" si="0"/>
        <v>6283419</v>
      </c>
      <c r="E19" s="201">
        <v>6283419</v>
      </c>
      <c r="F19" s="201"/>
      <c r="G19" s="202"/>
    </row>
    <row r="20" spans="1:7" ht="15">
      <c r="A20" s="362" t="s">
        <v>243</v>
      </c>
      <c r="B20" s="360" t="s">
        <v>210</v>
      </c>
      <c r="C20" s="137" t="s">
        <v>211</v>
      </c>
      <c r="D20" s="201">
        <f t="shared" si="0"/>
        <v>6000000</v>
      </c>
      <c r="E20" s="201">
        <v>6000000</v>
      </c>
      <c r="F20" s="201"/>
      <c r="G20" s="202"/>
    </row>
    <row r="21" spans="1:7" ht="15">
      <c r="A21" s="362" t="s">
        <v>245</v>
      </c>
      <c r="B21" s="361">
        <v>104051</v>
      </c>
      <c r="C21" s="137" t="s">
        <v>356</v>
      </c>
      <c r="D21" s="201">
        <f t="shared" si="0"/>
        <v>46400</v>
      </c>
      <c r="E21" s="201"/>
      <c r="F21" s="201"/>
      <c r="G21" s="202">
        <v>46400</v>
      </c>
    </row>
    <row r="22" spans="1:7" ht="30.75" thickBot="1">
      <c r="A22" s="362" t="s">
        <v>245</v>
      </c>
      <c r="B22" s="361">
        <v>900020</v>
      </c>
      <c r="C22" s="137" t="s">
        <v>301</v>
      </c>
      <c r="D22" s="201">
        <f t="shared" si="0"/>
        <v>7808000</v>
      </c>
      <c r="E22" s="201">
        <v>7808000</v>
      </c>
      <c r="F22" s="201"/>
      <c r="G22" s="202"/>
    </row>
    <row r="23" spans="1:7" ht="30" customHeight="1" thickBot="1">
      <c r="A23" s="475" t="s">
        <v>251</v>
      </c>
      <c r="B23" s="476"/>
      <c r="C23" s="462" t="s">
        <v>533</v>
      </c>
      <c r="D23" s="464">
        <f>SUM(D13:D22)</f>
        <v>73961284</v>
      </c>
      <c r="E23" s="464">
        <f>SUM(E13:E22)</f>
        <v>73282248</v>
      </c>
      <c r="F23" s="464">
        <f>SUM(F13:F22)</f>
        <v>632636</v>
      </c>
      <c r="G23" s="464">
        <f>SUM(G13:G22)</f>
        <v>46400</v>
      </c>
    </row>
    <row r="25" spans="1:7" ht="15">
      <c r="A25" s="362" t="s">
        <v>253</v>
      </c>
      <c r="B25" s="360" t="s">
        <v>297</v>
      </c>
      <c r="C25" s="137" t="s">
        <v>298</v>
      </c>
      <c r="D25" s="201">
        <f>SUM(E25:G25)</f>
        <v>634090</v>
      </c>
      <c r="E25" s="201">
        <v>634090</v>
      </c>
      <c r="F25" s="201"/>
      <c r="G25" s="202"/>
    </row>
    <row r="26" spans="1:7" ht="15">
      <c r="A26" s="362" t="s">
        <v>255</v>
      </c>
      <c r="B26" s="360" t="s">
        <v>299</v>
      </c>
      <c r="C26" s="137" t="s">
        <v>300</v>
      </c>
      <c r="D26" s="201">
        <f>SUM(E26:G26)</f>
        <v>435147</v>
      </c>
      <c r="E26" s="201"/>
      <c r="F26" s="201">
        <v>435147</v>
      </c>
      <c r="G26" s="202"/>
    </row>
    <row r="27" spans="1:7" ht="15">
      <c r="A27" s="362" t="s">
        <v>260</v>
      </c>
      <c r="B27" s="360" t="s">
        <v>299</v>
      </c>
      <c r="C27" s="139" t="s">
        <v>438</v>
      </c>
      <c r="D27" s="201">
        <f>SUM(E27:G27)</f>
        <v>746229</v>
      </c>
      <c r="E27" s="201"/>
      <c r="F27" s="201">
        <v>746229</v>
      </c>
      <c r="G27" s="202"/>
    </row>
    <row r="28" spans="1:7" ht="15.75" thickBot="1">
      <c r="A28" s="456" t="s">
        <v>262</v>
      </c>
      <c r="B28" s="361" t="s">
        <v>219</v>
      </c>
      <c r="C28" s="436" t="s">
        <v>354</v>
      </c>
      <c r="D28" s="460">
        <f>SUM(E28:G28)</f>
        <v>1602414</v>
      </c>
      <c r="E28" s="460">
        <v>1602414</v>
      </c>
      <c r="F28" s="460"/>
      <c r="G28" s="461"/>
    </row>
    <row r="29" spans="1:7" ht="15" thickBot="1">
      <c r="A29" s="203" t="s">
        <v>264</v>
      </c>
      <c r="B29" s="203"/>
      <c r="C29" s="449" t="s">
        <v>536</v>
      </c>
      <c r="D29" s="477">
        <f>D25+D26+D27+D28</f>
        <v>3417880</v>
      </c>
      <c r="E29" s="477">
        <f>E25+E26+E27+E28</f>
        <v>2236504</v>
      </c>
      <c r="F29" s="477">
        <f>F25+F26+F27+F28</f>
        <v>1181376</v>
      </c>
      <c r="G29" s="477">
        <f>G25+G26+G27+G28</f>
        <v>0</v>
      </c>
    </row>
    <row r="30" spans="1:7" ht="16.5" thickBot="1">
      <c r="A30" s="485" t="s">
        <v>271</v>
      </c>
      <c r="B30" s="203"/>
      <c r="C30" s="450" t="s">
        <v>537</v>
      </c>
      <c r="D30" s="477">
        <f>D23+D29</f>
        <v>77379164</v>
      </c>
      <c r="E30" s="477">
        <f>E23+E29</f>
        <v>75518752</v>
      </c>
      <c r="F30" s="477">
        <f>F23+F29</f>
        <v>1814012</v>
      </c>
      <c r="G30" s="477">
        <f>G23+G29</f>
        <v>46400</v>
      </c>
    </row>
  </sheetData>
  <sheetProtection password="AF00" sheet="1"/>
  <mergeCells count="12">
    <mergeCell ref="A9:A12"/>
    <mergeCell ref="B9:B12"/>
    <mergeCell ref="C9:C12"/>
    <mergeCell ref="D9:D12"/>
    <mergeCell ref="E9:G9"/>
    <mergeCell ref="E11:G12"/>
    <mergeCell ref="C3:G3"/>
    <mergeCell ref="C7:G7"/>
    <mergeCell ref="B2:G2"/>
    <mergeCell ref="B4:G4"/>
    <mergeCell ref="B5:G5"/>
    <mergeCell ref="B6:G6"/>
  </mergeCells>
  <printOptions horizontalCentered="1"/>
  <pageMargins left="0" right="0" top="0.7874015748031497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48"/>
  <sheetViews>
    <sheetView zoomScalePageLayoutView="0" workbookViewId="0" topLeftCell="A1">
      <selection activeCell="B5" sqref="B5:T5"/>
    </sheetView>
  </sheetViews>
  <sheetFormatPr defaultColWidth="9.00390625" defaultRowHeight="12.75"/>
  <cols>
    <col min="1" max="1" width="4.75390625" style="10" customWidth="1"/>
    <col min="2" max="2" width="9.125" style="10" customWidth="1"/>
    <col min="3" max="3" width="44.125" style="10" customWidth="1"/>
    <col min="4" max="4" width="13.00390625" style="10" customWidth="1"/>
    <col min="5" max="5" width="11.75390625" style="10" customWidth="1"/>
    <col min="6" max="6" width="10.375" style="10" customWidth="1"/>
    <col min="7" max="7" width="12.625" style="10" customWidth="1"/>
    <col min="8" max="8" width="10.375" style="10" customWidth="1"/>
    <col min="9" max="9" width="10.25390625" style="10" customWidth="1"/>
    <col min="10" max="10" width="12.25390625" style="10" customWidth="1"/>
    <col min="11" max="11" width="11.125" style="10" customWidth="1"/>
    <col min="12" max="12" width="12.25390625" style="10" customWidth="1"/>
    <col min="13" max="13" width="11.125" style="10" customWidth="1"/>
    <col min="14" max="14" width="13.375" style="10" customWidth="1"/>
    <col min="15" max="15" width="15.25390625" style="10" customWidth="1"/>
    <col min="16" max="16" width="9.875" style="10" customWidth="1"/>
    <col min="17" max="17" width="10.625" style="10" customWidth="1"/>
    <col min="18" max="18" width="11.00390625" style="10" customWidth="1"/>
    <col min="19" max="16384" width="9.125" style="10" customWidth="1"/>
  </cols>
  <sheetData>
    <row r="1" spans="2:20" ht="15.75">
      <c r="B1" s="531" t="s">
        <v>610</v>
      </c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</row>
    <row r="2" spans="2:17" ht="15.75" customHeight="1"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</row>
    <row r="3" spans="2:20" s="135" customFormat="1" ht="15.75" customHeight="1"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</row>
    <row r="4" spans="2:17" s="135" customFormat="1" ht="15.75" customHeight="1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</row>
    <row r="5" spans="2:20" s="135" customFormat="1" ht="15.75" customHeight="1">
      <c r="B5" s="577" t="s">
        <v>40</v>
      </c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7"/>
      <c r="O5" s="577"/>
      <c r="P5" s="577"/>
      <c r="Q5" s="577"/>
      <c r="R5" s="577"/>
      <c r="S5" s="577"/>
      <c r="T5" s="577"/>
    </row>
    <row r="6" spans="2:20" s="135" customFormat="1" ht="15.75" customHeight="1">
      <c r="B6" s="577" t="s">
        <v>177</v>
      </c>
      <c r="C6" s="577"/>
      <c r="D6" s="577"/>
      <c r="E6" s="577"/>
      <c r="F6" s="577"/>
      <c r="G6" s="577"/>
      <c r="H6" s="577"/>
      <c r="I6" s="577"/>
      <c r="J6" s="577"/>
      <c r="K6" s="577"/>
      <c r="L6" s="577"/>
      <c r="M6" s="577"/>
      <c r="N6" s="577"/>
      <c r="O6" s="577"/>
      <c r="P6" s="577"/>
      <c r="Q6" s="577"/>
      <c r="R6" s="577"/>
      <c r="S6" s="577"/>
      <c r="T6" s="577"/>
    </row>
    <row r="7" spans="2:20" s="135" customFormat="1" ht="15.75" customHeight="1">
      <c r="B7" s="577" t="s">
        <v>581</v>
      </c>
      <c r="C7" s="577"/>
      <c r="D7" s="577"/>
      <c r="E7" s="577"/>
      <c r="F7" s="577"/>
      <c r="G7" s="577"/>
      <c r="H7" s="577"/>
      <c r="I7" s="577"/>
      <c r="J7" s="577"/>
      <c r="K7" s="577"/>
      <c r="L7" s="577"/>
      <c r="M7" s="577"/>
      <c r="N7" s="577"/>
      <c r="O7" s="577"/>
      <c r="P7" s="577"/>
      <c r="Q7" s="577"/>
      <c r="R7" s="577"/>
      <c r="S7" s="577"/>
      <c r="T7" s="577"/>
    </row>
    <row r="8" spans="19:20" s="135" customFormat="1" ht="15.75" thickBot="1">
      <c r="S8" s="576" t="s">
        <v>468</v>
      </c>
      <c r="T8" s="576"/>
    </row>
    <row r="9" spans="1:20" s="136" customFormat="1" ht="20.25" customHeight="1" thickBot="1">
      <c r="A9" s="562" t="s">
        <v>467</v>
      </c>
      <c r="B9" s="559" t="s">
        <v>178</v>
      </c>
      <c r="C9" s="553" t="s">
        <v>179</v>
      </c>
      <c r="D9" s="556" t="s">
        <v>180</v>
      </c>
      <c r="E9" s="583" t="s">
        <v>181</v>
      </c>
      <c r="F9" s="584"/>
      <c r="G9" s="584"/>
      <c r="H9" s="584"/>
      <c r="I9" s="584"/>
      <c r="J9" s="584"/>
      <c r="K9" s="584"/>
      <c r="L9" s="584"/>
      <c r="M9" s="584"/>
      <c r="N9" s="584"/>
      <c r="O9" s="584"/>
      <c r="P9" s="584"/>
      <c r="Q9" s="584"/>
      <c r="R9" s="585"/>
      <c r="S9" s="578" t="s">
        <v>3</v>
      </c>
      <c r="T9" s="579"/>
    </row>
    <row r="10" spans="1:20" s="136" customFormat="1" ht="38.25" customHeight="1" thickBot="1">
      <c r="A10" s="563"/>
      <c r="B10" s="560"/>
      <c r="C10" s="554"/>
      <c r="D10" s="557"/>
      <c r="E10" s="571" t="s">
        <v>72</v>
      </c>
      <c r="F10" s="572"/>
      <c r="G10" s="572"/>
      <c r="H10" s="572"/>
      <c r="I10" s="572"/>
      <c r="J10" s="573"/>
      <c r="K10" s="586" t="s">
        <v>73</v>
      </c>
      <c r="L10" s="587"/>
      <c r="M10" s="587"/>
      <c r="N10" s="588"/>
      <c r="O10" s="565" t="s">
        <v>182</v>
      </c>
      <c r="P10" s="566"/>
      <c r="Q10" s="566"/>
      <c r="R10" s="567"/>
      <c r="S10" s="574" t="s">
        <v>8</v>
      </c>
      <c r="T10" s="575"/>
    </row>
    <row r="11" spans="1:20" s="136" customFormat="1" ht="21" customHeight="1" thickBot="1">
      <c r="A11" s="563"/>
      <c r="B11" s="560"/>
      <c r="C11" s="554"/>
      <c r="D11" s="557"/>
      <c r="E11" s="556" t="s">
        <v>183</v>
      </c>
      <c r="F11" s="556" t="s">
        <v>184</v>
      </c>
      <c r="G11" s="556" t="s">
        <v>185</v>
      </c>
      <c r="H11" s="556" t="s">
        <v>186</v>
      </c>
      <c r="I11" s="556" t="s">
        <v>187</v>
      </c>
      <c r="J11" s="591" t="s">
        <v>188</v>
      </c>
      <c r="K11" s="580" t="s">
        <v>189</v>
      </c>
      <c r="L11" s="580" t="s">
        <v>74</v>
      </c>
      <c r="M11" s="556" t="s">
        <v>302</v>
      </c>
      <c r="N11" s="568" t="s">
        <v>303</v>
      </c>
      <c r="O11" s="556" t="s">
        <v>439</v>
      </c>
      <c r="P11" s="556" t="s">
        <v>190</v>
      </c>
      <c r="Q11" s="556" t="s">
        <v>191</v>
      </c>
      <c r="R11" s="568" t="s">
        <v>304</v>
      </c>
      <c r="S11" s="187" t="s">
        <v>192</v>
      </c>
      <c r="T11" s="188" t="s">
        <v>193</v>
      </c>
    </row>
    <row r="12" spans="1:20" s="136" customFormat="1" ht="18.75" customHeight="1">
      <c r="A12" s="563"/>
      <c r="B12" s="560"/>
      <c r="C12" s="554"/>
      <c r="D12" s="557"/>
      <c r="E12" s="557"/>
      <c r="F12" s="557"/>
      <c r="G12" s="557"/>
      <c r="H12" s="557"/>
      <c r="I12" s="557"/>
      <c r="J12" s="592"/>
      <c r="K12" s="581"/>
      <c r="L12" s="581"/>
      <c r="M12" s="557"/>
      <c r="N12" s="569"/>
      <c r="O12" s="557"/>
      <c r="P12" s="557"/>
      <c r="Q12" s="557"/>
      <c r="R12" s="569"/>
      <c r="S12" s="589" t="s">
        <v>194</v>
      </c>
      <c r="T12" s="590"/>
    </row>
    <row r="13" spans="1:20" s="136" customFormat="1" ht="20.25" customHeight="1" thickBot="1">
      <c r="A13" s="564"/>
      <c r="B13" s="561"/>
      <c r="C13" s="555"/>
      <c r="D13" s="558"/>
      <c r="E13" s="558"/>
      <c r="F13" s="558"/>
      <c r="G13" s="558"/>
      <c r="H13" s="558"/>
      <c r="I13" s="558"/>
      <c r="J13" s="593"/>
      <c r="K13" s="582"/>
      <c r="L13" s="582"/>
      <c r="M13" s="558"/>
      <c r="N13" s="570"/>
      <c r="O13" s="558"/>
      <c r="P13" s="558"/>
      <c r="Q13" s="558"/>
      <c r="R13" s="570"/>
      <c r="S13" s="574"/>
      <c r="T13" s="575"/>
    </row>
    <row r="14" spans="1:20" s="135" customFormat="1" ht="30">
      <c r="A14" s="414" t="s">
        <v>43</v>
      </c>
      <c r="B14" s="412" t="s">
        <v>195</v>
      </c>
      <c r="C14" s="137" t="s">
        <v>196</v>
      </c>
      <c r="D14" s="375">
        <f>J14+N14+P14+Q14</f>
        <v>24984645</v>
      </c>
      <c r="E14" s="367">
        <v>12211918</v>
      </c>
      <c r="F14" s="368">
        <v>2546152</v>
      </c>
      <c r="G14" s="368">
        <v>3576389</v>
      </c>
      <c r="H14" s="368"/>
      <c r="I14" s="368">
        <f>6548586</f>
        <v>6548586</v>
      </c>
      <c r="J14" s="369">
        <f aca="true" t="shared" si="0" ref="J14:J36">SUM(E14:I14)</f>
        <v>24883045</v>
      </c>
      <c r="K14" s="370">
        <v>101600</v>
      </c>
      <c r="L14" s="370"/>
      <c r="M14" s="370"/>
      <c r="N14" s="371">
        <f>SUM(K14:M14)</f>
        <v>101600</v>
      </c>
      <c r="O14" s="371"/>
      <c r="P14" s="372"/>
      <c r="Q14" s="373"/>
      <c r="R14" s="373"/>
      <c r="S14" s="419">
        <f>0.5+0.1+0.2-0.3</f>
        <v>0.5</v>
      </c>
      <c r="T14" s="420">
        <v>0.5</v>
      </c>
    </row>
    <row r="15" spans="1:20" s="135" customFormat="1" ht="15">
      <c r="A15" s="414" t="s">
        <v>26</v>
      </c>
      <c r="B15" s="360" t="s">
        <v>197</v>
      </c>
      <c r="C15" s="137" t="s">
        <v>35</v>
      </c>
      <c r="D15" s="375">
        <f aca="true" t="shared" si="1" ref="D15:D36">J15+N15+P15+Q15</f>
        <v>68150</v>
      </c>
      <c r="E15" s="367"/>
      <c r="F15" s="368"/>
      <c r="G15" s="368">
        <v>68150</v>
      </c>
      <c r="H15" s="368"/>
      <c r="I15" s="368"/>
      <c r="J15" s="369">
        <f t="shared" si="0"/>
        <v>68150</v>
      </c>
      <c r="K15" s="370"/>
      <c r="L15" s="370"/>
      <c r="M15" s="370"/>
      <c r="N15" s="371"/>
      <c r="O15" s="371"/>
      <c r="P15" s="372"/>
      <c r="Q15" s="373"/>
      <c r="R15" s="373"/>
      <c r="S15" s="421"/>
      <c r="T15" s="422"/>
    </row>
    <row r="16" spans="1:20" s="135" customFormat="1" ht="29.25" customHeight="1">
      <c r="A16" s="414" t="s">
        <v>44</v>
      </c>
      <c r="B16" s="360" t="s">
        <v>198</v>
      </c>
      <c r="C16" s="137" t="s">
        <v>199</v>
      </c>
      <c r="D16" s="375">
        <f>J16+N16+R16</f>
        <v>282890</v>
      </c>
      <c r="E16" s="367"/>
      <c r="F16" s="368"/>
      <c r="G16" s="368">
        <v>282890</v>
      </c>
      <c r="H16" s="368"/>
      <c r="I16" s="368"/>
      <c r="J16" s="369">
        <f t="shared" si="0"/>
        <v>282890</v>
      </c>
      <c r="K16" s="370"/>
      <c r="L16" s="370"/>
      <c r="M16" s="370"/>
      <c r="N16" s="371">
        <f>SUM(K16:M16)</f>
        <v>0</v>
      </c>
      <c r="O16" s="371"/>
      <c r="P16" s="372"/>
      <c r="Q16" s="373"/>
      <c r="R16" s="373"/>
      <c r="S16" s="423"/>
      <c r="T16" s="422"/>
    </row>
    <row r="17" spans="1:20" s="135" customFormat="1" ht="30" customHeight="1">
      <c r="A17" s="414" t="s">
        <v>100</v>
      </c>
      <c r="B17" s="360" t="s">
        <v>295</v>
      </c>
      <c r="C17" s="137" t="s">
        <v>296</v>
      </c>
      <c r="D17" s="375">
        <f>J17+N17+R17</f>
        <v>1240566</v>
      </c>
      <c r="E17" s="367"/>
      <c r="F17" s="368"/>
      <c r="G17" s="368"/>
      <c r="H17" s="368"/>
      <c r="I17" s="368"/>
      <c r="J17" s="369">
        <f t="shared" si="0"/>
        <v>0</v>
      </c>
      <c r="K17" s="370"/>
      <c r="L17" s="370"/>
      <c r="M17" s="370"/>
      <c r="N17" s="371">
        <f>SUM(K17:M17)</f>
        <v>0</v>
      </c>
      <c r="O17" s="371">
        <v>1240566</v>
      </c>
      <c r="P17" s="372"/>
      <c r="Q17" s="373"/>
      <c r="R17" s="373">
        <f>O17+P17+Q17</f>
        <v>1240566</v>
      </c>
      <c r="S17" s="419"/>
      <c r="T17" s="422"/>
    </row>
    <row r="18" spans="1:20" s="135" customFormat="1" ht="18.75" customHeight="1">
      <c r="A18" s="414" t="s">
        <v>101</v>
      </c>
      <c r="B18" s="360" t="s">
        <v>531</v>
      </c>
      <c r="C18" s="137" t="s">
        <v>532</v>
      </c>
      <c r="D18" s="375">
        <f>J18+N18+R18</f>
        <v>0</v>
      </c>
      <c r="E18" s="367"/>
      <c r="F18" s="368"/>
      <c r="G18" s="368"/>
      <c r="H18" s="368"/>
      <c r="I18" s="368"/>
      <c r="J18" s="369">
        <f t="shared" si="0"/>
        <v>0</v>
      </c>
      <c r="K18" s="370"/>
      <c r="L18" s="370"/>
      <c r="M18" s="370"/>
      <c r="N18" s="371"/>
      <c r="O18" s="371"/>
      <c r="P18" s="372"/>
      <c r="Q18" s="373"/>
      <c r="R18" s="373"/>
      <c r="S18" s="419"/>
      <c r="T18" s="422"/>
    </row>
    <row r="19" spans="1:20" s="135" customFormat="1" ht="30" customHeight="1">
      <c r="A19" s="414" t="s">
        <v>107</v>
      </c>
      <c r="B19" s="360" t="s">
        <v>471</v>
      </c>
      <c r="C19" s="137" t="s">
        <v>472</v>
      </c>
      <c r="D19" s="375">
        <f>J19+N19+R19</f>
        <v>2927007</v>
      </c>
      <c r="E19" s="367"/>
      <c r="F19" s="368"/>
      <c r="G19" s="368">
        <v>127000</v>
      </c>
      <c r="H19" s="368"/>
      <c r="I19" s="368"/>
      <c r="J19" s="369">
        <f t="shared" si="0"/>
        <v>127000</v>
      </c>
      <c r="K19" s="370"/>
      <c r="L19" s="370">
        <v>2800007</v>
      </c>
      <c r="M19" s="370"/>
      <c r="N19" s="371">
        <f>SUM(K19:M19)</f>
        <v>2800007</v>
      </c>
      <c r="O19" s="371"/>
      <c r="P19" s="372"/>
      <c r="Q19" s="373"/>
      <c r="R19" s="373"/>
      <c r="S19" s="419"/>
      <c r="T19" s="422"/>
    </row>
    <row r="20" spans="1:20" s="135" customFormat="1" ht="30">
      <c r="A20" s="414" t="s">
        <v>241</v>
      </c>
      <c r="B20" s="360" t="s">
        <v>200</v>
      </c>
      <c r="C20" s="137" t="s">
        <v>201</v>
      </c>
      <c r="D20" s="375">
        <f>J20+N20+P20+Q20</f>
        <v>26670</v>
      </c>
      <c r="E20" s="367"/>
      <c r="F20" s="368"/>
      <c r="G20" s="368">
        <v>26670</v>
      </c>
      <c r="H20" s="368"/>
      <c r="I20" s="368"/>
      <c r="J20" s="369">
        <f t="shared" si="0"/>
        <v>26670</v>
      </c>
      <c r="K20" s="370"/>
      <c r="L20" s="370"/>
      <c r="M20" s="370"/>
      <c r="N20" s="371">
        <f>SUM(K20:M20)</f>
        <v>0</v>
      </c>
      <c r="O20" s="371"/>
      <c r="P20" s="372"/>
      <c r="Q20" s="373"/>
      <c r="R20" s="373"/>
      <c r="S20" s="419"/>
      <c r="T20" s="422"/>
    </row>
    <row r="21" spans="1:20" s="135" customFormat="1" ht="15">
      <c r="A21" s="414" t="s">
        <v>243</v>
      </c>
      <c r="B21" s="360" t="s">
        <v>445</v>
      </c>
      <c r="C21" s="137" t="s">
        <v>446</v>
      </c>
      <c r="D21" s="375">
        <f>J21+N21+P21+Q21</f>
        <v>54864</v>
      </c>
      <c r="E21" s="367"/>
      <c r="F21" s="368"/>
      <c r="G21" s="368">
        <v>54864</v>
      </c>
      <c r="H21" s="368"/>
      <c r="I21" s="368"/>
      <c r="J21" s="369">
        <f t="shared" si="0"/>
        <v>54864</v>
      </c>
      <c r="K21" s="370"/>
      <c r="L21" s="370"/>
      <c r="M21" s="370"/>
      <c r="N21" s="371">
        <f>SUM(K21:M21)</f>
        <v>0</v>
      </c>
      <c r="O21" s="371"/>
      <c r="P21" s="372"/>
      <c r="Q21" s="373"/>
      <c r="R21" s="373"/>
      <c r="S21" s="419"/>
      <c r="T21" s="422"/>
    </row>
    <row r="22" spans="1:20" s="135" customFormat="1" ht="30">
      <c r="A22" s="414" t="s">
        <v>245</v>
      </c>
      <c r="B22" s="360" t="s">
        <v>202</v>
      </c>
      <c r="C22" s="137" t="s">
        <v>203</v>
      </c>
      <c r="D22" s="375">
        <f>J22+N22+P22+Q22</f>
        <v>6283419</v>
      </c>
      <c r="E22" s="367"/>
      <c r="F22" s="368"/>
      <c r="G22" s="368">
        <v>5775419</v>
      </c>
      <c r="H22" s="368"/>
      <c r="I22" s="368"/>
      <c r="J22" s="369">
        <f t="shared" si="0"/>
        <v>5775419</v>
      </c>
      <c r="K22" s="370"/>
      <c r="L22" s="370">
        <v>508000</v>
      </c>
      <c r="M22" s="370"/>
      <c r="N22" s="371">
        <f>SUM(K22:M22)</f>
        <v>508000</v>
      </c>
      <c r="O22" s="371"/>
      <c r="P22" s="372"/>
      <c r="Q22" s="373"/>
      <c r="R22" s="373"/>
      <c r="S22" s="423"/>
      <c r="T22" s="422"/>
    </row>
    <row r="23" spans="1:20" s="135" customFormat="1" ht="15">
      <c r="A23" s="414" t="s">
        <v>251</v>
      </c>
      <c r="B23" s="360" t="s">
        <v>204</v>
      </c>
      <c r="C23" s="137" t="s">
        <v>205</v>
      </c>
      <c r="D23" s="375">
        <f>J23+N23+P23+Q23</f>
        <v>2000000</v>
      </c>
      <c r="E23" s="367"/>
      <c r="F23" s="368"/>
      <c r="G23" s="368"/>
      <c r="H23" s="368"/>
      <c r="I23" s="368"/>
      <c r="J23" s="369"/>
      <c r="K23" s="370"/>
      <c r="L23" s="370"/>
      <c r="M23" s="370">
        <v>2000000</v>
      </c>
      <c r="N23" s="371">
        <f>SUM(K23:M23)</f>
        <v>2000000</v>
      </c>
      <c r="O23" s="371"/>
      <c r="P23" s="372"/>
      <c r="Q23" s="373"/>
      <c r="R23" s="373"/>
      <c r="S23" s="423"/>
      <c r="T23" s="422"/>
    </row>
    <row r="24" spans="1:20" s="135" customFormat="1" ht="15">
      <c r="A24" s="414" t="s">
        <v>253</v>
      </c>
      <c r="B24" s="360" t="s">
        <v>206</v>
      </c>
      <c r="C24" s="137" t="s">
        <v>207</v>
      </c>
      <c r="D24" s="375">
        <f t="shared" si="1"/>
        <v>1910715</v>
      </c>
      <c r="E24" s="367"/>
      <c r="F24" s="368"/>
      <c r="G24" s="368">
        <v>1910715</v>
      </c>
      <c r="H24" s="370"/>
      <c r="I24" s="368"/>
      <c r="J24" s="369">
        <f t="shared" si="0"/>
        <v>1910715</v>
      </c>
      <c r="K24" s="370"/>
      <c r="L24" s="370"/>
      <c r="M24" s="370"/>
      <c r="N24" s="371"/>
      <c r="O24" s="371"/>
      <c r="P24" s="372"/>
      <c r="Q24" s="373"/>
      <c r="R24" s="373"/>
      <c r="S24" s="423"/>
      <c r="T24" s="422"/>
    </row>
    <row r="25" spans="1:20" s="135" customFormat="1" ht="15">
      <c r="A25" s="414" t="s">
        <v>255</v>
      </c>
      <c r="B25" s="360" t="s">
        <v>208</v>
      </c>
      <c r="C25" s="137" t="s">
        <v>209</v>
      </c>
      <c r="D25" s="375">
        <f t="shared" si="1"/>
        <v>381000</v>
      </c>
      <c r="E25" s="367"/>
      <c r="F25" s="368"/>
      <c r="G25" s="368">
        <v>381000</v>
      </c>
      <c r="H25" s="370"/>
      <c r="I25" s="368"/>
      <c r="J25" s="369">
        <f t="shared" si="0"/>
        <v>381000</v>
      </c>
      <c r="K25" s="370"/>
      <c r="L25" s="370"/>
      <c r="M25" s="370"/>
      <c r="N25" s="371"/>
      <c r="O25" s="371"/>
      <c r="P25" s="372"/>
      <c r="Q25" s="373"/>
      <c r="R25" s="373"/>
      <c r="S25" s="423"/>
      <c r="T25" s="422"/>
    </row>
    <row r="26" spans="1:20" s="135" customFormat="1" ht="30">
      <c r="A26" s="414" t="s">
        <v>260</v>
      </c>
      <c r="B26" s="360" t="s">
        <v>210</v>
      </c>
      <c r="C26" s="137" t="s">
        <v>211</v>
      </c>
      <c r="D26" s="375">
        <f t="shared" si="1"/>
        <v>11666229</v>
      </c>
      <c r="E26" s="367">
        <v>2371000</v>
      </c>
      <c r="F26" s="368">
        <v>470445</v>
      </c>
      <c r="G26" s="368">
        <v>1082855</v>
      </c>
      <c r="H26" s="370"/>
      <c r="I26" s="368"/>
      <c r="J26" s="369">
        <f t="shared" si="0"/>
        <v>3924300</v>
      </c>
      <c r="K26" s="370">
        <v>7741929</v>
      </c>
      <c r="L26" s="370"/>
      <c r="M26" s="370"/>
      <c r="N26" s="371">
        <f>SUM(K26:M26)</f>
        <v>7741929</v>
      </c>
      <c r="O26" s="371"/>
      <c r="P26" s="372"/>
      <c r="Q26" s="373"/>
      <c r="R26" s="373"/>
      <c r="S26" s="423">
        <v>1</v>
      </c>
      <c r="T26" s="422">
        <v>1</v>
      </c>
    </row>
    <row r="27" spans="1:20" s="135" customFormat="1" ht="15">
      <c r="A27" s="414" t="s">
        <v>262</v>
      </c>
      <c r="B27" s="360" t="s">
        <v>212</v>
      </c>
      <c r="C27" s="137" t="s">
        <v>33</v>
      </c>
      <c r="D27" s="375">
        <f t="shared" si="1"/>
        <v>125730</v>
      </c>
      <c r="E27" s="367"/>
      <c r="F27" s="368"/>
      <c r="G27" s="368">
        <v>125730</v>
      </c>
      <c r="H27" s="370"/>
      <c r="I27" s="368"/>
      <c r="J27" s="369">
        <f t="shared" si="0"/>
        <v>125730</v>
      </c>
      <c r="K27" s="370"/>
      <c r="L27" s="370"/>
      <c r="M27" s="370"/>
      <c r="N27" s="371">
        <f aca="true" t="shared" si="2" ref="N27:N36">SUM(K27:M27)</f>
        <v>0</v>
      </c>
      <c r="O27" s="371"/>
      <c r="P27" s="372"/>
      <c r="Q27" s="373"/>
      <c r="R27" s="373"/>
      <c r="S27" s="423"/>
      <c r="T27" s="422"/>
    </row>
    <row r="28" spans="1:20" s="135" customFormat="1" ht="31.5" customHeight="1">
      <c r="A28" s="414" t="s">
        <v>264</v>
      </c>
      <c r="B28" s="360" t="s">
        <v>213</v>
      </c>
      <c r="C28" s="137" t="s">
        <v>214</v>
      </c>
      <c r="D28" s="375">
        <f t="shared" si="1"/>
        <v>675000</v>
      </c>
      <c r="E28" s="367"/>
      <c r="F28" s="368"/>
      <c r="G28" s="368"/>
      <c r="H28" s="368"/>
      <c r="I28" s="368">
        <v>675000</v>
      </c>
      <c r="J28" s="369">
        <f t="shared" si="0"/>
        <v>675000</v>
      </c>
      <c r="K28" s="370"/>
      <c r="L28" s="370"/>
      <c r="M28" s="370"/>
      <c r="N28" s="371">
        <f t="shared" si="2"/>
        <v>0</v>
      </c>
      <c r="O28" s="371"/>
      <c r="P28" s="372"/>
      <c r="Q28" s="373"/>
      <c r="R28" s="373"/>
      <c r="S28" s="423"/>
      <c r="T28" s="422"/>
    </row>
    <row r="29" spans="1:20" s="135" customFormat="1" ht="15">
      <c r="A29" s="414" t="s">
        <v>271</v>
      </c>
      <c r="B29" s="360" t="s">
        <v>215</v>
      </c>
      <c r="C29" s="137" t="s">
        <v>36</v>
      </c>
      <c r="D29" s="375">
        <f t="shared" si="1"/>
        <v>1007778</v>
      </c>
      <c r="E29" s="367">
        <v>622300</v>
      </c>
      <c r="F29" s="368">
        <v>122969</v>
      </c>
      <c r="G29" s="368">
        <v>82550</v>
      </c>
      <c r="H29" s="368"/>
      <c r="I29" s="368"/>
      <c r="J29" s="369">
        <f t="shared" si="0"/>
        <v>827819</v>
      </c>
      <c r="K29" s="370">
        <v>179959</v>
      </c>
      <c r="L29" s="370"/>
      <c r="M29" s="370"/>
      <c r="N29" s="371">
        <f t="shared" si="2"/>
        <v>179959</v>
      </c>
      <c r="O29" s="371"/>
      <c r="P29" s="372"/>
      <c r="Q29" s="373"/>
      <c r="R29" s="373"/>
      <c r="S29" s="423">
        <v>0.2</v>
      </c>
      <c r="T29" s="422">
        <v>0.2</v>
      </c>
    </row>
    <row r="30" spans="1:20" s="135" customFormat="1" ht="30">
      <c r="A30" s="414" t="s">
        <v>274</v>
      </c>
      <c r="B30" s="360" t="s">
        <v>440</v>
      </c>
      <c r="C30" s="137" t="s">
        <v>441</v>
      </c>
      <c r="D30" s="375">
        <f t="shared" si="1"/>
        <v>2616783</v>
      </c>
      <c r="E30" s="367">
        <v>1733450</v>
      </c>
      <c r="F30" s="368">
        <v>184453</v>
      </c>
      <c r="G30" s="368">
        <v>698880</v>
      </c>
      <c r="H30" s="368"/>
      <c r="I30" s="368"/>
      <c r="J30" s="369">
        <f>SUM(E30:I30)</f>
        <v>2616783</v>
      </c>
      <c r="K30" s="370"/>
      <c r="L30" s="370"/>
      <c r="M30" s="370"/>
      <c r="N30" s="371">
        <f t="shared" si="2"/>
        <v>0</v>
      </c>
      <c r="O30" s="371"/>
      <c r="P30" s="372"/>
      <c r="Q30" s="373"/>
      <c r="R30" s="373"/>
      <c r="S30" s="492">
        <f>0.75+0.3</f>
        <v>1.05</v>
      </c>
      <c r="T30" s="493">
        <v>1.05</v>
      </c>
    </row>
    <row r="31" spans="1:20" s="135" customFormat="1" ht="15">
      <c r="A31" s="414" t="s">
        <v>276</v>
      </c>
      <c r="B31" s="360" t="s">
        <v>442</v>
      </c>
      <c r="C31" s="137" t="s">
        <v>443</v>
      </c>
      <c r="D31" s="375">
        <f t="shared" si="1"/>
        <v>376835</v>
      </c>
      <c r="E31" s="367">
        <v>320000</v>
      </c>
      <c r="F31" s="368">
        <v>56835</v>
      </c>
      <c r="G31" s="368"/>
      <c r="H31" s="368"/>
      <c r="I31" s="368"/>
      <c r="J31" s="369">
        <f>SUM(E31:I31)</f>
        <v>376835</v>
      </c>
      <c r="K31" s="370"/>
      <c r="L31" s="370"/>
      <c r="M31" s="370"/>
      <c r="N31" s="371">
        <f t="shared" si="2"/>
        <v>0</v>
      </c>
      <c r="O31" s="371"/>
      <c r="P31" s="372"/>
      <c r="Q31" s="373"/>
      <c r="R31" s="373"/>
      <c r="S31" s="423"/>
      <c r="T31" s="422"/>
    </row>
    <row r="32" spans="1:20" s="135" customFormat="1" ht="15">
      <c r="A32" s="414" t="s">
        <v>348</v>
      </c>
      <c r="B32" s="360" t="s">
        <v>216</v>
      </c>
      <c r="C32" s="137" t="s">
        <v>34</v>
      </c>
      <c r="D32" s="375">
        <f t="shared" si="1"/>
        <v>290000</v>
      </c>
      <c r="E32" s="367"/>
      <c r="F32" s="368"/>
      <c r="G32" s="368"/>
      <c r="H32" s="368"/>
      <c r="I32" s="368">
        <v>290000</v>
      </c>
      <c r="J32" s="369">
        <f t="shared" si="0"/>
        <v>290000</v>
      </c>
      <c r="K32" s="370"/>
      <c r="L32" s="370"/>
      <c r="M32" s="370"/>
      <c r="N32" s="371">
        <f t="shared" si="2"/>
        <v>0</v>
      </c>
      <c r="O32" s="371"/>
      <c r="P32" s="372"/>
      <c r="Q32" s="373"/>
      <c r="R32" s="373"/>
      <c r="S32" s="423"/>
      <c r="T32" s="422"/>
    </row>
    <row r="33" spans="1:20" s="135" customFormat="1" ht="15">
      <c r="A33" s="414" t="s">
        <v>350</v>
      </c>
      <c r="B33" s="360" t="s">
        <v>217</v>
      </c>
      <c r="C33" s="137" t="s">
        <v>218</v>
      </c>
      <c r="D33" s="375">
        <f t="shared" si="1"/>
        <v>50000</v>
      </c>
      <c r="E33" s="367"/>
      <c r="F33" s="368"/>
      <c r="G33" s="368"/>
      <c r="H33" s="368"/>
      <c r="I33" s="368">
        <v>50000</v>
      </c>
      <c r="J33" s="369">
        <f t="shared" si="0"/>
        <v>50000</v>
      </c>
      <c r="K33" s="370"/>
      <c r="L33" s="370"/>
      <c r="M33" s="370"/>
      <c r="N33" s="371">
        <f t="shared" si="2"/>
        <v>0</v>
      </c>
      <c r="O33" s="371"/>
      <c r="P33" s="372"/>
      <c r="Q33" s="373"/>
      <c r="R33" s="373"/>
      <c r="S33" s="423"/>
      <c r="T33" s="422"/>
    </row>
    <row r="34" spans="1:20" s="135" customFormat="1" ht="30">
      <c r="A34" s="414" t="s">
        <v>474</v>
      </c>
      <c r="B34" s="360">
        <v>104051</v>
      </c>
      <c r="C34" s="137" t="s">
        <v>356</v>
      </c>
      <c r="D34" s="375">
        <f t="shared" si="1"/>
        <v>46400</v>
      </c>
      <c r="E34" s="367"/>
      <c r="F34" s="368"/>
      <c r="G34" s="368"/>
      <c r="H34" s="368">
        <v>46400</v>
      </c>
      <c r="I34" s="368"/>
      <c r="J34" s="369">
        <f t="shared" si="0"/>
        <v>46400</v>
      </c>
      <c r="K34" s="370"/>
      <c r="L34" s="370"/>
      <c r="M34" s="370"/>
      <c r="N34" s="371">
        <f t="shared" si="2"/>
        <v>0</v>
      </c>
      <c r="O34" s="371"/>
      <c r="P34" s="372"/>
      <c r="Q34" s="373"/>
      <c r="R34" s="373"/>
      <c r="S34" s="423"/>
      <c r="T34" s="422"/>
    </row>
    <row r="35" spans="1:20" s="135" customFormat="1" ht="15">
      <c r="A35" s="414" t="s">
        <v>475</v>
      </c>
      <c r="B35" s="360">
        <v>107052</v>
      </c>
      <c r="C35" s="140" t="s">
        <v>220</v>
      </c>
      <c r="D35" s="375">
        <f t="shared" si="1"/>
        <v>1313000</v>
      </c>
      <c r="E35" s="367"/>
      <c r="F35" s="368"/>
      <c r="G35" s="368">
        <v>113000</v>
      </c>
      <c r="H35" s="368"/>
      <c r="I35" s="368">
        <v>1200000</v>
      </c>
      <c r="J35" s="369">
        <f t="shared" si="0"/>
        <v>1313000</v>
      </c>
      <c r="K35" s="370"/>
      <c r="L35" s="370"/>
      <c r="M35" s="370"/>
      <c r="N35" s="371">
        <f t="shared" si="2"/>
        <v>0</v>
      </c>
      <c r="O35" s="371"/>
      <c r="P35" s="372"/>
      <c r="Q35" s="373"/>
      <c r="R35" s="373"/>
      <c r="S35" s="423"/>
      <c r="T35" s="422"/>
    </row>
    <row r="36" spans="1:20" s="135" customFormat="1" ht="27.75" customHeight="1" thickBot="1">
      <c r="A36" s="414" t="s">
        <v>476</v>
      </c>
      <c r="B36" s="360">
        <v>107060</v>
      </c>
      <c r="C36" s="137" t="s">
        <v>221</v>
      </c>
      <c r="D36" s="375">
        <f t="shared" si="1"/>
        <v>4221000</v>
      </c>
      <c r="E36" s="367"/>
      <c r="F36" s="368"/>
      <c r="G36" s="368">
        <v>1176000</v>
      </c>
      <c r="H36" s="368">
        <v>3015000</v>
      </c>
      <c r="I36" s="368">
        <v>30000</v>
      </c>
      <c r="J36" s="369">
        <f t="shared" si="0"/>
        <v>4221000</v>
      </c>
      <c r="K36" s="370"/>
      <c r="L36" s="370"/>
      <c r="M36" s="370"/>
      <c r="N36" s="371">
        <f t="shared" si="2"/>
        <v>0</v>
      </c>
      <c r="O36" s="371"/>
      <c r="P36" s="372"/>
      <c r="Q36" s="373"/>
      <c r="R36" s="373"/>
      <c r="S36" s="419"/>
      <c r="T36" s="422"/>
    </row>
    <row r="37" spans="1:20" ht="15" thickBot="1">
      <c r="A37" s="447" t="s">
        <v>477</v>
      </c>
      <c r="B37" s="413"/>
      <c r="C37" s="204" t="s">
        <v>533</v>
      </c>
      <c r="D37" s="374">
        <f aca="true" t="shared" si="3" ref="D37:T37">SUM(D14:D36)</f>
        <v>62548681</v>
      </c>
      <c r="E37" s="374">
        <f t="shared" si="3"/>
        <v>17258668</v>
      </c>
      <c r="F37" s="374">
        <f t="shared" si="3"/>
        <v>3380854</v>
      </c>
      <c r="G37" s="374">
        <f t="shared" si="3"/>
        <v>15482112</v>
      </c>
      <c r="H37" s="374">
        <f t="shared" si="3"/>
        <v>3061400</v>
      </c>
      <c r="I37" s="374">
        <f t="shared" si="3"/>
        <v>8793586</v>
      </c>
      <c r="J37" s="374">
        <f t="shared" si="3"/>
        <v>47976620</v>
      </c>
      <c r="K37" s="374">
        <f t="shared" si="3"/>
        <v>8023488</v>
      </c>
      <c r="L37" s="374">
        <f t="shared" si="3"/>
        <v>3308007</v>
      </c>
      <c r="M37" s="374">
        <f t="shared" si="3"/>
        <v>2000000</v>
      </c>
      <c r="N37" s="374">
        <f t="shared" si="3"/>
        <v>13331495</v>
      </c>
      <c r="O37" s="374">
        <f t="shared" si="3"/>
        <v>1240566</v>
      </c>
      <c r="P37" s="374">
        <f t="shared" si="3"/>
        <v>0</v>
      </c>
      <c r="Q37" s="374">
        <f t="shared" si="3"/>
        <v>0</v>
      </c>
      <c r="R37" s="374">
        <f t="shared" si="3"/>
        <v>1240566</v>
      </c>
      <c r="S37" s="424">
        <f t="shared" si="3"/>
        <v>2.75</v>
      </c>
      <c r="T37" s="424">
        <f t="shared" si="3"/>
        <v>2.75</v>
      </c>
    </row>
    <row r="38" spans="1:20" ht="14.25">
      <c r="A38" s="488"/>
      <c r="B38" s="451"/>
      <c r="C38" s="451"/>
      <c r="D38" s="452"/>
      <c r="E38" s="452"/>
      <c r="F38" s="452"/>
      <c r="G38" s="452"/>
      <c r="H38" s="452"/>
      <c r="I38" s="452"/>
      <c r="J38" s="452"/>
      <c r="K38" s="452"/>
      <c r="L38" s="452"/>
      <c r="M38" s="452"/>
      <c r="N38" s="452"/>
      <c r="O38" s="452"/>
      <c r="P38" s="452"/>
      <c r="Q38" s="452"/>
      <c r="R38" s="452"/>
      <c r="S38" s="453"/>
      <c r="T38" s="453"/>
    </row>
    <row r="39" spans="1:20" ht="15">
      <c r="A39" s="489" t="s">
        <v>478</v>
      </c>
      <c r="B39" s="360" t="s">
        <v>531</v>
      </c>
      <c r="C39" s="137" t="s">
        <v>532</v>
      </c>
      <c r="D39" s="433">
        <f>J39+N39+P39+Q39</f>
        <v>178958</v>
      </c>
      <c r="E39" s="490">
        <v>163060</v>
      </c>
      <c r="F39" s="490">
        <v>15898</v>
      </c>
      <c r="G39" s="490"/>
      <c r="H39" s="490"/>
      <c r="I39" s="490"/>
      <c r="J39" s="369">
        <f>SUM(E39:I39)</f>
        <v>178958</v>
      </c>
      <c r="K39" s="490"/>
      <c r="L39" s="490"/>
      <c r="M39" s="490"/>
      <c r="N39" s="490"/>
      <c r="O39" s="490"/>
      <c r="P39" s="490"/>
      <c r="Q39" s="490"/>
      <c r="R39" s="490"/>
      <c r="S39" s="491"/>
      <c r="T39" s="491"/>
    </row>
    <row r="40" spans="1:20" ht="15">
      <c r="A40" s="414" t="s">
        <v>582</v>
      </c>
      <c r="B40" s="360" t="s">
        <v>297</v>
      </c>
      <c r="C40" s="137" t="s">
        <v>298</v>
      </c>
      <c r="D40" s="433">
        <f>J40+N40+P40+Q40</f>
        <v>7405182</v>
      </c>
      <c r="E40" s="432">
        <v>2942420</v>
      </c>
      <c r="F40" s="368">
        <v>561916</v>
      </c>
      <c r="G40" s="368">
        <v>3900846</v>
      </c>
      <c r="H40" s="368"/>
      <c r="I40" s="368"/>
      <c r="J40" s="369">
        <f>SUM(E40:I40)</f>
        <v>7405182</v>
      </c>
      <c r="K40" s="370"/>
      <c r="L40" s="370"/>
      <c r="M40" s="370"/>
      <c r="N40" s="371">
        <f>SUM(K40:M40)</f>
        <v>0</v>
      </c>
      <c r="O40" s="371"/>
      <c r="P40" s="372"/>
      <c r="Q40" s="373"/>
      <c r="R40" s="373"/>
      <c r="S40" s="423">
        <v>1</v>
      </c>
      <c r="T40" s="422">
        <v>1</v>
      </c>
    </row>
    <row r="41" spans="1:20" ht="30">
      <c r="A41" s="414" t="s">
        <v>480</v>
      </c>
      <c r="B41" s="360" t="s">
        <v>299</v>
      </c>
      <c r="C41" s="137" t="s">
        <v>300</v>
      </c>
      <c r="D41" s="434">
        <f>J41+N41+P41+Q41</f>
        <v>1478869</v>
      </c>
      <c r="E41" s="432">
        <v>565850</v>
      </c>
      <c r="F41" s="368">
        <v>108061</v>
      </c>
      <c r="G41" s="368">
        <v>804958</v>
      </c>
      <c r="H41" s="368"/>
      <c r="I41" s="368"/>
      <c r="J41" s="369">
        <f>SUM(E41:I41)</f>
        <v>1478869</v>
      </c>
      <c r="K41" s="370"/>
      <c r="L41" s="370"/>
      <c r="M41" s="370"/>
      <c r="N41" s="371">
        <f>SUM(K41:M41)</f>
        <v>0</v>
      </c>
      <c r="O41" s="371"/>
      <c r="P41" s="372"/>
      <c r="Q41" s="373"/>
      <c r="R41" s="373"/>
      <c r="S41" s="423"/>
      <c r="T41" s="422"/>
    </row>
    <row r="42" spans="1:20" ht="15">
      <c r="A42" s="414" t="s">
        <v>511</v>
      </c>
      <c r="B42" s="360" t="s">
        <v>355</v>
      </c>
      <c r="C42" s="139" t="s">
        <v>444</v>
      </c>
      <c r="D42" s="434">
        <f>J42+N42+P42+Q42</f>
        <v>1683640</v>
      </c>
      <c r="E42" s="432">
        <v>622435</v>
      </c>
      <c r="F42" s="368">
        <v>118867</v>
      </c>
      <c r="G42" s="368">
        <v>942338</v>
      </c>
      <c r="H42" s="368"/>
      <c r="I42" s="368"/>
      <c r="J42" s="369">
        <f>SUM(E42:I42)</f>
        <v>1683640</v>
      </c>
      <c r="K42" s="370"/>
      <c r="L42" s="370"/>
      <c r="M42" s="370"/>
      <c r="N42" s="371">
        <f>SUM(K42:M42)</f>
        <v>0</v>
      </c>
      <c r="O42" s="371"/>
      <c r="P42" s="372"/>
      <c r="Q42" s="373"/>
      <c r="R42" s="373"/>
      <c r="S42" s="423"/>
      <c r="T42" s="422"/>
    </row>
    <row r="43" spans="1:20" ht="15.75" thickBot="1">
      <c r="A43" s="435" t="s">
        <v>534</v>
      </c>
      <c r="B43" s="361" t="s">
        <v>219</v>
      </c>
      <c r="C43" s="436" t="s">
        <v>354</v>
      </c>
      <c r="D43" s="437">
        <f>J43+N43+P43+Q43</f>
        <v>4083834</v>
      </c>
      <c r="E43" s="438">
        <v>1527795</v>
      </c>
      <c r="F43" s="439">
        <v>291764</v>
      </c>
      <c r="G43" s="439">
        <v>2264275</v>
      </c>
      <c r="H43" s="439"/>
      <c r="I43" s="439"/>
      <c r="J43" s="440">
        <f>SUM(E43:I43)</f>
        <v>4083834</v>
      </c>
      <c r="K43" s="441"/>
      <c r="L43" s="441"/>
      <c r="M43" s="441"/>
      <c r="N43" s="442">
        <f>SUM(K43:M43)</f>
        <v>0</v>
      </c>
      <c r="O43" s="442"/>
      <c r="P43" s="443"/>
      <c r="Q43" s="444"/>
      <c r="R43" s="444"/>
      <c r="S43" s="421">
        <v>1</v>
      </c>
      <c r="T43" s="445">
        <v>1</v>
      </c>
    </row>
    <row r="44" spans="1:20" ht="16.5" customHeight="1" thickBot="1">
      <c r="A44" s="448" t="s">
        <v>535</v>
      </c>
      <c r="B44" s="446"/>
      <c r="C44" s="449" t="s">
        <v>536</v>
      </c>
      <c r="D44" s="454">
        <f aca="true" t="shared" si="4" ref="D44:J44">D41+D42+D43+D40+D39</f>
        <v>14830483</v>
      </c>
      <c r="E44" s="454">
        <f t="shared" si="4"/>
        <v>5821560</v>
      </c>
      <c r="F44" s="454">
        <f t="shared" si="4"/>
        <v>1096506</v>
      </c>
      <c r="G44" s="454">
        <f t="shared" si="4"/>
        <v>7912417</v>
      </c>
      <c r="H44" s="454">
        <f t="shared" si="4"/>
        <v>0</v>
      </c>
      <c r="I44" s="454">
        <f t="shared" si="4"/>
        <v>0</v>
      </c>
      <c r="J44" s="454">
        <f t="shared" si="4"/>
        <v>14830483</v>
      </c>
      <c r="K44" s="454">
        <f aca="true" t="shared" si="5" ref="K44:T44">K41+K42+K43+K40</f>
        <v>0</v>
      </c>
      <c r="L44" s="454">
        <f t="shared" si="5"/>
        <v>0</v>
      </c>
      <c r="M44" s="454">
        <f t="shared" si="5"/>
        <v>0</v>
      </c>
      <c r="N44" s="454">
        <f t="shared" si="5"/>
        <v>0</v>
      </c>
      <c r="O44" s="454">
        <f t="shared" si="5"/>
        <v>0</v>
      </c>
      <c r="P44" s="454">
        <f t="shared" si="5"/>
        <v>0</v>
      </c>
      <c r="Q44" s="454">
        <f t="shared" si="5"/>
        <v>0</v>
      </c>
      <c r="R44" s="454">
        <f t="shared" si="5"/>
        <v>0</v>
      </c>
      <c r="S44" s="487">
        <f t="shared" si="5"/>
        <v>2</v>
      </c>
      <c r="T44" s="487">
        <f t="shared" si="5"/>
        <v>2</v>
      </c>
    </row>
    <row r="45" spans="1:20" ht="21.75" customHeight="1" thickBot="1">
      <c r="A45" s="448" t="s">
        <v>583</v>
      </c>
      <c r="B45" s="446"/>
      <c r="C45" s="450" t="s">
        <v>537</v>
      </c>
      <c r="D45" s="454">
        <f>D37+D44</f>
        <v>77379164</v>
      </c>
      <c r="E45" s="454">
        <f aca="true" t="shared" si="6" ref="E45:T45">E37+E44</f>
        <v>23080228</v>
      </c>
      <c r="F45" s="454">
        <f t="shared" si="6"/>
        <v>4477360</v>
      </c>
      <c r="G45" s="454">
        <f t="shared" si="6"/>
        <v>23394529</v>
      </c>
      <c r="H45" s="454">
        <f t="shared" si="6"/>
        <v>3061400</v>
      </c>
      <c r="I45" s="454">
        <f t="shared" si="6"/>
        <v>8793586</v>
      </c>
      <c r="J45" s="454">
        <f t="shared" si="6"/>
        <v>62807103</v>
      </c>
      <c r="K45" s="454">
        <f t="shared" si="6"/>
        <v>8023488</v>
      </c>
      <c r="L45" s="454">
        <f t="shared" si="6"/>
        <v>3308007</v>
      </c>
      <c r="M45" s="454">
        <f t="shared" si="6"/>
        <v>2000000</v>
      </c>
      <c r="N45" s="454">
        <f t="shared" si="6"/>
        <v>13331495</v>
      </c>
      <c r="O45" s="454">
        <f t="shared" si="6"/>
        <v>1240566</v>
      </c>
      <c r="P45" s="454">
        <f t="shared" si="6"/>
        <v>0</v>
      </c>
      <c r="Q45" s="454">
        <f t="shared" si="6"/>
        <v>0</v>
      </c>
      <c r="R45" s="454">
        <f t="shared" si="6"/>
        <v>1240566</v>
      </c>
      <c r="S45" s="487">
        <f t="shared" si="6"/>
        <v>4.75</v>
      </c>
      <c r="T45" s="487">
        <f t="shared" si="6"/>
        <v>4.75</v>
      </c>
    </row>
    <row r="47" spans="4:10" ht="12.75">
      <c r="D47" s="455"/>
      <c r="J47" s="455"/>
    </row>
    <row r="48" ht="12.75">
      <c r="D48" s="455"/>
    </row>
  </sheetData>
  <sheetProtection password="AF00" sheet="1"/>
  <mergeCells count="32">
    <mergeCell ref="B1:T1"/>
    <mergeCell ref="H11:H13"/>
    <mergeCell ref="B7:T7"/>
    <mergeCell ref="Q11:Q13"/>
    <mergeCell ref="J11:J13"/>
    <mergeCell ref="P11:P13"/>
    <mergeCell ref="B2:Q2"/>
    <mergeCell ref="B3:T3"/>
    <mergeCell ref="B5:T5"/>
    <mergeCell ref="R11:R13"/>
    <mergeCell ref="S8:T8"/>
    <mergeCell ref="B6:T6"/>
    <mergeCell ref="S9:T9"/>
    <mergeCell ref="K11:K13"/>
    <mergeCell ref="E9:R9"/>
    <mergeCell ref="K10:N10"/>
    <mergeCell ref="S12:T13"/>
    <mergeCell ref="G11:G13"/>
    <mergeCell ref="L11:L13"/>
    <mergeCell ref="M11:M13"/>
    <mergeCell ref="O10:R10"/>
    <mergeCell ref="N11:N13"/>
    <mergeCell ref="O11:O13"/>
    <mergeCell ref="E10:J10"/>
    <mergeCell ref="S10:T10"/>
    <mergeCell ref="E11:E13"/>
    <mergeCell ref="C9:C13"/>
    <mergeCell ref="F11:F13"/>
    <mergeCell ref="B9:B13"/>
    <mergeCell ref="A9:A13"/>
    <mergeCell ref="I11:I13"/>
    <mergeCell ref="D9:D13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8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N46"/>
  <sheetViews>
    <sheetView zoomScalePageLayoutView="0" workbookViewId="0" topLeftCell="A1">
      <selection activeCell="C6" sqref="C6:G6"/>
    </sheetView>
  </sheetViews>
  <sheetFormatPr defaultColWidth="9.00390625" defaultRowHeight="12.75"/>
  <cols>
    <col min="1" max="1" width="4.125" style="197" customWidth="1"/>
    <col min="2" max="2" width="9.125" style="197" customWidth="1"/>
    <col min="3" max="3" width="63.125" style="197" customWidth="1"/>
    <col min="4" max="4" width="24.00390625" style="197" customWidth="1"/>
    <col min="5" max="7" width="26.25390625" style="197" customWidth="1"/>
    <col min="8" max="16384" width="9.125" style="197" customWidth="1"/>
  </cols>
  <sheetData>
    <row r="2" spans="2:7" s="189" customFormat="1" ht="15.75">
      <c r="B2" s="531" t="s">
        <v>611</v>
      </c>
      <c r="C2" s="531"/>
      <c r="D2" s="531"/>
      <c r="E2" s="531"/>
      <c r="F2" s="531"/>
      <c r="G2" s="531"/>
    </row>
    <row r="3" spans="3:7" s="85" customFormat="1" ht="15" customHeight="1">
      <c r="C3" s="529"/>
      <c r="D3" s="529"/>
      <c r="E3" s="529"/>
      <c r="F3" s="529"/>
      <c r="G3" s="529"/>
    </row>
    <row r="4" spans="4:7" s="191" customFormat="1" ht="15" customHeight="1">
      <c r="D4" s="192"/>
      <c r="E4" s="193"/>
      <c r="F4" s="193"/>
      <c r="G4" s="193"/>
    </row>
    <row r="5" spans="3:7" s="144" customFormat="1" ht="15" customHeight="1">
      <c r="C5" s="530" t="s">
        <v>40</v>
      </c>
      <c r="D5" s="530"/>
      <c r="E5" s="530"/>
      <c r="F5" s="530"/>
      <c r="G5" s="530"/>
    </row>
    <row r="6" spans="3:7" s="144" customFormat="1" ht="15.75">
      <c r="C6" s="532" t="s">
        <v>306</v>
      </c>
      <c r="D6" s="532"/>
      <c r="E6" s="532"/>
      <c r="F6" s="532"/>
      <c r="G6" s="532"/>
    </row>
    <row r="7" spans="3:7" s="144" customFormat="1" ht="15" customHeight="1">
      <c r="C7" s="530" t="s">
        <v>584</v>
      </c>
      <c r="D7" s="530"/>
      <c r="E7" s="530"/>
      <c r="F7" s="530"/>
      <c r="G7" s="530"/>
    </row>
    <row r="8" spans="3:7" s="189" customFormat="1" ht="12" customHeight="1" thickBot="1">
      <c r="C8" s="190"/>
      <c r="D8" s="194"/>
      <c r="E8" s="195"/>
      <c r="F8" s="195"/>
      <c r="G8" s="196"/>
    </row>
    <row r="9" spans="1:7" s="189" customFormat="1" ht="19.5" customHeight="1" thickBot="1">
      <c r="A9" s="595" t="s">
        <v>481</v>
      </c>
      <c r="B9" s="597" t="s">
        <v>178</v>
      </c>
      <c r="C9" s="539" t="s">
        <v>179</v>
      </c>
      <c r="D9" s="542" t="s">
        <v>307</v>
      </c>
      <c r="E9" s="545" t="s">
        <v>290</v>
      </c>
      <c r="F9" s="545"/>
      <c r="G9" s="546"/>
    </row>
    <row r="10" spans="1:7" s="189" customFormat="1" ht="33" customHeight="1" thickBot="1">
      <c r="A10" s="596"/>
      <c r="B10" s="598"/>
      <c r="C10" s="540"/>
      <c r="D10" s="543"/>
      <c r="E10" s="363" t="s">
        <v>291</v>
      </c>
      <c r="F10" s="364" t="s">
        <v>292</v>
      </c>
      <c r="G10" s="365" t="s">
        <v>293</v>
      </c>
    </row>
    <row r="11" spans="1:7" s="189" customFormat="1" ht="22.5" customHeight="1">
      <c r="A11" s="596"/>
      <c r="B11" s="598"/>
      <c r="C11" s="540"/>
      <c r="D11" s="543"/>
      <c r="E11" s="547" t="s">
        <v>294</v>
      </c>
      <c r="F11" s="548"/>
      <c r="G11" s="549"/>
    </row>
    <row r="12" spans="1:7" ht="13.5" thickBot="1">
      <c r="A12" s="596"/>
      <c r="B12" s="598"/>
      <c r="C12" s="540"/>
      <c r="D12" s="543"/>
      <c r="E12" s="599"/>
      <c r="F12" s="600"/>
      <c r="G12" s="601"/>
    </row>
    <row r="13" spans="1:7" ht="30.75" thickBot="1">
      <c r="A13" s="203" t="s">
        <v>43</v>
      </c>
      <c r="B13" s="387" t="s">
        <v>195</v>
      </c>
      <c r="C13" s="388" t="s">
        <v>196</v>
      </c>
      <c r="D13" s="399">
        <f>SUM(E13:G13)</f>
        <v>24984645</v>
      </c>
      <c r="E13" s="394">
        <v>23972872</v>
      </c>
      <c r="F13" s="389">
        <v>1011773</v>
      </c>
      <c r="G13" s="390"/>
    </row>
    <row r="14" spans="1:7" ht="15">
      <c r="A14" s="366" t="s">
        <v>26</v>
      </c>
      <c r="B14" s="385" t="s">
        <v>197</v>
      </c>
      <c r="C14" s="386" t="s">
        <v>35</v>
      </c>
      <c r="D14" s="400">
        <f aca="true" t="shared" si="0" ref="D14:D34">SUM(E14:G14)</f>
        <v>68150</v>
      </c>
      <c r="E14" s="395">
        <v>68150</v>
      </c>
      <c r="F14" s="199"/>
      <c r="G14" s="200"/>
    </row>
    <row r="15" spans="1:7" ht="15">
      <c r="A15" s="362" t="s">
        <v>44</v>
      </c>
      <c r="B15" s="360" t="s">
        <v>198</v>
      </c>
      <c r="C15" s="137" t="s">
        <v>199</v>
      </c>
      <c r="D15" s="401">
        <f t="shared" si="0"/>
        <v>282890</v>
      </c>
      <c r="E15" s="396">
        <v>282890</v>
      </c>
      <c r="F15" s="201"/>
      <c r="G15" s="202"/>
    </row>
    <row r="16" spans="1:7" ht="15">
      <c r="A16" s="362" t="s">
        <v>100</v>
      </c>
      <c r="B16" s="360" t="s">
        <v>295</v>
      </c>
      <c r="C16" s="137" t="s">
        <v>296</v>
      </c>
      <c r="D16" s="401">
        <f>SUM(E16:G16)</f>
        <v>1240566</v>
      </c>
      <c r="E16" s="396">
        <v>1240566</v>
      </c>
      <c r="F16" s="201"/>
      <c r="G16" s="202"/>
    </row>
    <row r="17" spans="1:7" ht="15">
      <c r="A17" s="362" t="s">
        <v>101</v>
      </c>
      <c r="B17" s="360" t="s">
        <v>531</v>
      </c>
      <c r="C17" s="137" t="s">
        <v>532</v>
      </c>
      <c r="D17" s="401">
        <f>SUM(E17:G17)</f>
        <v>0</v>
      </c>
      <c r="E17" s="396"/>
      <c r="F17" s="201"/>
      <c r="G17" s="202"/>
    </row>
    <row r="18" spans="1:7" ht="15">
      <c r="A18" s="362" t="s">
        <v>107</v>
      </c>
      <c r="B18" s="138" t="s">
        <v>471</v>
      </c>
      <c r="C18" s="137" t="s">
        <v>472</v>
      </c>
      <c r="D18" s="401">
        <f>SUM(E18:G18)</f>
        <v>2927007</v>
      </c>
      <c r="E18" s="396">
        <v>2927007</v>
      </c>
      <c r="F18" s="201"/>
      <c r="G18" s="202"/>
    </row>
    <row r="19" spans="1:7" ht="27" customHeight="1">
      <c r="A19" s="362" t="s">
        <v>241</v>
      </c>
      <c r="B19" s="360" t="s">
        <v>200</v>
      </c>
      <c r="C19" s="137" t="s">
        <v>201</v>
      </c>
      <c r="D19" s="401">
        <f t="shared" si="0"/>
        <v>26670</v>
      </c>
      <c r="E19" s="396">
        <v>26670</v>
      </c>
      <c r="F19" s="201"/>
      <c r="G19" s="202"/>
    </row>
    <row r="20" spans="1:7" ht="15">
      <c r="A20" s="362" t="s">
        <v>243</v>
      </c>
      <c r="B20" s="360" t="s">
        <v>445</v>
      </c>
      <c r="C20" s="137" t="s">
        <v>446</v>
      </c>
      <c r="D20" s="401">
        <f t="shared" si="0"/>
        <v>54864</v>
      </c>
      <c r="E20" s="397">
        <v>54864</v>
      </c>
      <c r="F20" s="143"/>
      <c r="G20" s="391"/>
    </row>
    <row r="21" spans="1:7" ht="15">
      <c r="A21" s="362" t="s">
        <v>245</v>
      </c>
      <c r="B21" s="360" t="s">
        <v>202</v>
      </c>
      <c r="C21" s="137" t="s">
        <v>203</v>
      </c>
      <c r="D21" s="401">
        <f t="shared" si="0"/>
        <v>6283419</v>
      </c>
      <c r="E21" s="396">
        <v>6283419</v>
      </c>
      <c r="F21" s="201"/>
      <c r="G21" s="202"/>
    </row>
    <row r="22" spans="1:7" ht="15">
      <c r="A22" s="362" t="s">
        <v>251</v>
      </c>
      <c r="B22" s="360" t="s">
        <v>204</v>
      </c>
      <c r="C22" s="137" t="s">
        <v>205</v>
      </c>
      <c r="D22" s="401">
        <f t="shared" si="0"/>
        <v>2000000</v>
      </c>
      <c r="E22" s="396"/>
      <c r="F22" s="201">
        <v>2000000</v>
      </c>
      <c r="G22" s="202"/>
    </row>
    <row r="23" spans="1:7" ht="15">
      <c r="A23" s="362" t="s">
        <v>253</v>
      </c>
      <c r="B23" s="360" t="s">
        <v>206</v>
      </c>
      <c r="C23" s="137" t="s">
        <v>207</v>
      </c>
      <c r="D23" s="401">
        <f t="shared" si="0"/>
        <v>1910715</v>
      </c>
      <c r="E23" s="396">
        <v>1910715</v>
      </c>
      <c r="F23" s="201"/>
      <c r="G23" s="202"/>
    </row>
    <row r="24" spans="1:7" ht="15">
      <c r="A24" s="362" t="s">
        <v>255</v>
      </c>
      <c r="B24" s="360" t="s">
        <v>208</v>
      </c>
      <c r="C24" s="137" t="s">
        <v>209</v>
      </c>
      <c r="D24" s="401">
        <f t="shared" si="0"/>
        <v>381000</v>
      </c>
      <c r="E24" s="396">
        <v>381000</v>
      </c>
      <c r="F24" s="201"/>
      <c r="G24" s="202"/>
    </row>
    <row r="25" spans="1:7" ht="15">
      <c r="A25" s="362" t="s">
        <v>260</v>
      </c>
      <c r="B25" s="360" t="s">
        <v>210</v>
      </c>
      <c r="C25" s="137" t="s">
        <v>211</v>
      </c>
      <c r="D25" s="401">
        <f t="shared" si="0"/>
        <v>11666229</v>
      </c>
      <c r="E25" s="396">
        <v>11666229</v>
      </c>
      <c r="F25" s="201"/>
      <c r="G25" s="202"/>
    </row>
    <row r="26" spans="1:7" ht="15">
      <c r="A26" s="362" t="s">
        <v>262</v>
      </c>
      <c r="B26" s="360" t="s">
        <v>212</v>
      </c>
      <c r="C26" s="137" t="s">
        <v>33</v>
      </c>
      <c r="D26" s="401">
        <f t="shared" si="0"/>
        <v>125730</v>
      </c>
      <c r="E26" s="396">
        <v>125730</v>
      </c>
      <c r="F26" s="201"/>
      <c r="G26" s="202"/>
    </row>
    <row r="27" spans="1:7" ht="15">
      <c r="A27" s="362" t="s">
        <v>264</v>
      </c>
      <c r="B27" s="360" t="s">
        <v>213</v>
      </c>
      <c r="C27" s="137" t="s">
        <v>214</v>
      </c>
      <c r="D27" s="401">
        <f t="shared" si="0"/>
        <v>675000</v>
      </c>
      <c r="E27" s="396">
        <v>675000</v>
      </c>
      <c r="F27" s="201"/>
      <c r="G27" s="202"/>
    </row>
    <row r="28" spans="1:7" ht="15">
      <c r="A28" s="362" t="s">
        <v>271</v>
      </c>
      <c r="B28" s="360" t="s">
        <v>215</v>
      </c>
      <c r="C28" s="137" t="s">
        <v>36</v>
      </c>
      <c r="D28" s="401">
        <f t="shared" si="0"/>
        <v>1007778</v>
      </c>
      <c r="E28" s="396">
        <v>993282</v>
      </c>
      <c r="F28" s="201">
        <f>10800+1784+1912</f>
        <v>14496</v>
      </c>
      <c r="G28" s="202"/>
    </row>
    <row r="29" spans="1:7" ht="15">
      <c r="A29" s="362" t="s">
        <v>274</v>
      </c>
      <c r="B29" s="360" t="s">
        <v>440</v>
      </c>
      <c r="C29" s="137" t="s">
        <v>447</v>
      </c>
      <c r="D29" s="401">
        <f t="shared" si="0"/>
        <v>2616783</v>
      </c>
      <c r="E29" s="396">
        <v>2540680</v>
      </c>
      <c r="F29" s="201">
        <f>16200+40500+9367+10036</f>
        <v>76103</v>
      </c>
      <c r="G29" s="202"/>
    </row>
    <row r="30" spans="1:7" ht="15">
      <c r="A30" s="362" t="s">
        <v>276</v>
      </c>
      <c r="B30" s="360" t="s">
        <v>448</v>
      </c>
      <c r="C30" s="137" t="s">
        <v>449</v>
      </c>
      <c r="D30" s="401">
        <f t="shared" si="0"/>
        <v>376835</v>
      </c>
      <c r="E30" s="396">
        <v>376835</v>
      </c>
      <c r="F30" s="201"/>
      <c r="G30" s="202"/>
    </row>
    <row r="31" spans="1:7" ht="15">
      <c r="A31" s="362" t="s">
        <v>348</v>
      </c>
      <c r="B31" s="360" t="s">
        <v>216</v>
      </c>
      <c r="C31" s="137" t="s">
        <v>34</v>
      </c>
      <c r="D31" s="401">
        <f t="shared" si="0"/>
        <v>290000</v>
      </c>
      <c r="E31" s="396"/>
      <c r="F31" s="201">
        <v>290000</v>
      </c>
      <c r="G31" s="202"/>
    </row>
    <row r="32" spans="1:7" ht="15">
      <c r="A32" s="362" t="s">
        <v>350</v>
      </c>
      <c r="B32" s="360" t="s">
        <v>217</v>
      </c>
      <c r="C32" s="137" t="s">
        <v>218</v>
      </c>
      <c r="D32" s="401">
        <f t="shared" si="0"/>
        <v>50000</v>
      </c>
      <c r="E32" s="396"/>
      <c r="F32" s="201">
        <v>50000</v>
      </c>
      <c r="G32" s="202"/>
    </row>
    <row r="33" spans="1:7" ht="15">
      <c r="A33" s="362" t="s">
        <v>474</v>
      </c>
      <c r="B33" s="360">
        <v>104051</v>
      </c>
      <c r="C33" s="140" t="s">
        <v>356</v>
      </c>
      <c r="D33" s="401">
        <f t="shared" si="0"/>
        <v>46400</v>
      </c>
      <c r="E33" s="396"/>
      <c r="F33" s="201"/>
      <c r="G33" s="202">
        <v>46400</v>
      </c>
    </row>
    <row r="34" spans="1:14" ht="15">
      <c r="A34" s="362" t="s">
        <v>475</v>
      </c>
      <c r="B34" s="360">
        <v>107052</v>
      </c>
      <c r="C34" s="140" t="s">
        <v>220</v>
      </c>
      <c r="D34" s="401">
        <f t="shared" si="0"/>
        <v>1313000</v>
      </c>
      <c r="E34" s="398">
        <v>1313000</v>
      </c>
      <c r="F34" s="143"/>
      <c r="G34" s="391"/>
      <c r="H34" s="340"/>
      <c r="I34" s="340"/>
      <c r="J34" s="341"/>
      <c r="K34" s="342"/>
      <c r="L34" s="342"/>
      <c r="M34" s="342"/>
      <c r="N34" s="341"/>
    </row>
    <row r="35" spans="1:7" ht="15.75" thickBot="1">
      <c r="A35" s="362" t="s">
        <v>476</v>
      </c>
      <c r="B35" s="360">
        <v>107060</v>
      </c>
      <c r="C35" s="137" t="s">
        <v>221</v>
      </c>
      <c r="D35" s="401">
        <f>SUM(E35:G35)</f>
        <v>4221000</v>
      </c>
      <c r="E35" s="396">
        <v>4221000</v>
      </c>
      <c r="F35" s="201"/>
      <c r="G35" s="202"/>
    </row>
    <row r="36" spans="1:7" ht="18.75" customHeight="1" thickBot="1">
      <c r="A36" s="392" t="s">
        <v>477</v>
      </c>
      <c r="B36" s="377"/>
      <c r="C36" s="393" t="s">
        <v>538</v>
      </c>
      <c r="D36" s="464">
        <f>SUM(D13:D35)</f>
        <v>62548681</v>
      </c>
      <c r="E36" s="465">
        <f>SUM(E13:E35)</f>
        <v>59059909</v>
      </c>
      <c r="F36" s="464">
        <f>SUM(F13:F35)</f>
        <v>3442372</v>
      </c>
      <c r="G36" s="464">
        <f>SUM(G13:G35)</f>
        <v>46400</v>
      </c>
    </row>
    <row r="37" ht="12.75">
      <c r="A37" s="339"/>
    </row>
    <row r="38" spans="1:7" ht="15">
      <c r="A38" s="456" t="s">
        <v>478</v>
      </c>
      <c r="B38" s="360" t="s">
        <v>531</v>
      </c>
      <c r="C38" s="137" t="s">
        <v>532</v>
      </c>
      <c r="D38" s="401">
        <f>SUM(E38:G38)</f>
        <v>178958</v>
      </c>
      <c r="E38" s="396">
        <v>178958</v>
      </c>
      <c r="F38" s="494"/>
      <c r="G38" s="494"/>
    </row>
    <row r="39" spans="1:7" ht="15">
      <c r="A39" s="362" t="s">
        <v>479</v>
      </c>
      <c r="B39" s="360" t="s">
        <v>297</v>
      </c>
      <c r="C39" s="137" t="s">
        <v>298</v>
      </c>
      <c r="D39" s="401">
        <f>SUM(E39:G39)</f>
        <v>7405182</v>
      </c>
      <c r="E39" s="396">
        <v>7339759</v>
      </c>
      <c r="F39" s="201">
        <v>65423</v>
      </c>
      <c r="G39" s="202"/>
    </row>
    <row r="40" spans="1:7" ht="15">
      <c r="A40" s="362" t="s">
        <v>480</v>
      </c>
      <c r="B40" s="360" t="s">
        <v>299</v>
      </c>
      <c r="C40" s="137" t="s">
        <v>300</v>
      </c>
      <c r="D40" s="401">
        <f>SUM(E40:G40)</f>
        <v>1478869</v>
      </c>
      <c r="E40" s="396"/>
      <c r="F40" s="201">
        <v>1478869</v>
      </c>
      <c r="G40" s="202"/>
    </row>
    <row r="41" spans="1:7" ht="15">
      <c r="A41" s="362" t="s">
        <v>511</v>
      </c>
      <c r="B41" s="360" t="s">
        <v>299</v>
      </c>
      <c r="C41" s="137" t="s">
        <v>540</v>
      </c>
      <c r="D41" s="401">
        <f>SUM(E41:G41)</f>
        <v>1683640</v>
      </c>
      <c r="E41" s="396"/>
      <c r="F41" s="201">
        <v>1683640</v>
      </c>
      <c r="G41" s="202"/>
    </row>
    <row r="42" spans="1:7" ht="15.75" thickBot="1">
      <c r="A42" s="456" t="s">
        <v>534</v>
      </c>
      <c r="B42" s="361" t="s">
        <v>219</v>
      </c>
      <c r="C42" s="457" t="s">
        <v>539</v>
      </c>
      <c r="D42" s="458">
        <f>SUM(E42:G42)</f>
        <v>4083834</v>
      </c>
      <c r="E42" s="459">
        <v>4042512</v>
      </c>
      <c r="F42" s="460">
        <v>41322</v>
      </c>
      <c r="G42" s="461"/>
    </row>
    <row r="43" spans="1:7" ht="18" customHeight="1" thickBot="1">
      <c r="A43" s="462" t="s">
        <v>535</v>
      </c>
      <c r="B43" s="462"/>
      <c r="C43" s="449" t="s">
        <v>536</v>
      </c>
      <c r="D43" s="463">
        <f>D39+D40+D41+D42+D38</f>
        <v>14830483</v>
      </c>
      <c r="E43" s="463">
        <f>E39+E40+E41+E42+E38</f>
        <v>11561229</v>
      </c>
      <c r="F43" s="463">
        <f>F39+F40+F41+F42</f>
        <v>3269254</v>
      </c>
      <c r="G43" s="463">
        <f>G39+G40+G41+G42</f>
        <v>0</v>
      </c>
    </row>
    <row r="44" spans="1:7" ht="24.75" customHeight="1" thickBot="1">
      <c r="A44" s="462" t="s">
        <v>583</v>
      </c>
      <c r="B44" s="462"/>
      <c r="C44" s="450" t="s">
        <v>537</v>
      </c>
      <c r="D44" s="463">
        <f>D36+D43</f>
        <v>77379164</v>
      </c>
      <c r="E44" s="463">
        <f>E36+E43</f>
        <v>70621138</v>
      </c>
      <c r="F44" s="463">
        <f>F36+F43</f>
        <v>6711626</v>
      </c>
      <c r="G44" s="463">
        <f>G36+G43</f>
        <v>46400</v>
      </c>
    </row>
    <row r="46" ht="12.75">
      <c r="D46" s="495"/>
    </row>
  </sheetData>
  <sheetProtection password="AF00" sheet="1"/>
  <mergeCells count="11">
    <mergeCell ref="C3:G3"/>
    <mergeCell ref="C5:G5"/>
    <mergeCell ref="C6:G6"/>
    <mergeCell ref="C7:G7"/>
    <mergeCell ref="B2:G2"/>
    <mergeCell ref="A9:A12"/>
    <mergeCell ref="B9:B12"/>
    <mergeCell ref="C9:C12"/>
    <mergeCell ref="D9:D12"/>
    <mergeCell ref="E9:G9"/>
    <mergeCell ref="E11:G12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U39"/>
  <sheetViews>
    <sheetView zoomScalePageLayoutView="0" workbookViewId="0" topLeftCell="A1">
      <selection activeCell="L12" sqref="L12"/>
    </sheetView>
  </sheetViews>
  <sheetFormatPr defaultColWidth="9.00390625" defaultRowHeight="12.75"/>
  <cols>
    <col min="1" max="2" width="9.125" style="11" customWidth="1"/>
    <col min="3" max="3" width="23.125" style="11" customWidth="1"/>
    <col min="4" max="4" width="17.375" style="11" customWidth="1"/>
    <col min="5" max="5" width="14.375" style="11" customWidth="1"/>
    <col min="6" max="6" width="17.125" style="11" customWidth="1"/>
    <col min="7" max="16384" width="9.125" style="11" customWidth="1"/>
  </cols>
  <sheetData>
    <row r="1" spans="1:10" ht="15.75">
      <c r="A1" s="531" t="s">
        <v>612</v>
      </c>
      <c r="B1" s="531"/>
      <c r="C1" s="531"/>
      <c r="D1" s="531"/>
      <c r="E1" s="531"/>
      <c r="F1" s="531"/>
      <c r="G1" s="108"/>
      <c r="H1" s="108"/>
      <c r="I1" s="108"/>
      <c r="J1" s="108"/>
    </row>
    <row r="2" spans="1:6" ht="15">
      <c r="A2" s="602"/>
      <c r="B2" s="602"/>
      <c r="C2" s="602"/>
      <c r="D2" s="602"/>
      <c r="E2" s="602"/>
      <c r="F2" s="602"/>
    </row>
    <row r="3" spans="1:6" ht="15">
      <c r="A3" s="602"/>
      <c r="B3" s="602"/>
      <c r="C3" s="602"/>
      <c r="D3" s="602"/>
      <c r="E3" s="602"/>
      <c r="F3" s="602"/>
    </row>
    <row r="4" ht="12.75" customHeight="1"/>
    <row r="5" spans="1:6" s="21" customFormat="1" ht="15.75">
      <c r="A5" s="603" t="s">
        <v>4</v>
      </c>
      <c r="B5" s="603"/>
      <c r="C5" s="603"/>
      <c r="D5" s="603"/>
      <c r="E5" s="603"/>
      <c r="F5" s="603"/>
    </row>
    <row r="6" spans="1:6" s="21" customFormat="1" ht="15.75">
      <c r="A6" s="603" t="s">
        <v>450</v>
      </c>
      <c r="B6" s="603"/>
      <c r="C6" s="603"/>
      <c r="D6" s="603"/>
      <c r="E6" s="603"/>
      <c r="F6" s="603"/>
    </row>
    <row r="7" spans="1:6" ht="15">
      <c r="A7" s="602" t="s">
        <v>598</v>
      </c>
      <c r="B7" s="602"/>
      <c r="C7" s="602"/>
      <c r="D7" s="602"/>
      <c r="E7" s="602"/>
      <c r="F7" s="602"/>
    </row>
    <row r="8" ht="15">
      <c r="F8" s="141" t="s">
        <v>463</v>
      </c>
    </row>
    <row r="9" spans="1:6" ht="15">
      <c r="A9" s="604" t="s">
        <v>0</v>
      </c>
      <c r="B9" s="605"/>
      <c r="C9" s="605"/>
      <c r="D9" s="605"/>
      <c r="E9" s="606"/>
      <c r="F9" s="613" t="s">
        <v>11</v>
      </c>
    </row>
    <row r="10" spans="1:6" ht="15">
      <c r="A10" s="607"/>
      <c r="B10" s="608"/>
      <c r="C10" s="608"/>
      <c r="D10" s="608"/>
      <c r="E10" s="609"/>
      <c r="F10" s="614"/>
    </row>
    <row r="11" spans="1:6" ht="15">
      <c r="A11" s="610"/>
      <c r="B11" s="611"/>
      <c r="C11" s="611"/>
      <c r="D11" s="611"/>
      <c r="E11" s="612"/>
      <c r="F11" s="615"/>
    </row>
    <row r="12" spans="1:6" ht="15">
      <c r="A12" s="13" t="s">
        <v>222</v>
      </c>
      <c r="E12" s="22"/>
      <c r="F12" s="23"/>
    </row>
    <row r="13" spans="1:2" s="13" customFormat="1" ht="15">
      <c r="A13" s="141"/>
      <c r="B13" s="11"/>
    </row>
    <row r="14" spans="1:5" ht="29.25" customHeight="1">
      <c r="A14" s="141"/>
      <c r="B14" s="513" t="s">
        <v>223</v>
      </c>
      <c r="C14" s="513"/>
      <c r="D14" s="513"/>
      <c r="E14" s="513"/>
    </row>
    <row r="15" spans="1:6" ht="15.75">
      <c r="A15" s="142" t="s">
        <v>43</v>
      </c>
      <c r="B15" s="15" t="s">
        <v>599</v>
      </c>
      <c r="F15" s="53">
        <v>73200</v>
      </c>
    </row>
    <row r="16" spans="1:6" ht="15">
      <c r="A16" s="12" t="s">
        <v>26</v>
      </c>
      <c r="B16" s="11" t="s">
        <v>27</v>
      </c>
      <c r="F16" s="53">
        <v>219600</v>
      </c>
    </row>
    <row r="17" spans="1:6" ht="15">
      <c r="A17" s="12"/>
      <c r="F17" s="53"/>
    </row>
    <row r="18" spans="1:6" ht="15.75">
      <c r="A18" s="12" t="s">
        <v>44</v>
      </c>
      <c r="B18" s="14" t="s">
        <v>522</v>
      </c>
      <c r="F18" s="53">
        <v>50000</v>
      </c>
    </row>
    <row r="19" spans="1:6" ht="15.75">
      <c r="A19" s="12"/>
      <c r="B19" s="14"/>
      <c r="F19" s="53"/>
    </row>
    <row r="20" spans="1:6" ht="37.5" customHeight="1">
      <c r="A20" s="466" t="s">
        <v>100</v>
      </c>
      <c r="B20" s="616" t="s">
        <v>541</v>
      </c>
      <c r="C20" s="617"/>
      <c r="D20" s="617"/>
      <c r="E20" s="617"/>
      <c r="F20" s="53">
        <v>1200000</v>
      </c>
    </row>
    <row r="21" ht="13.5" customHeight="1">
      <c r="F21" s="53"/>
    </row>
    <row r="22" spans="1:6" ht="33.75" customHeight="1">
      <c r="A22" s="13"/>
      <c r="B22" s="513" t="s">
        <v>224</v>
      </c>
      <c r="C22" s="513"/>
      <c r="D22" s="513"/>
      <c r="E22" s="513"/>
      <c r="F22" s="54">
        <f>SUM(F15:F21)</f>
        <v>1542800</v>
      </c>
    </row>
    <row r="23" ht="13.5" customHeight="1">
      <c r="F23" s="53"/>
    </row>
    <row r="24" spans="1:6" ht="33" customHeight="1">
      <c r="A24" s="13"/>
      <c r="B24" s="513" t="s">
        <v>225</v>
      </c>
      <c r="C24" s="513"/>
      <c r="D24" s="513"/>
      <c r="E24" s="513"/>
      <c r="F24" s="53"/>
    </row>
    <row r="25" spans="1:6" ht="13.5" customHeight="1">
      <c r="A25" s="12"/>
      <c r="F25" s="53"/>
    </row>
    <row r="26" spans="1:255" ht="15.75">
      <c r="A26" s="12" t="s">
        <v>43</v>
      </c>
      <c r="B26" s="17" t="s">
        <v>25</v>
      </c>
      <c r="C26" s="17"/>
      <c r="D26" s="17"/>
      <c r="E26" s="17"/>
      <c r="F26" s="53">
        <v>40000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</row>
    <row r="27" spans="1:255" ht="15.75">
      <c r="A27" s="12" t="s">
        <v>26</v>
      </c>
      <c r="B27" s="17" t="s">
        <v>600</v>
      </c>
      <c r="C27" s="17"/>
      <c r="D27" s="17"/>
      <c r="E27" s="17"/>
      <c r="F27" s="53">
        <v>80000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</row>
    <row r="28" spans="1:255" ht="15.75">
      <c r="A28" s="12" t="s">
        <v>44</v>
      </c>
      <c r="B28" s="17" t="s">
        <v>601</v>
      </c>
      <c r="C28" s="17"/>
      <c r="D28" s="17"/>
      <c r="E28" s="17"/>
      <c r="F28" s="53">
        <f>40000+90000+40000</f>
        <v>170000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</row>
    <row r="29" spans="1:255" ht="15.75">
      <c r="A29" s="12" t="s">
        <v>100</v>
      </c>
      <c r="B29" s="17" t="s">
        <v>46</v>
      </c>
      <c r="C29" s="17"/>
      <c r="D29" s="17"/>
      <c r="E29" s="17"/>
      <c r="F29" s="53">
        <v>75000</v>
      </c>
      <c r="G29" s="69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</row>
    <row r="30" spans="1:6" ht="13.5" customHeight="1">
      <c r="A30" s="12" t="s">
        <v>101</v>
      </c>
      <c r="B30" s="17" t="s">
        <v>75</v>
      </c>
      <c r="F30" s="53">
        <v>600000</v>
      </c>
    </row>
    <row r="31" spans="1:6" ht="13.5" customHeight="1">
      <c r="A31" s="501" t="s">
        <v>107</v>
      </c>
      <c r="B31" s="11" t="s">
        <v>602</v>
      </c>
      <c r="F31" s="53">
        <v>30000</v>
      </c>
    </row>
    <row r="32" spans="1:8" ht="32.25" customHeight="1">
      <c r="A32" s="13"/>
      <c r="B32" s="513" t="s">
        <v>226</v>
      </c>
      <c r="C32" s="513"/>
      <c r="D32" s="513"/>
      <c r="E32" s="513"/>
      <c r="F32" s="54">
        <f>SUM(F25:F31)</f>
        <v>995000</v>
      </c>
      <c r="G32" s="16"/>
      <c r="H32" s="16"/>
    </row>
    <row r="33" spans="1:8" ht="16.5" customHeight="1">
      <c r="A33" s="13"/>
      <c r="B33" s="500"/>
      <c r="C33" s="500"/>
      <c r="D33" s="500"/>
      <c r="E33" s="500"/>
      <c r="F33" s="54"/>
      <c r="G33" s="16"/>
      <c r="H33" s="16"/>
    </row>
    <row r="34" spans="1:8" ht="15.75" customHeight="1">
      <c r="A34" s="13"/>
      <c r="B34" s="513" t="s">
        <v>603</v>
      </c>
      <c r="C34" s="510"/>
      <c r="D34" s="500"/>
      <c r="E34" s="500"/>
      <c r="F34" s="54">
        <v>6255786</v>
      </c>
      <c r="G34" s="16"/>
      <c r="H34" s="16"/>
    </row>
    <row r="35" spans="1:8" ht="16.5" customHeight="1">
      <c r="A35" s="13"/>
      <c r="F35" s="53"/>
      <c r="G35" s="16"/>
      <c r="H35" s="16"/>
    </row>
    <row r="36" spans="1:7" s="18" customFormat="1" ht="15.75">
      <c r="A36" s="13" t="s">
        <v>227</v>
      </c>
      <c r="F36" s="54">
        <f>F32+F22+F34</f>
        <v>8793586</v>
      </c>
      <c r="G36" s="19"/>
    </row>
    <row r="37" spans="1:7" s="18" customFormat="1" ht="15.75">
      <c r="A37" s="13"/>
      <c r="F37" s="54"/>
      <c r="G37" s="19"/>
    </row>
    <row r="38" spans="6:7" s="18" customFormat="1" ht="15.75">
      <c r="F38" s="53"/>
      <c r="G38" s="19"/>
    </row>
    <row r="39" spans="1:6" s="20" customFormat="1" ht="18.75">
      <c r="A39" s="20" t="s">
        <v>7</v>
      </c>
      <c r="F39" s="52">
        <f>F36</f>
        <v>8793586</v>
      </c>
    </row>
  </sheetData>
  <sheetProtection password="AF00" sheet="1"/>
  <mergeCells count="14">
    <mergeCell ref="B14:E14"/>
    <mergeCell ref="B22:E22"/>
    <mergeCell ref="F9:F11"/>
    <mergeCell ref="B20:E20"/>
    <mergeCell ref="B34:C34"/>
    <mergeCell ref="A1:F1"/>
    <mergeCell ref="A2:F2"/>
    <mergeCell ref="A3:F3"/>
    <mergeCell ref="A5:F5"/>
    <mergeCell ref="A7:F7"/>
    <mergeCell ref="A6:F6"/>
    <mergeCell ref="B24:E24"/>
    <mergeCell ref="B32:E32"/>
    <mergeCell ref="A9:E11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8"/>
  <sheetViews>
    <sheetView zoomScalePageLayoutView="0" workbookViewId="0" topLeftCell="A1">
      <selection activeCell="B3" sqref="B3:C3"/>
    </sheetView>
  </sheetViews>
  <sheetFormatPr defaultColWidth="9.00390625" defaultRowHeight="12.75"/>
  <cols>
    <col min="1" max="1" width="4.125" style="39" customWidth="1"/>
    <col min="2" max="2" width="67.875" style="39" customWidth="1"/>
    <col min="3" max="3" width="18.00390625" style="39" customWidth="1"/>
    <col min="4" max="16384" width="9.125" style="39" customWidth="1"/>
  </cols>
  <sheetData>
    <row r="1" spans="2:4" ht="15.75">
      <c r="B1" s="531" t="s">
        <v>613</v>
      </c>
      <c r="C1" s="531"/>
      <c r="D1" s="108"/>
    </row>
    <row r="2" spans="2:4" ht="15">
      <c r="B2" s="109"/>
      <c r="C2" s="109"/>
      <c r="D2" s="108"/>
    </row>
    <row r="3" spans="2:3" ht="15.75" customHeight="1">
      <c r="B3" s="618"/>
      <c r="C3" s="618"/>
    </row>
    <row r="4" spans="2:3" ht="15">
      <c r="B4" s="40"/>
      <c r="C4" s="40"/>
    </row>
    <row r="5" spans="2:3" s="14" customFormat="1" ht="15.75" customHeight="1">
      <c r="B5" s="619" t="s">
        <v>38</v>
      </c>
      <c r="C5" s="619"/>
    </row>
    <row r="6" spans="2:6" s="21" customFormat="1" ht="15.75">
      <c r="B6" s="603" t="s">
        <v>39</v>
      </c>
      <c r="C6" s="603"/>
      <c r="D6" s="56"/>
      <c r="E6" s="56"/>
      <c r="F6" s="56"/>
    </row>
    <row r="7" spans="2:6" s="11" customFormat="1" ht="15">
      <c r="B7" s="602" t="s">
        <v>585</v>
      </c>
      <c r="C7" s="602"/>
      <c r="D7" s="55"/>
      <c r="E7" s="55"/>
      <c r="F7" s="55"/>
    </row>
    <row r="8" ht="15.75" customHeight="1" thickBot="1">
      <c r="C8" s="41"/>
    </row>
    <row r="9" spans="1:3" ht="15" customHeight="1">
      <c r="A9" s="620" t="s">
        <v>467</v>
      </c>
      <c r="B9" s="42"/>
      <c r="C9" s="43" t="s">
        <v>19</v>
      </c>
    </row>
    <row r="10" spans="1:3" ht="15.75" customHeight="1">
      <c r="A10" s="621"/>
      <c r="B10" s="44" t="s">
        <v>0</v>
      </c>
      <c r="C10" s="45"/>
    </row>
    <row r="11" spans="1:3" ht="15.75" thickBot="1">
      <c r="A11" s="622"/>
      <c r="B11" s="46"/>
      <c r="C11" s="47" t="s">
        <v>10</v>
      </c>
    </row>
    <row r="12" ht="11.25" customHeight="1"/>
    <row r="13" ht="11.25" customHeight="1">
      <c r="C13" s="53"/>
    </row>
    <row r="14" spans="1:3" ht="15">
      <c r="A14" s="39" t="s">
        <v>43</v>
      </c>
      <c r="B14" s="48" t="s">
        <v>28</v>
      </c>
      <c r="C14" s="53"/>
    </row>
    <row r="15" spans="2:3" ht="15">
      <c r="B15" s="48" t="s">
        <v>9</v>
      </c>
      <c r="C15" s="53"/>
    </row>
    <row r="16" spans="1:3" ht="28.5" customHeight="1">
      <c r="A16" s="415" t="s">
        <v>26</v>
      </c>
      <c r="B16" s="185" t="s">
        <v>360</v>
      </c>
      <c r="C16" s="54">
        <v>46400</v>
      </c>
    </row>
    <row r="17" spans="1:3" ht="28.5" customHeight="1">
      <c r="A17" s="415"/>
      <c r="B17" s="185"/>
      <c r="C17" s="53"/>
    </row>
    <row r="18" spans="1:3" ht="15">
      <c r="A18" s="415" t="s">
        <v>44</v>
      </c>
      <c r="B18" s="39" t="s">
        <v>76</v>
      </c>
      <c r="C18" s="53">
        <v>350000</v>
      </c>
    </row>
    <row r="19" spans="1:3" ht="30">
      <c r="A19" s="415" t="s">
        <v>100</v>
      </c>
      <c r="B19" s="185" t="s">
        <v>357</v>
      </c>
      <c r="C19" s="53">
        <v>300000</v>
      </c>
    </row>
    <row r="20" spans="1:3" ht="15">
      <c r="A20" s="415" t="s">
        <v>101</v>
      </c>
      <c r="B20" s="185" t="s">
        <v>358</v>
      </c>
      <c r="C20" s="53">
        <v>715000</v>
      </c>
    </row>
    <row r="21" spans="1:3" ht="15">
      <c r="A21" s="415" t="s">
        <v>107</v>
      </c>
      <c r="B21" s="185" t="s">
        <v>359</v>
      </c>
      <c r="C21" s="53">
        <v>440000</v>
      </c>
    </row>
    <row r="23" spans="1:3" ht="15">
      <c r="A23" s="415" t="s">
        <v>241</v>
      </c>
      <c r="B23" s="39" t="s">
        <v>80</v>
      </c>
      <c r="C23" s="53">
        <v>210000</v>
      </c>
    </row>
    <row r="24" spans="1:3" ht="14.25" customHeight="1">
      <c r="A24" s="415" t="s">
        <v>243</v>
      </c>
      <c r="B24" s="39" t="s">
        <v>605</v>
      </c>
      <c r="C24" s="53">
        <v>1000000</v>
      </c>
    </row>
    <row r="25" spans="1:3" ht="15">
      <c r="A25" s="415" t="s">
        <v>245</v>
      </c>
      <c r="B25" s="48" t="s">
        <v>28</v>
      </c>
      <c r="C25" s="53"/>
    </row>
    <row r="26" spans="1:3" ht="15">
      <c r="A26" s="415"/>
      <c r="B26" s="48" t="s">
        <v>29</v>
      </c>
      <c r="C26" s="54">
        <f>SUM(C18:C25)</f>
        <v>3015000</v>
      </c>
    </row>
    <row r="27" spans="1:3" ht="11.25" customHeight="1">
      <c r="A27" s="415"/>
      <c r="C27" s="53"/>
    </row>
    <row r="28" spans="1:3" ht="15">
      <c r="A28" s="415" t="s">
        <v>251</v>
      </c>
      <c r="B28" s="48" t="s">
        <v>30</v>
      </c>
      <c r="C28" s="54">
        <f>C26+C16</f>
        <v>3061400</v>
      </c>
    </row>
    <row r="29" spans="1:3" ht="15">
      <c r="A29" s="415"/>
      <c r="B29" s="48"/>
      <c r="C29" s="54"/>
    </row>
    <row r="30" spans="1:5" ht="13.5" customHeight="1">
      <c r="A30" s="415"/>
      <c r="B30" s="14"/>
      <c r="C30" s="14"/>
      <c r="D30" s="11"/>
      <c r="E30" s="53"/>
    </row>
    <row r="31" spans="1:3" s="48" customFormat="1" ht="14.25">
      <c r="A31" s="416" t="s">
        <v>255</v>
      </c>
      <c r="B31" s="48" t="s">
        <v>281</v>
      </c>
      <c r="C31" s="54"/>
    </row>
    <row r="32" spans="1:3" ht="11.25" customHeight="1">
      <c r="A32" s="415"/>
      <c r="C32" s="53"/>
    </row>
    <row r="33" spans="1:3" ht="30" customHeight="1">
      <c r="A33" s="415" t="s">
        <v>260</v>
      </c>
      <c r="B33" s="185" t="s">
        <v>282</v>
      </c>
      <c r="C33" s="53">
        <v>2000000</v>
      </c>
    </row>
    <row r="34" spans="1:3" ht="11.25" customHeight="1">
      <c r="A34" s="415"/>
      <c r="C34" s="53"/>
    </row>
    <row r="35" spans="1:3" ht="15">
      <c r="A35" s="415" t="s">
        <v>262</v>
      </c>
      <c r="B35" s="48" t="s">
        <v>283</v>
      </c>
      <c r="C35" s="54">
        <f>C33</f>
        <v>2000000</v>
      </c>
    </row>
    <row r="36" spans="1:3" ht="11.25" customHeight="1">
      <c r="A36" s="415"/>
      <c r="C36" s="53"/>
    </row>
    <row r="37" spans="1:3" s="50" customFormat="1" ht="16.5">
      <c r="A37" s="417" t="s">
        <v>264</v>
      </c>
      <c r="B37" s="49" t="s">
        <v>31</v>
      </c>
      <c r="C37" s="60"/>
    </row>
    <row r="38" spans="1:3" s="50" customFormat="1" ht="16.5">
      <c r="A38" s="417"/>
      <c r="B38" s="49" t="s">
        <v>32</v>
      </c>
      <c r="C38" s="61">
        <f>C28+C35</f>
        <v>5061400</v>
      </c>
    </row>
  </sheetData>
  <sheetProtection password="AF00" sheet="1"/>
  <mergeCells count="6">
    <mergeCell ref="B7:C7"/>
    <mergeCell ref="B6:C6"/>
    <mergeCell ref="B3:C3"/>
    <mergeCell ref="B5:C5"/>
    <mergeCell ref="B1:C1"/>
    <mergeCell ref="A9:A11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28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6.125" style="15" customWidth="1"/>
    <col min="2" max="2" width="70.375" style="15" customWidth="1"/>
    <col min="3" max="3" width="20.00390625" style="15" customWidth="1"/>
    <col min="4" max="16384" width="9.125" style="15" customWidth="1"/>
  </cols>
  <sheetData>
    <row r="1" spans="2:5" s="205" customFormat="1" ht="15.75">
      <c r="B1" s="531" t="s">
        <v>614</v>
      </c>
      <c r="C1" s="531"/>
      <c r="D1" s="146"/>
      <c r="E1" s="408"/>
    </row>
    <row r="2" spans="2:5" s="205" customFormat="1" ht="15.75">
      <c r="B2" s="623"/>
      <c r="C2" s="623"/>
      <c r="D2" s="146"/>
      <c r="E2" s="408"/>
    </row>
    <row r="4" spans="2:5" s="207" customFormat="1" ht="18.75">
      <c r="B4" s="206" t="s">
        <v>308</v>
      </c>
      <c r="C4" s="206"/>
      <c r="D4" s="15"/>
      <c r="E4" s="15"/>
    </row>
    <row r="5" spans="2:5" s="207" customFormat="1" ht="18.75">
      <c r="B5" s="518" t="s">
        <v>309</v>
      </c>
      <c r="C5" s="518"/>
      <c r="D5" s="15"/>
      <c r="E5" s="15"/>
    </row>
    <row r="6" spans="2:5" s="207" customFormat="1" ht="18.75">
      <c r="B6" s="518" t="s">
        <v>584</v>
      </c>
      <c r="C6" s="518"/>
      <c r="D6" s="15"/>
      <c r="E6" s="15"/>
    </row>
    <row r="7" ht="16.5" thickBot="1"/>
    <row r="8" spans="1:3" ht="15.75">
      <c r="A8" s="624" t="s">
        <v>467</v>
      </c>
      <c r="B8" s="208"/>
      <c r="C8" s="209" t="s">
        <v>10</v>
      </c>
    </row>
    <row r="9" spans="1:3" ht="15.75">
      <c r="A9" s="625"/>
      <c r="B9" s="210" t="s">
        <v>310</v>
      </c>
      <c r="C9" s="210"/>
    </row>
    <row r="10" spans="1:3" ht="16.5" thickBot="1">
      <c r="A10" s="626"/>
      <c r="B10" s="211"/>
      <c r="C10" s="212" t="s">
        <v>517</v>
      </c>
    </row>
    <row r="11" spans="2:3" ht="15.75">
      <c r="B11" s="213"/>
      <c r="C11" s="214"/>
    </row>
    <row r="12" spans="1:3" ht="31.5" customHeight="1">
      <c r="A12" s="418" t="s">
        <v>43</v>
      </c>
      <c r="B12" s="409" t="s">
        <v>518</v>
      </c>
      <c r="C12" s="214"/>
    </row>
    <row r="13" spans="1:3" ht="18" customHeight="1">
      <c r="A13" s="418" t="s">
        <v>486</v>
      </c>
      <c r="B13" s="217" t="s">
        <v>451</v>
      </c>
      <c r="C13" s="216">
        <v>80000</v>
      </c>
    </row>
    <row r="14" spans="1:3" ht="18" customHeight="1">
      <c r="A14" s="418"/>
      <c r="B14" s="217" t="s">
        <v>311</v>
      </c>
      <c r="C14" s="330">
        <v>21600</v>
      </c>
    </row>
    <row r="15" spans="1:3" ht="18" customHeight="1">
      <c r="A15" s="418"/>
      <c r="B15" s="213" t="s">
        <v>2</v>
      </c>
      <c r="C15" s="218">
        <f>SUM(C13:C14)</f>
        <v>101600</v>
      </c>
    </row>
    <row r="16" spans="1:3" ht="18" customHeight="1">
      <c r="A16" s="418"/>
      <c r="B16" s="213"/>
      <c r="C16" s="218"/>
    </row>
    <row r="17" spans="1:3" ht="18" customHeight="1">
      <c r="A17" s="418" t="s">
        <v>26</v>
      </c>
      <c r="B17" s="410" t="s">
        <v>452</v>
      </c>
      <c r="C17" s="218"/>
    </row>
    <row r="18" spans="1:3" ht="18" customHeight="1">
      <c r="A18" s="418" t="s">
        <v>521</v>
      </c>
      <c r="B18" s="217" t="s">
        <v>453</v>
      </c>
      <c r="C18" s="216">
        <v>141700</v>
      </c>
    </row>
    <row r="19" spans="1:3" ht="18" customHeight="1">
      <c r="A19" s="418"/>
      <c r="B19" s="217" t="s">
        <v>311</v>
      </c>
      <c r="C19" s="331">
        <v>38259</v>
      </c>
    </row>
    <row r="20" spans="1:3" ht="18" customHeight="1">
      <c r="A20" s="418"/>
      <c r="B20" s="213" t="s">
        <v>2</v>
      </c>
      <c r="C20" s="218">
        <f>SUM(C18:C19)</f>
        <v>179959</v>
      </c>
    </row>
    <row r="21" spans="1:3" ht="18" customHeight="1">
      <c r="A21" s="418"/>
      <c r="B21" s="213"/>
      <c r="C21" s="218"/>
    </row>
    <row r="22" spans="1:3" ht="18" customHeight="1">
      <c r="A22" s="418" t="s">
        <v>44</v>
      </c>
      <c r="B22" s="410" t="s">
        <v>586</v>
      </c>
      <c r="C22" s="214"/>
    </row>
    <row r="23" spans="1:3" ht="18" customHeight="1">
      <c r="A23" s="418" t="s">
        <v>498</v>
      </c>
      <c r="B23" s="411" t="s">
        <v>587</v>
      </c>
      <c r="C23" s="329">
        <v>6096007</v>
      </c>
    </row>
    <row r="24" spans="1:3" ht="18" customHeight="1">
      <c r="A24" s="418"/>
      <c r="B24" s="217" t="s">
        <v>311</v>
      </c>
      <c r="C24" s="330">
        <f>C23*0.27</f>
        <v>1645921.8900000001</v>
      </c>
    </row>
    <row r="25" spans="1:3" ht="18" customHeight="1">
      <c r="A25" s="418"/>
      <c r="B25" s="213" t="s">
        <v>2</v>
      </c>
      <c r="C25" s="218">
        <f>SUM(C23:C24)</f>
        <v>7741928.890000001</v>
      </c>
    </row>
    <row r="26" spans="1:3" ht="18" customHeight="1">
      <c r="A26" s="418"/>
      <c r="B26" s="213"/>
      <c r="C26" s="218"/>
    </row>
    <row r="27" spans="1:3" ht="18" customHeight="1">
      <c r="A27" s="418"/>
      <c r="B27" s="213"/>
      <c r="C27" s="215"/>
    </row>
    <row r="28" spans="1:3" ht="18" customHeight="1">
      <c r="A28" s="418" t="s">
        <v>241</v>
      </c>
      <c r="B28" s="213" t="s">
        <v>312</v>
      </c>
      <c r="C28" s="218">
        <f>C15+C20+C25</f>
        <v>8023487.890000001</v>
      </c>
    </row>
  </sheetData>
  <sheetProtection password="AF00" sheet="1"/>
  <mergeCells count="5">
    <mergeCell ref="B5:C5"/>
    <mergeCell ref="B6:C6"/>
    <mergeCell ref="B2:C2"/>
    <mergeCell ref="B1:C1"/>
    <mergeCell ref="A8:A10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Lok Ildikó</cp:lastModifiedBy>
  <cp:lastPrinted>2019-02-13T13:23:09Z</cp:lastPrinted>
  <dcterms:created xsi:type="dcterms:W3CDTF">2002-11-26T17:22:50Z</dcterms:created>
  <dcterms:modified xsi:type="dcterms:W3CDTF">2019-02-20T08:27:44Z</dcterms:modified>
  <cp:category/>
  <cp:version/>
  <cp:contentType/>
  <cp:contentStatus/>
</cp:coreProperties>
</file>