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K:\cs_penzugy\Pénzügyi titkárság\2020\"/>
    </mc:Choice>
  </mc:AlternateContent>
  <bookViews>
    <workbookView xWindow="0" yWindow="0" windowWidth="28800" windowHeight="11985" tabRatio="834"/>
  </bookViews>
  <sheets>
    <sheet name="1. melléklet" sheetId="1" r:id="rId1"/>
    <sheet name="2. melléklet" sheetId="2" r:id="rId2"/>
    <sheet name="3. melléklet" sheetId="3" r:id="rId3"/>
    <sheet name="4. melléklet" sheetId="4" r:id="rId4"/>
    <sheet name="5. melléklet 1" sheetId="5" r:id="rId5"/>
    <sheet name="5. melléklet 2" sheetId="6" r:id="rId6"/>
    <sheet name="6. melléklet 1" sheetId="24" r:id="rId7"/>
    <sheet name="6. melléklet 2" sheetId="25" r:id="rId8"/>
    <sheet name="7. melléklet" sheetId="27" r:id="rId9"/>
    <sheet name="8. melléklet" sheetId="10" r:id="rId10"/>
    <sheet name="9. melléklet" sheetId="11" r:id="rId11"/>
    <sheet name="10. melléklet" sheetId="12" r:id="rId12"/>
    <sheet name="11. melléklet" sheetId="13" r:id="rId13"/>
    <sheet name="12. melléklet" sheetId="14" r:id="rId14"/>
    <sheet name="13.melléklet 1" sheetId="15" r:id="rId15"/>
    <sheet name="13. melléklet 2 " sheetId="26" r:id="rId16"/>
    <sheet name="13. melléklet 3" sheetId="22" r:id="rId17"/>
    <sheet name="14. melléklet 1" sheetId="16" r:id="rId18"/>
    <sheet name="14. melléklet 2" sheetId="21" r:id="rId19"/>
    <sheet name="14. melléklet 3" sheetId="30" r:id="rId20"/>
    <sheet name="15. melléklet" sheetId="29" r:id="rId21"/>
    <sheet name="16. melléklet" sheetId="19" r:id="rId22"/>
    <sheet name="17. melléklet" sheetId="28" r:id="rId23"/>
  </sheets>
  <externalReferences>
    <externalReference r:id="rId24"/>
    <externalReference r:id="rId25"/>
    <externalReference r:id="rId26"/>
    <externalReference r:id="rId27"/>
  </externalReferences>
  <definedNames>
    <definedName name="__c">!#REF!</definedName>
    <definedName name="__xlnm.Print_Titles_1">"'5. sz. melléklet - önkormányzat'[.#HIV!$4]:6"</definedName>
    <definedName name="_c">!#REF!</definedName>
    <definedName name="Beszúrás">SUM(!#REF!,!#REF!,!#REF!,!#REF!,!#REF!,!#REF!)</definedName>
    <definedName name="Excel_BuiltIn__FilterDatabase_5">!#REF!</definedName>
    <definedName name="Excel_BuiltIn__FilterDatabase_5_1">'[1]4__sz__melléklet'!#REF!</definedName>
    <definedName name="Excel_BuiltIn__FilterDatabase_5_10">NA()</definedName>
    <definedName name="Excel_BuiltIn__FilterDatabase_5_11">'[2]4__sz__melléklet'!#REF!</definedName>
    <definedName name="Excel_BuiltIn__FilterDatabase_5_12">'[2]4__sz__melléklet'!#REF!</definedName>
    <definedName name="Excel_BuiltIn__FilterDatabase_5_13">!#REF!</definedName>
    <definedName name="Excel_BuiltIn__FilterDatabase_5_15">'[3]4__sz__melléklet'!#REF!</definedName>
    <definedName name="Excel_BuiltIn__FilterDatabase_5_17">!#REF!</definedName>
    <definedName name="Excel_BuiltIn__FilterDatabase_5_5">'[4]4_A_sz__melléklet'!#REF!</definedName>
    <definedName name="Excel_BuiltIn__FilterDatabase_5_6">'[4]4_B-C__sz__melléklet'!#REF!</definedName>
    <definedName name="Excel_BuiltIn__FilterDatabase_5_7">NA()</definedName>
    <definedName name="Excel_BuiltIn__FilterDatabase_5_8">'[2]4__sz__melléklet'!#REF!</definedName>
    <definedName name="Excel_BuiltIn__FilterDatabase_5_9">'[2]4__sz__melléklet'!#REF!</definedName>
    <definedName name="Excel_BuiltIn_Print_Area_1">!#REF!</definedName>
    <definedName name="Excel_BuiltIn_Print_Area_1_1">NA()</definedName>
    <definedName name="Excel_BuiltIn_Print_Area_1_15">!#REF!</definedName>
    <definedName name="Excel_BuiltIn_Print_Area_1_21">'[4]18_'!#REF!</definedName>
    <definedName name="Excel_BuiltIn_Print_Area_1_22">'[4]19_'!#REF!</definedName>
    <definedName name="Excel_BuiltIn_Print_Area_2">!#REF!</definedName>
    <definedName name="Excel_BuiltIn_Print_Area_2_1">!#REF!</definedName>
    <definedName name="Excel_BuiltIn_Print_Area_2_15">!#REF!</definedName>
    <definedName name="Excel_BuiltIn_Print_Area_2_5">!#REF!</definedName>
    <definedName name="Excel_BuiltIn_Print_Area_2_6">!#REF!</definedName>
    <definedName name="Excel_BuiltIn_Print_Titles_6">'[4]4_B-C__sz__melléklet'!#REF!</definedName>
    <definedName name="fff">!#REF!</definedName>
    <definedName name="melléklet">SUM(!#REF!)-!#REF!-!#REF!-!#REF!</definedName>
    <definedName name="_xlnm.Print_Titles" localSheetId="12">'11. melléklet'!$4:$4</definedName>
    <definedName name="_xlnm.Print_Titles" localSheetId="17">'14. melléklet 1'!$3:$5</definedName>
    <definedName name="_xlnm.Print_Titles" localSheetId="18">'14. melléklet 2'!$3:$5</definedName>
    <definedName name="_xlnm.Print_Titles" localSheetId="20">'15. melléklet'!$4:$5</definedName>
    <definedName name="_xlnm.Print_Titles" localSheetId="4">'5. melléklet 1'!#REF!</definedName>
    <definedName name="_xlnm.Print_Titles" localSheetId="8">'7. melléklet'!$3:$3</definedName>
    <definedName name="_xlnm.Print_Titles" localSheetId="9">'8. melléklet'!$3:$3</definedName>
    <definedName name="_xlnm.Print_Area" localSheetId="12">'11. melléklet'!$A$1:$C$106</definedName>
    <definedName name="_xlnm.Print_Area" localSheetId="19">'14. melléklet 3'!$A$1:$Q$35</definedName>
    <definedName name="_xlnm.Print_Area" localSheetId="20">'15. melléklet'!$A$1:$I$108</definedName>
    <definedName name="_xlnm.Print_Area" localSheetId="4">'5. melléklet 1'!$A$1:$R$138</definedName>
    <definedName name="_xlnm.Print_Area" localSheetId="5">'5. melléklet 2'!$A$3:$R$56</definedName>
    <definedName name="_xlnm.Print_Area" localSheetId="6">'6. melléklet 1'!$A$1:$R$54</definedName>
    <definedName name="_xlnm.Print_Area" localSheetId="8">'7. melléklet'!$A$1:$C$140</definedName>
    <definedName name="SHARED_FORMULA_1_10_1_10_2">SUM(!#REF!,!#REF!,!#REF!,!#REF!,!#REF!,!#REF!)</definedName>
    <definedName name="SHARED_FORMULA_1_26_1_26_2">SUM(!#REF!,!#REF!,!#REF!)</definedName>
    <definedName name="SHARED_FORMULA_1_38_1_38_8">SUM(!#REF!)</definedName>
    <definedName name="SHARED_FORMULA_1_42_1_42_8">SUM(!#REF!,!#REF!)</definedName>
    <definedName name="SHARED_FORMULA_10_41_10_41_2">SUM(!#REF!+!#REF!+!#REF!)</definedName>
    <definedName name="SHARED_FORMULA_10_5_10_5_2">SUM(!#REF!+!#REF!+!#REF!)</definedName>
    <definedName name="SHARED_FORMULA_11_40_11_40_2">SUM(!#REF!+!#REF!+!#REF!)</definedName>
    <definedName name="SHARED_FORMULA_11_5_11_5_2">SUM(!#REF!+!#REF!+!#REF!)</definedName>
    <definedName name="SHARED_FORMULA_12_13_12_13_3">SUM(!#REF!+!#REF!+!#REF!)</definedName>
    <definedName name="SHARED_FORMULA_12_133_12_133_5">SUM(!#REF!)-!#REF!-!#REF!-!#REF!</definedName>
    <definedName name="SHARED_FORMULA_12_40_12_40_2">SUM(!#REF!+!#REF!+!#REF!)</definedName>
    <definedName name="SHARED_FORMULA_12_5_12_5_2">SUM(!#REF!+!#REF!+!#REF!)</definedName>
    <definedName name="SHARED_FORMULA_12_5_12_5_3">SUM(!#REF!+!#REF!+!#REF!)</definedName>
    <definedName name="SHARED_FORMULA_12_6_12_6_0">!#REF!/!#REF!*100</definedName>
    <definedName name="SHARED_FORMULA_13_105_13_105_5">SUM(!#REF!)-!#REF!</definedName>
    <definedName name="SHARED_FORMULA_13_3_13_3_5">SUM(!#REF!)-!#REF!</definedName>
    <definedName name="SHARED_FORMULA_13_41_13_41_5">SUM(!#REF!)-!#REF!</definedName>
    <definedName name="SHARED_FORMULA_13_73_13_73_5">SUM(!#REF!)-!#REF!</definedName>
    <definedName name="SHARED_FORMULA_13_9_13_9_3">SUM(!#REF!+!#REF!+!#REF!)</definedName>
    <definedName name="SHARED_FORMULA_14_102_14_102_5">!#REF!</definedName>
    <definedName name="SHARED_FORMULA_14_121_14_121_5">!#REF!+!#REF!+!#REF!+!#REF!</definedName>
    <definedName name="SHARED_FORMULA_14_131_14_131_5">!#REF!+!#REF!+!#REF!+!#REF!+!#REF!+!#REF!+!#REF!+!#REF!+!#REF!+!#REF!+!#REF!+!#REF!+!#REF!+!#REF!+!#REF!+!#REF!+!#REF!+!#REF!+!#REF!+!#REF!+!#REF!+!#REF!+!#REF!</definedName>
    <definedName name="SHARED_FORMULA_14_150_14_150_5">!#REF!+!#REF!</definedName>
    <definedName name="SHARED_FORMULA_14_151_14_151_5">!#REF!-!#REF!</definedName>
    <definedName name="SHARED_FORMULA_14_71_14_71_5">!#REF!+!#REF!+!#REF!+!#REF!</definedName>
    <definedName name="SHARED_FORMULA_14_72_14_72_5">!#REF!+!#REF!+!#REF!+!#REF!</definedName>
    <definedName name="SHARED_FORMULA_14_73_14_73_5">!#REF!+!#REF!+!#REF!+!#REF!</definedName>
    <definedName name="SHARED_FORMULA_14_74_14_74_5">!#REF!+!#REF!+!#REF!+!#REF!</definedName>
    <definedName name="SHARED_FORMULA_14_75_14_75_5">!#REF!+!#REF!+!#REF!+!#REF!</definedName>
    <definedName name="SHARED_FORMULA_14_86_14_86_5">!#REF!+!#REF!</definedName>
    <definedName name="SHARED_FORMULA_14_9_14_9_3">SUM(!#REF!+!#REF!+!#REF!)</definedName>
    <definedName name="SHARED_FORMULA_16_112_16_112_5">!#REF!</definedName>
    <definedName name="SHARED_FORMULA_17_108_17_108_5">!#REF!</definedName>
    <definedName name="SHARED_FORMULA_17_117_17_117_5">!#REF!</definedName>
    <definedName name="SHARED_FORMULA_17_127_17_127_5">!#REF!</definedName>
    <definedName name="SHARED_FORMULA_17_22_17_22_5">!#REF!</definedName>
    <definedName name="SHARED_FORMULA_17_27_17_27_5">!#REF!</definedName>
    <definedName name="SHARED_FORMULA_17_32_17_32_5">!#REF!</definedName>
    <definedName name="SHARED_FORMULA_17_37_17_37_5">!#REF!</definedName>
    <definedName name="SHARED_FORMULA_17_4_17_4_5">!#REF!</definedName>
    <definedName name="SHARED_FORMULA_17_43_17_43_5">!#REF!</definedName>
    <definedName name="SHARED_FORMULA_17_47_17_47_5">!#REF!</definedName>
    <definedName name="SHARED_FORMULA_17_52_17_52_5">!#REF!</definedName>
    <definedName name="SHARED_FORMULA_17_57_17_57_5">!#REF!</definedName>
    <definedName name="SHARED_FORMULA_17_62_17_62_5">!#REF!</definedName>
    <definedName name="SHARED_FORMULA_17_67_17_67_5">!#REF!</definedName>
    <definedName name="SHARED_FORMULA_17_77_17_77_5">!#REF!</definedName>
    <definedName name="SHARED_FORMULA_17_82_17_82_5">!#REF!</definedName>
    <definedName name="SHARED_FORMULA_17_9_17_9_5">!#REF!</definedName>
    <definedName name="SHARED_FORMULA_17_92_17_92_5">!#REF!</definedName>
    <definedName name="SHARED_FORMULA_17_97_17_97_5">!#REF!</definedName>
    <definedName name="SHARED_FORMULA_2_102_2_102_5">!#REF!</definedName>
    <definedName name="SHARED_FORMULA_2_107_2_107_5">!#REF!</definedName>
    <definedName name="SHARED_FORMULA_2_112_2_112_5">!#REF!</definedName>
    <definedName name="SHARED_FORMULA_2_121_2_121_5">!#REF!+!#REF!+!#REF!+!#REF!</definedName>
    <definedName name="SHARED_FORMULA_2_122_2_122_5">!#REF!+!#REF!+!#REF!+!#REF!</definedName>
    <definedName name="SHARED_FORMULA_2_123_2_123_5">!#REF!+!#REF!+!#REF!+!#REF!</definedName>
    <definedName name="SHARED_FORMULA_2_124_2_124_5">!#REF!+!#REF!+!#REF!+!#REF!</definedName>
    <definedName name="SHARED_FORMULA_2_125_2_125_5">!#REF!+!#REF!+!#REF!+!#REF!</definedName>
    <definedName name="SHARED_FORMULA_2_127_2_127_5">!#REF!</definedName>
    <definedName name="SHARED_FORMULA_2_131_2_131_5">!#REF!+!#REF!+!#REF!+!#REF!+!#REF!+!#REF!+!#REF!+!#REF!+!#REF!+!#REF!+!#REF!+!#REF!+!#REF!+!#REF!+!#REF!+!#REF!+!#REF!+!#REF!+!#REF!+!#REF!+!#REF!+!#REF!+!#REF!</definedName>
    <definedName name="SHARED_FORMULA_2_132_2_132_5">!#REF!+!#REF!+!#REF!+!#REF!+!#REF!+!#REF!+!#REF!+!#REF!+!#REF!+!#REF!+!#REF!+!#REF!+!#REF!+!#REF!+!#REF!+!#REF!+!#REF!+!#REF!+!#REF!+!#REF!+!#REF!+!#REF!+!#REF!</definedName>
    <definedName name="SHARED_FORMULA_2_134_2_134_5">!#REF!+!#REF!+!#REF!+!#REF!+!#REF!+!#REF!+!#REF!+!#REF!+!#REF!+!#REF!+!#REF!+!#REF!+!#REF!+!#REF!+!#REF!+!#REF!+!#REF!+!#REF!+!#REF!+!#REF!+!#REF!+!#REF!+!#REF!</definedName>
    <definedName name="SHARED_FORMULA_2_137_2_137_5">!#REF!+!#REF!+!#REF!+!#REF!+!#REF!+!#REF!+!#REF!+!#REF!+!#REF!+!#REF!+!#REF!+!#REF!+!#REF!+!#REF!+!#REF!+!#REF!+!#REF!+!#REF!+!#REF!+!#REF!+!#REF!+!#REF!+!#REF!</definedName>
    <definedName name="SHARED_FORMULA_2_14_2_14_5">!#REF!</definedName>
    <definedName name="SHARED_FORMULA_2_140_2_140_5">!#REF!+!#REF!+!#REF!+!#REF!+!#REF!+!#REF!+!#REF!+!#REF!+!#REF!+!#REF!+!#REF!+!#REF!+!#REF!+!#REF!+!#REF!+!#REF!+!#REF!+!#REF!+!#REF!+!#REF!+!#REF!+!#REF!</definedName>
    <definedName name="SHARED_FORMULA_2_141_2_141_5">!#REF!+!#REF!+!#REF!+!#REF!+!#REF!+!#REF!+!#REF!+!#REF!+!#REF!+!#REF!+!#REF!+!#REF!+!#REF!+!#REF!+!#REF!+!#REF!+!#REF!+!#REF!+!#REF!+!#REF!+!#REF!+!#REF!</definedName>
    <definedName name="SHARED_FORMULA_2_142_2_142_5">!#REF!+!#REF!+!#REF!+!#REF!+!#REF!+!#REF!+!#REF!+!#REF!+!#REF!+!#REF!+!#REF!+!#REF!+!#REF!+!#REF!+!#REF!+!#REF!+!#REF!+!#REF!+!#REF!+!#REF!+!#REF!+!#REF!</definedName>
    <definedName name="SHARED_FORMULA_2_143_2_143_5">!#REF!+!#REF!+!#REF!+!#REF!+!#REF!+!#REF!+!#REF!+!#REF!+!#REF!+!#REF!+!#REF!+!#REF!+!#REF!+!#REF!+!#REF!+!#REF!+!#REF!+!#REF!+!#REF!+!#REF!+!#REF!+!#REF!</definedName>
    <definedName name="SHARED_FORMULA_2_144_2_144_5">!#REF!+!#REF!+!#REF!+!#REF!+!#REF!+!#REF!+!#REF!+!#REF!+!#REF!+!#REF!+!#REF!+!#REF!+!#REF!+!#REF!+!#REF!+!#REF!+!#REF!+!#REF!+!#REF!+!#REF!+!#REF!+!#REF!</definedName>
    <definedName name="SHARED_FORMULA_2_145_2_145_5">!#REF!+!#REF!+!#REF!+!#REF!+!#REF!+!#REF!+!#REF!+!#REF!+!#REF!+!#REF!+!#REF!+!#REF!+!#REF!+!#REF!+!#REF!+!#REF!+!#REF!+!#REF!+!#REF!+!#REF!+!#REF!+!#REF!</definedName>
    <definedName name="SHARED_FORMULA_2_146_2_146_5">!#REF!-!#REF!</definedName>
    <definedName name="SHARED_FORMULA_2_22_2_22_5">!#REF!</definedName>
    <definedName name="SHARED_FORMULA_2_27_2_27_5">!#REF!</definedName>
    <definedName name="SHARED_FORMULA_2_32_2_32_5">!#REF!</definedName>
    <definedName name="SHARED_FORMULA_2_37_2_37_5">!#REF!</definedName>
    <definedName name="SHARED_FORMULA_2_4_2_4_5">!#REF!</definedName>
    <definedName name="SHARED_FORMULA_2_42_2_42_5">!#REF!</definedName>
    <definedName name="SHARED_FORMULA_2_44_2_44_5">!#REF!</definedName>
    <definedName name="SHARED_FORMULA_2_47_2_47_5">!#REF!</definedName>
    <definedName name="SHARED_FORMULA_2_48_2_48_5">!#REF!</definedName>
    <definedName name="SHARED_FORMULA_2_52_2_52_5">!#REF!</definedName>
    <definedName name="SHARED_FORMULA_2_57_2_57_5">!#REF!</definedName>
    <definedName name="SHARED_FORMULA_2_67_2_67_5">!#REF!</definedName>
    <definedName name="SHARED_FORMULA_2_71_2_71_5">!#REF!+!#REF!+!#REF!+!#REF!</definedName>
    <definedName name="SHARED_FORMULA_2_72_2_72_5">!#REF!+!#REF!+!#REF!+!#REF!</definedName>
    <definedName name="SHARED_FORMULA_2_73_2_73_5">!#REF!+!#REF!+!#REF!+!#REF!</definedName>
    <definedName name="SHARED_FORMULA_2_74_2_74_5">!#REF!+!#REF!+!#REF!+!#REF!</definedName>
    <definedName name="SHARED_FORMULA_2_75_2_75_5">!#REF!+!#REF!+!#REF!+!#REF!</definedName>
    <definedName name="SHARED_FORMULA_2_82_2_82_5">!#REF!</definedName>
    <definedName name="SHARED_FORMULA_2_86_2_86_5">!#REF!+!#REF!</definedName>
    <definedName name="SHARED_FORMULA_2_87_2_87_5">!#REF!+!#REF!</definedName>
    <definedName name="SHARED_FORMULA_2_88_2_88_5">!#REF!+!#REF!</definedName>
    <definedName name="SHARED_FORMULA_2_89_2_89_5">!#REF!+!#REF!</definedName>
    <definedName name="SHARED_FORMULA_2_9_2_9_5">!#REF!</definedName>
    <definedName name="SHARED_FORMULA_2_90_2_90_5">!#REF!+!#REF!</definedName>
    <definedName name="SHARED_FORMULA_2_92_2_92_5">!#REF!</definedName>
    <definedName name="SHARED_FORMULA_2_97_2_97_5">!#REF!</definedName>
    <definedName name="SHARED_FORMULA_20_10_20_10_5">!#REF!</definedName>
    <definedName name="SHARED_FORMULA_20_102_20_102_5">!#REF!</definedName>
    <definedName name="SHARED_FORMULA_20_112_20_112_5">!#REF!</definedName>
    <definedName name="SHARED_FORMULA_20_117_20_117_5">!#REF!</definedName>
    <definedName name="SHARED_FORMULA_20_121_20_121_5">!#REF!+!#REF!+!#REF!+!#REF!</definedName>
    <definedName name="SHARED_FORMULA_20_127_20_127_5">!#REF!</definedName>
    <definedName name="SHARED_FORMULA_20_131_20_131_5">!#REF!+!#REF!+!#REF!+!#REF!+!#REF!+!#REF!+!#REF!+!#REF!+!#REF!+!#REF!+!#REF!+!#REF!+!#REF!+!#REF!+!#REF!+!#REF!+!#REF!+!#REF!+!#REF!+!#REF!+!#REF!+!#REF!+!#REF!</definedName>
    <definedName name="SHARED_FORMULA_20_14_20_14_5">!#REF!</definedName>
    <definedName name="SHARED_FORMULA_20_141_20_141_5">!#REF!+!#REF!+!#REF!+!#REF!+!#REF!+!#REF!+!#REF!+!#REF!+!#REF!+!#REF!+!#REF!+!#REF!+!#REF!+!#REF!+!#REF!+!#REF!+!#REF!+!#REF!+!#REF!+!#REF!+!#REF!+!#REF!</definedName>
    <definedName name="SHARED_FORMULA_20_19_20_19_5">!#REF!</definedName>
    <definedName name="SHARED_FORMULA_20_22_20_22_5">!#REF!</definedName>
    <definedName name="SHARED_FORMULA_20_27_20_27_5">!#REF!</definedName>
    <definedName name="SHARED_FORMULA_20_33_20_33_5">!#REF!</definedName>
    <definedName name="SHARED_FORMULA_20_37_20_37_5">!#REF!</definedName>
    <definedName name="SHARED_FORMULA_20_42_20_42_5">!#REF!</definedName>
    <definedName name="SHARED_FORMULA_20_57_20_57_5">!#REF!</definedName>
    <definedName name="SHARED_FORMULA_20_63_20_63_5">!#REF!</definedName>
    <definedName name="SHARED_FORMULA_20_67_20_67_5">!#REF!</definedName>
    <definedName name="SHARED_FORMULA_20_78_20_78_5">!#REF!</definedName>
    <definedName name="SHARED_FORMULA_20_82_20_82_5">!#REF!</definedName>
    <definedName name="SHARED_FORMULA_20_86_20_86_5">!#REF!+!#REF!</definedName>
    <definedName name="SHARED_FORMULA_20_92_20_92_5">!#REF!</definedName>
    <definedName name="SHARED_FORMULA_23_3_23_3_5">SUM(!#REF!)-!#REF!</definedName>
    <definedName name="SHARED_FORMULA_23_32_23_32_5">SUM(!#REF!)-!#REF!</definedName>
    <definedName name="SHARED_FORMULA_23_64_23_64_5">SUM(!#REF!)-!#REF!</definedName>
    <definedName name="SHARED_FORMULA_23_96_23_96_5">SUM(!#REF!)-!#REF!</definedName>
    <definedName name="SHARED_FORMULA_25_131_25_131_5">SUM(!#REF!)-!#REF!</definedName>
    <definedName name="SHARED_FORMULA_3_10_3_10_3">SUM(!#REF!)</definedName>
    <definedName name="SHARED_FORMULA_3_308_3_308_4">SUM(!#REF!+!#REF!+!#REF!)</definedName>
    <definedName name="SHARED_FORMULA_3_309_3_309_4">!#REF!+!#REF!+!#REF!</definedName>
    <definedName name="SHARED_FORMULA_3_312_3_312_4">SUM(!#REF!+!#REF!+!#REF!)</definedName>
    <definedName name="SHARED_FORMULA_3_32_3_32_2">SUM(!#REF!)</definedName>
    <definedName name="SHARED_FORMULA_3_320_3_320_4">SUM(!#REF!+!#REF!+!#REF!+!#REF!)</definedName>
    <definedName name="SHARED_FORMULA_3_321_3_321_4">SUM(!#REF!+!#REF!+!#REF!+!#REF!)</definedName>
    <definedName name="SHARED_FORMULA_3_37_3_37_2">SUM(!#REF!)</definedName>
    <definedName name="SHARED_FORMULA_3_47_3_47_2">SUM(!#REF!)</definedName>
    <definedName name="SHARED_FORMULA_3_59_3_59_5">!#REF!</definedName>
    <definedName name="SHARED_FORMULA_3_77_3_77_5">!#REF!</definedName>
    <definedName name="SHARED_FORMULA_3_94_3_94_5">!#REF!</definedName>
    <definedName name="SHARED_FORMULA_4_133_4_133_5">SUM(!#REF!)-!#REF!-!#REF!-!#REF!</definedName>
    <definedName name="SHARED_FORMULA_4_136_4_136_4">SUM(!#REF!)</definedName>
    <definedName name="SHARED_FORMULA_4_200_4_200_4">SUM(!#REF!)</definedName>
    <definedName name="SHARED_FORMULA_4_264_4_264_4">SUM(!#REF!)</definedName>
    <definedName name="SHARED_FORMULA_4_322_4_322_4">SUM(!#REF!,!#REF!,!#REF!)</definedName>
    <definedName name="SHARED_FORMULA_4_43_4_43_3">SUM(!#REF!,!#REF!,!#REF!,!#REF!,!#REF!,!#REF!,!#REF!,!#REF!,!#REF!,!#REF!,!#REF!,!#REF!,!#REF!,!#REF!)</definedName>
    <definedName name="SHARED_FORMULA_4_58_4_58_2">SUM(!#REF!,!#REF!,!#REF!,!#REF!,!#REF!,!#REF!,!#REF!,!#REF!,!#REF!,!#REF!,!#REF!)</definedName>
    <definedName name="SHARED_FORMULA_4_73_4_73_4">SUM(!#REF!)</definedName>
    <definedName name="SHARED_FORMULA_4_8_4_8_4">SUM(!#REF!)</definedName>
    <definedName name="SHARED_FORMULA_4_9_4_9_3">SUM(!#REF!)</definedName>
    <definedName name="SHARED_FORMULA_5_108_5_108_5">!#REF!</definedName>
    <definedName name="SHARED_FORMULA_5_109_5_109_5">!#REF!</definedName>
    <definedName name="SHARED_FORMULA_5_129_5_129_5">!#REF!</definedName>
    <definedName name="SHARED_FORMULA_5_19_5_19_5">!#REF!</definedName>
    <definedName name="SHARED_FORMULA_5_28_5_28_5">!#REF!</definedName>
    <definedName name="SHARED_FORMULA_5_288_5_288_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9_5_289_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35_5_35_5">!#REF!</definedName>
    <definedName name="SHARED_FORMULA_5_69_5_69_5">!#REF!</definedName>
    <definedName name="SHARED_FORMULA_5_7_5_7_5">!#REF!</definedName>
    <definedName name="SHARED_FORMULA_6_5_6_5_0">!#REF!/!#REF!*100</definedName>
    <definedName name="SHARED_FORMULA_7_62_7_62_5">!#REF!</definedName>
    <definedName name="SHARED_FORMULA_7_82_7_82_5">!#REF!</definedName>
    <definedName name="SHARED_FORMULA_7_93_7_93_5">!#REF!</definedName>
    <definedName name="SHARED_FORMULA_8_48_8_48_5">!#REF!</definedName>
    <definedName name="SHARED_FORMULA_9_112_9_112_5">!#REF!</definedName>
    <definedName name="SHARED_FORMULA_9_118_9_118_5">!#REF!</definedName>
    <definedName name="SHARED_FORMULA_9_44_9_44_5">!#REF!</definedName>
    <definedName name="SHARED_FORMULA_9_53_9_53_5">!#REF!</definedName>
    <definedName name="SHARED_FORMULA_9_77_9_77_5">!#REF!</definedName>
    <definedName name="SHARED_FORMULA_9_98_9_98_5">!#REF!</definedName>
    <definedName name="x">!#REF!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4" i="30" l="1"/>
  <c r="C31" i="2" l="1"/>
  <c r="C28" i="2"/>
  <c r="C18" i="2"/>
  <c r="C11" i="2"/>
  <c r="C7" i="2"/>
  <c r="C42" i="2"/>
  <c r="C35" i="2" l="1"/>
  <c r="C44" i="2" s="1"/>
  <c r="C70" i="2"/>
  <c r="C69" i="2" s="1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J12" i="16"/>
  <c r="I12" i="16"/>
  <c r="J11" i="16"/>
  <c r="J10" i="16"/>
  <c r="I10" i="16"/>
  <c r="J9" i="16"/>
  <c r="I9" i="16"/>
  <c r="J8" i="16"/>
  <c r="I8" i="16"/>
  <c r="J7" i="16"/>
  <c r="I7" i="16"/>
  <c r="I11" i="16"/>
  <c r="J6" i="16"/>
  <c r="I6" i="16"/>
  <c r="H54" i="25" l="1"/>
  <c r="H53" i="25"/>
  <c r="G53" i="25"/>
  <c r="F53" i="25"/>
  <c r="E53" i="25"/>
  <c r="D53" i="25"/>
  <c r="G48" i="25"/>
  <c r="F48" i="25"/>
  <c r="E48" i="25"/>
  <c r="D48" i="25"/>
  <c r="I47" i="25"/>
  <c r="G46" i="25"/>
  <c r="E46" i="25"/>
  <c r="D46" i="25"/>
  <c r="I45" i="25"/>
  <c r="H44" i="25"/>
  <c r="G44" i="25"/>
  <c r="F44" i="25"/>
  <c r="E44" i="25"/>
  <c r="D44" i="25"/>
  <c r="I43" i="25"/>
  <c r="G40" i="25"/>
  <c r="G54" i="25" s="1"/>
  <c r="F40" i="25"/>
  <c r="F54" i="25" s="1"/>
  <c r="E40" i="25"/>
  <c r="E54" i="25" s="1"/>
  <c r="D40" i="25"/>
  <c r="D54" i="25" s="1"/>
  <c r="I39" i="25"/>
  <c r="F38" i="25"/>
  <c r="I38" i="25" s="1"/>
  <c r="I37" i="25"/>
  <c r="F36" i="25"/>
  <c r="I36" i="25" s="1"/>
  <c r="I35" i="25"/>
  <c r="F34" i="25"/>
  <c r="I34" i="25" s="1"/>
  <c r="I33" i="25"/>
  <c r="H32" i="25"/>
  <c r="G32" i="25"/>
  <c r="E32" i="25"/>
  <c r="D32" i="25"/>
  <c r="H31" i="25"/>
  <c r="G31" i="25"/>
  <c r="F31" i="25"/>
  <c r="E31" i="25"/>
  <c r="D31" i="25"/>
  <c r="F30" i="25"/>
  <c r="I30" i="25" s="1"/>
  <c r="I29" i="25"/>
  <c r="F28" i="25"/>
  <c r="I27" i="25"/>
  <c r="H26" i="25"/>
  <c r="H42" i="25" s="1"/>
  <c r="G26" i="25"/>
  <c r="G42" i="25" s="1"/>
  <c r="E26" i="25"/>
  <c r="D26" i="25"/>
  <c r="D42" i="25" s="1"/>
  <c r="H25" i="25"/>
  <c r="H41" i="25" s="1"/>
  <c r="H49" i="25" s="1"/>
  <c r="H51" i="25" s="1"/>
  <c r="G25" i="25"/>
  <c r="G41" i="25" s="1"/>
  <c r="G49" i="25" s="1"/>
  <c r="G51" i="25" s="1"/>
  <c r="F25" i="25"/>
  <c r="E25" i="25"/>
  <c r="E41" i="25" s="1"/>
  <c r="E49" i="25" s="1"/>
  <c r="D25" i="25"/>
  <c r="D41" i="25" s="1"/>
  <c r="I24" i="25"/>
  <c r="F24" i="25"/>
  <c r="I23" i="25"/>
  <c r="F22" i="25"/>
  <c r="F26" i="25" s="1"/>
  <c r="I21" i="25"/>
  <c r="H20" i="25"/>
  <c r="G20" i="25"/>
  <c r="F20" i="25"/>
  <c r="E20" i="25"/>
  <c r="D20" i="25"/>
  <c r="I19" i="25"/>
  <c r="H18" i="25"/>
  <c r="F18" i="25"/>
  <c r="I18" i="25" s="1"/>
  <c r="I17" i="25"/>
  <c r="G16" i="25"/>
  <c r="F16" i="25"/>
  <c r="E16" i="25"/>
  <c r="D16" i="25"/>
  <c r="F15" i="25"/>
  <c r="H14" i="25"/>
  <c r="G14" i="25"/>
  <c r="F14" i="25"/>
  <c r="E14" i="25"/>
  <c r="D14" i="25"/>
  <c r="I13" i="25"/>
  <c r="H12" i="25"/>
  <c r="F12" i="25"/>
  <c r="E12" i="25"/>
  <c r="D12" i="25"/>
  <c r="I12" i="25" s="1"/>
  <c r="I11" i="25"/>
  <c r="H10" i="25"/>
  <c r="G10" i="25"/>
  <c r="F10" i="25"/>
  <c r="E10" i="25"/>
  <c r="D10" i="25"/>
  <c r="I9" i="25"/>
  <c r="I8" i="25"/>
  <c r="G8" i="25"/>
  <c r="F8" i="25"/>
  <c r="I7" i="25"/>
  <c r="H6" i="25"/>
  <c r="G6" i="25"/>
  <c r="F6" i="25"/>
  <c r="E6" i="25"/>
  <c r="D6" i="25"/>
  <c r="I5" i="25"/>
  <c r="Q59" i="24"/>
  <c r="Q58" i="24"/>
  <c r="Q57" i="24"/>
  <c r="Q56" i="24"/>
  <c r="Q55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O53" i="24"/>
  <c r="N53" i="24"/>
  <c r="M53" i="24"/>
  <c r="L53" i="24"/>
  <c r="K53" i="24"/>
  <c r="J53" i="24"/>
  <c r="H53" i="24"/>
  <c r="G53" i="24"/>
  <c r="F53" i="24"/>
  <c r="E53" i="24"/>
  <c r="D53" i="24"/>
  <c r="K48" i="24"/>
  <c r="Q48" i="24" s="1"/>
  <c r="Q47" i="24"/>
  <c r="Q46" i="24"/>
  <c r="Q45" i="24"/>
  <c r="K44" i="24"/>
  <c r="H44" i="24"/>
  <c r="E44" i="24"/>
  <c r="Q43" i="24"/>
  <c r="R43" i="24"/>
  <c r="Q40" i="24"/>
  <c r="Q39" i="24"/>
  <c r="Q38" i="24"/>
  <c r="R38" i="24"/>
  <c r="Q37" i="24"/>
  <c r="Q36" i="24"/>
  <c r="Q35" i="24"/>
  <c r="R35" i="24"/>
  <c r="Q34" i="24"/>
  <c r="Q33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O31" i="24"/>
  <c r="N31" i="24"/>
  <c r="M31" i="24"/>
  <c r="L31" i="24"/>
  <c r="K31" i="24"/>
  <c r="J31" i="24"/>
  <c r="H31" i="24"/>
  <c r="G31" i="24"/>
  <c r="F31" i="24"/>
  <c r="E31" i="24"/>
  <c r="D31" i="24"/>
  <c r="Q30" i="24"/>
  <c r="R30" i="24"/>
  <c r="Q29" i="24"/>
  <c r="R29" i="24"/>
  <c r="Q28" i="24"/>
  <c r="P32" i="24"/>
  <c r="Q27" i="24"/>
  <c r="O26" i="24"/>
  <c r="O42" i="24" s="1"/>
  <c r="O50" i="24" s="1"/>
  <c r="O52" i="24" s="1"/>
  <c r="N26" i="24"/>
  <c r="N42" i="24" s="1"/>
  <c r="N50" i="24" s="1"/>
  <c r="M26" i="24"/>
  <c r="L26" i="24"/>
  <c r="K26" i="24"/>
  <c r="K42" i="24" s="1"/>
  <c r="K50" i="24" s="1"/>
  <c r="K52" i="24" s="1"/>
  <c r="J26" i="24"/>
  <c r="J42" i="24" s="1"/>
  <c r="J50" i="24" s="1"/>
  <c r="I26" i="24"/>
  <c r="H26" i="24"/>
  <c r="H42" i="24" s="1"/>
  <c r="G26" i="24"/>
  <c r="G42" i="24" s="1"/>
  <c r="G50" i="24" s="1"/>
  <c r="G52" i="24" s="1"/>
  <c r="F26" i="24"/>
  <c r="F42" i="24" s="1"/>
  <c r="F50" i="24" s="1"/>
  <c r="E26" i="24"/>
  <c r="D26" i="24"/>
  <c r="O25" i="24"/>
  <c r="O41" i="24" s="1"/>
  <c r="O49" i="24" s="1"/>
  <c r="O51" i="24" s="1"/>
  <c r="N25" i="24"/>
  <c r="N41" i="24" s="1"/>
  <c r="N49" i="24" s="1"/>
  <c r="M25" i="24"/>
  <c r="L25" i="24"/>
  <c r="K25" i="24"/>
  <c r="K41" i="24" s="1"/>
  <c r="K49" i="24" s="1"/>
  <c r="K51" i="24" s="1"/>
  <c r="J25" i="24"/>
  <c r="J41" i="24" s="1"/>
  <c r="J49" i="24" s="1"/>
  <c r="H25" i="24"/>
  <c r="G25" i="24"/>
  <c r="F25" i="24"/>
  <c r="F41" i="24" s="1"/>
  <c r="F49" i="24" s="1"/>
  <c r="F51" i="24" s="1"/>
  <c r="E25" i="24"/>
  <c r="E41" i="24" s="1"/>
  <c r="E49" i="24" s="1"/>
  <c r="E51" i="24" s="1"/>
  <c r="D25" i="24"/>
  <c r="Q24" i="24"/>
  <c r="R24" i="24"/>
  <c r="Q23" i="24"/>
  <c r="Q22" i="24"/>
  <c r="Q21" i="24"/>
  <c r="Q20" i="24"/>
  <c r="R20" i="24"/>
  <c r="Q19" i="24"/>
  <c r="Q18" i="24"/>
  <c r="Q17" i="24"/>
  <c r="R17" i="24"/>
  <c r="Q16" i="24"/>
  <c r="Q15" i="24"/>
  <c r="R15" i="24"/>
  <c r="Q14" i="24"/>
  <c r="Q13" i="24"/>
  <c r="R13" i="24"/>
  <c r="Q12" i="24"/>
  <c r="Q11" i="24"/>
  <c r="Q10" i="24"/>
  <c r="Q9" i="24"/>
  <c r="R9" i="24"/>
  <c r="Q8" i="24"/>
  <c r="Q7" i="24"/>
  <c r="Q6" i="24"/>
  <c r="Q5" i="24"/>
  <c r="Q26" i="24" l="1"/>
  <c r="H50" i="24"/>
  <c r="H52" i="24" s="1"/>
  <c r="D42" i="24"/>
  <c r="L42" i="24"/>
  <c r="L50" i="24" s="1"/>
  <c r="L52" i="24" s="1"/>
  <c r="R34" i="24"/>
  <c r="R46" i="24"/>
  <c r="R48" i="24"/>
  <c r="R6" i="24"/>
  <c r="R8" i="24"/>
  <c r="R14" i="24"/>
  <c r="R21" i="24"/>
  <c r="R23" i="24"/>
  <c r="E51" i="25"/>
  <c r="I44" i="25"/>
  <c r="R16" i="24"/>
  <c r="J51" i="24"/>
  <c r="N51" i="24"/>
  <c r="R28" i="24"/>
  <c r="F41" i="25"/>
  <c r="R27" i="24"/>
  <c r="R12" i="24"/>
  <c r="R37" i="24"/>
  <c r="R7" i="24"/>
  <c r="R47" i="24"/>
  <c r="I48" i="25"/>
  <c r="R11" i="24"/>
  <c r="R18" i="24"/>
  <c r="R33" i="24"/>
  <c r="Q54" i="24"/>
  <c r="I10" i="25"/>
  <c r="H50" i="25"/>
  <c r="H52" i="25" s="1"/>
  <c r="I14" i="25"/>
  <c r="F49" i="25"/>
  <c r="F51" i="25" s="1"/>
  <c r="R19" i="24"/>
  <c r="I53" i="25"/>
  <c r="R5" i="24"/>
  <c r="R10" i="24"/>
  <c r="D41" i="24"/>
  <c r="H41" i="24"/>
  <c r="H49" i="24" s="1"/>
  <c r="H51" i="24" s="1"/>
  <c r="M41" i="24"/>
  <c r="M49" i="24" s="1"/>
  <c r="M51" i="24" s="1"/>
  <c r="E42" i="24"/>
  <c r="E50" i="24" s="1"/>
  <c r="E52" i="24" s="1"/>
  <c r="I42" i="24"/>
  <c r="I50" i="24" s="1"/>
  <c r="I52" i="24" s="1"/>
  <c r="M42" i="24"/>
  <c r="M50" i="24" s="1"/>
  <c r="M52" i="24" s="1"/>
  <c r="R45" i="24"/>
  <c r="Q53" i="24"/>
  <c r="I16" i="25"/>
  <c r="I20" i="25"/>
  <c r="E42" i="25"/>
  <c r="E50" i="25" s="1"/>
  <c r="E52" i="25" s="1"/>
  <c r="F32" i="25"/>
  <c r="F42" i="25" s="1"/>
  <c r="I31" i="25"/>
  <c r="I46" i="25"/>
  <c r="G50" i="25"/>
  <c r="G52" i="25" s="1"/>
  <c r="I41" i="25"/>
  <c r="D49" i="25"/>
  <c r="I32" i="25"/>
  <c r="I54" i="25"/>
  <c r="I6" i="25"/>
  <c r="I26" i="25"/>
  <c r="I22" i="25"/>
  <c r="I40" i="25"/>
  <c r="I15" i="25"/>
  <c r="I25" i="25"/>
  <c r="D50" i="25"/>
  <c r="I28" i="25"/>
  <c r="D50" i="24"/>
  <c r="P26" i="24"/>
  <c r="R22" i="24"/>
  <c r="D49" i="24"/>
  <c r="Q25" i="24"/>
  <c r="P31" i="24"/>
  <c r="Q31" i="24"/>
  <c r="R32" i="24"/>
  <c r="P54" i="24"/>
  <c r="R54" i="24" s="1"/>
  <c r="R40" i="24"/>
  <c r="Q32" i="24"/>
  <c r="G41" i="24"/>
  <c r="G49" i="24" s="1"/>
  <c r="G51" i="24" s="1"/>
  <c r="L41" i="24"/>
  <c r="L49" i="24" s="1"/>
  <c r="L51" i="24" s="1"/>
  <c r="P25" i="24"/>
  <c r="F52" i="24"/>
  <c r="J52" i="24"/>
  <c r="N52" i="24"/>
  <c r="R36" i="24"/>
  <c r="P53" i="24"/>
  <c r="R39" i="24"/>
  <c r="Q44" i="24"/>
  <c r="R44" i="24" s="1"/>
  <c r="R31" i="24" l="1"/>
  <c r="I42" i="25"/>
  <c r="F50" i="25"/>
  <c r="F52" i="25" s="1"/>
  <c r="Q42" i="24"/>
  <c r="R53" i="24"/>
  <c r="D52" i="25"/>
  <c r="I49" i="25"/>
  <c r="D51" i="25"/>
  <c r="I51" i="25" s="1"/>
  <c r="P41" i="24"/>
  <c r="R25" i="24"/>
  <c r="D51" i="24"/>
  <c r="Q51" i="24" s="1"/>
  <c r="Q49" i="24"/>
  <c r="D52" i="24"/>
  <c r="Q52" i="24" s="1"/>
  <c r="Q50" i="24"/>
  <c r="Q41" i="24"/>
  <c r="R26" i="24"/>
  <c r="P42" i="24"/>
  <c r="I52" i="25" l="1"/>
  <c r="I50" i="25"/>
  <c r="R42" i="24"/>
  <c r="P50" i="24"/>
  <c r="R41" i="24"/>
  <c r="P49" i="24"/>
  <c r="R50" i="24" l="1"/>
  <c r="P52" i="24"/>
  <c r="R52" i="24" s="1"/>
  <c r="R49" i="24"/>
  <c r="P51" i="24"/>
  <c r="R51" i="24" s="1"/>
  <c r="R132" i="5" l="1"/>
  <c r="Q132" i="5"/>
  <c r="P132" i="5"/>
  <c r="O132" i="5"/>
  <c r="N132" i="5"/>
  <c r="M132" i="5"/>
  <c r="L132" i="5"/>
  <c r="K132" i="5"/>
  <c r="J132" i="5"/>
  <c r="I132" i="5"/>
  <c r="H132" i="5"/>
  <c r="G132" i="5"/>
  <c r="E132" i="5"/>
  <c r="E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E138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E137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E135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E134" i="5"/>
  <c r="E133" i="5"/>
  <c r="E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28" i="5"/>
  <c r="F130" i="5"/>
  <c r="F129" i="5"/>
  <c r="F127" i="5"/>
  <c r="F126" i="5"/>
  <c r="F125" i="5"/>
  <c r="F114" i="5"/>
  <c r="F113" i="5"/>
  <c r="F102" i="5"/>
  <c r="F96" i="5"/>
  <c r="F95" i="5"/>
  <c r="F94" i="5"/>
  <c r="F93" i="5"/>
  <c r="F92" i="5"/>
  <c r="F91" i="5"/>
  <c r="F82" i="5"/>
  <c r="F81" i="5"/>
  <c r="F8" i="5"/>
  <c r="F124" i="5"/>
  <c r="F122" i="5"/>
  <c r="F120" i="5"/>
  <c r="F118" i="5"/>
  <c r="F116" i="5"/>
  <c r="F115" i="5"/>
  <c r="F112" i="5"/>
  <c r="F110" i="5"/>
  <c r="F108" i="5"/>
  <c r="F106" i="5"/>
  <c r="F104" i="5"/>
  <c r="F100" i="5"/>
  <c r="F98" i="5"/>
  <c r="F90" i="5"/>
  <c r="F86" i="5"/>
  <c r="F88" i="5"/>
  <c r="F84" i="5"/>
  <c r="F80" i="5"/>
  <c r="F78" i="5"/>
  <c r="F76" i="5"/>
  <c r="F74" i="5"/>
  <c r="F72" i="5"/>
  <c r="F70" i="5"/>
  <c r="F68" i="5"/>
  <c r="F66" i="5"/>
  <c r="F64" i="5"/>
  <c r="F62" i="5"/>
  <c r="F60" i="5"/>
  <c r="F58" i="5"/>
  <c r="F56" i="5"/>
  <c r="F54" i="5"/>
  <c r="F52" i="5"/>
  <c r="F50" i="5"/>
  <c r="F48" i="5"/>
  <c r="F46" i="5"/>
  <c r="F44" i="5"/>
  <c r="F42" i="5"/>
  <c r="F40" i="5"/>
  <c r="F38" i="5"/>
  <c r="F36" i="5"/>
  <c r="F34" i="5"/>
  <c r="F32" i="5"/>
  <c r="F30" i="5"/>
  <c r="F28" i="5"/>
  <c r="F26" i="5"/>
  <c r="F24" i="5"/>
  <c r="F22" i="5"/>
  <c r="F20" i="5"/>
  <c r="F18" i="5"/>
  <c r="F16" i="5"/>
  <c r="F14" i="5"/>
  <c r="F12" i="5"/>
  <c r="F10" i="5"/>
  <c r="F6" i="5"/>
  <c r="F138" i="5" l="1"/>
  <c r="F136" i="5"/>
  <c r="F132" i="5"/>
  <c r="F134" i="5"/>
  <c r="R56" i="6"/>
  <c r="Q56" i="6"/>
  <c r="P56" i="6"/>
  <c r="O56" i="6"/>
  <c r="N56" i="6"/>
  <c r="L56" i="6"/>
  <c r="K56" i="6"/>
  <c r="J56" i="6"/>
  <c r="R55" i="6"/>
  <c r="Q55" i="6"/>
  <c r="P55" i="6"/>
  <c r="O55" i="6"/>
  <c r="N55" i="6"/>
  <c r="M55" i="6"/>
  <c r="L55" i="6"/>
  <c r="K55" i="6"/>
  <c r="J55" i="6"/>
  <c r="I55" i="6"/>
  <c r="H55" i="6"/>
  <c r="G55" i="6"/>
  <c r="E55" i="6"/>
  <c r="R54" i="6"/>
  <c r="Q54" i="6"/>
  <c r="P54" i="6"/>
  <c r="O54" i="6"/>
  <c r="N54" i="6"/>
  <c r="M54" i="6"/>
  <c r="L54" i="6"/>
  <c r="K54" i="6"/>
  <c r="J54" i="6"/>
  <c r="R53" i="6"/>
  <c r="Q53" i="6"/>
  <c r="P53" i="6"/>
  <c r="O53" i="6"/>
  <c r="N53" i="6"/>
  <c r="M53" i="6"/>
  <c r="L53" i="6"/>
  <c r="K53" i="6"/>
  <c r="J53" i="6"/>
  <c r="I53" i="6"/>
  <c r="H53" i="6"/>
  <c r="G53" i="6"/>
  <c r="E53" i="6"/>
  <c r="R46" i="6"/>
  <c r="Q46" i="6"/>
  <c r="P46" i="6"/>
  <c r="O46" i="6"/>
  <c r="N46" i="6"/>
  <c r="M46" i="6"/>
  <c r="L46" i="6"/>
  <c r="K46" i="6"/>
  <c r="J46" i="6"/>
  <c r="I46" i="6"/>
  <c r="R45" i="6"/>
  <c r="Q45" i="6"/>
  <c r="P45" i="6"/>
  <c r="O45" i="6"/>
  <c r="N45" i="6"/>
  <c r="M45" i="6"/>
  <c r="L45" i="6"/>
  <c r="K45" i="6"/>
  <c r="J45" i="6"/>
  <c r="I45" i="6"/>
  <c r="H45" i="6"/>
  <c r="G45" i="6"/>
  <c r="E45" i="6"/>
  <c r="H44" i="6"/>
  <c r="G44" i="6"/>
  <c r="G46" i="6" s="1"/>
  <c r="E44" i="6"/>
  <c r="E46" i="6" s="1"/>
  <c r="F43" i="6"/>
  <c r="F45" i="6" s="1"/>
  <c r="R41" i="6"/>
  <c r="Q41" i="6"/>
  <c r="P41" i="6"/>
  <c r="O41" i="6"/>
  <c r="N41" i="6"/>
  <c r="M41" i="6"/>
  <c r="L41" i="6"/>
  <c r="K41" i="6"/>
  <c r="J41" i="6"/>
  <c r="I41" i="6"/>
  <c r="R40" i="6"/>
  <c r="Q40" i="6"/>
  <c r="P40" i="6"/>
  <c r="O40" i="6"/>
  <c r="N40" i="6"/>
  <c r="M40" i="6"/>
  <c r="L40" i="6"/>
  <c r="K40" i="6"/>
  <c r="J40" i="6"/>
  <c r="I40" i="6"/>
  <c r="H40" i="6"/>
  <c r="G40" i="6"/>
  <c r="E40" i="6"/>
  <c r="H39" i="6"/>
  <c r="H41" i="6" s="1"/>
  <c r="G39" i="6"/>
  <c r="G41" i="6" s="1"/>
  <c r="E39" i="6"/>
  <c r="E41" i="6" s="1"/>
  <c r="F38" i="6"/>
  <c r="F40" i="6" s="1"/>
  <c r="R36" i="6"/>
  <c r="Q36" i="6"/>
  <c r="P36" i="6"/>
  <c r="O36" i="6"/>
  <c r="N36" i="6"/>
  <c r="L36" i="6"/>
  <c r="K36" i="6"/>
  <c r="J36" i="6"/>
  <c r="I36" i="6"/>
  <c r="H36" i="6"/>
  <c r="G36" i="6"/>
  <c r="R35" i="6"/>
  <c r="Q35" i="6"/>
  <c r="P35" i="6"/>
  <c r="O35" i="6"/>
  <c r="O47" i="6" s="1"/>
  <c r="N35" i="6"/>
  <c r="M35" i="6"/>
  <c r="L35" i="6"/>
  <c r="K35" i="6"/>
  <c r="K47" i="6" s="1"/>
  <c r="J35" i="6"/>
  <c r="I35" i="6"/>
  <c r="H35" i="6"/>
  <c r="G35" i="6"/>
  <c r="G47" i="6" s="1"/>
  <c r="E35" i="6"/>
  <c r="M34" i="6"/>
  <c r="F34" i="6" s="1"/>
  <c r="F36" i="6" s="1"/>
  <c r="E34" i="6"/>
  <c r="E36" i="6" s="1"/>
  <c r="F33" i="6"/>
  <c r="F35" i="6" s="1"/>
  <c r="R31" i="6"/>
  <c r="Q31" i="6"/>
  <c r="P31" i="6"/>
  <c r="O31" i="6"/>
  <c r="N31" i="6"/>
  <c r="L31" i="6"/>
  <c r="K31" i="6"/>
  <c r="J31" i="6"/>
  <c r="R30" i="6"/>
  <c r="Q30" i="6"/>
  <c r="P30" i="6"/>
  <c r="O30" i="6"/>
  <c r="N30" i="6"/>
  <c r="M30" i="6"/>
  <c r="L30" i="6"/>
  <c r="K30" i="6"/>
  <c r="J30" i="6"/>
  <c r="I30" i="6"/>
  <c r="H30" i="6"/>
  <c r="G30" i="6"/>
  <c r="E30" i="6"/>
  <c r="F29" i="6"/>
  <c r="F28" i="6"/>
  <c r="H27" i="6"/>
  <c r="H54" i="6" s="1"/>
  <c r="G27" i="6"/>
  <c r="E27" i="6"/>
  <c r="E54" i="6" s="1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I13" i="6"/>
  <c r="I54" i="6" s="1"/>
  <c r="F12" i="6"/>
  <c r="F11" i="6"/>
  <c r="F10" i="6"/>
  <c r="F9" i="6"/>
  <c r="F8" i="6"/>
  <c r="M7" i="6"/>
  <c r="M31" i="6" s="1"/>
  <c r="I7" i="6"/>
  <c r="I56" i="6" s="1"/>
  <c r="H7" i="6"/>
  <c r="G7" i="6"/>
  <c r="E7" i="6"/>
  <c r="F6" i="6"/>
  <c r="F44" i="6" l="1"/>
  <c r="F46" i="6" s="1"/>
  <c r="Q50" i="6"/>
  <c r="N48" i="6"/>
  <c r="R48" i="6"/>
  <c r="F27" i="6"/>
  <c r="Q49" i="6"/>
  <c r="M49" i="6"/>
  <c r="F30" i="6"/>
  <c r="E48" i="6"/>
  <c r="I49" i="6"/>
  <c r="J48" i="6"/>
  <c r="H46" i="6"/>
  <c r="H48" i="6" s="1"/>
  <c r="G54" i="6"/>
  <c r="G49" i="6"/>
  <c r="O49" i="6"/>
  <c r="H47" i="6"/>
  <c r="P47" i="6"/>
  <c r="L50" i="6"/>
  <c r="F7" i="6"/>
  <c r="F53" i="6"/>
  <c r="H49" i="6"/>
  <c r="L49" i="6"/>
  <c r="P49" i="6"/>
  <c r="J50" i="6"/>
  <c r="N50" i="6"/>
  <c r="R50" i="6"/>
  <c r="M56" i="6"/>
  <c r="F49" i="6"/>
  <c r="G48" i="6"/>
  <c r="E56" i="6"/>
  <c r="K49" i="6"/>
  <c r="I31" i="6"/>
  <c r="I50" i="6" s="1"/>
  <c r="L47" i="6"/>
  <c r="P50" i="6"/>
  <c r="E49" i="6"/>
  <c r="H31" i="6"/>
  <c r="F13" i="6"/>
  <c r="F54" i="6" s="1"/>
  <c r="F47" i="6"/>
  <c r="I48" i="6"/>
  <c r="M36" i="6"/>
  <c r="M48" i="6" s="1"/>
  <c r="Q48" i="6"/>
  <c r="F39" i="6"/>
  <c r="F41" i="6" s="1"/>
  <c r="F48" i="6" s="1"/>
  <c r="J49" i="6"/>
  <c r="N49" i="6"/>
  <c r="R49" i="6"/>
  <c r="K50" i="6"/>
  <c r="O50" i="6"/>
  <c r="F56" i="6"/>
  <c r="E31" i="6"/>
  <c r="E50" i="6" s="1"/>
  <c r="E47" i="6"/>
  <c r="I47" i="6"/>
  <c r="M47" i="6"/>
  <c r="Q47" i="6"/>
  <c r="K48" i="6"/>
  <c r="O48" i="6"/>
  <c r="G56" i="6"/>
  <c r="J47" i="6"/>
  <c r="N47" i="6"/>
  <c r="R47" i="6"/>
  <c r="L48" i="6"/>
  <c r="P48" i="6"/>
  <c r="F55" i="6"/>
  <c r="H56" i="6"/>
  <c r="G31" i="6"/>
  <c r="G50" i="6" s="1"/>
  <c r="F31" i="6" l="1"/>
  <c r="H50" i="6"/>
  <c r="F50" i="6"/>
  <c r="M50" i="6"/>
  <c r="E17" i="4"/>
  <c r="D17" i="4"/>
  <c r="E16" i="4"/>
  <c r="D16" i="4"/>
  <c r="B21" i="26" l="1"/>
  <c r="H25" i="26"/>
  <c r="G25" i="26"/>
  <c r="F25" i="26"/>
  <c r="E25" i="26"/>
  <c r="D25" i="26"/>
  <c r="C25" i="26"/>
  <c r="H21" i="26"/>
  <c r="G21" i="26"/>
  <c r="F21" i="26"/>
  <c r="E21" i="26"/>
  <c r="D21" i="26"/>
  <c r="C21" i="26"/>
  <c r="F20" i="16" l="1"/>
  <c r="H20" i="16"/>
  <c r="C20" i="16"/>
  <c r="L35" i="30"/>
  <c r="K35" i="30"/>
  <c r="J35" i="30"/>
  <c r="I35" i="30"/>
  <c r="H35" i="30"/>
  <c r="G35" i="30"/>
  <c r="F35" i="30"/>
  <c r="E35" i="30"/>
  <c r="C35" i="30"/>
  <c r="B35" i="30"/>
  <c r="N34" i="30"/>
  <c r="M34" i="30"/>
  <c r="N33" i="30"/>
  <c r="M33" i="30"/>
  <c r="N32" i="30"/>
  <c r="M32" i="30"/>
  <c r="N31" i="30"/>
  <c r="M31" i="30"/>
  <c r="N30" i="30"/>
  <c r="M30" i="30"/>
  <c r="N29" i="30"/>
  <c r="M29" i="30"/>
  <c r="N28" i="30"/>
  <c r="M28" i="30"/>
  <c r="N27" i="30"/>
  <c r="M27" i="30"/>
  <c r="N26" i="30"/>
  <c r="M26" i="30"/>
  <c r="N25" i="30"/>
  <c r="M25" i="30"/>
  <c r="N24" i="30"/>
  <c r="N35" i="30" s="1"/>
  <c r="M24" i="30"/>
  <c r="L14" i="30"/>
  <c r="E14" i="30"/>
  <c r="P13" i="30"/>
  <c r="P12" i="30"/>
  <c r="P11" i="30"/>
  <c r="N10" i="30"/>
  <c r="N14" i="30" s="1"/>
  <c r="M10" i="30"/>
  <c r="M14" i="30" s="1"/>
  <c r="J10" i="30"/>
  <c r="J14" i="30" s="1"/>
  <c r="I10" i="30"/>
  <c r="I14" i="30" s="1"/>
  <c r="H10" i="30"/>
  <c r="H14" i="30" s="1"/>
  <c r="G10" i="30"/>
  <c r="G14" i="30" s="1"/>
  <c r="F10" i="30"/>
  <c r="F14" i="30" s="1"/>
  <c r="E10" i="30"/>
  <c r="C10" i="30"/>
  <c r="C14" i="30" s="1"/>
  <c r="B10" i="30"/>
  <c r="B14" i="30" s="1"/>
  <c r="D46" i="3" s="1"/>
  <c r="P9" i="30"/>
  <c r="O9" i="30"/>
  <c r="P8" i="30"/>
  <c r="O8" i="30"/>
  <c r="P14" i="30" l="1"/>
  <c r="P10" i="30"/>
  <c r="O10" i="30"/>
  <c r="M35" i="30"/>
  <c r="P24" i="21"/>
  <c r="P23" i="21"/>
  <c r="P22" i="21"/>
  <c r="P13" i="21"/>
  <c r="P12" i="21"/>
  <c r="P7" i="21"/>
  <c r="G48" i="3" l="1"/>
  <c r="E48" i="3"/>
  <c r="C27" i="3"/>
  <c r="C28" i="3"/>
  <c r="E101" i="29"/>
  <c r="E102" i="29" s="1"/>
  <c r="E103" i="29" s="1"/>
  <c r="E104" i="29" s="1"/>
  <c r="E105" i="29" s="1"/>
  <c r="E106" i="29" s="1"/>
  <c r="E107" i="29" s="1"/>
  <c r="E108" i="29" s="1"/>
  <c r="I93" i="29"/>
  <c r="C7" i="3" s="1"/>
  <c r="G93" i="29"/>
  <c r="B7" i="3" s="1"/>
  <c r="F93" i="29"/>
  <c r="I90" i="29"/>
  <c r="H81" i="29"/>
  <c r="F80" i="29"/>
  <c r="G80" i="29" s="1"/>
  <c r="G81" i="29" s="1"/>
  <c r="G77" i="29"/>
  <c r="H76" i="29"/>
  <c r="I76" i="29" s="1"/>
  <c r="F76" i="29"/>
  <c r="H75" i="29"/>
  <c r="I75" i="29" s="1"/>
  <c r="H74" i="29"/>
  <c r="I74" i="29" s="1"/>
  <c r="F74" i="29"/>
  <c r="F77" i="29" s="1"/>
  <c r="I72" i="29"/>
  <c r="G72" i="29"/>
  <c r="H71" i="29"/>
  <c r="H72" i="29" s="1"/>
  <c r="F70" i="29"/>
  <c r="F72" i="29" s="1"/>
  <c r="G68" i="29"/>
  <c r="H67" i="29"/>
  <c r="I67" i="29" s="1"/>
  <c r="H66" i="29"/>
  <c r="I66" i="29" s="1"/>
  <c r="F66" i="29"/>
  <c r="H65" i="29"/>
  <c r="I65" i="29" s="1"/>
  <c r="F65" i="29"/>
  <c r="G63" i="29"/>
  <c r="F61" i="29"/>
  <c r="F60" i="29"/>
  <c r="F59" i="29"/>
  <c r="F58" i="29"/>
  <c r="E57" i="29"/>
  <c r="F57" i="29" s="1"/>
  <c r="E56" i="29"/>
  <c r="F56" i="29" s="1"/>
  <c r="E55" i="29"/>
  <c r="F55" i="29" s="1"/>
  <c r="E54" i="29"/>
  <c r="F54" i="29" s="1"/>
  <c r="E53" i="29"/>
  <c r="F53" i="29" s="1"/>
  <c r="H51" i="29"/>
  <c r="I51" i="29" s="1"/>
  <c r="E51" i="29"/>
  <c r="F51" i="29" s="1"/>
  <c r="I50" i="29"/>
  <c r="F50" i="29"/>
  <c r="H49" i="29"/>
  <c r="H63" i="29" s="1"/>
  <c r="F48" i="29"/>
  <c r="F47" i="29"/>
  <c r="F41" i="29"/>
  <c r="H40" i="29"/>
  <c r="F40" i="29"/>
  <c r="G38" i="29"/>
  <c r="H37" i="29"/>
  <c r="I37" i="29" s="1"/>
  <c r="F37" i="29"/>
  <c r="H36" i="29"/>
  <c r="I36" i="29" s="1"/>
  <c r="F36" i="29"/>
  <c r="G34" i="29"/>
  <c r="H33" i="29"/>
  <c r="I33" i="29" s="1"/>
  <c r="F33" i="29"/>
  <c r="H32" i="29"/>
  <c r="I32" i="29" s="1"/>
  <c r="F32" i="29"/>
  <c r="F34" i="29" s="1"/>
  <c r="F26" i="29"/>
  <c r="F24" i="29"/>
  <c r="F22" i="29"/>
  <c r="I21" i="29"/>
  <c r="H21" i="29"/>
  <c r="G21" i="29"/>
  <c r="C19" i="29"/>
  <c r="C17" i="29"/>
  <c r="F13" i="29"/>
  <c r="F21" i="29" s="1"/>
  <c r="I10" i="29"/>
  <c r="I29" i="29" s="1"/>
  <c r="G10" i="29"/>
  <c r="G12" i="29" s="1"/>
  <c r="H9" i="29"/>
  <c r="H10" i="29" s="1"/>
  <c r="F9" i="29"/>
  <c r="F8" i="29"/>
  <c r="I68" i="29" l="1"/>
  <c r="F49" i="29"/>
  <c r="F10" i="29"/>
  <c r="F30" i="29"/>
  <c r="G42" i="29"/>
  <c r="I34" i="29"/>
  <c r="F42" i="29"/>
  <c r="G30" i="29"/>
  <c r="G78" i="29"/>
  <c r="F38" i="29"/>
  <c r="G29" i="29"/>
  <c r="H34" i="29"/>
  <c r="I38" i="29"/>
  <c r="H68" i="29"/>
  <c r="F81" i="29"/>
  <c r="H12" i="29"/>
  <c r="H29" i="29"/>
  <c r="F63" i="29"/>
  <c r="F78" i="29" s="1"/>
  <c r="I12" i="29"/>
  <c r="H38" i="29"/>
  <c r="H42" i="29" s="1"/>
  <c r="F12" i="29"/>
  <c r="I49" i="29"/>
  <c r="I63" i="29" s="1"/>
  <c r="H77" i="29"/>
  <c r="H78" i="29" s="1"/>
  <c r="F29" i="29"/>
  <c r="H83" i="29" l="1"/>
  <c r="G83" i="29"/>
  <c r="F83" i="29"/>
  <c r="F94" i="29" s="1"/>
  <c r="I78" i="29"/>
  <c r="I83" i="29" s="1"/>
  <c r="G94" i="29" l="1"/>
  <c r="B6" i="3"/>
  <c r="I94" i="29"/>
  <c r="E32" i="4"/>
  <c r="G32" i="4"/>
  <c r="I32" i="4"/>
  <c r="I24" i="4" l="1"/>
  <c r="I21" i="4" s="1"/>
  <c r="G15" i="4"/>
  <c r="G10" i="4" s="1"/>
  <c r="I15" i="4"/>
  <c r="I10" i="4" s="1"/>
  <c r="I27" i="4" s="1"/>
  <c r="I33" i="4" s="1"/>
  <c r="G39" i="3"/>
  <c r="G36" i="3"/>
  <c r="G33" i="3"/>
  <c r="G24" i="3"/>
  <c r="G17" i="3"/>
  <c r="G13" i="3" s="1"/>
  <c r="G8" i="3"/>
  <c r="G5" i="3"/>
  <c r="E39" i="3"/>
  <c r="E36" i="3"/>
  <c r="E33" i="3"/>
  <c r="E24" i="3"/>
  <c r="E13" i="3"/>
  <c r="E5" i="3"/>
  <c r="C14" i="3"/>
  <c r="C17" i="3"/>
  <c r="C24" i="3"/>
  <c r="C33" i="3"/>
  <c r="G24" i="4"/>
  <c r="C81" i="10"/>
  <c r="B81" i="10"/>
  <c r="C73" i="10"/>
  <c r="B73" i="10"/>
  <c r="C70" i="10"/>
  <c r="B70" i="10"/>
  <c r="C66" i="10"/>
  <c r="B66" i="10"/>
  <c r="C63" i="10"/>
  <c r="B63" i="10"/>
  <c r="C59" i="10"/>
  <c r="B59" i="10"/>
  <c r="C56" i="10"/>
  <c r="B56" i="10"/>
  <c r="C53" i="10"/>
  <c r="B53" i="10"/>
  <c r="C50" i="10"/>
  <c r="B50" i="10"/>
  <c r="C47" i="10"/>
  <c r="B47" i="10"/>
  <c r="C45" i="10" l="1"/>
  <c r="G42" i="3"/>
  <c r="G49" i="3" s="1"/>
  <c r="C13" i="3"/>
  <c r="C13" i="14" l="1"/>
  <c r="C8" i="14"/>
  <c r="F10" i="15"/>
  <c r="F13" i="15" s="1"/>
  <c r="F16" i="15" s="1"/>
  <c r="F19" i="15" s="1"/>
  <c r="F22" i="15" s="1"/>
  <c r="F25" i="15" s="1"/>
  <c r="C13" i="19"/>
  <c r="C7" i="19"/>
  <c r="L30" i="28"/>
  <c r="J30" i="28"/>
  <c r="K30" i="28"/>
  <c r="I30" i="28"/>
  <c r="G30" i="28"/>
  <c r="H29" i="28"/>
  <c r="H28" i="28"/>
  <c r="H27" i="28"/>
  <c r="E25" i="28"/>
  <c r="H25" i="28" s="1"/>
  <c r="E24" i="28"/>
  <c r="H24" i="28" s="1"/>
  <c r="E23" i="28"/>
  <c r="H23" i="28" s="1"/>
  <c r="E22" i="28"/>
  <c r="H22" i="28" s="1"/>
  <c r="E20" i="28"/>
  <c r="H20" i="28" s="1"/>
  <c r="E19" i="28"/>
  <c r="H19" i="28" s="1"/>
  <c r="E18" i="28"/>
  <c r="H18" i="28" s="1"/>
  <c r="E17" i="28"/>
  <c r="H17" i="28" s="1"/>
  <c r="E16" i="28"/>
  <c r="H16" i="28" s="1"/>
  <c r="E15" i="28"/>
  <c r="H15" i="28" s="1"/>
  <c r="E14" i="28"/>
  <c r="H14" i="28" s="1"/>
  <c r="F13" i="28"/>
  <c r="F30" i="28" s="1"/>
  <c r="E13" i="28"/>
  <c r="H13" i="28" s="1"/>
  <c r="E9" i="28"/>
  <c r="H9" i="28" s="1"/>
  <c r="E8" i="28"/>
  <c r="H8" i="28" s="1"/>
  <c r="E7" i="28"/>
  <c r="H7" i="28" s="1"/>
  <c r="E6" i="28"/>
  <c r="H6" i="28" s="1"/>
  <c r="E5" i="28"/>
  <c r="H5" i="28" s="1"/>
  <c r="H30" i="28" l="1"/>
  <c r="E30" i="28"/>
  <c r="C58" i="12" l="1"/>
  <c r="C6" i="12"/>
  <c r="C11" i="12"/>
  <c r="C53" i="12"/>
  <c r="C12" i="13"/>
  <c r="C10" i="3" s="1"/>
  <c r="C70" i="13"/>
  <c r="C40" i="3" s="1"/>
  <c r="C62" i="13"/>
  <c r="C41" i="3" s="1"/>
  <c r="C50" i="13"/>
  <c r="C12" i="3" s="1"/>
  <c r="C11" i="3" s="1"/>
  <c r="C40" i="13"/>
  <c r="C29" i="13"/>
  <c r="C38" i="3" s="1"/>
  <c r="C7" i="13"/>
  <c r="C9" i="3" s="1"/>
  <c r="C8" i="3" s="1"/>
  <c r="C39" i="3" l="1"/>
  <c r="C68" i="13"/>
  <c r="C38" i="13"/>
  <c r="C63" i="2" l="1"/>
  <c r="C62" i="2" s="1"/>
  <c r="I47" i="3"/>
  <c r="C51" i="1" s="1"/>
  <c r="C57" i="1" s="1"/>
  <c r="I46" i="3"/>
  <c r="C50" i="1" s="1"/>
  <c r="I45" i="3"/>
  <c r="C49" i="1" s="1"/>
  <c r="I44" i="3"/>
  <c r="C38" i="2" s="1"/>
  <c r="I41" i="3"/>
  <c r="C60" i="2" s="1"/>
  <c r="I40" i="3"/>
  <c r="C59" i="2" s="1"/>
  <c r="I39" i="3"/>
  <c r="I38" i="3"/>
  <c r="C37" i="1" s="1"/>
  <c r="I35" i="3"/>
  <c r="C33" i="1" s="1"/>
  <c r="I34" i="3"/>
  <c r="C32" i="1" s="1"/>
  <c r="I33" i="3"/>
  <c r="I32" i="3"/>
  <c r="C29" i="1" s="1"/>
  <c r="I31" i="3"/>
  <c r="C25" i="2" s="1"/>
  <c r="I30" i="3"/>
  <c r="C27" i="1" s="1"/>
  <c r="I29" i="3"/>
  <c r="C26" i="1" s="1"/>
  <c r="I28" i="3"/>
  <c r="C25" i="1" s="1"/>
  <c r="I27" i="3"/>
  <c r="C24" i="1" s="1"/>
  <c r="I26" i="3"/>
  <c r="C23" i="1" s="1"/>
  <c r="I25" i="3"/>
  <c r="C22" i="1" s="1"/>
  <c r="I24" i="3"/>
  <c r="I23" i="3"/>
  <c r="C19" i="1" s="1"/>
  <c r="I22" i="3"/>
  <c r="C18" i="1" s="1"/>
  <c r="I21" i="3"/>
  <c r="C17" i="1" s="1"/>
  <c r="I20" i="3"/>
  <c r="I19" i="3"/>
  <c r="I18" i="3"/>
  <c r="I17" i="3"/>
  <c r="C16" i="1" s="1"/>
  <c r="I16" i="3"/>
  <c r="I15" i="3"/>
  <c r="I14" i="3"/>
  <c r="C12" i="2" s="1"/>
  <c r="I13" i="3"/>
  <c r="I12" i="3"/>
  <c r="C56" i="2" s="1"/>
  <c r="I11" i="3"/>
  <c r="I9" i="3"/>
  <c r="C8" i="2" s="1"/>
  <c r="I7" i="3"/>
  <c r="K32" i="4"/>
  <c r="K31" i="4"/>
  <c r="G51" i="1" s="1"/>
  <c r="G57" i="1" s="1"/>
  <c r="K30" i="4"/>
  <c r="G49" i="1" s="1"/>
  <c r="K29" i="4"/>
  <c r="G38" i="2" s="1"/>
  <c r="K28" i="4"/>
  <c r="G47" i="1" s="1"/>
  <c r="K16" i="4"/>
  <c r="G19" i="1" s="1"/>
  <c r="K12" i="4"/>
  <c r="G15" i="2" s="1"/>
  <c r="K11" i="4"/>
  <c r="G14" i="1" s="1"/>
  <c r="K8" i="4"/>
  <c r="G9" i="1" s="1"/>
  <c r="K7" i="4"/>
  <c r="G7" i="1" s="1"/>
  <c r="K6" i="4"/>
  <c r="G5" i="1" s="1"/>
  <c r="C58" i="2" l="1"/>
  <c r="G39" i="2"/>
  <c r="C39" i="2" s="1"/>
  <c r="G14" i="2"/>
  <c r="G7" i="2"/>
  <c r="G5" i="2"/>
  <c r="C53" i="2"/>
  <c r="C28" i="1"/>
  <c r="C21" i="1" s="1"/>
  <c r="C15" i="2"/>
  <c r="C15" i="1"/>
  <c r="C14" i="1" s="1"/>
  <c r="C16" i="2"/>
  <c r="C54" i="2"/>
  <c r="C52" i="2" s="1"/>
  <c r="C31" i="1"/>
  <c r="C21" i="2"/>
  <c r="C33" i="2"/>
  <c r="C41" i="1"/>
  <c r="G19" i="2"/>
  <c r="G15" i="1"/>
  <c r="C12" i="1"/>
  <c r="C11" i="1" s="1"/>
  <c r="C22" i="2"/>
  <c r="C13" i="2"/>
  <c r="C19" i="2"/>
  <c r="C23" i="2"/>
  <c r="G9" i="2"/>
  <c r="G40" i="2"/>
  <c r="G68" i="2"/>
  <c r="G72" i="2" s="1"/>
  <c r="C8" i="1"/>
  <c r="C48" i="1"/>
  <c r="G48" i="1"/>
  <c r="G53" i="1" s="1"/>
  <c r="C40" i="2"/>
  <c r="C14" i="2"/>
  <c r="C20" i="2"/>
  <c r="C24" i="2"/>
  <c r="C40" i="1"/>
  <c r="C26" i="2"/>
  <c r="G42" i="2" l="1"/>
  <c r="C39" i="1"/>
  <c r="F15" i="4" l="1"/>
  <c r="F10" i="4" s="1"/>
  <c r="F24" i="4"/>
  <c r="F32" i="4"/>
  <c r="C80" i="27" l="1"/>
  <c r="C65" i="27"/>
  <c r="C23" i="27"/>
  <c r="C6" i="27"/>
  <c r="C41" i="10"/>
  <c r="C9" i="10"/>
  <c r="C6" i="10"/>
  <c r="C17" i="11"/>
  <c r="C13" i="11"/>
  <c r="C75" i="12"/>
  <c r="C65" i="12"/>
  <c r="C67" i="12" s="1"/>
  <c r="E22" i="4" s="1"/>
  <c r="C46" i="12"/>
  <c r="C49" i="12" s="1"/>
  <c r="E13" i="4" s="1"/>
  <c r="K13" i="4" s="1"/>
  <c r="C44" i="12"/>
  <c r="E14" i="4" s="1"/>
  <c r="K14" i="4" s="1"/>
  <c r="C101" i="13"/>
  <c r="C98" i="13"/>
  <c r="C95" i="13"/>
  <c r="C85" i="13"/>
  <c r="C83" i="13" s="1"/>
  <c r="C88" i="13" s="1"/>
  <c r="C75" i="13"/>
  <c r="C46" i="13"/>
  <c r="C37" i="3" s="1"/>
  <c r="C40" i="14"/>
  <c r="C27" i="14"/>
  <c r="C14" i="14"/>
  <c r="C20" i="14" s="1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I8" i="15"/>
  <c r="I9" i="15"/>
  <c r="I11" i="15"/>
  <c r="I12" i="15"/>
  <c r="I14" i="15"/>
  <c r="I15" i="15"/>
  <c r="I17" i="15"/>
  <c r="I18" i="15"/>
  <c r="I20" i="15"/>
  <c r="I21" i="15"/>
  <c r="I23" i="15"/>
  <c r="I24" i="15"/>
  <c r="I26" i="15"/>
  <c r="I27" i="15"/>
  <c r="I7" i="15"/>
  <c r="H29" i="26"/>
  <c r="G29" i="26"/>
  <c r="F29" i="26"/>
  <c r="E29" i="26"/>
  <c r="D29" i="26"/>
  <c r="C29" i="26"/>
  <c r="B29" i="26"/>
  <c r="H7" i="26"/>
  <c r="H17" i="26" s="1"/>
  <c r="H19" i="26" s="1"/>
  <c r="G7" i="26"/>
  <c r="G17" i="26" s="1"/>
  <c r="G19" i="26" s="1"/>
  <c r="F7" i="26"/>
  <c r="F17" i="26" s="1"/>
  <c r="F19" i="26" s="1"/>
  <c r="E7" i="26"/>
  <c r="E17" i="26" s="1"/>
  <c r="E19" i="26" s="1"/>
  <c r="D7" i="26"/>
  <c r="D17" i="26" s="1"/>
  <c r="D19" i="26" s="1"/>
  <c r="C7" i="26"/>
  <c r="C17" i="26" s="1"/>
  <c r="C19" i="26" s="1"/>
  <c r="B7" i="26"/>
  <c r="B17" i="26" s="1"/>
  <c r="B19" i="26" s="1"/>
  <c r="G17" i="2" l="1"/>
  <c r="G17" i="1"/>
  <c r="G20" i="4"/>
  <c r="G16" i="1"/>
  <c r="G16" i="2"/>
  <c r="C36" i="3"/>
  <c r="I36" i="3" s="1"/>
  <c r="I37" i="3"/>
  <c r="C32" i="14"/>
  <c r="G31" i="26"/>
  <c r="C31" i="26"/>
  <c r="C78" i="12"/>
  <c r="G22" i="4"/>
  <c r="C51" i="12"/>
  <c r="C4" i="27"/>
  <c r="E19" i="4" s="1"/>
  <c r="C64" i="27"/>
  <c r="D31" i="26"/>
  <c r="H31" i="26"/>
  <c r="E31" i="26"/>
  <c r="B31" i="26"/>
  <c r="F31" i="26"/>
  <c r="C4" i="10"/>
  <c r="E20" i="4" s="1"/>
  <c r="K20" i="4" s="1"/>
  <c r="C19" i="11"/>
  <c r="E9" i="4" s="1"/>
  <c r="K9" i="4" s="1"/>
  <c r="C63" i="12"/>
  <c r="C90" i="13"/>
  <c r="C77" i="13"/>
  <c r="C48" i="13"/>
  <c r="C10" i="22"/>
  <c r="C43" i="3" s="1"/>
  <c r="P25" i="21"/>
  <c r="P21" i="21"/>
  <c r="P20" i="21"/>
  <c r="P19" i="21"/>
  <c r="P18" i="21"/>
  <c r="P17" i="21"/>
  <c r="P16" i="21"/>
  <c r="P15" i="21"/>
  <c r="P14" i="21"/>
  <c r="P11" i="21"/>
  <c r="P10" i="21"/>
  <c r="P9" i="21"/>
  <c r="P8" i="21"/>
  <c r="P6" i="21"/>
  <c r="O25" i="21"/>
  <c r="O21" i="21"/>
  <c r="O20" i="21"/>
  <c r="O19" i="21"/>
  <c r="O18" i="21"/>
  <c r="O17" i="21"/>
  <c r="O16" i="21"/>
  <c r="O15" i="21"/>
  <c r="O14" i="21"/>
  <c r="O11" i="21"/>
  <c r="O10" i="21"/>
  <c r="O9" i="21"/>
  <c r="O8" i="21"/>
  <c r="O6" i="21"/>
  <c r="N26" i="21"/>
  <c r="L26" i="21"/>
  <c r="J26" i="21"/>
  <c r="H26" i="21"/>
  <c r="F26" i="21"/>
  <c r="C26" i="21"/>
  <c r="C65" i="2"/>
  <c r="C27" i="19"/>
  <c r="E26" i="4" s="1"/>
  <c r="K26" i="4" s="1"/>
  <c r="C24" i="19"/>
  <c r="C19" i="19"/>
  <c r="C11" i="19"/>
  <c r="E18" i="4" s="1"/>
  <c r="K18" i="4" s="1"/>
  <c r="G21" i="2" l="1"/>
  <c r="G21" i="1"/>
  <c r="C36" i="1"/>
  <c r="C35" i="1" s="1"/>
  <c r="C32" i="2"/>
  <c r="C84" i="10"/>
  <c r="C48" i="3"/>
  <c r="I48" i="3" s="1"/>
  <c r="I43" i="3"/>
  <c r="C69" i="12"/>
  <c r="C71" i="12" s="1"/>
  <c r="E23" i="4"/>
  <c r="C22" i="19"/>
  <c r="E25" i="4"/>
  <c r="G11" i="2"/>
  <c r="G11" i="1"/>
  <c r="G61" i="2"/>
  <c r="G32" i="1"/>
  <c r="G25" i="1"/>
  <c r="G54" i="2"/>
  <c r="G19" i="4"/>
  <c r="K19" i="4" s="1"/>
  <c r="P26" i="21"/>
  <c r="C104" i="13"/>
  <c r="C106" i="13" s="1"/>
  <c r="E10" i="3"/>
  <c r="E15" i="4"/>
  <c r="K17" i="4"/>
  <c r="G20" i="1" s="1"/>
  <c r="G21" i="4"/>
  <c r="K22" i="4"/>
  <c r="C79" i="13"/>
  <c r="C5" i="19"/>
  <c r="C29" i="19" s="1"/>
  <c r="G20" i="16"/>
  <c r="E24" i="4" l="1"/>
  <c r="K24" i="4" s="1"/>
  <c r="K25" i="4"/>
  <c r="C68" i="2"/>
  <c r="C72" i="2" s="1"/>
  <c r="C74" i="2" s="1"/>
  <c r="C47" i="1"/>
  <c r="C53" i="1" s="1"/>
  <c r="K23" i="4"/>
  <c r="E21" i="4"/>
  <c r="G23" i="1"/>
  <c r="G52" i="2"/>
  <c r="E8" i="3"/>
  <c r="I10" i="3"/>
  <c r="G18" i="1"/>
  <c r="G13" i="1" s="1"/>
  <c r="G20" i="2"/>
  <c r="G18" i="2" s="1"/>
  <c r="G13" i="2" s="1"/>
  <c r="G35" i="2" s="1"/>
  <c r="G44" i="2" s="1"/>
  <c r="E10" i="4"/>
  <c r="K15" i="4"/>
  <c r="G57" i="2"/>
  <c r="G28" i="1"/>
  <c r="G27" i="4"/>
  <c r="K21" i="4"/>
  <c r="G29" i="1" l="1"/>
  <c r="G58" i="2"/>
  <c r="G31" i="1"/>
  <c r="G30" i="1" s="1"/>
  <c r="G60" i="2"/>
  <c r="G59" i="2" s="1"/>
  <c r="C9" i="1"/>
  <c r="C7" i="1" s="1"/>
  <c r="C9" i="2"/>
  <c r="E42" i="3"/>
  <c r="E49" i="3" s="1"/>
  <c r="I8" i="3"/>
  <c r="E27" i="4"/>
  <c r="E33" i="4" s="1"/>
  <c r="K10" i="4"/>
  <c r="G33" i="4"/>
  <c r="F111" i="5"/>
  <c r="F123" i="5"/>
  <c r="F121" i="5"/>
  <c r="F119" i="5"/>
  <c r="F117" i="5"/>
  <c r="F109" i="5"/>
  <c r="F107" i="5"/>
  <c r="F105" i="5"/>
  <c r="F103" i="5"/>
  <c r="F101" i="5"/>
  <c r="F99" i="5"/>
  <c r="F97" i="5"/>
  <c r="F89" i="5"/>
  <c r="F87" i="5"/>
  <c r="F85" i="5"/>
  <c r="F83" i="5"/>
  <c r="F79" i="5"/>
  <c r="F77" i="5"/>
  <c r="F75" i="5"/>
  <c r="F73" i="5"/>
  <c r="F71" i="5"/>
  <c r="F69" i="5"/>
  <c r="F67" i="5"/>
  <c r="F65" i="5"/>
  <c r="F63" i="5"/>
  <c r="F61" i="5"/>
  <c r="F59" i="5"/>
  <c r="F57" i="5"/>
  <c r="F55" i="5"/>
  <c r="F53" i="5"/>
  <c r="F51" i="5"/>
  <c r="F49" i="5"/>
  <c r="F47" i="5"/>
  <c r="F45" i="5"/>
  <c r="F43" i="5"/>
  <c r="F41" i="5"/>
  <c r="F39" i="5"/>
  <c r="F37" i="5"/>
  <c r="F35" i="5"/>
  <c r="F33" i="5"/>
  <c r="F31" i="5"/>
  <c r="F29" i="5"/>
  <c r="F27" i="5"/>
  <c r="F25" i="5"/>
  <c r="F23" i="5"/>
  <c r="F21" i="5"/>
  <c r="F19" i="5"/>
  <c r="F17" i="5"/>
  <c r="F15" i="5"/>
  <c r="F13" i="5"/>
  <c r="F11" i="5"/>
  <c r="F9" i="5"/>
  <c r="F7" i="5"/>
  <c r="F5" i="5"/>
  <c r="G27" i="1" l="1"/>
  <c r="G43" i="1" s="1"/>
  <c r="G55" i="1" s="1"/>
  <c r="G58" i="1" s="1"/>
  <c r="G56" i="2"/>
  <c r="G65" i="2" s="1"/>
  <c r="G74" i="2" s="1"/>
  <c r="G76" i="2" s="1"/>
  <c r="K27" i="4"/>
  <c r="C5" i="3"/>
  <c r="I6" i="3"/>
  <c r="C5" i="2" s="1"/>
  <c r="C76" i="2" s="1"/>
  <c r="K33" i="4"/>
  <c r="F135" i="5"/>
  <c r="F131" i="5"/>
  <c r="F137" i="5"/>
  <c r="F133" i="5"/>
  <c r="C42" i="3" l="1"/>
  <c r="I5" i="3"/>
  <c r="C5" i="1" s="1"/>
  <c r="C43" i="1" s="1"/>
  <c r="B20" i="26"/>
  <c r="I42" i="3" l="1"/>
  <c r="C49" i="3"/>
  <c r="I49" i="3" s="1"/>
  <c r="C55" i="1"/>
  <c r="C58" i="1" s="1"/>
  <c r="C45" i="1"/>
  <c r="H6" i="26" l="1"/>
  <c r="G6" i="26"/>
  <c r="G16" i="26" s="1"/>
  <c r="G18" i="26" s="1"/>
  <c r="F6" i="26"/>
  <c r="F16" i="26" s="1"/>
  <c r="F18" i="26" s="1"/>
  <c r="E6" i="26"/>
  <c r="D6" i="26"/>
  <c r="D16" i="26" s="1"/>
  <c r="D18" i="26" s="1"/>
  <c r="B6" i="26"/>
  <c r="B16" i="26" s="1"/>
  <c r="B18" i="26" s="1"/>
  <c r="C6" i="26"/>
  <c r="C16" i="26" s="1"/>
  <c r="C18" i="26" s="1"/>
  <c r="F24" i="26"/>
  <c r="E24" i="26"/>
  <c r="D24" i="26"/>
  <c r="C24" i="26"/>
  <c r="B24" i="26"/>
  <c r="H24" i="26"/>
  <c r="G24" i="26"/>
  <c r="H16" i="26"/>
  <c r="H18" i="26" s="1"/>
  <c r="E16" i="26" l="1"/>
  <c r="E18" i="26" s="1"/>
  <c r="B10" i="27"/>
  <c r="B45" i="10" l="1"/>
  <c r="E10" i="15" l="1"/>
  <c r="I10" i="15" s="1"/>
  <c r="E13" i="15" l="1"/>
  <c r="I13" i="15" l="1"/>
  <c r="E16" i="15"/>
  <c r="B19" i="19"/>
  <c r="F67" i="2"/>
  <c r="B25" i="3"/>
  <c r="I16" i="15" l="1"/>
  <c r="E19" i="15"/>
  <c r="B21" i="27"/>
  <c r="B20" i="16"/>
  <c r="B24" i="10"/>
  <c r="B13" i="19"/>
  <c r="I19" i="15" l="1"/>
  <c r="E22" i="15"/>
  <c r="B11" i="19"/>
  <c r="D18" i="4" s="1"/>
  <c r="B41" i="13"/>
  <c r="B40" i="13" s="1"/>
  <c r="I22" i="15" l="1"/>
  <c r="E25" i="15"/>
  <c r="I25" i="15" s="1"/>
  <c r="B28" i="3"/>
  <c r="B34" i="3"/>
  <c r="B27" i="3"/>
  <c r="B26" i="3"/>
  <c r="D26" i="3"/>
  <c r="B12" i="13"/>
  <c r="B38" i="13" s="1"/>
  <c r="B65" i="27"/>
  <c r="B23" i="27"/>
  <c r="B10" i="22" l="1"/>
  <c r="B50" i="13"/>
  <c r="B68" i="13" s="1"/>
  <c r="B11" i="12"/>
  <c r="B6" i="12"/>
  <c r="B70" i="13"/>
  <c r="B58" i="12" l="1"/>
  <c r="B9" i="10"/>
  <c r="B13" i="11" l="1"/>
  <c r="B80" i="27" l="1"/>
  <c r="B64" i="27" s="1"/>
  <c r="F19" i="4" l="1"/>
  <c r="B41" i="10"/>
  <c r="F20" i="4" l="1"/>
  <c r="B14" i="3"/>
  <c r="B17" i="3"/>
  <c r="F20" i="26"/>
  <c r="G20" i="26"/>
  <c r="M26" i="21" l="1"/>
  <c r="B6" i="27" l="1"/>
  <c r="B4" i="27" s="1"/>
  <c r="D19" i="4" l="1"/>
  <c r="G28" i="26"/>
  <c r="G30" i="26" s="1"/>
  <c r="F28" i="26"/>
  <c r="H20" i="26"/>
  <c r="H28" i="26" s="1"/>
  <c r="E20" i="26"/>
  <c r="E28" i="26" s="1"/>
  <c r="D20" i="26"/>
  <c r="D28" i="26" s="1"/>
  <c r="C20" i="26"/>
  <c r="C28" i="26" s="1"/>
  <c r="C30" i="26" s="1"/>
  <c r="B28" i="26"/>
  <c r="F30" i="26" l="1"/>
  <c r="B30" i="26"/>
  <c r="H30" i="26"/>
  <c r="D30" i="26"/>
  <c r="E30" i="26"/>
  <c r="B26" i="21" l="1"/>
  <c r="B37" i="2" s="1"/>
  <c r="B27" i="19" l="1"/>
  <c r="D26" i="4" s="1"/>
  <c r="B24" i="19"/>
  <c r="D25" i="4" s="1"/>
  <c r="B7" i="19"/>
  <c r="B5" i="3" l="1"/>
  <c r="B5" i="19"/>
  <c r="B22" i="19"/>
  <c r="B29" i="19" l="1"/>
  <c r="H44" i="3" l="1"/>
  <c r="H24" i="4"/>
  <c r="B43" i="3"/>
  <c r="B48" i="1" l="1"/>
  <c r="B38" i="2"/>
  <c r="E20" i="16" l="1"/>
  <c r="J25" i="4" l="1"/>
  <c r="F31" i="1" s="1"/>
  <c r="F60" i="2" l="1"/>
  <c r="E26" i="21"/>
  <c r="B46" i="3"/>
  <c r="B53" i="12" l="1"/>
  <c r="B63" i="12" s="1"/>
  <c r="B46" i="12"/>
  <c r="B6" i="10" l="1"/>
  <c r="B4" i="10" l="1"/>
  <c r="B84" i="10" s="1"/>
  <c r="G26" i="21" l="1"/>
  <c r="I26" i="21"/>
  <c r="K26" i="21"/>
  <c r="B8" i="14"/>
  <c r="B13" i="14"/>
  <c r="B27" i="14"/>
  <c r="O26" i="21" l="1"/>
  <c r="B14" i="14"/>
  <c r="B20" i="14" s="1"/>
  <c r="B32" i="14" s="1"/>
  <c r="B65" i="12" l="1"/>
  <c r="F33" i="3" l="1"/>
  <c r="D33" i="3"/>
  <c r="B33" i="3"/>
  <c r="H34" i="3"/>
  <c r="B32" i="1" s="1"/>
  <c r="F8" i="3"/>
  <c r="H9" i="3"/>
  <c r="B8" i="1" s="1"/>
  <c r="B8" i="2" l="1"/>
  <c r="B53" i="2"/>
  <c r="B63" i="2" l="1"/>
  <c r="B62" i="2" l="1"/>
  <c r="B28" i="2"/>
  <c r="H7" i="3"/>
  <c r="H47" i="3"/>
  <c r="B51" i="1" s="1"/>
  <c r="B57" i="1" s="1"/>
  <c r="H46" i="3"/>
  <c r="B50" i="1" s="1"/>
  <c r="H45" i="3"/>
  <c r="B49" i="1" s="1"/>
  <c r="H43" i="3"/>
  <c r="B47" i="1" s="1"/>
  <c r="H35" i="3"/>
  <c r="B33" i="1" s="1"/>
  <c r="B31" i="1" s="1"/>
  <c r="H32" i="3"/>
  <c r="B29" i="1" s="1"/>
  <c r="H31" i="3"/>
  <c r="B28" i="1" s="1"/>
  <c r="H30" i="3"/>
  <c r="B27" i="1" s="1"/>
  <c r="H29" i="3"/>
  <c r="B26" i="1" s="1"/>
  <c r="H28" i="3"/>
  <c r="B25" i="1" s="1"/>
  <c r="H27" i="3"/>
  <c r="B24" i="1" s="1"/>
  <c r="H26" i="3"/>
  <c r="B23" i="1" s="1"/>
  <c r="H25" i="3"/>
  <c r="B22" i="1" s="1"/>
  <c r="H23" i="3"/>
  <c r="B19" i="1" s="1"/>
  <c r="H22" i="3"/>
  <c r="B18" i="1" s="1"/>
  <c r="H21" i="3"/>
  <c r="B17" i="1" s="1"/>
  <c r="H20" i="3"/>
  <c r="H19" i="3"/>
  <c r="H18" i="3"/>
  <c r="H16" i="3"/>
  <c r="H15" i="3"/>
  <c r="F48" i="3"/>
  <c r="D48" i="3"/>
  <c r="B48" i="3"/>
  <c r="F39" i="3"/>
  <c r="F36" i="3"/>
  <c r="D36" i="3"/>
  <c r="H33" i="3"/>
  <c r="F24" i="3"/>
  <c r="D24" i="3"/>
  <c r="B24" i="3"/>
  <c r="F17" i="3"/>
  <c r="D17" i="3"/>
  <c r="F14" i="3"/>
  <c r="D14" i="3"/>
  <c r="F11" i="3"/>
  <c r="D11" i="3"/>
  <c r="F5" i="3"/>
  <c r="D5" i="3"/>
  <c r="H21" i="4"/>
  <c r="H15" i="4"/>
  <c r="H10" i="4" s="1"/>
  <c r="H32" i="4"/>
  <c r="D32" i="4"/>
  <c r="J12" i="4"/>
  <c r="F15" i="1" s="1"/>
  <c r="J11" i="4"/>
  <c r="F14" i="1" s="1"/>
  <c r="J8" i="4"/>
  <c r="F9" i="1" s="1"/>
  <c r="J7" i="4"/>
  <c r="F7" i="1" s="1"/>
  <c r="J6" i="4"/>
  <c r="F5" i="1" s="1"/>
  <c r="B21" i="1" l="1"/>
  <c r="B53" i="1"/>
  <c r="B68" i="2"/>
  <c r="B13" i="3"/>
  <c r="D13" i="3"/>
  <c r="F13" i="3"/>
  <c r="F42" i="3" s="1"/>
  <c r="F49" i="3" s="1"/>
  <c r="H17" i="3"/>
  <c r="B16" i="1" s="1"/>
  <c r="F9" i="2"/>
  <c r="F7" i="2"/>
  <c r="F5" i="2"/>
  <c r="B54" i="2"/>
  <c r="B52" i="2" s="1"/>
  <c r="B24" i="2"/>
  <c r="B16" i="2"/>
  <c r="B19" i="2"/>
  <c r="B23" i="2"/>
  <c r="B20" i="2"/>
  <c r="B40" i="2"/>
  <c r="B15" i="2"/>
  <c r="B22" i="2"/>
  <c r="B26" i="2"/>
  <c r="B14" i="2"/>
  <c r="B21" i="2"/>
  <c r="B25" i="2"/>
  <c r="B70" i="2"/>
  <c r="B69" i="2" s="1"/>
  <c r="F14" i="2"/>
  <c r="F15" i="2"/>
  <c r="H24" i="3"/>
  <c r="H48" i="3"/>
  <c r="H14" i="3"/>
  <c r="B15" i="1" s="1"/>
  <c r="B17" i="11"/>
  <c r="B19" i="11" s="1"/>
  <c r="B75" i="12"/>
  <c r="B49" i="12"/>
  <c r="D13" i="4" s="1"/>
  <c r="J13" i="4" s="1"/>
  <c r="F16" i="1" s="1"/>
  <c r="B101" i="13"/>
  <c r="B98" i="13"/>
  <c r="B95" i="13"/>
  <c r="B85" i="13"/>
  <c r="B83" i="13" s="1"/>
  <c r="B88" i="13" s="1"/>
  <c r="B40" i="3"/>
  <c r="H41" i="3"/>
  <c r="B12" i="3"/>
  <c r="B46" i="13"/>
  <c r="B37" i="3" s="1"/>
  <c r="H38" i="3"/>
  <c r="B10" i="3"/>
  <c r="B40" i="14"/>
  <c r="B78" i="12" l="1"/>
  <c r="F22" i="4"/>
  <c r="F21" i="4" s="1"/>
  <c r="F27" i="4" s="1"/>
  <c r="F33" i="4" s="1"/>
  <c r="B90" i="13"/>
  <c r="B104" i="13" s="1"/>
  <c r="B14" i="1"/>
  <c r="B60" i="2"/>
  <c r="B41" i="1"/>
  <c r="B33" i="2"/>
  <c r="B37" i="1"/>
  <c r="H27" i="4"/>
  <c r="H33" i="4" s="1"/>
  <c r="D20" i="4"/>
  <c r="J20" i="4" s="1"/>
  <c r="F25" i="1" s="1"/>
  <c r="D9" i="4"/>
  <c r="J9" i="4" s="1"/>
  <c r="B13" i="2"/>
  <c r="H13" i="3"/>
  <c r="D40" i="3"/>
  <c r="D39" i="3" s="1"/>
  <c r="D23" i="4"/>
  <c r="J23" i="4" s="1"/>
  <c r="F29" i="1" s="1"/>
  <c r="B75" i="13"/>
  <c r="B39" i="3"/>
  <c r="B44" i="12"/>
  <c r="B51" i="12" s="1"/>
  <c r="F16" i="2"/>
  <c r="B48" i="13"/>
  <c r="H12" i="3"/>
  <c r="B12" i="1" s="1"/>
  <c r="B11" i="1" s="1"/>
  <c r="B11" i="3"/>
  <c r="H11" i="3" s="1"/>
  <c r="B8" i="3"/>
  <c r="H37" i="3"/>
  <c r="B36" i="1" s="1"/>
  <c r="B36" i="3"/>
  <c r="H36" i="3" s="1"/>
  <c r="B12" i="2"/>
  <c r="B18" i="2"/>
  <c r="B42" i="3" l="1"/>
  <c r="B35" i="1"/>
  <c r="F11" i="2"/>
  <c r="F11" i="1"/>
  <c r="J19" i="4"/>
  <c r="H39" i="3"/>
  <c r="H40" i="3"/>
  <c r="B11" i="2"/>
  <c r="B77" i="13"/>
  <c r="B79" i="13" s="1"/>
  <c r="D14" i="4"/>
  <c r="J14" i="4" s="1"/>
  <c r="B32" i="2"/>
  <c r="B31" i="2" s="1"/>
  <c r="F54" i="2"/>
  <c r="F58" i="2"/>
  <c r="B56" i="2"/>
  <c r="D10" i="3"/>
  <c r="B106" i="13"/>
  <c r="B59" i="2" l="1"/>
  <c r="B58" i="2" s="1"/>
  <c r="B65" i="2" s="1"/>
  <c r="B40" i="1"/>
  <c r="B39" i="1" s="1"/>
  <c r="F17" i="2"/>
  <c r="F17" i="1"/>
  <c r="F52" i="2"/>
  <c r="F23" i="1"/>
  <c r="H5" i="3"/>
  <c r="B5" i="1" s="1"/>
  <c r="H6" i="3"/>
  <c r="B5" i="2" s="1"/>
  <c r="D8" i="3"/>
  <c r="H10" i="3"/>
  <c r="B9" i="1" s="1"/>
  <c r="B7" i="1" s="1"/>
  <c r="J18" i="4"/>
  <c r="J17" i="4"/>
  <c r="F20" i="1" s="1"/>
  <c r="F21" i="1" l="1"/>
  <c r="F21" i="2"/>
  <c r="B43" i="1"/>
  <c r="B49" i="3"/>
  <c r="D24" i="4"/>
  <c r="D42" i="3"/>
  <c r="D49" i="3" s="1"/>
  <c r="H8" i="3"/>
  <c r="J16" i="4"/>
  <c r="F19" i="1" s="1"/>
  <c r="F18" i="1" s="1"/>
  <c r="F13" i="1" s="1"/>
  <c r="D15" i="4"/>
  <c r="F20" i="2"/>
  <c r="B9" i="2"/>
  <c r="B7" i="2" s="1"/>
  <c r="J28" i="4"/>
  <c r="F47" i="1" s="1"/>
  <c r="J31" i="4"/>
  <c r="J29" i="4"/>
  <c r="F48" i="1" s="1"/>
  <c r="J32" i="4"/>
  <c r="J30" i="4"/>
  <c r="F49" i="1" s="1"/>
  <c r="F39" i="2" l="1"/>
  <c r="B39" i="2" s="1"/>
  <c r="F51" i="1"/>
  <c r="F57" i="1" s="1"/>
  <c r="B55" i="1"/>
  <c r="B58" i="1" s="1"/>
  <c r="H49" i="3"/>
  <c r="J26" i="4"/>
  <c r="F32" i="1" s="1"/>
  <c r="F30" i="1" s="1"/>
  <c r="B35" i="2"/>
  <c r="D10" i="4"/>
  <c r="J15" i="4"/>
  <c r="F19" i="2"/>
  <c r="F18" i="2" s="1"/>
  <c r="F13" i="2" s="1"/>
  <c r="F35" i="2" s="1"/>
  <c r="H42" i="3"/>
  <c r="F68" i="2"/>
  <c r="F40" i="2"/>
  <c r="F38" i="2"/>
  <c r="B42" i="2" l="1"/>
  <c r="B44" i="2" s="1"/>
  <c r="B67" i="2"/>
  <c r="B72" i="2" s="1"/>
  <c r="B74" i="2" s="1"/>
  <c r="F53" i="1"/>
  <c r="F61" i="2"/>
  <c r="F59" i="2" s="1"/>
  <c r="F72" i="2"/>
  <c r="J10" i="4"/>
  <c r="J24" i="4"/>
  <c r="F42" i="2"/>
  <c r="F44" i="2" s="1"/>
  <c r="B76" i="2" l="1"/>
  <c r="B67" i="12"/>
  <c r="D22" i="4" l="1"/>
  <c r="B69" i="12"/>
  <c r="B71" i="12" s="1"/>
  <c r="J22" i="4" l="1"/>
  <c r="F28" i="1" s="1"/>
  <c r="F27" i="1" s="1"/>
  <c r="F43" i="1" s="1"/>
  <c r="D21" i="4"/>
  <c r="F55" i="1" l="1"/>
  <c r="B45" i="1"/>
  <c r="J21" i="4"/>
  <c r="D27" i="4"/>
  <c r="F57" i="2"/>
  <c r="F56" i="2" s="1"/>
  <c r="F65" i="2" s="1"/>
  <c r="F74" i="2" s="1"/>
  <c r="F76" i="2" s="1"/>
  <c r="F58" i="1" l="1"/>
  <c r="J27" i="4"/>
  <c r="D33" i="4"/>
  <c r="J33" i="4" l="1"/>
</calcChain>
</file>

<file path=xl/comments1.xml><?xml version="1.0" encoding="utf-8"?>
<comments xmlns="http://schemas.openxmlformats.org/spreadsheetml/2006/main">
  <authors>
    <author>ASP</author>
  </authors>
  <commentList>
    <comment ref="H10" authorId="0" shapeId="0">
      <text>
        <r>
          <rPr>
            <b/>
            <sz val="9"/>
            <color rgb="FF000000"/>
            <rFont val="Tahoma"/>
            <family val="2"/>
            <charset val="238"/>
          </rPr>
          <t>ASP:</t>
        </r>
        <r>
          <rPr>
            <sz val="9"/>
            <color rgb="FF000000"/>
            <rFont val="Tahoma"/>
            <family val="2"/>
            <charset val="238"/>
          </rPr>
          <t xml:space="preserve">
érthetetlen,hogy miért lesz az EBR-ben 309 178 500 Ft itt?</t>
        </r>
      </text>
    </comment>
  </commentList>
</comments>
</file>

<file path=xl/sharedStrings.xml><?xml version="1.0" encoding="utf-8"?>
<sst xmlns="http://schemas.openxmlformats.org/spreadsheetml/2006/main" count="1970" uniqueCount="981">
  <si>
    <t>Bevételi előirányzat</t>
  </si>
  <si>
    <t>Kiadási előirányzat</t>
  </si>
  <si>
    <t>Megnevezés</t>
  </si>
  <si>
    <t>Eredeti</t>
  </si>
  <si>
    <t xml:space="preserve">Eredeti </t>
  </si>
  <si>
    <t>Állami támogatás</t>
  </si>
  <si>
    <t>Személyi juttatások</t>
  </si>
  <si>
    <t>Működési célú támogatások (államháztartáson belülről)</t>
  </si>
  <si>
    <t>Vissza nem térítendő támogatások</t>
  </si>
  <si>
    <t>Munkaadókat terhelő járulékok és szociális hozzájárulási adó</t>
  </si>
  <si>
    <t>Felhalmozási célú támogatások államháztartáson belülről</t>
  </si>
  <si>
    <t>Közhatalmi bevételek</t>
  </si>
  <si>
    <t>Dologi kiadások</t>
  </si>
  <si>
    <t>Vagyoni típusú adók</t>
  </si>
  <si>
    <t>Ellátottak pénzbeli juttatásai</t>
  </si>
  <si>
    <t>Késedelmi pótlék</t>
  </si>
  <si>
    <t>Egyéb működési kiadások</t>
  </si>
  <si>
    <t>Elvonások és befizetések</t>
  </si>
  <si>
    <t>Előző évi elszámolásból származó kiadások</t>
  </si>
  <si>
    <t>Visszatérítendő támogatások és kölcsönök</t>
  </si>
  <si>
    <t>Működési bevételek</t>
  </si>
  <si>
    <t>Egyéb működési célú támogatások (vissza nem térítendő)</t>
  </si>
  <si>
    <t>Áru és készletértékesítés (a döntést követő 3 hónap utáni föld- és ingatlan értékesítés)</t>
  </si>
  <si>
    <t>Működési tartalékok</t>
  </si>
  <si>
    <t>Szolgáltatások ellenértéke</t>
  </si>
  <si>
    <t xml:space="preserve"> - Általános tartalék</t>
  </si>
  <si>
    <t>Közvetített szolgáltatások ellenértéke</t>
  </si>
  <si>
    <t>Tulajdonosi bevételek</t>
  </si>
  <si>
    <t>Ellátási díjak</t>
  </si>
  <si>
    <t>ÁFA bevétel</t>
  </si>
  <si>
    <t>Beruházási kiadások</t>
  </si>
  <si>
    <t>Felújítási kiadások</t>
  </si>
  <si>
    <t>Felhalmozási bevételek</t>
  </si>
  <si>
    <t>Ingatlanértékesítés</t>
  </si>
  <si>
    <t>Egyéb felhalmozási kiadások</t>
  </si>
  <si>
    <t>Működési célú átvett pénzeszközök (államháztartáson kívülről)</t>
  </si>
  <si>
    <t>Egyéb felhalmozási célú támogatások (vissza nem térítendő)</t>
  </si>
  <si>
    <t>Felhalmozási tartalékok</t>
  </si>
  <si>
    <t xml:space="preserve">Vissza nem térítendő támogatások </t>
  </si>
  <si>
    <t xml:space="preserve"> - Felhalmozási tartalék</t>
  </si>
  <si>
    <t>Felhalmozási célú átvett pénzeszközök (államháztartáson kívülről)</t>
  </si>
  <si>
    <t>Hiteltörlesztés</t>
  </si>
  <si>
    <t>Előző évi költségvetési maradványának igénybevétele</t>
  </si>
  <si>
    <t>Irányítószervi támogatás folyósítás</t>
  </si>
  <si>
    <t>Irányító szervi támogatás folyósítása</t>
  </si>
  <si>
    <t>BEVÉTELEK MINDÖSSZESEN</t>
  </si>
  <si>
    <t>KIADÁSOK MINDÖSSZESEN</t>
  </si>
  <si>
    <t>FINANSZÍROZÁSI BEVÉTELEK ÖSSZESEN</t>
  </si>
  <si>
    <t>KÖLTSÉGVETÉSI BEVÉTELEK ÖSSZESEN</t>
  </si>
  <si>
    <t>KÖLTSÉGVETÉSI KIADÁSOK ÖSSZESEN</t>
  </si>
  <si>
    <t>FINANSZÍROZÁSI KIADÁSOK ÖSSZESEN</t>
  </si>
  <si>
    <t>Felhalmozási kiadásokra átcsoportosított (-)</t>
  </si>
  <si>
    <t>Áru- és készletértékesítésből</t>
  </si>
  <si>
    <t>Irányítószervi támogatás</t>
  </si>
  <si>
    <t xml:space="preserve">Irányítószervi támogatás </t>
  </si>
  <si>
    <t>Finanszírozási kiadások</t>
  </si>
  <si>
    <t>Beruházás</t>
  </si>
  <si>
    <t>Felújítás</t>
  </si>
  <si>
    <t>Felhalmozási célú átvett pénzeszközök (államháztartáson belülről)</t>
  </si>
  <si>
    <t>Egyéb felhalmozási kiadás</t>
  </si>
  <si>
    <t>Vissza nem térítendő támogatás</t>
  </si>
  <si>
    <t>Mindösszesen</t>
  </si>
  <si>
    <t>Áru- és készletértékesítés (a döntést követő 3 hónap utáni föld- és ingatlan
értékesítés)</t>
  </si>
  <si>
    <t>Működési bevételekből átcsoportosított (+)</t>
  </si>
  <si>
    <t>Hiány finanszírozása belső forrásból</t>
  </si>
  <si>
    <t>Bevételek</t>
  </si>
  <si>
    <t>Önkormányzat</t>
  </si>
  <si>
    <t>Tatai Közös Önkormányzati Hivatal</t>
  </si>
  <si>
    <t>Összesen</t>
  </si>
  <si>
    <t xml:space="preserve"> - állami támogatás működésre</t>
  </si>
  <si>
    <t xml:space="preserve"> - állami támogatás felhalmozásra</t>
  </si>
  <si>
    <t>Működési célú támogatások államháztartáson belülről</t>
  </si>
  <si>
    <t>Közhatalmi bevétel</t>
  </si>
  <si>
    <t xml:space="preserve"> - Építményadó</t>
  </si>
  <si>
    <t xml:space="preserve"> - Telekadó</t>
  </si>
  <si>
    <t>Termékek és szolgáltatások adói</t>
  </si>
  <si>
    <t xml:space="preserve"> - Iparűzési adó</t>
  </si>
  <si>
    <t xml:space="preserve"> - Gépjárműadó</t>
  </si>
  <si>
    <t xml:space="preserve"> - Idegenforgalmi adó</t>
  </si>
  <si>
    <t>Szolgáltatások ellenértéke (temető fenntartási hozzájárulás, sírhelydíj, nevezési díj)</t>
  </si>
  <si>
    <t>Tulajdonosi bevételek (használatba adásból, üzemeltetésbe adásból származó bevételek, stb.)</t>
  </si>
  <si>
    <t>Visszatérítendő támogatások és kölcsönök (igénylés és visszatérülés)</t>
  </si>
  <si>
    <t>Állami támogatás megelőlegezési hitelfelvétel</t>
  </si>
  <si>
    <t>Intézmények Gazdasági Hivatala
és a hozzá tartozó Intézményei</t>
  </si>
  <si>
    <t>Talajterhelési díj</t>
  </si>
  <si>
    <t>Kiadások</t>
  </si>
  <si>
    <t>Munkaadót terhelő járulékok és szociális hozzájárulási adó</t>
  </si>
  <si>
    <t xml:space="preserve"> - Működési tartalék </t>
  </si>
  <si>
    <t xml:space="preserve">Felhalmozási tartalékok </t>
  </si>
  <si>
    <t>MŰKÖDÉSI CÉLÚ BEVÉTELEK ÖSSZESEN</t>
  </si>
  <si>
    <t>FELHALMOZÁSI CÉLÚ BEVÉTELEK ÖSSZESEN</t>
  </si>
  <si>
    <t>FELHALMOZÁSI CÉLÚ KIADÁSOK ÖSSZESEN</t>
  </si>
  <si>
    <t>MŰKÖDÉSI CÉLÚ KIADÁSOK ÖSSZESEN</t>
  </si>
  <si>
    <t>Állami támogatás megelőlegezési hiteltörlesztés</t>
  </si>
  <si>
    <t>Irányítószervi támogatás folyósítása</t>
  </si>
  <si>
    <t>Bevétel</t>
  </si>
  <si>
    <t>Kiadás</t>
  </si>
  <si>
    <t>Működési kiadások</t>
  </si>
  <si>
    <t>Felhalmozási kiadások</t>
  </si>
  <si>
    <t>Dologi</t>
  </si>
  <si>
    <t>Államigazgatás</t>
  </si>
  <si>
    <t>Kötelező</t>
  </si>
  <si>
    <t>Köztemető fenntartás és működtetés</t>
  </si>
  <si>
    <t>Közterület rendjének fenntartása</t>
  </si>
  <si>
    <t>Erdőgazdálkodás</t>
  </si>
  <si>
    <t>Környezetszennyezés csökkentésének igazgatása</t>
  </si>
  <si>
    <t>Közvilágítás</t>
  </si>
  <si>
    <t>Szabadidős park, fürdő és strandszolgáltatás</t>
  </si>
  <si>
    <t>M.adókat
terh. jár.
és szochó</t>
  </si>
  <si>
    <t>Dologi
kiadások</t>
  </si>
  <si>
    <t>Egyéb
működési
kiadások</t>
  </si>
  <si>
    <t>Ellátottak
pénzbeli
juttatásai</t>
  </si>
  <si>
    <t>Egyéb fel-
halmozási
kiadások</t>
  </si>
  <si>
    <t>Felhalmo-
zási tarta-
lékok</t>
  </si>
  <si>
    <t>Hitel- és
kölcsön
törlesztés</t>
  </si>
  <si>
    <t>Költségvetési
szerveknek
folyósított
támogatás</t>
  </si>
  <si>
    <t>Kötelező összesen</t>
  </si>
  <si>
    <t>Államigazgatás összesen</t>
  </si>
  <si>
    <t>Tatai székhely</t>
  </si>
  <si>
    <t>Tatai székhely összesen</t>
  </si>
  <si>
    <t>Neszmélyi kirendeltség</t>
  </si>
  <si>
    <t>Dunaalmási kirendeltség</t>
  </si>
  <si>
    <t>Dunaszentmiklósi kirendeltség</t>
  </si>
  <si>
    <t>Kirendeltségek összesen</t>
  </si>
  <si>
    <t>Közös Hivatal összesen</t>
  </si>
  <si>
    <t>Költségvetési alcím megnevezése</t>
  </si>
  <si>
    <t>Feladat jellege</t>
  </si>
  <si>
    <t>ÁFA</t>
  </si>
  <si>
    <t>Kiadások összesen</t>
  </si>
  <si>
    <t>Tatai Kincseskert Óvoda Szivárvány Tagintézménye</t>
  </si>
  <si>
    <t>Tatai Geszti Óvoda</t>
  </si>
  <si>
    <t>Tatai Bartók Béla Óvoda</t>
  </si>
  <si>
    <t>Tatai Kertvárosi Óvoda</t>
  </si>
  <si>
    <t xml:space="preserve"> Tatai Kincseskert Óvoda</t>
  </si>
  <si>
    <t>Tatai Geszti Óvoda Bergengócia Tagintézménye</t>
  </si>
  <si>
    <t xml:space="preserve"> Tatai Csillagsziget Bölcsöde</t>
  </si>
  <si>
    <t>Tatai Vaszary J. Általános Iskola</t>
  </si>
  <si>
    <t>Vaszary J. Általános Iskola Jázmin utcai Tagintézménye</t>
  </si>
  <si>
    <t>Tatai Vaszary J. Általános Iskola ÖSSZESEN</t>
  </si>
  <si>
    <t>Tatai Kőkúti Általános Iskola</t>
  </si>
  <si>
    <t>Kőkúti Általános Iskola - Fazekas utcai Tagintézmény</t>
  </si>
  <si>
    <t>Tatai Kőkúti Általános Iskola ÖSSZESEN</t>
  </si>
  <si>
    <t>KEM-i Óvoda, Ált. Iskola, Speciális Szakiskola, Kollégium és Gyermekotthon</t>
  </si>
  <si>
    <t>Intézmények Gazdasági Hivatala</t>
  </si>
  <si>
    <t>Önként vállalt feladat</t>
  </si>
  <si>
    <t>ISKOLÁK és IGH ÖSSZESEN</t>
  </si>
  <si>
    <t>Tatai Kuny Domokos Múzeum</t>
  </si>
  <si>
    <t>Tata Móricz Zsigmond Városi Könyvtár</t>
  </si>
  <si>
    <t>Tatai Egészségügyi Alapellátó Intézmény</t>
  </si>
  <si>
    <t>IGH feladatkörébe tartozó kötelező feladatok</t>
  </si>
  <si>
    <t>IGH feladatkörébe tartozó önként vállalt  feladatok</t>
  </si>
  <si>
    <t>Pályázatok és azokhoz kapcsolódó feladatok</t>
  </si>
  <si>
    <t>A helyi gazdaság erőforrásaira épülő piac- és agrárlogisztikai fejlesztés Tatán TOP-1.1.3-15-KO1-2016-00003</t>
  </si>
  <si>
    <t>Intézmények Gazdasági Hivatala és a hozzá tartozó költségvetési szervek</t>
  </si>
  <si>
    <t>Tatai fiatalok életkezdési támogatása</t>
  </si>
  <si>
    <t xml:space="preserve">18. életévét betöltött tartósan beteg hozzátartozójának ápolását, gondozását végző személy részére </t>
  </si>
  <si>
    <t xml:space="preserve">Gyógyszer kiadások viseléséhez </t>
  </si>
  <si>
    <t>Lakhatáshoz kapcsolódó rendszeres kiadások viseléséhez</t>
  </si>
  <si>
    <t xml:space="preserve">Bursa Hungarica </t>
  </si>
  <si>
    <t>Rászorultságtól függő pénzbeli szociális, gyermekvédelmi ellátások összesen</t>
  </si>
  <si>
    <t>Köztemetés</t>
  </si>
  <si>
    <t>Természetben nyújtott ellátások összesen</t>
  </si>
  <si>
    <t>Önkormányzat által folyósított szociális, gyermekvédelmi ellátások összesen</t>
  </si>
  <si>
    <t>TATA VÁROS ÖNKORMÁNYZATA</t>
  </si>
  <si>
    <t>Működési célú támogatások államháztartáson belülre (vissza nem térítendő)</t>
  </si>
  <si>
    <t>Működési célú támogatások államháztartáson kívülre (vissza nem térítendő)</t>
  </si>
  <si>
    <t>Környezetvédelmi Alap</t>
  </si>
  <si>
    <t>Működési célú visszatérítendő támogatások, kölcsönök nyújtása államháztartáson kívülre</t>
  </si>
  <si>
    <t>TATAI KÖZÖS ÖNKORMÁNYZATI HIVATAL</t>
  </si>
  <si>
    <t>Felhalmozási célú visszatérítendő támogatások, kölcsönök nyújtása államháztartáson kívülre</t>
  </si>
  <si>
    <t>Működési célú visszatérítendő támogatások, kölcsönök nyújtása összesen</t>
  </si>
  <si>
    <t>MŰKÖDÉSI CÉLÚ TÁMOGATÁSOK (VISSZATÉRÍTENDŐ ÉS VISSZA NEM TÉRÍTENDŐ) ÖSSZESEN</t>
  </si>
  <si>
    <t>FELHALMOZÁSI CÉLÚ TÁMOGATÁSOK (VISSZATÉRÍTENDŐ ÉS VISSZA NEM TÉRÍTENDŐ) ÖSSZESEN</t>
  </si>
  <si>
    <t>Működési célú támogatások államháztartáson belülről (vissza nem térítendő)</t>
  </si>
  <si>
    <t>Működési célú visszatérítendő támogatások, kölcsönök visszatérülése államháztartáson kívülről</t>
  </si>
  <si>
    <t>Felhalmozási célú támogatások államháztartáson belülről (vissza nem térítendő)</t>
  </si>
  <si>
    <t>Felhalmozási célú visszatérítendő támogatások, kölcsönök visszatérülése államháztartáson kívülről</t>
  </si>
  <si>
    <t>Működési célú visszatérítendő támogatások, átvett pénzeszközök összesen</t>
  </si>
  <si>
    <t>Működési célú vissza nem térítendő támogatások összesen</t>
  </si>
  <si>
    <t>Felhalmozási célú vissza nem térítendő támogatások összesen</t>
  </si>
  <si>
    <t>Felhalmozási célú visszatérítendő támogatások összesen</t>
  </si>
  <si>
    <t>Önkormányzati költségvetési szervek engedélyezett létszáma</t>
  </si>
  <si>
    <t>Költségvetési szervek megnevezése</t>
  </si>
  <si>
    <t>Engedélyezett létszám (fő)</t>
  </si>
  <si>
    <t>Tatai Fürdő utcai Óvoda</t>
  </si>
  <si>
    <t>Tatai Geszti Óvoda - Agostyáni Tagintézménye</t>
  </si>
  <si>
    <t>Tatai Geszti Óvoda összesen</t>
  </si>
  <si>
    <t>Tatai Bartók Béla úti Óvoda</t>
  </si>
  <si>
    <t>Tatai Kincseskert Óvoda</t>
  </si>
  <si>
    <t>Tatai Kincseskert Óvoda - Szivárvány Tagintézménye</t>
  </si>
  <si>
    <t>Tatai Kincseskert Óvoda összesen</t>
  </si>
  <si>
    <t>Óvodák összesen</t>
  </si>
  <si>
    <t>Csillagsziget Bölcsőde</t>
  </si>
  <si>
    <t>Móricz Zsigmond Könyvtár</t>
  </si>
  <si>
    <t xml:space="preserve">Intézmények Gazdasági Hivatala </t>
  </si>
  <si>
    <t>Kuny Domokos Múzeum</t>
  </si>
  <si>
    <t>Hosszabb időtartamú közfoglalkoztatás</t>
  </si>
  <si>
    <t>Városi Önkormányzat Intézményei összesen</t>
  </si>
  <si>
    <t xml:space="preserve"> - Dunaszentmiklósi kirendeltség</t>
  </si>
  <si>
    <t xml:space="preserve"> - Dunaalmási kirendeltség</t>
  </si>
  <si>
    <t xml:space="preserve"> - Közös Hivatal székhely szerinti szervezeti egysége</t>
  </si>
  <si>
    <t xml:space="preserve"> - Neszmélyi kirendeltség</t>
  </si>
  <si>
    <t>Tatai Közös Önkormányzati Hivatal összesen</t>
  </si>
  <si>
    <t>Önkormányzati közfoglalkoztatottak éves létszám-előirányzata</t>
  </si>
  <si>
    <t>Átlagos létszám</t>
  </si>
  <si>
    <t>törlesztés</t>
  </si>
  <si>
    <t>kamat</t>
  </si>
  <si>
    <t>Tartozás 2020.</t>
  </si>
  <si>
    <t>Tartozás 2021.</t>
  </si>
  <si>
    <t>Tartozás 2022.</t>
  </si>
  <si>
    <t>Tartozás 2023.</t>
  </si>
  <si>
    <t>Tartozás 2024.</t>
  </si>
  <si>
    <t>2021.</t>
  </si>
  <si>
    <t>2022.</t>
  </si>
  <si>
    <t>2023.</t>
  </si>
  <si>
    <t>Tárgyi eszközök, immateriális javak, és önkormányzati vagyonértékesítésből származó bevétel (ÁFA nélküli, csak önkormányzat)</t>
  </si>
  <si>
    <t>SAJÁT BEVÉTELEK</t>
  </si>
  <si>
    <t>Saját bevételek 50 %-a</t>
  </si>
  <si>
    <t>Hosszú lejáratú hitel tőke és kamatfizetési kötelezettsége</t>
  </si>
  <si>
    <t>Tárgyévben keletkezett, illetve keletkező, tárgyévet terhelő fizetési kötelezettség</t>
  </si>
  <si>
    <t>FIZETÉSI KÖTELEZETTSÉG ÖSSZESEN</t>
  </si>
  <si>
    <t>Járulék</t>
  </si>
  <si>
    <t>a helyi önkormányzatok feladatainak állami támogatásához</t>
  </si>
  <si>
    <t>Jogcímek megnevezése</t>
  </si>
  <si>
    <t>2.mell. I.</t>
  </si>
  <si>
    <t>A HELYI ÖNKORMÁNYZATOK MŰKÖDÉSÉNEK ÁLTALÁNOS TÁMOGATÁSA</t>
  </si>
  <si>
    <t>I.1.a)</t>
  </si>
  <si>
    <t>fő</t>
  </si>
  <si>
    <t>Önkormányzati Hivatal működésének támogatása beszámítás után</t>
  </si>
  <si>
    <t>I.1.b)</t>
  </si>
  <si>
    <t>I.1.ba)</t>
  </si>
  <si>
    <t>ha</t>
  </si>
  <si>
    <t>I.1.bb)</t>
  </si>
  <si>
    <t>km</t>
  </si>
  <si>
    <t>I.1.bc)</t>
  </si>
  <si>
    <t>m2</t>
  </si>
  <si>
    <t>I.1.bd)</t>
  </si>
  <si>
    <t>Település-üzemeltetéshez kapcsolódó feladatellátás támogatása összesen</t>
  </si>
  <si>
    <t>I.1.c)</t>
  </si>
  <si>
    <t>I.1.d)</t>
  </si>
  <si>
    <t>Lakott külterülettel kapcsolatos feladatok támogatása</t>
  </si>
  <si>
    <t>I.1.e)</t>
  </si>
  <si>
    <t>I.1.</t>
  </si>
  <si>
    <t>II.1.</t>
  </si>
  <si>
    <t>Óvodapedagógusok, és az óvodapedagógusok nevelő munkáját közvetlenül segítők bértámogatása összesen</t>
  </si>
  <si>
    <t xml:space="preserve">II.2. </t>
  </si>
  <si>
    <t>Óvodaműködtetési támogatás</t>
  </si>
  <si>
    <t>Óvodaműködtetési támogatás összesen</t>
  </si>
  <si>
    <t>II.4.</t>
  </si>
  <si>
    <t>Kiegészítő támogatás az óvodapedagógusok minősítéséből adódó többletkiadásokhoz</t>
  </si>
  <si>
    <t>2.mell. II.</t>
  </si>
  <si>
    <t>III.1.</t>
  </si>
  <si>
    <t>III.3.</t>
  </si>
  <si>
    <t>III.3.a)</t>
  </si>
  <si>
    <t>III.3.b)</t>
  </si>
  <si>
    <t>fhely</t>
  </si>
  <si>
    <t>felad.egység</t>
  </si>
  <si>
    <t>Közösségi alapellátások - teljesítménytámogatás</t>
  </si>
  <si>
    <t>Ft/feladategység</t>
  </si>
  <si>
    <t>Óvodai és iskolai szoc. segítő tevékenység támogatása (család- és gyjóléti központ útján)</t>
  </si>
  <si>
    <t>III.4.</t>
  </si>
  <si>
    <t xml:space="preserve">III.5. </t>
  </si>
  <si>
    <t>Gyermekétkeztetés támogatása</t>
  </si>
  <si>
    <t>fő/év</t>
  </si>
  <si>
    <t>Gyermekétkeztetés támogatása összesen</t>
  </si>
  <si>
    <t>Felsőfőkú végzettségű kisgyermeknevelők, szaktanácsadók bértámogatása (szoc.hj.adóval)</t>
  </si>
  <si>
    <t xml:space="preserve">2.mell. III. </t>
  </si>
  <si>
    <t>A települési önkormányzatok szociális és gyermekjóléti feladatainak támogatása</t>
  </si>
  <si>
    <t>IV.</t>
  </si>
  <si>
    <t>A TELEPÜLÉSI ÖNKORMÁNYZATOK KULTURÁLIS FELADATAINAK TÁMOGATÁSA</t>
  </si>
  <si>
    <t>Kulturális illetménypótlék</t>
  </si>
  <si>
    <t>2.mell. IV.</t>
  </si>
  <si>
    <t>2.mell. V.</t>
  </si>
  <si>
    <t>Csökkentések jogcímek szerint:</t>
  </si>
  <si>
    <t>MŰKÖDÉSI TARTALÉK</t>
  </si>
  <si>
    <t>Általános tartalék</t>
  </si>
  <si>
    <t>Működési tartalék</t>
  </si>
  <si>
    <t>Működési céltartalék</t>
  </si>
  <si>
    <t>FELHALMOZÁSI TARTALÉK</t>
  </si>
  <si>
    <t>Felhalmozási tartalék</t>
  </si>
  <si>
    <t>MINDÖSSZESEN</t>
  </si>
  <si>
    <t>EU-s projekt neve</t>
  </si>
  <si>
    <t>Azonosítója</t>
  </si>
  <si>
    <t>A tatai Kőfaragó-ház kézműves és aktív öktoturisztikai látogatóközpontként való rehabilitációja és a Kálvária-domb egységes turisztikai termékcsomagként való bemutatása</t>
  </si>
  <si>
    <t>TOP-1.2.1-15-KO1-2016-00005</t>
  </si>
  <si>
    <t>Csillagsziget Bölcsőde felújítása Tatán</t>
  </si>
  <si>
    <t>TOP-1.4.1-15-KO1-2016-00020</t>
  </si>
  <si>
    <t>A helyi gazdaság erőforrásaira épülő piac- és agrárlogisztikai fejlesztés Tatán</t>
  </si>
  <si>
    <t>TOP-1.1.3-15-KO1-2016-00003</t>
  </si>
  <si>
    <t>Helyi alapanyagokra épülő minőségi közétkeztetésért - iskolai konyhák hálózatos fejlesztése Tatán</t>
  </si>
  <si>
    <t>TOP-1.1.3-15-KO1-2016-00002</t>
  </si>
  <si>
    <t>SKHU/1601/1.1/209</t>
  </si>
  <si>
    <t>SKHU/1601/2.2.1/109</t>
  </si>
  <si>
    <t>Nők munkaerő-piaci támogatása Tatán (a Tatai Közös Hivatal pályázata)</t>
  </si>
  <si>
    <t>EFOP-1.2.9-17-2017-00026</t>
  </si>
  <si>
    <t>A tatai Szivárvány Óvoda épületenergetikai megújítása</t>
  </si>
  <si>
    <t>TOP-3.2.1-16-KO1-2017-00007</t>
  </si>
  <si>
    <t>TOP-3.2.1-16-KO1-2017-00001</t>
  </si>
  <si>
    <t>Angolkert Malomkert – Angolkerti rehabilitáció III. üteme</t>
  </si>
  <si>
    <t>TOP-1.2.1-16-KO1-2017-00003</t>
  </si>
  <si>
    <t>TOP-3.1.1-16-KE1-2017-00004</t>
  </si>
  <si>
    <t>TOP-5.3.1-16-KO1-2017-00002</t>
  </si>
  <si>
    <t>Inkubátorház építése Tatán</t>
  </si>
  <si>
    <t>TOP-1.1.2-16-KO1-2017-00002</t>
  </si>
  <si>
    <t>EFOP-1.5.2-16-2017-00043</t>
  </si>
  <si>
    <t>A jövő nemzedék közösség és személyiség fejlesztése Tatán</t>
  </si>
  <si>
    <t>EFOP-3.3.2-16-2016-00195</t>
  </si>
  <si>
    <t>Programok az életen át tartó tanulás jegyében Tatán</t>
  </si>
  <si>
    <t>EFOP-3.7.3-16-2017-00254</t>
  </si>
  <si>
    <t>Bölcsődei szakemberek szakmai fejlesztése a Tatai járásban</t>
  </si>
  <si>
    <t>EFOP-1.9.9-17-2017-00006</t>
  </si>
  <si>
    <t>ÖNKORMÁNYZATI TÁMOGATÁSOK MINDÖSSZESEN</t>
  </si>
  <si>
    <t>KÖZÖS ÖNKORMÁNYZATI HIVATALI TÁMOGATÁSOK MINDÖSSZESEN</t>
  </si>
  <si>
    <t>KÖZÖS ÖNKORMÁNYZATI HIVATALI TÁMOGATÁSOK ÉS ÁTVETT PÉNZESZKÖZÖK MINDÖSSZESEN</t>
  </si>
  <si>
    <t>ÖNKORMÁNYZATI TÁMOGATÁSOK ÉS ÁTVETT PÉNZESZKÖZÖK MINDÖSSZESEN</t>
  </si>
  <si>
    <t>Személyi
juttatások</t>
  </si>
  <si>
    <t>Tatai Közös
Önkormányzati Hivatal</t>
  </si>
  <si>
    <t>Beruházás (ÁFA-val)</t>
  </si>
  <si>
    <t>Felújítás (ÁFA-val)</t>
  </si>
  <si>
    <t>Előző évi költségvetési maradvány igénybevétele</t>
  </si>
  <si>
    <t>Elvonások és befizetések bevételei</t>
  </si>
  <si>
    <t>Adó- és egyéb bírság</t>
  </si>
  <si>
    <t>Kamatbevétel, árfolyamnyereség</t>
  </si>
  <si>
    <t>Egyéb tárgyi eszközök értékesítése</t>
  </si>
  <si>
    <t>Oktatási és Kulturális Alap</t>
  </si>
  <si>
    <t>Felhalmozási célú támogatások államháztartáson belülre (vissza nem térítendő)</t>
  </si>
  <si>
    <t>Programok az életen át tartó tanulás jegyében Tatán EFOP-3.7.3-16-2017-00254</t>
  </si>
  <si>
    <t>Tartalék</t>
  </si>
  <si>
    <t>Összes
forrás</t>
  </si>
  <si>
    <t>Összes forrásból:</t>
  </si>
  <si>
    <t>Összes
kiadás</t>
  </si>
  <si>
    <t>Önerő</t>
  </si>
  <si>
    <t>EU-s forrás támogatási szerződés szerint</t>
  </si>
  <si>
    <t>1101-5101</t>
  </si>
  <si>
    <t>1102-5102</t>
  </si>
  <si>
    <t>1103-5103</t>
  </si>
  <si>
    <t>1104-5104</t>
  </si>
  <si>
    <t>Városüzemeltetés és vagyongazdálkodás</t>
  </si>
  <si>
    <t>1108-5108</t>
  </si>
  <si>
    <t>Balatonvilágos üdülő</t>
  </si>
  <si>
    <t>1109-5109</t>
  </si>
  <si>
    <t>Balatonfüred üdülő</t>
  </si>
  <si>
    <t>1110-5110</t>
  </si>
  <si>
    <t>Fényes-fürdő üdülő</t>
  </si>
  <si>
    <t>Önként vállalt</t>
  </si>
  <si>
    <t>1111-5111</t>
  </si>
  <si>
    <t>Igazgatási és egyéb tevékenység</t>
  </si>
  <si>
    <t>Adóigazgatás</t>
  </si>
  <si>
    <t xml:space="preserve">Állampolgársági ügyek </t>
  </si>
  <si>
    <t>Munkáltatói kölcsön</t>
  </si>
  <si>
    <t>1401-5401</t>
  </si>
  <si>
    <t>Építés-hatóság</t>
  </si>
  <si>
    <t>Hitelek</t>
  </si>
  <si>
    <t>Adóbevételek</t>
  </si>
  <si>
    <t>1003-5003</t>
  </si>
  <si>
    <t>1004-5004</t>
  </si>
  <si>
    <t>1005-5005</t>
  </si>
  <si>
    <t>1007-5007</t>
  </si>
  <si>
    <t>Közfoglalkoztatás</t>
  </si>
  <si>
    <t>1008-5008</t>
  </si>
  <si>
    <t>Közutak építése, üzemeltetése, fenntartása</t>
  </si>
  <si>
    <t>1009-5009</t>
  </si>
  <si>
    <t>1010-5010</t>
  </si>
  <si>
    <t>Hulladékgazdálkodás</t>
  </si>
  <si>
    <t>1011-5011</t>
  </si>
  <si>
    <t>Szennyvízgazdálkodás</t>
  </si>
  <si>
    <t>1012-5012</t>
  </si>
  <si>
    <t>1013-5013</t>
  </si>
  <si>
    <t>Vízellátással kapcsolatos közmű építése, fenntartása, üzemeltetése</t>
  </si>
  <si>
    <t>1014-5014</t>
  </si>
  <si>
    <t>1015-5015</t>
  </si>
  <si>
    <t>Játszóterek fenntartása</t>
  </si>
  <si>
    <t>1016-5016</t>
  </si>
  <si>
    <t>Parkfenntartás</t>
  </si>
  <si>
    <t>1018-5018</t>
  </si>
  <si>
    <t>Közbeszerzések</t>
  </si>
  <si>
    <t>Építésügy</t>
  </si>
  <si>
    <t>1017-5017</t>
  </si>
  <si>
    <t>1019-5019</t>
  </si>
  <si>
    <t>Város- községgazdálkodás</t>
  </si>
  <si>
    <t>1020-5020</t>
  </si>
  <si>
    <t>Pályázati előkészítések</t>
  </si>
  <si>
    <t>1025-5025</t>
  </si>
  <si>
    <t>Egyéb szervezetek támogatása</t>
  </si>
  <si>
    <t>1026-1026</t>
  </si>
  <si>
    <t>Nemzeti ünnepek</t>
  </si>
  <si>
    <t>1029-5029</t>
  </si>
  <si>
    <t>1030-5030</t>
  </si>
  <si>
    <t>Városi ünnepek</t>
  </si>
  <si>
    <t>1031-5031</t>
  </si>
  <si>
    <t>Városi kitüntetések</t>
  </si>
  <si>
    <t>1032-5032</t>
  </si>
  <si>
    <t>Minimaraton</t>
  </si>
  <si>
    <t>1035-5035</t>
  </si>
  <si>
    <t>Kommunikációs tevékenység</t>
  </si>
  <si>
    <t>1036-5036</t>
  </si>
  <si>
    <t>1038-5038</t>
  </si>
  <si>
    <t>1021-5021</t>
  </si>
  <si>
    <t>Szociális ellátások támogatása</t>
  </si>
  <si>
    <t>Önkormányzati lakások és garázsok</t>
  </si>
  <si>
    <t>1022-5022</t>
  </si>
  <si>
    <t>1033-5033</t>
  </si>
  <si>
    <t>Nemzetközi feladatok</t>
  </si>
  <si>
    <t>1034-5034</t>
  </si>
  <si>
    <t>Sporttevékenység</t>
  </si>
  <si>
    <t>1037-5037</t>
  </si>
  <si>
    <t>Gyermek-és ifjúságügy</t>
  </si>
  <si>
    <t>1027-5027</t>
  </si>
  <si>
    <t>1028-5028</t>
  </si>
  <si>
    <t>Egészségvédelmi-, Szociális és Sportalap</t>
  </si>
  <si>
    <t>1024-5024</t>
  </si>
  <si>
    <t>Visszatérítendő támogatások</t>
  </si>
  <si>
    <t>1002-5002</t>
  </si>
  <si>
    <t>1001-5001</t>
  </si>
  <si>
    <t>1006-5006</t>
  </si>
  <si>
    <t>Önkormányzati vagyonnal való gazdálkodás</t>
  </si>
  <si>
    <t>1023-5023</t>
  </si>
  <si>
    <t>Önkormányzati feladatok ellátásának támogatása</t>
  </si>
  <si>
    <t>EFOP-1.5.2-16-2017-00043 Humán szolgáltatások fejlesztése Magyary Zoltán mintajárásban</t>
  </si>
  <si>
    <t>EFOP-1.9.9-17-2017-00006 Bölcsődei szakemberek szakmai fejlesztése a Tatai járásban</t>
  </si>
  <si>
    <t>EFOP-3.3.2-16-2016-00195 A jövő nemzedék közösség és személyiség fejlesztése Tatán</t>
  </si>
  <si>
    <t>EFOP-3.7.3-16-2017-00254 Programok az életen át tartó tanulás jegyében Tatán</t>
  </si>
  <si>
    <t>TOP-1.1.2-16-KO1-2017-00002 Inkubátorház építése Tatán</t>
  </si>
  <si>
    <t>TOP-1.1.3-15-KO1-2016-00002 Helyi alapanyagokra épülő közétkeztetés</t>
  </si>
  <si>
    <t>TOP-1.1.3-15-KO1-2016-00003 Helyi gazdaság erőforrásaira épülő piac és agrárlogisztikai fejlesztés Tatán</t>
  </si>
  <si>
    <t>TOP-1.2.1-15-KO1-2016-00005 A Tatai Kőfaragó-ház rehabilitációja</t>
  </si>
  <si>
    <t>TOP-1.2.1-16-KO1-2017-00003 Angolkert Malomkert - Angolkerti rehabilitáció III. üteme</t>
  </si>
  <si>
    <t>TOP-1.4.1-15-KO1-2016-00020 Csillagsziget Bölcsőde felújítása Tatán</t>
  </si>
  <si>
    <t>TOP-3.1.1-16-KO-2017-0004 Haranglábtól-Agostyánig, Tata Országgyűlés tértől Agostyán városrészig létesítendő kerékpárút I. ütem</t>
  </si>
  <si>
    <t>TOP-3.2.1-16-KO1-2017-00001 Tatai Kertvárosi Óvoda épületenergetikai megújítása</t>
  </si>
  <si>
    <t>TOP-3.2.1-16-KO1-2017-00007 A tatai Szivárvány Óvoda épületenergetikai megújítása</t>
  </si>
  <si>
    <t>TOP-5.3.1-16-KO1-2017-00002 Helyi identitás és kohézió erősítése Tata és környéke Borvidéken</t>
  </si>
  <si>
    <t>1112-5112</t>
  </si>
  <si>
    <t>1113-5113</t>
  </si>
  <si>
    <t>1114-5114</t>
  </si>
  <si>
    <t>1117-5117</t>
  </si>
  <si>
    <t>1118-5118</t>
  </si>
  <si>
    <t>1119-5119</t>
  </si>
  <si>
    <t>1120-5120</t>
  </si>
  <si>
    <t>Helyi alapanyagokra épülő közétkeztetés  TOP-1.1.3-15-KO1-2016-00002</t>
  </si>
  <si>
    <t>Angolkert Malomkert - Angolkerti rehabilitáció III. üteme - TOP-1.2.1-16-KO1-2017-0003</t>
  </si>
  <si>
    <t xml:space="preserve">A Tatai Kőfaragó-ház rehabilitációja - TOP-1.2.1-15-KO1-2016-00005                                                                              </t>
  </si>
  <si>
    <t>Csillagsziget Bölcsőde felújítása Tatán -TOP-1.4.1-15-KO1-2016-00020</t>
  </si>
  <si>
    <t>Magyarország Együttműködési Program CULTPLAY-Interaktív tematikus parkok létrehozása Interreg V-A Szlovákia</t>
  </si>
  <si>
    <t xml:space="preserve">Haranglából -Agostyánig, Tata Országgyűlés tértől Agostyán városrészig létesítendő kerékpárút I. ütem TOP-3.1.1-16-KO1-2017-00004 </t>
  </si>
  <si>
    <t>Magyarország Együttműködési Program KOMBI-Határon Átnyúló Integrált Kerékpárkölcsönző rendszer Interreg V-A Szlovákia</t>
  </si>
  <si>
    <t>Inkubátorház építés Tatán -TOP-1.1.2-16-KO1-2017-00002</t>
  </si>
  <si>
    <t>A tatai Szivárvány Óvoda épület energetikai megújítása TOP-3.2.1-16-KO1-2017-00007</t>
  </si>
  <si>
    <t>Tatai Kertvárosi Óvoda épületenergetikai megújítása TOP-3.2.1-16-KO1-2017-00001</t>
  </si>
  <si>
    <t>Önként vállalt összesen</t>
  </si>
  <si>
    <t>EFOP-1.2.9-17-2017-00026 Nők a családban és a munkahelyen</t>
  </si>
  <si>
    <t>Csillagsziget Bölcsőde felújítása Tatán - TOP-1.4.1-15-KO1-2016-00020</t>
  </si>
  <si>
    <t>Vis major támogatás</t>
  </si>
  <si>
    <t>2024.</t>
  </si>
  <si>
    <t>Már meglévő adósságot keletkeztető ügyletek</t>
  </si>
  <si>
    <t>Tatai Kistérségi Többcélú Társulásnak támogatás (tagdíj, állami támogatás és önkormányzati támogatás)</t>
  </si>
  <si>
    <t>Rendőrségnek</t>
  </si>
  <si>
    <t>Tatai Televízió Közalapítvány támogatása</t>
  </si>
  <si>
    <t>Egészségügyi alapellátás támogatása 5 fogászati körzetre</t>
  </si>
  <si>
    <t>Közösségi közlekedés szolgáltatója részére működési költségtérítés</t>
  </si>
  <si>
    <t>Tatai Vadlúd Sokadalom támogatása</t>
  </si>
  <si>
    <t>Magyar Máltai Szeretetszolgálat Tatai Csoportja</t>
  </si>
  <si>
    <t>Magyar Vöröskereszt Tatai Szervezete</t>
  </si>
  <si>
    <t>Egészségvédelmi-, Szociális- és Sport Alap</t>
  </si>
  <si>
    <t>Színes Iskola Alapítvány tanulójának támogatása</t>
  </si>
  <si>
    <t>Agostyáni Tűzoltó Egyesület támogatása</t>
  </si>
  <si>
    <t>KEM Mentőalapítvány támogatása (tatai mentőállomás)</t>
  </si>
  <si>
    <t>Munkáltatói kölcsön nyújtása</t>
  </si>
  <si>
    <t>Értékvédelmi feladatok támogatása (homlokzat felújítási pályázat)</t>
  </si>
  <si>
    <t>Tatai Városgazda Nonprofit Kft. működési támogatás</t>
  </si>
  <si>
    <t>Rendház Kft. működési támogatás</t>
  </si>
  <si>
    <t>Tatai Városkapu Közhasznú Zrt. támogatása</t>
  </si>
  <si>
    <t>Tata és Környéke Turisztikai Egyesület - Turisztikai Desztinációs Menedzsment működési támogatása</t>
  </si>
  <si>
    <t>Tatai Öreg-tó Kft. részére tagi kölcsön biztosítása</t>
  </si>
  <si>
    <t>Magyar Máltai Szeretetszolgálat máltai játszókert</t>
  </si>
  <si>
    <t>Szociális Háló Közalapítvány támogatása</t>
  </si>
  <si>
    <t>Mozgáskorlátozottak KEM Egyesület támogatása</t>
  </si>
  <si>
    <t xml:space="preserve">OMS-Tata Vívó SE </t>
  </si>
  <si>
    <t>Tatai Sportegyesület támogatása</t>
  </si>
  <si>
    <t>Tatai Mecénás Közalapítvány támogatása</t>
  </si>
  <si>
    <t>TAC működési támogatása</t>
  </si>
  <si>
    <t>Tatai Kistérségi Többcélú Társulástól (belső ellenőrzéshez, infrastrukturális háttér biztosításához)</t>
  </si>
  <si>
    <t>Értékvédelmi feladatokra háztartásnak adott kölcsön visszatérülése</t>
  </si>
  <si>
    <t>Munkaügyi Központtól támogatás</t>
  </si>
  <si>
    <t>Kamatmentes szociális lakossági kölcsön visszatérítés</t>
  </si>
  <si>
    <t>Kölcsön visszatérülés Vis Major</t>
  </si>
  <si>
    <t>Magyarország Együttműködési program CULTPLAY - Interaktív tematikus parkok létrehozása - Interreg V-A Szlovákia</t>
  </si>
  <si>
    <t>Magyarország Együttműködési program KOMBI - Határon átnyúló integrált kerékpárkölcsönző rendszer - Interreg V-A Szlovákia</t>
  </si>
  <si>
    <t>Haranglábtól- Agostyánig, Tata Országgyűlés tértől Agostyán városrészig létesítendő kerékpárút I. ütem - TOP-3.1.1-16-KO1-2017-00004</t>
  </si>
  <si>
    <t>Tatai Kertvárosi Óvoda épületenergetikai megújítása - TOP-3.2.1-16-KO1-2017-00001</t>
  </si>
  <si>
    <t>A tatai Szivárvány Óvoda épületenergetikai megújítása - TOP-3.2.1-16-KO1-2017-00007</t>
  </si>
  <si>
    <t>Helyi identitás és kohézió erősítése Tata és környéke Borvidéken - TOP-5.3.1-16-KO1-2017-00002</t>
  </si>
  <si>
    <t>Munkáltatói kölcsön visszatérülés</t>
  </si>
  <si>
    <t>Működési célú vissza nem térítendő támogatás Dunaalmás Község Önkormányzatától</t>
  </si>
  <si>
    <t>Működési célú vissza nem térítendő támogatás Dunaszentmiklós Község Önkormányzatától</t>
  </si>
  <si>
    <t>Működési célú vissza nem térítendő támogatás Neszmély Község Önkormányzatától</t>
  </si>
  <si>
    <t>Helyi alapanyagokra épülő közétkeztetés - TOP-1.1.3-15-KO1-2016-00002</t>
  </si>
  <si>
    <t>Helyi gazdaság erőforrásaira épülő piac és agrárlogisztikai fejlesztés Tatán - TOP-1.1.3-15-KO1-2016-00003</t>
  </si>
  <si>
    <t>A Tatai Kőfaragó-ház rehabilitációja - TOP-1.2.1-15-KO1-2016-00005</t>
  </si>
  <si>
    <t>Angolkert Malomkert - Angolkerti rehabilitáció III. üteme - TOP-1.2.1-16-KO1-2017-00003</t>
  </si>
  <si>
    <t>A jövő nemzedék közösség és személyiség fejlesztése Tatán - EFOP-3.3.2-16-2016-00195</t>
  </si>
  <si>
    <t>Programok az életen át tartó tanulás jegyében Tatán - EFOP-3.7.3-16-2017-00254</t>
  </si>
  <si>
    <t>Karsztvízszint-emelkedés okozta azonnali intézkedést igénylő feladatok</t>
  </si>
  <si>
    <t>Humán szolgáltatások fejlesztése Magyary Zoltán mintajárásban - EFOP-1.5.2-16-2017-00043</t>
  </si>
  <si>
    <t>Bölcsődei szakemberek szakmai fejlesztése a Tatai járásban - EFOP-1.9.9-17-2017-00006</t>
  </si>
  <si>
    <t>Nők munkaerőpiaci támogatása Tatán - EFOP-1.2.9-17-2017-00026</t>
  </si>
  <si>
    <t>Kiadás, melyre a maradvány fordítódik</t>
  </si>
  <si>
    <t>Felhalmozási céltartalék</t>
  </si>
  <si>
    <t>Humán szolgáltatások fejlesztése Magyary Zoltán mintajárásban</t>
  </si>
  <si>
    <t>Haranglábtól- Agostyánig, Tata Országgyűlés tértől Agostyán városrészig létesítendő kerékpárút I. ütem</t>
  </si>
  <si>
    <t>Tatai Kertvárosi Óvoda épületenergetikai megújítása</t>
  </si>
  <si>
    <t>Helyi identitás és kohézió erősítése Tata és környéke Borvidéken</t>
  </si>
  <si>
    <t>Támogatási
szerződés
kötés
időpontja</t>
  </si>
  <si>
    <t>*Adatok forrása: pályázati szintű projektanalitikák, benyújtott pályázatok és megkötött támogatási szerződések</t>
  </si>
  <si>
    <t>Tata Város Önkormányzata</t>
  </si>
  <si>
    <t>I.1.f) Beszámítás (a táblázat alatt részletezve)</t>
  </si>
  <si>
    <t>I.1.f)</t>
  </si>
  <si>
    <t>Támogató szolgáltatás - teljesítménytámogatás</t>
  </si>
  <si>
    <t>Közösségi alapellátások - alaptámogatás + kieg.támog. III.3. ob)</t>
  </si>
  <si>
    <t>III.4.a)</t>
  </si>
  <si>
    <t>III.4.b)</t>
  </si>
  <si>
    <t>III.5. aa)</t>
  </si>
  <si>
    <t>III.5. ab)</t>
  </si>
  <si>
    <t>Az intézményi gyermekétkeztetés üzemletetési támogatása</t>
  </si>
  <si>
    <t>III.5. b)</t>
  </si>
  <si>
    <t>2. melléklet jogcímeihez: ÁLLAMI TÁMOGATÁS MINDÖSSZESEN</t>
  </si>
  <si>
    <t>Törvény- javaslat hivatk.sz.</t>
  </si>
  <si>
    <t>Fajlagos összeg Ft/mutató</t>
  </si>
  <si>
    <t>12 hó</t>
  </si>
  <si>
    <t>Fő/számított létszám/év</t>
  </si>
  <si>
    <t>Helyi alapanyagokra épülő közétkeztetés - TOP-1.1.3.-15-KO1-2016-00002</t>
  </si>
  <si>
    <t>A Tatai Kőfaragó-ház rehabilitációja - TOP-1.2.1.-15-KO1-2016-00005</t>
  </si>
  <si>
    <t xml:space="preserve"> - Felhalmozási céltartalék</t>
  </si>
  <si>
    <t>MINDÖSSZESEN BEVÉTEL - IRÁNYÍTÓSZERVI TÁMOGATÁSSAL KORRIGÁLT</t>
  </si>
  <si>
    <t>Korrekció</t>
  </si>
  <si>
    <t>MINDÖSSZESEN KIADÁS - IRÁNYÍTÓSZERVI TÁMOGATÁSSAL KORRIGÁLT</t>
  </si>
  <si>
    <t>EGYENLEG</t>
  </si>
  <si>
    <t>KÖLTSÉGVETÉSI EGYENLEG</t>
  </si>
  <si>
    <t>Működési támogatások</t>
  </si>
  <si>
    <t>Bevételek mindösszesen</t>
  </si>
  <si>
    <t>Tatai Eötvös József Gimnázium és Kollégium</t>
  </si>
  <si>
    <t>mindösszesen</t>
  </si>
  <si>
    <t>Személyi juttatás</t>
  </si>
  <si>
    <t>M.adókat terhelő jár.</t>
  </si>
  <si>
    <t>Költségvetési  alcímek és szakfeladatok ÖSSZESEN</t>
  </si>
  <si>
    <t>Vaszary J. Általános Iskola</t>
  </si>
  <si>
    <t>Tartozás 2025</t>
  </si>
  <si>
    <t>Tartozás 2026</t>
  </si>
  <si>
    <t>2025.</t>
  </si>
  <si>
    <t>2026.</t>
  </si>
  <si>
    <t>Arany János Tehetséggondozó Programhoz kapcsolódó szociális támogatás (EFOP-1.5.2-16-2017-00043 Humán szolgáltatások fejlesztése Magyary Zoltán mintajárásában)</t>
  </si>
  <si>
    <t>1501-5501</t>
  </si>
  <si>
    <t>166 394 E Ft</t>
  </si>
  <si>
    <t>572 581 E Ft</t>
  </si>
  <si>
    <t>Megvaló-
sítás
tervezett
befejezése</t>
  </si>
  <si>
    <t>Tárgyévi kiadások előirányzata</t>
  </si>
  <si>
    <t>Haranglábtól- Agostyánig, Tata Országgyűlés tértől Agostyán városrészig létesítendő kerékpárút I. ütem - TOP-3.1.1-16-KE1-2017-00004</t>
  </si>
  <si>
    <t>Kötelezettséggel terhelt pénzmaradvány</t>
  </si>
  <si>
    <t>2016. évi negatív pénzmaradvány</t>
  </si>
  <si>
    <t>EFOP-1.5.2-16-2017-00043 Humán szolgáltatások fejlesztése Magyary Zoltán mintajárásban pályázathoz támogatás</t>
  </si>
  <si>
    <t xml:space="preserve">Elvonások és befizetések bevételei </t>
  </si>
  <si>
    <t>Elszámolás a központ költségvetéssel és költségvetési szerveinkkel</t>
  </si>
  <si>
    <t>Dunalmási kirendeltség</t>
  </si>
  <si>
    <t>Mindöszesen:</t>
  </si>
  <si>
    <t>Mindösszesen:</t>
  </si>
  <si>
    <t>M.adókat
terh. jár.
és szocho</t>
  </si>
  <si>
    <t>Neszmélyi kirendeltség összesen</t>
  </si>
  <si>
    <t>Dunaalmási kirendeltség összesen</t>
  </si>
  <si>
    <t>Dunaszentmiklósi kirendeltség összesen</t>
  </si>
  <si>
    <t>1,55 % kamat</t>
  </si>
  <si>
    <t>Felhalmozási célú támogatások államháztartáson kívülre (vissza nem térítendő)</t>
  </si>
  <si>
    <t>Bevétel 2020. év</t>
  </si>
  <si>
    <t>2020. évi felhalmozási célú bevételek és kiadások mérlege (E Ft-ban)</t>
  </si>
  <si>
    <t xml:space="preserve">Tata Város Önkormányzata és az általa irányított költségvetési szervek 2020. évi kiadásai </t>
  </si>
  <si>
    <t>Egyéb 2020. évi igények</t>
  </si>
  <si>
    <t>Gondnoksági feladatokhoz kapcsolódó nagy értékű tárgyi eszköz beszerzés, klímaberendezések pótlása, cseréje</t>
  </si>
  <si>
    <t>Polgármesteri Hivatal főépületének homlokzati felújítása</t>
  </si>
  <si>
    <t>Polgármesteri Hivatal hátsó udvari parkoló kialakítása</t>
  </si>
  <si>
    <t>Kisértékű tárgyi eszköz beszerzés (bútor, textília, függöny, egyéb)</t>
  </si>
  <si>
    <t>Balatonvilágosi üdülőbe mosogatógép és egyéb konyhai felszerelés</t>
  </si>
  <si>
    <t>Balatonvilágosi üdülő udvar átalakítása, kertépítés</t>
  </si>
  <si>
    <t>Balatonfüredi üdülőbe falra szerelhető klíma berendezés</t>
  </si>
  <si>
    <t>Microsoft Windows 10 Pro-64-bit (40 db)</t>
  </si>
  <si>
    <t>Microsoft Office 2019 Home&amp;Business (15 db)</t>
  </si>
  <si>
    <t>Pons Danubii Európai Területi Együttműködési Csoportosulás visszatérítendő kölcsön visszatérülése</t>
  </si>
  <si>
    <t>DDR4 memória (50 db)</t>
  </si>
  <si>
    <t>SSD (50db)</t>
  </si>
  <si>
    <t>27" monitor (20 db)</t>
  </si>
  <si>
    <t>Vezeték nélküli mikrofon (1 db)</t>
  </si>
  <si>
    <t>Hálózati eszközök (switch, extender)</t>
  </si>
  <si>
    <t>Projektor</t>
  </si>
  <si>
    <t>Internet elérés (50/50Mbit/sec)</t>
  </si>
  <si>
    <t>15,6" Core i3 notebook (8 db)</t>
  </si>
  <si>
    <t>Microsoft Office 2019 Home&amp;Business (8db)</t>
  </si>
  <si>
    <t>Dunaalmási Kirendeltség</t>
  </si>
  <si>
    <t>Tárgyi eszköz beszerzés</t>
  </si>
  <si>
    <t>Térfigyelő kamerarendszer bővítése (Kocsi út, Naszályi-Komáromi út, Szomódi út, Agostyán, Újhegy)</t>
  </si>
  <si>
    <t>Polgármesteri Hivatal hátsó udvar kerítés felújítás (IGH felé)</t>
  </si>
  <si>
    <t>Közterület-felügyelet részére egyéb kisértékű tárgyi eszköz beszerzés</t>
  </si>
  <si>
    <t>Volánbusz Zrt.-vel kötött megállapodás alapján tanulóbérlet</t>
  </si>
  <si>
    <t xml:space="preserve">Rendkívüli települési támogatás </t>
  </si>
  <si>
    <t>Tata Város Önkormányzata 2020. évi költségvetéséhez</t>
  </si>
  <si>
    <t>2020 jan-febr hónapokra előző év létszám alapján</t>
  </si>
  <si>
    <t>2020 márc-dec hónapokra tárgy év létszám alapján</t>
  </si>
  <si>
    <t>2020.évre összesen</t>
  </si>
  <si>
    <t>A zöldterület-gazdálkodással kapcsolatos feladatok ellátásának alaptámogatása</t>
  </si>
  <si>
    <t>Közvilágítás fenntartásának alaptámogatása</t>
  </si>
  <si>
    <t>Köztemető-fenntartással kapcsolatos feladatok alaptámogatása</t>
  </si>
  <si>
    <t>Közutak fenntartásának alaptámogatása</t>
  </si>
  <si>
    <t>A HELYI ÖNKORMÁNYZATOK MŰKÖDÉSÉNEK ÁLT. TÁM. ÖSSZESEN TÁMOGATÁSCSÖKKENTÉS NÉLKÜL</t>
  </si>
  <si>
    <t>A HELYI ÖNKORMÁNYZATOK MŰKÖDÉSÉNEK ÁLT. TÁM. ÖSSZESEN TÁMOGATÁSCSÖKKENTÉS UTÁN</t>
  </si>
  <si>
    <t>A  TELEPÜLÉSI  ÖNKORMÁNYZATOK  EGYES  KÖZNEVELÉSI  FELADATAINAK TÁMOGATÁSA</t>
  </si>
  <si>
    <t>Óvodapedagógusok átlagbérének és közterheinek elismert összege - 12 hónapra</t>
  </si>
  <si>
    <t>Óvodapedagógusok munkáját közvetlenül segítők bértámogatása - 12 hónapra</t>
  </si>
  <si>
    <t xml:space="preserve"> </t>
  </si>
  <si>
    <t>II.2.</t>
  </si>
  <si>
    <t>Óvodaműk. támogatás 8 hónapra: gyermekek nevelése a napi 8 órát eléri           2019. okt.1-jei tény létszám alapján</t>
  </si>
  <si>
    <t>Óvodaműk. támogatás 4 hónapra: gyermekek nevelése a napi 8 órát eléri.           2019. okt.1-jei tény létszám alapján</t>
  </si>
  <si>
    <t>2.mell. III.</t>
  </si>
  <si>
    <t>TELEPÜLÉSI ÖNKORMÁNYZATOK SZOCIÁLIS,GYERMEKJÓLÉTI ÉS GYERMEKÉTKEZTETÉSI FELADATAINAK TÁMOGATÁSA</t>
  </si>
  <si>
    <t>A települési önkormányzatok szociális feladatainak egyéb támogatása 35 000 ft adóerőképesség alatt</t>
  </si>
  <si>
    <t>III.2.</t>
  </si>
  <si>
    <t>Egyes szociális és gyermekjóléti feladatok támogatása:</t>
  </si>
  <si>
    <t>III.2.a)</t>
  </si>
  <si>
    <t xml:space="preserve">Család- és gyermekjóléti szolgálat (2019.01.01. lakos alapján) </t>
  </si>
  <si>
    <t>2020 jan-febr hónapokra</t>
  </si>
  <si>
    <t>2020 márc-dec hónapokra</t>
  </si>
  <si>
    <t>2020. évre összesen</t>
  </si>
  <si>
    <t>III.2.b)</t>
  </si>
  <si>
    <t xml:space="preserve">Család- és gyermekjóléti központ (2019.01.01. lakos alapján)+1 fő EM </t>
  </si>
  <si>
    <t>III.2.c)</t>
  </si>
  <si>
    <t>Szociális étkeztetés - (társulással  65 360 forint/fő +10 %)</t>
  </si>
  <si>
    <t>III.2.da)</t>
  </si>
  <si>
    <t>III.2.db)</t>
  </si>
  <si>
    <t>III.2.f)</t>
  </si>
  <si>
    <t xml:space="preserve">Időskorúak nappali intézményi ellátása - (társulással 190 000 Ft/fő + 50%) </t>
  </si>
  <si>
    <t>III.2.g)</t>
  </si>
  <si>
    <t>Fogyatékosok személyek nappali intézményi ellátása -  (társulással  689 000 forint/fő +10 %)</t>
  </si>
  <si>
    <t>III.2.i)</t>
  </si>
  <si>
    <t>III.2.k)</t>
  </si>
  <si>
    <t>III.2.l)</t>
  </si>
  <si>
    <t>Támogató szolgáltatás - alaptámogatás</t>
  </si>
  <si>
    <t>III.2.m)</t>
  </si>
  <si>
    <t>III.2.n)</t>
  </si>
  <si>
    <t xml:space="preserve">A járásszékhely  önkormányzatokat  megillető  támogatás  éves  összegét  a  szociál-  és  nyugdíjpolitikáért felelős miniszter 2019. november 30-áig állapítja meg </t>
  </si>
  <si>
    <t>Egyes szociális és gyermekjóléti feladatok támogatása ÖSSZESEN</t>
  </si>
  <si>
    <t>Bölcsőde, mini bölcsőde támogatása</t>
  </si>
  <si>
    <t xml:space="preserve">Bölcsődei dajkák, középfokú végzettségű kisgyermeknevelők </t>
  </si>
  <si>
    <t>Bölcsödei üzemeltetési támogatás</t>
  </si>
  <si>
    <t>A  települési  önkormányzatok  által  biztosított  egyes  szociális  szakosított  ellátásokkal kapcsolatos feladatok támogatása  - Időskorúak Otthona</t>
  </si>
  <si>
    <t>Szakmai dolgozók átlagbérének támogatása</t>
  </si>
  <si>
    <t>Intézményüzemeltetés támogatás</t>
  </si>
  <si>
    <t>az  államháztartásért felelős  miniszter  2019.  december  15-éig  dönt ezért a 2019. májusi jóváhagyott összeggel terveztünk.</t>
  </si>
  <si>
    <t>Kistérségi Időskorúak Otthona állami támogatása összesen</t>
  </si>
  <si>
    <t>Dolgozók átlagbérének támogatása</t>
  </si>
  <si>
    <t>2019. dec15-éig miniszterek döntenek, ezért a 2019. májusijóváhagyott összeggel terveztünk.</t>
  </si>
  <si>
    <t>A rászoruló gyermekek szünidei étkeztetésének támogatása                      Fajlagos összeg az adóerőképesség függvénye</t>
  </si>
  <si>
    <t>IV.b)</t>
  </si>
  <si>
    <t>Szolidaritási hozzájárulás  34 000 ft adóerőképesség felett, a támogatáscsökkentés   beszámítás   alapját   meghaladó   része miatt</t>
  </si>
  <si>
    <t>3.mell. I.</t>
  </si>
  <si>
    <t xml:space="preserve">A HELYI ÖNKORMÁNYZATOK KIEGÉSZÍTŐ TÁMOGATÁSAI    -MŰKÖDÉSI CÉLÚ            </t>
  </si>
  <si>
    <t>I.5</t>
  </si>
  <si>
    <t>A települési önkormányzatok helyi közösségi közlekedésének támogatása -pályázat útján</t>
  </si>
  <si>
    <t>I.11.</t>
  </si>
  <si>
    <t>A költségvetési szerveknél foglalkoztatottak 2019. évi áthúzódó és 2020. évi kompenzációja</t>
  </si>
  <si>
    <t>Eredeti előirányzatként nem tervezhető - Kincstártól havonta pótelőirányzatként</t>
  </si>
  <si>
    <t>I.12.</t>
  </si>
  <si>
    <t>Szociális ágazati összevont pótlék és egészségügyi kiegészítő pótlék</t>
  </si>
  <si>
    <t>I.13.a)</t>
  </si>
  <si>
    <r>
      <rPr>
        <sz val="11"/>
        <color rgb="FF000000"/>
        <rFont val="Times New Roman"/>
        <family val="1"/>
        <charset val="238"/>
      </rPr>
      <t xml:space="preserve">Települési önkormányzatok kulturális feladatainak kiegészítő támogatása             </t>
    </r>
    <r>
      <rPr>
        <b/>
        <sz val="11"/>
        <color rgb="FF000000"/>
        <rFont val="Times New Roman"/>
        <family val="1"/>
        <charset val="238"/>
      </rPr>
      <t xml:space="preserve"> Megyei hatókörű városi múzeumok feladatainak támogatása</t>
    </r>
  </si>
  <si>
    <t xml:space="preserve">Eredeti előirányzatként nem tervezhető </t>
  </si>
  <si>
    <t>I.14.</t>
  </si>
  <si>
    <t xml:space="preserve">A HELYI ÖNKORMÁNYZATOK KIEGÉSZÍTŐ TÁMOGATÁSAI    -MŰKÖDÉSI CÉLÚ  ÖSSZESEN       </t>
  </si>
  <si>
    <t>BESZÁMÍTÁS KISZÁMÍTÁSA SORREND SZERINT</t>
  </si>
  <si>
    <t>Képlet alapján számított összeg!</t>
  </si>
  <si>
    <t>kapunk elvonás után</t>
  </si>
  <si>
    <t xml:space="preserve">Juniorka Óvoda támogatása - köznevelési szerződés alapján </t>
  </si>
  <si>
    <t>Juniorka Bölcsőde támogatása - ellátási szerződés alapján</t>
  </si>
  <si>
    <t>Fényes Fürdő területén fejlesztések végrehajtása</t>
  </si>
  <si>
    <t>Műfüves labdarúgó pályák építése</t>
  </si>
  <si>
    <t>Nem lakáscélú helyiségek felújítása</t>
  </si>
  <si>
    <t>Vaszary Villa állagmegóvás</t>
  </si>
  <si>
    <t>Ingatlanvásárlás, kisajátítás, egyéb bérlet</t>
  </si>
  <si>
    <t>3534 hrsz.-u ingatlan (Vértesszőlősi úti temető) vételár részlete</t>
  </si>
  <si>
    <t>Településrendezési eszközök felülvizsgálata</t>
  </si>
  <si>
    <t>Helyi egyedi értékek és védelmük felülvizsgálata</t>
  </si>
  <si>
    <t>Magyary Zoltán Népfőiskolai Társaság közművelődési támogatása ("25 éves a Népfőiskola" rendezvényeire)</t>
  </si>
  <si>
    <t>Magyarország-Szlovákia Együttműködési program TAPE - Innovációs labor kialakítása Interreg  V-A Szlovákia</t>
  </si>
  <si>
    <t>Kálvária szoborcsoport felújítása</t>
  </si>
  <si>
    <t>Halotthűtő a Kocsi úti temetőbe</t>
  </si>
  <si>
    <t>Kerítés felújítása a Környei úti temetőben</t>
  </si>
  <si>
    <t>Gyalogátkelőhelyek láthatóbbá tételének kiépítése</t>
  </si>
  <si>
    <t>Mikovényi-Jázmin-Gesztenye fasor körforgalom építés, zöldfelületi kivitelezés, 2019-évi áthúzódó számlaszerződés alapján</t>
  </si>
  <si>
    <t xml:space="preserve">Hidak felújítása (Berta-malmi, Cifra-malmi, Bartók Béla u, Alkotmány u.) </t>
  </si>
  <si>
    <t>Mart aszfaltos utak felújítása (Újvilág u., Mária u., Nyírfa u., Tulipán u., Balogh Ferenc u., Határ u., Újhegyi u., Fűzfa u. )</t>
  </si>
  <si>
    <t>Visszatérő forrásokkal kapcsolatos feladatok</t>
  </si>
  <si>
    <t>Árendás patak alsó szakasz rekonstrukció, mederkorrekció, mederkotrás</t>
  </si>
  <si>
    <t>Agostyán, Kossuth utca vízrendezés I. ütem</t>
  </si>
  <si>
    <t>Malom-patak mederrekonstrukció III. ütem</t>
  </si>
  <si>
    <t>Tatán az Öreg-tó körüli utak és sétány felújítása</t>
  </si>
  <si>
    <t>Hulladékudvar kialakítás tervezése</t>
  </si>
  <si>
    <t>Közkutak létesítése</t>
  </si>
  <si>
    <t>Az Újhegyen Hársfa u., Szőlősor u. ivóvíz ellátás tervezés</t>
  </si>
  <si>
    <t>Székely B. u. közvilágítási terv és kivitelezés</t>
  </si>
  <si>
    <t>Járdák megvilágítása gyalogátkelőknél</t>
  </si>
  <si>
    <t>Csongor u. közvilágítás építés</t>
  </si>
  <si>
    <t>Mikovényi u. közvilágítás korszerűsítése</t>
  </si>
  <si>
    <t>Vértesszőlősi u. közvilágítás korszerűsítése</t>
  </si>
  <si>
    <t>Újhegyi út, Tavasz u. közvilágítás korszerűsítése</t>
  </si>
  <si>
    <t>Ady E. u. közvilágítás felújítás</t>
  </si>
  <si>
    <t>Eötvös u. - Tanoda tér közvilágítás építése</t>
  </si>
  <si>
    <t>Honvéd u. 1.számú főút szakaszának ledes korszerűsítése</t>
  </si>
  <si>
    <t>Játszóterek felújítása Május 1 u. 35. térvilágítás</t>
  </si>
  <si>
    <t>Keszthelyi u. 2.-8. játszótér felújítás</t>
  </si>
  <si>
    <t>Pezsgőgyári játszótér bekerítése</t>
  </si>
  <si>
    <t>Kazincbarcikai utcai játszótér bekerítése</t>
  </si>
  <si>
    <t xml:space="preserve">Tatai Városgazda Nonprofit Kft.-nek elektromos szemétfelszívó gép beszerzéséhez támogatása </t>
  </si>
  <si>
    <t>Környei úti körforgalom zöldterületi felújítása</t>
  </si>
  <si>
    <t>2019. évi működési maradvány</t>
  </si>
  <si>
    <t>Tatai Öreg-tó Kft.-től tagi kölcsön visszatérülése 2018-2020. év</t>
  </si>
  <si>
    <t xml:space="preserve">  - Tata Öreg tó Halászati Kft. 2018-2019. évi tagi kölcsön visszatérülés</t>
  </si>
  <si>
    <t>Zárolt működési tartalék</t>
  </si>
  <si>
    <t xml:space="preserve">  - Tatai Városkapu Közhasznú Zrt. (Fényes fürdő kölcsönének késedelmi kamata)</t>
  </si>
  <si>
    <t xml:space="preserve">  - Tatai Városkapu Közhasznú Zrt. (Fényes fürdő tagi kölcsön)</t>
  </si>
  <si>
    <t>Tatai Városkapu Közhasznú Zrt. (Fényes fürdő tagi kölcsön)</t>
  </si>
  <si>
    <t>Tata és Környéke Turisztikai Egyesület működési kölcsön visszatérülés</t>
  </si>
  <si>
    <t xml:space="preserve">  - Tata és Környéke Turisztikai Egyesület működési kölcsön </t>
  </si>
  <si>
    <t>II. János Pál pápa tér, út és parkoló tervezése</t>
  </si>
  <si>
    <t>Közterületi  hibabejelentő applikáció fejlesztése</t>
  </si>
  <si>
    <t>Vértesszőlősi úti zöld parkolónál (3540.hrsz.) gyalogos átkelőhely és bejáró létesítése</t>
  </si>
  <si>
    <t>Katolikus Karitász</t>
  </si>
  <si>
    <t>Építők parkjánál strand létesítése</t>
  </si>
  <si>
    <t>Lo presti forrás elvezetése a Hajdu utcai gyűjtőbe kormányhatározat alapján</t>
  </si>
  <si>
    <t>Alkotmány úti nyilvános illemhely korszerűsítése</t>
  </si>
  <si>
    <t>Akadálymentesítés, közlekedésbiztonság növelése (Járdák szegélysüllyesztése, taktilis jelek elhelyezése)</t>
  </si>
  <si>
    <t>Toldi M. játszótér tervezése, felújítás I. ütem</t>
  </si>
  <si>
    <t>Eszterházy csapadékcsatorna felújítása</t>
  </si>
  <si>
    <t>Tópart sétány Építők Parkjánál lévő szakaszának zöldterületi felújítása</t>
  </si>
  <si>
    <t>Önkormányzati bérlakások felújítása</t>
  </si>
  <si>
    <t>Táblakép és címer - Városháza Díszterem</t>
  </si>
  <si>
    <t>Éven belüli likvid hiteltörlesztés</t>
  </si>
  <si>
    <t>2019. évi felhalmozási maradvány</t>
  </si>
  <si>
    <t>543 251 E Ft</t>
  </si>
  <si>
    <t>3 havi 0,19 %BUBOR+0,95%=1,14 %</t>
  </si>
  <si>
    <t>3 havi BUBOR 0,19%+0,92% =1,11%</t>
  </si>
  <si>
    <t xml:space="preserve"> Támogatás értékű működési célra</t>
  </si>
  <si>
    <t>Fejlesztési hitelfelvétel megkötött szerződés alapján</t>
  </si>
  <si>
    <t xml:space="preserve"> Tatai Fürdő utcai Néphagyományőrző Óvoda</t>
  </si>
  <si>
    <t>Óvoda felújítási munkálatai (burkolatok cseréje, festés)</t>
  </si>
  <si>
    <t>Óvodai csoportszobák felújítása (burkolatok cseréje, festés)</t>
  </si>
  <si>
    <t>Óvodai csoportszobák felújítása (burkolatok cseréje, festés, belső ajtók cseréje)</t>
  </si>
  <si>
    <t>Tetőszigetelés</t>
  </si>
  <si>
    <t>Udvari játék cseréje</t>
  </si>
  <si>
    <t>Tatai Geszti Óvoda Agostyáni Tagintézménye</t>
  </si>
  <si>
    <t>Udvaron térburkolat lerakása</t>
  </si>
  <si>
    <t>Térkövezés (75 m2)</t>
  </si>
  <si>
    <t>Öntött gumiburkolat elkészítése (300 m2)</t>
  </si>
  <si>
    <t xml:space="preserve">Csoportszobákban bútorlapból falburkolat felhelyzése, beépített szekrények felújítása </t>
  </si>
  <si>
    <t>víz-, szennyvíz-, villanyhálózat felújítás (Öregvár, Német Nemzetiségi Múzeum, Deák F. utcai raktár) azonnali hibaelhárítások</t>
  </si>
  <si>
    <t>udvarrendezés, kerítés, kapualj felújítás (Német Nemzetiségi Múzeum)</t>
  </si>
  <si>
    <t>Leendő irodák kialakítása (volt rendelőintézet)</t>
  </si>
  <si>
    <t>Felújítási tervek (műemlékvédelem által elfogadott dokumentáció összeállítása, faldiagnosztika, 3D felmérés, statikai felmérések, gépészet felülvizsgálata) Öregvár</t>
  </si>
  <si>
    <t>Német Nemzetiségi Múzeum raktár épület szükséges felújítása (pályázat beadva 4 M Ft)</t>
  </si>
  <si>
    <t>Vár időszaki tereinek felújítása, festése</t>
  </si>
  <si>
    <t>Nagy értékű és kis értékű tárgyi eszközök beszerzése</t>
  </si>
  <si>
    <t>Árnyékoló terasz fölé, pancsoló fölé</t>
  </si>
  <si>
    <t xml:space="preserve">Árnyékolás/homlokzati üvegfelület </t>
  </si>
  <si>
    <t>Árnyékolás a homokozó fölé</t>
  </si>
  <si>
    <t>Felnőtt öltözőszekrény/irattartó szekrény</t>
  </si>
  <si>
    <t xml:space="preserve">Játszóudvar építkezés utáni felújítása, gyeptégla </t>
  </si>
  <si>
    <t>Autómata öntözőrendszer kiépítése</t>
  </si>
  <si>
    <t>Mosó és szárítógép</t>
  </si>
  <si>
    <t>Udvari játék / játszóvár</t>
  </si>
  <si>
    <t xml:space="preserve">Udvari mászóka </t>
  </si>
  <si>
    <t xml:space="preserve"> Műfű /100 négyzetméter/</t>
  </si>
  <si>
    <t>Kis értékű tárgyi eszközök beszerzése</t>
  </si>
  <si>
    <t>Klímaberendezés beszerzése</t>
  </si>
  <si>
    <t>Nagy értékű és kis értékű tárgyi eszközök, védőnői programok beszerzése</t>
  </si>
  <si>
    <t>Tatai vonatkozású műtárgyak</t>
  </si>
  <si>
    <t>Informatikai eszközök</t>
  </si>
  <si>
    <t>Német Nemzetiségi Múzeum malomkerék</t>
  </si>
  <si>
    <t>Tűzjelző rendszer kiépítése Német Nemzetiségi Múzeum+ raktár</t>
  </si>
  <si>
    <t>Könyvbeszerzés</t>
  </si>
  <si>
    <t>Tatai Csillagsziget Bölcsöde</t>
  </si>
  <si>
    <r>
      <t>Tata Város Önkormányzata</t>
    </r>
    <r>
      <rPr>
        <sz val="11"/>
        <rFont val="Times New Roman"/>
        <family val="1"/>
        <charset val="238"/>
      </rPr>
      <t xml:space="preserve"> - választott tisztségviselők</t>
    </r>
  </si>
  <si>
    <t>Előző év(ek)-ben keletkezett tárgyévet terhelő fizetési kötelezettség</t>
  </si>
  <si>
    <t xml:space="preserve">Fizetési kötelezettséggel csökkentett saját bevétel 50 %-a </t>
  </si>
  <si>
    <t xml:space="preserve"> Tatai Fürdő Utcai Néphagyományőrző Óvoda</t>
  </si>
  <si>
    <t>Tatabányai Szakképzési Centrum Bláthy Ottó Szakkgimnáziuma, Szakközépiskolája és Kollágiuma</t>
  </si>
  <si>
    <t xml:space="preserve"> Tatai Fürdő Utcai Néphagyományörző Óvoda</t>
  </si>
  <si>
    <t>Várkazán beszerzés</t>
  </si>
  <si>
    <t>Szoftver beszerzés</t>
  </si>
  <si>
    <t>1115-515</t>
  </si>
  <si>
    <t>1121-5121</t>
  </si>
  <si>
    <t>Magyarország-Szlovákia együtműködési program TAPE -Innovációs labor kialakítása INTERREG V-A Szlovákia</t>
  </si>
  <si>
    <t>1301-5301</t>
  </si>
  <si>
    <t>Dunszentmiklósi kirendeltség</t>
  </si>
  <si>
    <t>Polgármesteri Hivatal belső udvari szennyvízcsatorna felújítása</t>
  </si>
  <si>
    <t>Éven belüli likvid hitel</t>
  </si>
  <si>
    <t>Helyi adók (eredeti)</t>
  </si>
  <si>
    <t>Díjak, pótlékok, bírságok (eredeti)</t>
  </si>
  <si>
    <t>Talajterhelési díj (eredeti)</t>
  </si>
  <si>
    <t>Tulajdonosi bevétel (használatba adásból, üzemeltetésbe adásból származó bevétel) (eredeti)</t>
  </si>
  <si>
    <t>Vaszary J. Általános Iskola ÖSSZESEN</t>
  </si>
  <si>
    <t>Mód.</t>
  </si>
  <si>
    <t>24/2019.(XII.19.)önk.rend. Hatályos:2020.01.01.</t>
  </si>
  <si>
    <t>Biztosító által fizetett kártérítés és egyéb működési bevétel</t>
  </si>
  <si>
    <t>Tata Város Önkormányzata és a Tatai Közös Önkormányzati Hivatal által adott visszatérítendő és vissza nem térítendő
támogatások 2020. évi alakulása (e Ft-ban)</t>
  </si>
  <si>
    <t>Veszélyhelyzet miatt tárgyi eszköz beszerzések (lázmérők, ózongenerátor)</t>
  </si>
  <si>
    <t>Kommunikációs feladatokhoz Canon objektív</t>
  </si>
  <si>
    <t>Magyary Zoltán Művelődési Központ koncepcióterv</t>
  </si>
  <si>
    <t>Fényes fasor körforgalom engedélyezési és kivitelezési terv</t>
  </si>
  <si>
    <t>Magyary Zoltán Tudásközpont fejlesztéséhez szükséges tervezési feladatok</t>
  </si>
  <si>
    <t xml:space="preserve">Tata Építők parkjában városi zöld infrastruktúra fejlesztés TOP-2.1.2-15-KO1-2016-00002 </t>
  </si>
  <si>
    <t>Gyermekkönyv megálló</t>
  </si>
  <si>
    <t xml:space="preserve">Agostyáni úti kerékpárút forgalomba helyezéséhez szükséges közvilágítás kiépítése Feszty utcától Hollósy utcáig </t>
  </si>
  <si>
    <t>Tata, Baji úti kerékpárút fejlesztése TOP-3.1.1-16-KO1-2019-00006</t>
  </si>
  <si>
    <t>A bölcsődei kapacitás növelése férőhely bővítéssel Tatán, TOP-1.4.1-19-KO1-2019-0016</t>
  </si>
  <si>
    <t>Güntner Aréna hangtechnika átalakítása</t>
  </si>
  <si>
    <t>TOP-1.1.3-16-KO1-2017-00003 Helyi gazdaság erőforrásaira épülő piac-és agrárlogisztikai fejlesztés Tatán</t>
  </si>
  <si>
    <t>TOP-1.2.1-15-KO1-2016-00005 A tatai Kőfaragó-ház kézműves és aktív ökoturisztikai látogatóközpontként való rehabilitációja és a Kálvária-domb egységes turisztikai termékcsomagként való bemutatása</t>
  </si>
  <si>
    <t>Tatai Közös Önkormányzati Hivatal pénzmaradvánnyal való elszámolása</t>
  </si>
  <si>
    <t>Tatai Lengyel Nemzetiségi Önkormányzat veszélyhelyzeti adománya koronavírus járvány megfékezésére</t>
  </si>
  <si>
    <t>Működési célú támogatások államháztartáson kívülről (vissza nem térítendő)</t>
  </si>
  <si>
    <t>Veszélyhelyzeti általános tartalékhoz háztartásoktól, civil szervezetektől és vállalkozásoktól átvett pénzeszköz</t>
  </si>
  <si>
    <t>Bethlen Gábor Alapkezelő Zrt. támogatása</t>
  </si>
  <si>
    <t xml:space="preserve">Tatai Kistérségi Többcélú Társulástól elvonások és befizetések bevételei </t>
  </si>
  <si>
    <t>Kerékpárral a hét határon projekt támogatása</t>
  </si>
  <si>
    <t>Interspartól működési célú átvett pénzeszköz</t>
  </si>
  <si>
    <t>Felhalmozási célú támogatások államháztartáson kívülről (vissza nem térítendő)</t>
  </si>
  <si>
    <t>TOP-2.1.2-15-KO1-2016-00002 Tata Építők parkjában városi zöld infrastruktúra fejlesztés</t>
  </si>
  <si>
    <t>UNICEF Gyermekbarát település pályázati támogatás</t>
  </si>
  <si>
    <t>EFOP-4.1.7-16-2017-00181 Peron Music tehetséggondozó és képző központ létrehozása Tatán</t>
  </si>
  <si>
    <t>TOP-3.1.1-16-KO1-2019-00006, Tata, Baji úti kerékpárút fejlesztése</t>
  </si>
  <si>
    <t>TOP-1.4.1-19-KO1-2019-0016, A bölcsődei kapacitás növelése férőhely bővítéssel Tatán</t>
  </si>
  <si>
    <t>Tatai Önkéntes Bűnmegelőző Polgárőr Egyesület (általános tartalékból 500 E Ft)</t>
  </si>
  <si>
    <t>Iskola a gyermekekért Alapítvány támogatása (általános tartalékból)</t>
  </si>
  <si>
    <t>A tatai 6. számú gyermek háziorvosi körzet praxisjoga átadás-átvételének támogatása</t>
  </si>
  <si>
    <t>Tatai Hódy Sportegyesület támogatása</t>
  </si>
  <si>
    <t>Tatai háziorvosok, gyermekorvosok és fogorvosok támogatása koronavírus járvány megelőzésére (veszélyhelyzeti általános tartalékból)</t>
  </si>
  <si>
    <t>Szent Borbála Kórház támogatása koronavírus tesztgép vásárlásához</t>
  </si>
  <si>
    <t>Bursa Hungarica ösztöndíj (Magyar Államkincstár)</t>
  </si>
  <si>
    <t>Fellner Jakab Kulturális Közhasznú Alapítvány támogatása</t>
  </si>
  <si>
    <t>Helyi klímastratégia kidolgozása</t>
  </si>
  <si>
    <t>KEHOP-1.2.1-2018-00176</t>
  </si>
  <si>
    <t>A bölcsődei kapacitás növelése férőhely bővítéssel Tatán</t>
  </si>
  <si>
    <t>TOP-1.4.1-19-KO1-2019-00016</t>
  </si>
  <si>
    <t>Tata, Baji úti kerékpárút fejlesztése</t>
  </si>
  <si>
    <t>TOP-3.1.1-16-KO1-2019-00006</t>
  </si>
  <si>
    <t>Tárgyévi bevételek</t>
  </si>
  <si>
    <t>Peron Music tehetséggondozó és képző központ létrehozása Tatán</t>
  </si>
  <si>
    <t xml:space="preserve">EFOP-4.1.7-16-2017-00181 </t>
  </si>
  <si>
    <t>Könyvtárfejlesztés Tatán</t>
  </si>
  <si>
    <t>EFOP-4.1.8-16-2017-00080</t>
  </si>
  <si>
    <t>Csatlakozási konstrukció az önkormányzati ASP rendszer országos kiterjesztéséhez</t>
  </si>
  <si>
    <t>KÖFOP-1.2.1-VEKOP-16-2017-010002</t>
  </si>
  <si>
    <t>Tata Építők parkjában városi zöld infrastruktúra fejlesztés</t>
  </si>
  <si>
    <t xml:space="preserve">TOP-2.1.2-15-KO1-2016-00002 </t>
  </si>
  <si>
    <t>Magyarország-Szlovákia Együttműködési program TAPE - Innovációs labor kialakítása - Interreg V-A Szlovákia</t>
  </si>
  <si>
    <t>Veszélyhelyzeti általános tartalék</t>
  </si>
  <si>
    <t>Laptopok beszerzése veszélyhelyzet miatt home office munkához</t>
  </si>
  <si>
    <t xml:space="preserve">Egyéb gépek, berendezések beszerzése </t>
  </si>
  <si>
    <t>Német Nemzetiségi Múzeum híd (balesetveszél elhárítás)</t>
  </si>
  <si>
    <t>Állományvédelmi raktár (pályázat+önrész)</t>
  </si>
  <si>
    <r>
      <t xml:space="preserve">2020. Eredeti előirányzat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</si>
  <si>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2020. júniusi           I. módosított előirányzat            </t>
    </r>
    <r>
      <rPr>
        <sz val="11"/>
        <color rgb="FF000000"/>
        <rFont val="Times New Roman"/>
        <family val="1"/>
        <charset val="238"/>
      </rPr>
      <t xml:space="preserve"> Ft-ban</t>
    </r>
  </si>
  <si>
    <r>
      <t xml:space="preserve">2020. júniusi               I. módosított előirányzat  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</si>
  <si>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t>Eredeti mutató</t>
  </si>
  <si>
    <t>idegenforgalmi adó Ft</t>
  </si>
  <si>
    <t>BESZÁMÍTÁS  ÖSSZESEN     - adóerőképesség 2020-ra: 48 358 Ft</t>
  </si>
  <si>
    <t>Pedagógusok, akik 2019. jan 1-jei átsorolással megszerezték az alapfokú, Ped. II. minősítési kategóriát</t>
  </si>
  <si>
    <t>Pedagógusok, akik 2020. jan1-jei átsorolással megszerezték az alapfokú, Ped. II. minősítési kategóriát</t>
  </si>
  <si>
    <t xml:space="preserve">Hajléktalanok nappali intézményi ellátása -(társulással 239 100 Ft/fő + 20%) </t>
  </si>
  <si>
    <t xml:space="preserve">Hajléktalanok átmeneti intézményei (átmeneti szállás, éjjeli menedékhely) (társulással 569 350 Ft/fő + 10%) </t>
  </si>
  <si>
    <t>Bölcsőde, mini bölcsőde támogatása összesen</t>
  </si>
  <si>
    <t>A települési önkormányzatok kulturális feladatainak támogatása összesen</t>
  </si>
  <si>
    <t>3.mell. II.</t>
  </si>
  <si>
    <t xml:space="preserve">A HELYI ÖNKORMÁNYZATOK KIEGÉSZÍTŐ TÁMOGATÁSAI    - FELHALMOZÁSI CÉLÚ           </t>
  </si>
  <si>
    <t>II.30.</t>
  </si>
  <si>
    <t>Tatán az Öreg-tó körüli utak és sétány felújításának támogatása</t>
  </si>
  <si>
    <t>2. melléklet ÉS 3. melléklet jogcímeihez: ÁLLAMI TÁMOGATÁS MINDÖSSZESEN</t>
  </si>
  <si>
    <t xml:space="preserve">                                </t>
  </si>
  <si>
    <t xml:space="preserve">Beszámitás max.összege/beszám.alapja   549.226.706  Ft   </t>
  </si>
  <si>
    <t xml:space="preserve"> Támogatáscsökk. 2019. november</t>
  </si>
  <si>
    <t xml:space="preserve"> Támogatáscsökk. 2020.januártól</t>
  </si>
  <si>
    <t>Helyi közöségi közlekedés támogatása</t>
  </si>
  <si>
    <t>Könyvtárfejlesztés Tatán- EFOP-4.1.8-16-2017-00080</t>
  </si>
  <si>
    <t>Csatlakozási konstrukció az önkormányzat ASP rendszer országos kiterjesztéséhez KÖFOP-1.2.1-VEKOP-16-2017-010002</t>
  </si>
  <si>
    <t>Helyi klímastratégia kidolgozása - KEHOP-1.2.1-18-2018-00176</t>
  </si>
  <si>
    <t>Tatai Közös Önkormányzati Hivatal 2019 évi. működési és felhalmozási maradvány igénybevétele cél szerint (E Ft-ban)</t>
  </si>
  <si>
    <t>2019. évi maradvány</t>
  </si>
  <si>
    <t>Elvonás</t>
  </si>
  <si>
    <t>Intézmények Gazdasági Hivatala 2019 évi. működési és felhalmozási maradvány igénybevétele cél szerint (E Ft-ban)</t>
  </si>
  <si>
    <t>2019. évi  maradvány</t>
  </si>
  <si>
    <t xml:space="preserve"> - EMMI pályázat</t>
  </si>
  <si>
    <t>EMMI pályázat</t>
  </si>
  <si>
    <t xml:space="preserve"> -régészeti tevékenység</t>
  </si>
  <si>
    <t>Egyéb feladatokra</t>
  </si>
  <si>
    <t>Tatai Fürdő utcai Néphagyományőrző Óvoda</t>
  </si>
  <si>
    <t>Móricz Zsigmond Városi Könyvtár</t>
  </si>
  <si>
    <t>Egészségügyi Alapellátó Intézmény</t>
  </si>
  <si>
    <t>Önkormányzat fel nem osztott maradványa</t>
  </si>
  <si>
    <t xml:space="preserve">                 2020.
</t>
  </si>
  <si>
    <t>Pótlék, bírság (eredeti)</t>
  </si>
  <si>
    <t>Számítógép beszerzés</t>
  </si>
  <si>
    <t>Beruházás (számítógép beszerzés)</t>
  </si>
  <si>
    <t xml:space="preserve"> - Veszélyhelyzeti átalános tartalék</t>
  </si>
  <si>
    <t>Általános és veszélyhelyzeti általános tartalék</t>
  </si>
  <si>
    <t xml:space="preserve"> - Veszélyhelyzeti általános tartalék </t>
  </si>
  <si>
    <t xml:space="preserve"> - Veszélyhelyzeti általános tartalék</t>
  </si>
  <si>
    <t>Mód. (VII.08.)</t>
  </si>
  <si>
    <t>1201-5201</t>
  </si>
  <si>
    <t>Mód.(VII.08.)</t>
  </si>
  <si>
    <t>1202-5202</t>
  </si>
  <si>
    <t>1203-5203</t>
  </si>
  <si>
    <t>1204-5204</t>
  </si>
  <si>
    <t>1205-5205</t>
  </si>
  <si>
    <t>1206-5206</t>
  </si>
  <si>
    <t>1207-5207</t>
  </si>
  <si>
    <t>1208-5208</t>
  </si>
  <si>
    <t>1209-5209</t>
  </si>
  <si>
    <t>1210-5210</t>
  </si>
  <si>
    <t>1211-5211</t>
  </si>
  <si>
    <t>1212-5212</t>
  </si>
  <si>
    <t>Fertőző  megbete- gedések egelőzése, járványügyi ellátás</t>
  </si>
  <si>
    <t>Mód.
(VII.08.)</t>
  </si>
  <si>
    <t>Tata Város Önkormányzatának 2019. maradvány igénybevétele cél szerinti tagolásban (E Ft-ban)</t>
  </si>
  <si>
    <r>
      <t>Előirányzat</t>
    </r>
    <r>
      <rPr>
        <b/>
        <sz val="12"/>
        <color rgb="FF000000"/>
        <rFont val="Times New Roman"/>
        <family val="1"/>
        <charset val="238"/>
      </rPr>
      <t xml:space="preserve">           </t>
    </r>
    <r>
      <rPr>
        <b/>
        <sz val="16"/>
        <color rgb="FF000000"/>
        <rFont val="Times New Roman"/>
        <family val="1"/>
        <charset val="238"/>
      </rPr>
      <t>Ft-ban</t>
    </r>
  </si>
  <si>
    <r>
      <t>Önkormányzati Hivatal működésének támogatása (</t>
    </r>
    <r>
      <rPr>
        <sz val="12"/>
        <color rgb="FF000000"/>
        <rFont val="Times New Roman"/>
        <family val="1"/>
        <charset val="238"/>
      </rPr>
      <t>Közös Hiv. 26 628 fő lakos 2019.01.01-jén</t>
    </r>
    <r>
      <rPr>
        <sz val="11"/>
        <color theme="1"/>
        <rFont val="Times New Roman"/>
        <family val="1"/>
        <charset val="238"/>
      </rPr>
      <t>)</t>
    </r>
  </si>
  <si>
    <r>
      <t>Egyéb önkormányzati feladat támogatása (</t>
    </r>
    <r>
      <rPr>
        <sz val="12"/>
        <color rgb="FF000000"/>
        <rFont val="Times New Roman"/>
        <family val="1"/>
        <charset val="238"/>
      </rPr>
      <t>Tata-Agostyán lakosság: 23 169 fő</t>
    </r>
    <r>
      <rPr>
        <sz val="11"/>
        <color theme="1"/>
        <rFont val="Times New Roman"/>
        <family val="1"/>
        <charset val="238"/>
      </rPr>
      <t>)</t>
    </r>
  </si>
  <si>
    <r>
      <t xml:space="preserve">Üdülőhelyi feladatok támogatása </t>
    </r>
    <r>
      <rPr>
        <i/>
        <sz val="12"/>
        <color rgb="FF000000"/>
        <rFont val="Times New Roman"/>
        <family val="1"/>
        <charset val="238"/>
      </rPr>
      <t>(2018. évi beszám. adata)</t>
    </r>
  </si>
  <si>
    <r>
      <t xml:space="preserve">Házi segítségnyújtáshoz </t>
    </r>
    <r>
      <rPr>
        <b/>
        <i/>
        <sz val="12"/>
        <color rgb="FF000000"/>
        <rFont val="Times New Roman"/>
        <family val="1"/>
        <charset val="238"/>
      </rPr>
      <t xml:space="preserve">Szociális segítés </t>
    </r>
    <r>
      <rPr>
        <sz val="11"/>
        <color theme="1"/>
        <rFont val="Times New Roman"/>
        <family val="1"/>
        <charset val="238"/>
      </rPr>
      <t xml:space="preserve">- (társulással  25 000 FT +30%) </t>
    </r>
  </si>
  <si>
    <r>
      <t xml:space="preserve">Házi segítségnyújtáshoz </t>
    </r>
    <r>
      <rPr>
        <b/>
        <i/>
        <sz val="12"/>
        <color rgb="FF000000"/>
        <rFont val="Times New Roman"/>
        <family val="1"/>
        <charset val="238"/>
      </rPr>
      <t xml:space="preserve">Személyi gondozás </t>
    </r>
    <r>
      <rPr>
        <sz val="11"/>
        <color theme="1"/>
        <rFont val="Times New Roman"/>
        <family val="1"/>
        <charset val="238"/>
      </rPr>
      <t xml:space="preserve">- (társulással 330 000 Ft/fő + 30%) </t>
    </r>
  </si>
  <si>
    <t>Összegéről  az  államháztartásért  felelős miniszter 2019. december 15-éig dönt,ezért a 2019. májusi jóváhagyott összeggel terveztünk.</t>
  </si>
  <si>
    <t>Települési önkormányzatok nyilvános könyvtári és közművelődési feladatainak támogatása</t>
  </si>
  <si>
    <t>Mód. 
(VII.08.)</t>
  </si>
  <si>
    <t>Tata Város Önkormányzatának 2020. évi tartalékai (E Ft-ban)</t>
  </si>
  <si>
    <t xml:space="preserve"> Tata Város Önkormányzatának 2020. évi közgazdasági mérlege (E Ft-ban)</t>
  </si>
  <si>
    <t>2020. évi működési célú bevételek és kiadások mérlege (E Ft-ban)</t>
  </si>
  <si>
    <t>Tata Város Önkormányzata és az általa irányított költségvetési szervek 2020. évi bevételei forrásonként (E Ft-ban)</t>
  </si>
  <si>
    <t>(kiemelt előirányzatok szerinti részletezésben) E Ft-ban</t>
  </si>
  <si>
    <t>Tata Város Önkormányzatának 2020. évi költségvetési terve (feladatok és kiemelt előirányzatok szerinti bontásban, E Ft-ban)</t>
  </si>
  <si>
    <t>Tatai Közös Önkormányzati Hivatal 2020. évi költségvetési terve (feladatok és kiemelt előirányzatok szerinti bontásban, E Ft-ban)</t>
  </si>
  <si>
    <t>10381-50381</t>
  </si>
  <si>
    <t>1105-5105</t>
  </si>
  <si>
    <t>EFOP-4.1.7-16-2017-00181 Peron Music Könnyűzenei Tehetséggondozó és Képző Központ létrehozása</t>
  </si>
  <si>
    <t>1106-5106</t>
  </si>
  <si>
    <t>EFOP-4.1.8-16-2017-00080 Könyvtárfejlesztés Tatán</t>
  </si>
  <si>
    <t>1107-5107</t>
  </si>
  <si>
    <t>KÖFOP-1.2.1-VEKOP-16-2017-010002 Csatlakozási konstrukció az önkormányzati ASP rendszer országos kiterjesztéséhez</t>
  </si>
  <si>
    <t>1116-5116</t>
  </si>
  <si>
    <t>1122-5122</t>
  </si>
  <si>
    <t>KEHOP-1.2.1-18-2018-00176 Helyi klímastratégia kidolgozása</t>
  </si>
  <si>
    <t>1123-5123</t>
  </si>
  <si>
    <t>TOP-1.4.1-16-KO1-2019-00016 A bölcsődei kapacitás növelése férőhely bővítéssel Tatán</t>
  </si>
  <si>
    <t>1124-5124</t>
  </si>
  <si>
    <t xml:space="preserve">TOP-3.1.1-16-KO1-2019-00006 Tata Baji úti kerékpárút fejlesztése </t>
  </si>
  <si>
    <t>Intézmények Gazdasági Hivatalához tartozó önállóan működő intézmények 2020. évi költségvetése E Ft-ban</t>
  </si>
  <si>
    <t>Tata Város Önkormányzata által folyósított 2020. évi ellátottak pénzbeli és természetbeni juttatásának
részletezése (E Ft-ban)</t>
  </si>
  <si>
    <t>2020. évi kapott visszatérítendő és vissza nem térítendő támogatások és pénzeszközátvételek alakulása Tata Város Önkormányzatánál és a Tatai Közös Önkormányzati Hivatalnál (E Ft-ban)</t>
  </si>
  <si>
    <t>2020-2026-ig a hosszú lejáratú felhalmozási hitel visszafizetéseket figyelembe véve (E Ft-ban)</t>
  </si>
  <si>
    <t>Az Önkormányzat már meglévő adósságot keletkeztető ügyleteinek és azok fedezetére felhasználható saját bevételeink
alakulása (E Ft-ban)</t>
  </si>
  <si>
    <t>Az Önkormányzat 2020. évi fejlesztési céljai, melyekhez fejlesztési célú hitel lehívása szükséges megkötött szerződés alapján (E Ft-ban)</t>
  </si>
  <si>
    <t>Tata Város Önkormányzatának 2019. évi maradvány igénybevétele cél szerinti tagolásban (E Ft-ban)</t>
  </si>
  <si>
    <t>2020. évi felújítási kiadások célonként (ÁFA-val) E Ft-ban</t>
  </si>
  <si>
    <t>Intézmények Gazdasági Hivatalához tartozó  önállóan működő intézmények 2020. évi költségvetése E Ft-ban</t>
  </si>
  <si>
    <t>Egyéb felhalmozási bevétel</t>
  </si>
  <si>
    <t>Előző évi pénzmaradvány</t>
  </si>
  <si>
    <t>Finanszírozás</t>
  </si>
  <si>
    <t>Saját bevételek</t>
  </si>
  <si>
    <t xml:space="preserve">Áru és készlet értékesítés </t>
  </si>
  <si>
    <t xml:space="preserve">Szolgáltatások </t>
  </si>
  <si>
    <t>Biztosító által fizetett kártérítés és egyéb működési bevételek</t>
  </si>
  <si>
    <t>Átvett működési célra</t>
  </si>
  <si>
    <t>Átvett felhalmozási célra</t>
  </si>
  <si>
    <t>Támogatás értékű felhalmozási célra</t>
  </si>
  <si>
    <t>Közvetített szolgálta-tás</t>
  </si>
  <si>
    <t>2020. évi beruházási kiadások feladatonként (ÁFA-val) E Ft-ban</t>
  </si>
  <si>
    <t>Tata Város Önkormányzat Európai Uniós támogatással megvalósuló projektjei (E Ft-ban)*</t>
  </si>
  <si>
    <t>Agostyán, Szabadság utca alsó szakasz vízrendezés</t>
  </si>
  <si>
    <t>Kastély téri energiaellátás biztosításához földkábel és villamos elosztó berendezések és ivóvíz vételezési helyek építési munkájának elvégzése (862 E Ft általános tartalékból)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</si>
</sst>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-40E]General"/>
    <numFmt numFmtId="165" formatCode="_-* #,##0.00\ _F_t_-;\-* #,##0.00\ _F_t_-;_-* \-??\ _F_t_-;_-@_-"/>
    <numFmt numFmtId="166" formatCode="#,##0_ ;\-#,##0\ "/>
    <numFmt numFmtId="167" formatCode="0.0"/>
    <numFmt numFmtId="168" formatCode="#,##0.0"/>
    <numFmt numFmtId="169" formatCode="#,##0&quot; &quot;[$Ft-40E];[Red]#,##0&quot; &quot;[$Ft-40E]"/>
    <numFmt numFmtId="170" formatCode="&quot; &quot;#,##0.00&quot; &quot;;&quot;-&quot;#,##0.00&quot; &quot;;&quot; -&quot;00&quot; &quot;;&quot; &quot;@&quot; &quot;"/>
    <numFmt numFmtId="171" formatCode="&quot; &quot;#,##0.0&quot; &quot;;&quot;-&quot;#,##0.0&quot; &quot;;&quot; -&quot;00&quot; &quot;;&quot; &quot;@&quot; &quot;"/>
  </numFmts>
  <fonts count="72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1"/>
      <name val="Times New Roman CE"/>
      <family val="1"/>
      <charset val="238"/>
    </font>
    <font>
      <sz val="11"/>
      <color theme="1"/>
      <name val="Times New Roman CE"/>
      <charset val="238"/>
    </font>
    <font>
      <b/>
      <sz val="11"/>
      <name val="Times New Roman CE"/>
      <charset val="238"/>
    </font>
    <font>
      <sz val="11"/>
      <name val="Times New Roman CE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i/>
      <sz val="11"/>
      <name val="Times New Roman"/>
      <family val="1"/>
      <charset val="238"/>
    </font>
    <font>
      <i/>
      <sz val="11"/>
      <name val="Times New Roman CE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Times New Roman CE"/>
      <family val="1"/>
      <charset val="238"/>
    </font>
    <font>
      <b/>
      <u/>
      <sz val="11"/>
      <name val="Times New Roman CE"/>
      <family val="1"/>
      <charset val="238"/>
    </font>
    <font>
      <b/>
      <i/>
      <sz val="1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 CE"/>
      <family val="2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i/>
      <sz val="11"/>
      <name val="Times New Roman CE"/>
      <charset val="238"/>
    </font>
    <font>
      <sz val="10"/>
      <color theme="1"/>
      <name val="Arial CE"/>
      <charset val="238"/>
    </font>
    <font>
      <b/>
      <sz val="11"/>
      <color theme="1"/>
      <name val="Times New Roman"/>
      <family val="1"/>
      <charset val="238"/>
    </font>
    <font>
      <sz val="11"/>
      <color rgb="FF00000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i/>
      <sz val="11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color theme="1"/>
      <name val="Times New Roman CE"/>
      <charset val="238"/>
    </font>
    <font>
      <sz val="11"/>
      <color indexed="10"/>
      <name val="Times New Roman"/>
      <family val="1"/>
      <charset val="238"/>
    </font>
    <font>
      <sz val="8"/>
      <color theme="1"/>
      <name val="Times New Roman CE"/>
      <charset val="238"/>
    </font>
    <font>
      <sz val="12"/>
      <color theme="1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i/>
      <sz val="10"/>
      <color rgb="FF000000"/>
      <name val="Times New Roman"/>
      <family val="1"/>
      <charset val="238"/>
    </font>
    <font>
      <b/>
      <sz val="6"/>
      <color rgb="FF000000"/>
      <name val="Times New Roman1"/>
      <charset val="238"/>
    </font>
    <font>
      <sz val="6"/>
      <color rgb="FF000000"/>
      <name val="Times New Roman1"/>
      <charset val="238"/>
    </font>
    <font>
      <b/>
      <sz val="6"/>
      <color rgb="FF000000"/>
      <name val="Times New Roman"/>
      <family val="1"/>
      <charset val="238"/>
    </font>
    <font>
      <sz val="6"/>
      <color rgb="FF000000"/>
      <name val="Times New Roman"/>
      <family val="1"/>
      <charset val="238"/>
    </font>
    <font>
      <b/>
      <sz val="8"/>
      <color theme="1"/>
      <name val="Times New Roman CE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i/>
      <sz val="12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0"/>
      <color rgb="FF000000"/>
      <name val="Arial CE"/>
      <charset val="238"/>
    </font>
    <font>
      <b/>
      <i/>
      <sz val="11"/>
      <color rgb="FF000000"/>
      <name val="Times New Roman"/>
      <family val="1"/>
      <charset val="238"/>
    </font>
    <font>
      <sz val="8"/>
      <color rgb="FF000000"/>
      <name val="Times New Roman CE"/>
      <charset val="238"/>
    </font>
    <font>
      <sz val="8"/>
      <color theme="1"/>
      <name val="Times New Roman"/>
      <family val="1"/>
      <charset val="238"/>
    </font>
    <font>
      <b/>
      <sz val="8"/>
      <color rgb="FF00000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b/>
      <sz val="12"/>
      <name val="Times New Roman"/>
      <family val="1"/>
      <charset val="238"/>
    </font>
    <font>
      <sz val="6"/>
      <color theme="1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sz val="16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sz val="12"/>
      <color rgb="FFC00000"/>
      <name val="Times New Roman"/>
      <family val="1"/>
      <charset val="238"/>
    </font>
    <font>
      <sz val="6"/>
      <color theme="1"/>
      <name val="Calibri"/>
      <family val="2"/>
      <charset val="238"/>
      <scheme val="minor"/>
    </font>
    <font>
      <b/>
      <sz val="1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FF"/>
      </patternFill>
    </fill>
  </fills>
  <borders count="20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/>
      <right/>
      <top style="double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23">
    <xf numFmtId="0" fontId="0" fillId="0" borderId="0"/>
    <xf numFmtId="0" fontId="1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8" fillId="0" borderId="0"/>
    <xf numFmtId="0" fontId="18" fillId="0" borderId="0"/>
    <xf numFmtId="164" fontId="23" fillId="0" borderId="0"/>
    <xf numFmtId="0" fontId="9" fillId="0" borderId="0"/>
    <xf numFmtId="0" fontId="25" fillId="0" borderId="0"/>
    <xf numFmtId="165" fontId="8" fillId="0" borderId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18" fillId="0" borderId="0"/>
    <xf numFmtId="164" fontId="18" fillId="0" borderId="0" applyBorder="0" applyProtection="0"/>
    <xf numFmtId="0" fontId="55" fillId="0" borderId="0" applyNumberFormat="0" applyBorder="0" applyProtection="0"/>
    <xf numFmtId="170" fontId="18" fillId="0" borderId="0" applyFont="0" applyFill="0" applyBorder="0" applyAlignment="0" applyProtection="0"/>
    <xf numFmtId="0" fontId="61" fillId="0" borderId="0" applyNumberFormat="0" applyBorder="0" applyProtection="0"/>
  </cellStyleXfs>
  <cellXfs count="1821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10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2" applyFont="1" applyBorder="1" applyAlignment="1">
      <alignment vertical="center" wrapText="1"/>
    </xf>
    <xf numFmtId="0" fontId="10" fillId="0" borderId="0" xfId="2" applyFont="1" applyAlignment="1">
      <alignment vertical="center" wrapText="1"/>
    </xf>
    <xf numFmtId="0" fontId="10" fillId="0" borderId="0" xfId="2" applyFont="1" applyAlignment="1">
      <alignment vertical="center"/>
    </xf>
    <xf numFmtId="0" fontId="2" fillId="0" borderId="0" xfId="1" applyFont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3" fontId="2" fillId="0" borderId="0" xfId="1" applyNumberFormat="1" applyFont="1" applyAlignment="1">
      <alignment vertical="center"/>
    </xf>
    <xf numFmtId="0" fontId="16" fillId="0" borderId="0" xfId="1" applyFont="1" applyAlignment="1">
      <alignment vertical="center" wrapText="1"/>
    </xf>
    <xf numFmtId="3" fontId="16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3" fontId="10" fillId="0" borderId="0" xfId="1" applyNumberFormat="1" applyFont="1" applyAlignment="1">
      <alignment vertical="center" wrapText="1"/>
    </xf>
    <xf numFmtId="3" fontId="4" fillId="0" borderId="0" xfId="1" applyNumberFormat="1" applyFont="1" applyAlignment="1">
      <alignment horizontal="right" vertical="center"/>
    </xf>
    <xf numFmtId="0" fontId="4" fillId="0" borderId="4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4" fillId="0" borderId="5" xfId="0" applyNumberFormat="1" applyFont="1" applyBorder="1" applyAlignment="1">
      <alignment vertical="center" shrinkToFit="1"/>
    </xf>
    <xf numFmtId="3" fontId="14" fillId="0" borderId="14" xfId="0" applyNumberFormat="1" applyFont="1" applyBorder="1" applyAlignment="1">
      <alignment vertical="center" shrinkToFit="1"/>
    </xf>
    <xf numFmtId="3" fontId="14" fillId="0" borderId="5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1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3" fontId="13" fillId="0" borderId="0" xfId="9" applyNumberFormat="1" applyFont="1" applyAlignment="1">
      <alignment horizontal="left" vertical="center" wrapText="1"/>
    </xf>
    <xf numFmtId="0" fontId="13" fillId="0" borderId="0" xfId="9" applyFont="1" applyAlignment="1">
      <alignment vertical="center" wrapText="1"/>
    </xf>
    <xf numFmtId="166" fontId="13" fillId="0" borderId="0" xfId="11" applyNumberFormat="1" applyFont="1" applyAlignment="1">
      <alignment horizontal="left" vertical="center" wrapText="1"/>
    </xf>
    <xf numFmtId="166" fontId="14" fillId="0" borderId="0" xfId="9" applyNumberFormat="1" applyFont="1" applyAlignment="1">
      <alignment horizontal="left" vertical="center" wrapText="1"/>
    </xf>
    <xf numFmtId="3" fontId="14" fillId="0" borderId="0" xfId="9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3" fontId="14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13" fillId="0" borderId="0" xfId="9" applyFont="1" applyAlignment="1">
      <alignment vertical="center"/>
    </xf>
    <xf numFmtId="0" fontId="14" fillId="0" borderId="0" xfId="12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4" fillId="0" borderId="0" xfId="9" applyFont="1" applyAlignment="1">
      <alignment vertical="center"/>
    </xf>
    <xf numFmtId="0" fontId="13" fillId="4" borderId="0" xfId="9" applyFont="1" applyFill="1" applyAlignment="1">
      <alignment vertical="center"/>
    </xf>
    <xf numFmtId="3" fontId="13" fillId="0" borderId="0" xfId="9" applyNumberFormat="1" applyFont="1" applyAlignment="1">
      <alignment vertical="center"/>
    </xf>
    <xf numFmtId="0" fontId="17" fillId="0" borderId="0" xfId="9" applyFont="1" applyAlignment="1">
      <alignment vertical="center"/>
    </xf>
    <xf numFmtId="0" fontId="11" fillId="0" borderId="0" xfId="9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>
      <alignment horizontal="justify" vertical="center"/>
    </xf>
    <xf numFmtId="0" fontId="29" fillId="0" borderId="0" xfId="0" applyFont="1" applyAlignment="1">
      <alignment vertical="center"/>
    </xf>
    <xf numFmtId="49" fontId="13" fillId="0" borderId="0" xfId="14" applyNumberFormat="1" applyFont="1" applyAlignment="1">
      <alignment horizontal="center"/>
    </xf>
    <xf numFmtId="0" fontId="13" fillId="0" borderId="0" xfId="14" applyFont="1"/>
    <xf numFmtId="3" fontId="13" fillId="0" borderId="0" xfId="14" applyNumberFormat="1" applyFont="1"/>
    <xf numFmtId="3" fontId="14" fillId="0" borderId="0" xfId="14" applyNumberFormat="1" applyFont="1"/>
    <xf numFmtId="49" fontId="13" fillId="0" borderId="0" xfId="14" applyNumberFormat="1" applyFont="1" applyAlignment="1">
      <alignment horizontal="center" vertical="center"/>
    </xf>
    <xf numFmtId="49" fontId="13" fillId="0" borderId="0" xfId="14" applyNumberFormat="1" applyFont="1" applyAlignment="1">
      <alignment horizontal="center" vertical="center" wrapText="1"/>
    </xf>
    <xf numFmtId="0" fontId="13" fillId="0" borderId="0" xfId="14" applyFont="1" applyAlignment="1">
      <alignment vertical="center"/>
    </xf>
    <xf numFmtId="49" fontId="13" fillId="0" borderId="0" xfId="9" applyNumberFormat="1" applyFont="1" applyAlignment="1">
      <alignment horizontal="center" vertical="center"/>
    </xf>
    <xf numFmtId="0" fontId="14" fillId="0" borderId="0" xfId="14" applyFont="1" applyAlignment="1">
      <alignment horizontal="left" vertical="center"/>
    </xf>
    <xf numFmtId="3" fontId="14" fillId="0" borderId="0" xfId="14" applyNumberFormat="1" applyFont="1" applyAlignment="1">
      <alignment horizontal="right" vertical="center"/>
    </xf>
    <xf numFmtId="3" fontId="14" fillId="0" borderId="0" xfId="14" applyNumberFormat="1" applyFont="1" applyAlignment="1">
      <alignment horizontal="left" vertical="center"/>
    </xf>
    <xf numFmtId="0" fontId="31" fillId="0" borderId="0" xfId="16" applyFont="1" applyAlignment="1">
      <alignment vertical="center"/>
    </xf>
    <xf numFmtId="3" fontId="31" fillId="0" borderId="0" xfId="0" applyNumberFormat="1" applyFont="1" applyAlignment="1">
      <alignment vertical="center" wrapText="1"/>
    </xf>
    <xf numFmtId="0" fontId="32" fillId="0" borderId="0" xfId="16" applyFont="1" applyAlignment="1">
      <alignment vertical="center"/>
    </xf>
    <xf numFmtId="0" fontId="33" fillId="0" borderId="0" xfId="16" applyFont="1" applyAlignment="1">
      <alignment vertical="center"/>
    </xf>
    <xf numFmtId="3" fontId="31" fillId="0" borderId="0" xfId="16" applyNumberFormat="1" applyFont="1" applyAlignment="1">
      <alignment vertical="center" wrapText="1"/>
    </xf>
    <xf numFmtId="3" fontId="31" fillId="0" borderId="0" xfId="16" applyNumberFormat="1" applyFont="1" applyAlignment="1">
      <alignment vertical="center"/>
    </xf>
    <xf numFmtId="0" fontId="13" fillId="0" borderId="0" xfId="17" applyFont="1" applyAlignment="1">
      <alignment vertical="center" wrapText="1"/>
    </xf>
    <xf numFmtId="0" fontId="13" fillId="0" borderId="0" xfId="17" applyFont="1" applyAlignment="1">
      <alignment vertical="center"/>
    </xf>
    <xf numFmtId="0" fontId="13" fillId="0" borderId="0" xfId="17" applyFont="1" applyAlignment="1">
      <alignment horizontal="center" vertical="center" wrapText="1"/>
    </xf>
    <xf numFmtId="3" fontId="13" fillId="0" borderId="0" xfId="17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3" fontId="33" fillId="0" borderId="0" xfId="16" applyNumberFormat="1" applyFont="1" applyAlignment="1">
      <alignment vertical="center"/>
    </xf>
    <xf numFmtId="3" fontId="10" fillId="0" borderId="0" xfId="1" applyNumberFormat="1" applyFont="1" applyAlignment="1">
      <alignment vertical="center"/>
    </xf>
    <xf numFmtId="3" fontId="14" fillId="0" borderId="9" xfId="0" applyNumberFormat="1" applyFont="1" applyBorder="1" applyAlignment="1">
      <alignment vertical="center"/>
    </xf>
    <xf numFmtId="3" fontId="7" fillId="0" borderId="0" xfId="0" applyNumberFormat="1" applyFont="1"/>
    <xf numFmtId="3" fontId="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25" xfId="0" applyFont="1" applyBorder="1" applyAlignment="1">
      <alignment vertical="center" wrapText="1"/>
    </xf>
    <xf numFmtId="0" fontId="4" fillId="0" borderId="25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5" fillId="0" borderId="25" xfId="0" applyFont="1" applyBorder="1" applyAlignment="1">
      <alignment horizontal="left" vertical="center" wrapText="1"/>
    </xf>
    <xf numFmtId="0" fontId="6" fillId="0" borderId="25" xfId="0" applyFont="1" applyBorder="1" applyAlignment="1">
      <alignment vertical="center"/>
    </xf>
    <xf numFmtId="0" fontId="6" fillId="0" borderId="33" xfId="0" applyFont="1" applyBorder="1" applyAlignment="1">
      <alignment vertical="center" wrapText="1"/>
    </xf>
    <xf numFmtId="0" fontId="4" fillId="0" borderId="34" xfId="0" applyFont="1" applyBorder="1" applyAlignment="1">
      <alignment vertical="center"/>
    </xf>
    <xf numFmtId="0" fontId="6" fillId="0" borderId="34" xfId="0" applyFont="1" applyBorder="1" applyAlignment="1">
      <alignment horizontal="left" vertical="center" wrapText="1"/>
    </xf>
    <xf numFmtId="0" fontId="14" fillId="0" borderId="31" xfId="0" applyFont="1" applyBorder="1" applyAlignment="1">
      <alignment horizontal="left" vertical="center"/>
    </xf>
    <xf numFmtId="0" fontId="13" fillId="0" borderId="25" xfId="0" applyFont="1" applyBorder="1" applyAlignment="1">
      <alignment horizontal="left" vertical="center"/>
    </xf>
    <xf numFmtId="0" fontId="14" fillId="0" borderId="25" xfId="0" applyFont="1" applyBorder="1" applyAlignment="1">
      <alignment vertical="center" wrapText="1"/>
    </xf>
    <xf numFmtId="0" fontId="13" fillId="0" borderId="25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11" fillId="0" borderId="25" xfId="0" applyFont="1" applyBorder="1" applyAlignment="1">
      <alignment vertical="center"/>
    </xf>
    <xf numFmtId="0" fontId="11" fillId="0" borderId="25" xfId="0" applyFont="1" applyBorder="1" applyAlignment="1">
      <alignment horizontal="left" vertical="center" wrapText="1"/>
    </xf>
    <xf numFmtId="0" fontId="13" fillId="0" borderId="25" xfId="0" applyFont="1" applyBorder="1" applyAlignment="1">
      <alignment vertical="center" wrapText="1"/>
    </xf>
    <xf numFmtId="0" fontId="13" fillId="0" borderId="25" xfId="0" applyFont="1" applyBorder="1" applyAlignment="1">
      <alignment vertical="center" shrinkToFit="1"/>
    </xf>
    <xf numFmtId="3" fontId="14" fillId="0" borderId="25" xfId="0" applyNumberFormat="1" applyFont="1" applyBorder="1" applyAlignment="1">
      <alignment vertical="center" shrinkToFit="1"/>
    </xf>
    <xf numFmtId="3" fontId="13" fillId="0" borderId="25" xfId="0" applyNumberFormat="1" applyFont="1" applyBorder="1" applyAlignment="1">
      <alignment vertical="center" shrinkToFit="1"/>
    </xf>
    <xf numFmtId="3" fontId="13" fillId="0" borderId="34" xfId="0" applyNumberFormat="1" applyFont="1" applyBorder="1" applyAlignment="1">
      <alignment vertical="center" shrinkToFit="1"/>
    </xf>
    <xf numFmtId="3" fontId="14" fillId="0" borderId="31" xfId="0" applyNumberFormat="1" applyFont="1" applyBorder="1" applyAlignment="1">
      <alignment vertical="center" shrinkToFit="1"/>
    </xf>
    <xf numFmtId="0" fontId="2" fillId="0" borderId="29" xfId="1" applyFont="1" applyBorder="1" applyAlignment="1">
      <alignment vertical="center" wrapText="1"/>
    </xf>
    <xf numFmtId="0" fontId="36" fillId="0" borderId="0" xfId="0" applyFont="1" applyAlignment="1">
      <alignment vertical="center"/>
    </xf>
    <xf numFmtId="3" fontId="33" fillId="0" borderId="0" xfId="16" applyNumberFormat="1" applyFont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13" fillId="0" borderId="0" xfId="0" applyFont="1"/>
    <xf numFmtId="0" fontId="37" fillId="0" borderId="0" xfId="0" applyFont="1"/>
    <xf numFmtId="0" fontId="24" fillId="0" borderId="0" xfId="0" applyFont="1"/>
    <xf numFmtId="3" fontId="24" fillId="0" borderId="0" xfId="0" applyNumberFormat="1" applyFont="1"/>
    <xf numFmtId="0" fontId="14" fillId="0" borderId="0" xfId="0" applyFont="1"/>
    <xf numFmtId="3" fontId="14" fillId="0" borderId="0" xfId="0" applyNumberFormat="1" applyFont="1"/>
    <xf numFmtId="0" fontId="36" fillId="0" borderId="0" xfId="0" applyFont="1" applyAlignment="1">
      <alignment vertical="center" wrapText="1"/>
    </xf>
    <xf numFmtId="3" fontId="36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3" fontId="14" fillId="0" borderId="0" xfId="0" applyNumberFormat="1" applyFont="1" applyAlignment="1">
      <alignment vertical="center" shrinkToFit="1"/>
    </xf>
    <xf numFmtId="0" fontId="14" fillId="0" borderId="0" xfId="12" applyFont="1" applyAlignment="1">
      <alignment vertical="center" wrapText="1"/>
    </xf>
    <xf numFmtId="3" fontId="14" fillId="0" borderId="0" xfId="12" applyNumberFormat="1" applyFont="1" applyAlignment="1">
      <alignment vertical="center"/>
    </xf>
    <xf numFmtId="49" fontId="13" fillId="0" borderId="0" xfId="9" applyNumberFormat="1" applyFont="1" applyAlignment="1">
      <alignment vertical="center"/>
    </xf>
    <xf numFmtId="49" fontId="11" fillId="0" borderId="0" xfId="9" applyNumberFormat="1" applyFont="1" applyAlignment="1">
      <alignment vertical="center"/>
    </xf>
    <xf numFmtId="49" fontId="14" fillId="0" borderId="0" xfId="9" applyNumberFormat="1" applyFont="1" applyAlignment="1">
      <alignment vertical="center"/>
    </xf>
    <xf numFmtId="49" fontId="17" fillId="0" borderId="0" xfId="9" applyNumberFormat="1" applyFont="1" applyAlignment="1">
      <alignment vertical="center"/>
    </xf>
    <xf numFmtId="0" fontId="13" fillId="0" borderId="40" xfId="0" applyFont="1" applyBorder="1" applyAlignment="1">
      <alignment vertical="center" wrapText="1"/>
    </xf>
    <xf numFmtId="49" fontId="7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7" fillId="0" borderId="0" xfId="0" applyNumberFormat="1" applyFont="1"/>
    <xf numFmtId="0" fontId="1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9" fontId="4" fillId="0" borderId="9" xfId="0" applyNumberFormat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36" fillId="0" borderId="8" xfId="0" applyFont="1" applyBorder="1" applyAlignment="1">
      <alignment vertical="center" wrapText="1"/>
    </xf>
    <xf numFmtId="0" fontId="4" fillId="0" borderId="38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40" xfId="0" applyFont="1" applyBorder="1" applyAlignment="1">
      <alignment vertical="center"/>
    </xf>
    <xf numFmtId="0" fontId="4" fillId="0" borderId="40" xfId="0" applyFont="1" applyBorder="1" applyAlignment="1">
      <alignment vertical="center" wrapText="1"/>
    </xf>
    <xf numFmtId="0" fontId="5" fillId="0" borderId="40" xfId="0" applyFont="1" applyBorder="1" applyAlignment="1">
      <alignment horizontal="left" vertical="center" wrapText="1"/>
    </xf>
    <xf numFmtId="49" fontId="5" fillId="0" borderId="40" xfId="0" applyNumberFormat="1" applyFont="1" applyBorder="1" applyAlignment="1">
      <alignment vertical="center"/>
    </xf>
    <xf numFmtId="49" fontId="4" fillId="0" borderId="38" xfId="0" applyNumberFormat="1" applyFont="1" applyBorder="1" applyAlignment="1">
      <alignment vertical="center"/>
    </xf>
    <xf numFmtId="49" fontId="4" fillId="0" borderId="40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3" fontId="14" fillId="0" borderId="12" xfId="0" applyNumberFormat="1" applyFont="1" applyBorder="1" applyAlignment="1">
      <alignment vertical="center"/>
    </xf>
    <xf numFmtId="0" fontId="14" fillId="0" borderId="5" xfId="9" applyFont="1" applyBorder="1" applyAlignment="1">
      <alignment horizontal="center" vertical="center" wrapText="1"/>
    </xf>
    <xf numFmtId="0" fontId="14" fillId="0" borderId="5" xfId="9" applyFont="1" applyBorder="1" applyAlignment="1">
      <alignment vertical="center" wrapText="1"/>
    </xf>
    <xf numFmtId="0" fontId="13" fillId="0" borderId="41" xfId="0" applyFont="1" applyBorder="1" applyAlignment="1">
      <alignment vertical="center" wrapText="1"/>
    </xf>
    <xf numFmtId="0" fontId="14" fillId="2" borderId="5" xfId="9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left" vertical="center" wrapText="1"/>
    </xf>
    <xf numFmtId="0" fontId="14" fillId="0" borderId="41" xfId="0" applyFont="1" applyBorder="1" applyAlignment="1">
      <alignment vertical="center" wrapText="1"/>
    </xf>
    <xf numFmtId="0" fontId="17" fillId="0" borderId="41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4" fillId="0" borderId="19" xfId="12" applyFont="1" applyBorder="1" applyAlignment="1">
      <alignment vertical="center" wrapText="1"/>
    </xf>
    <xf numFmtId="0" fontId="13" fillId="0" borderId="41" xfId="12" applyFont="1" applyBorder="1" applyAlignment="1">
      <alignment vertical="center" wrapText="1"/>
    </xf>
    <xf numFmtId="0" fontId="17" fillId="0" borderId="41" xfId="12" applyFont="1" applyBorder="1" applyAlignment="1">
      <alignment vertical="center" wrapText="1"/>
    </xf>
    <xf numFmtId="0" fontId="14" fillId="0" borderId="41" xfId="12" applyFont="1" applyBorder="1" applyAlignment="1">
      <alignment vertical="center" wrapText="1"/>
    </xf>
    <xf numFmtId="0" fontId="14" fillId="0" borderId="5" xfId="12" applyFont="1" applyBorder="1" applyAlignment="1">
      <alignment vertical="center" wrapText="1"/>
    </xf>
    <xf numFmtId="0" fontId="13" fillId="0" borderId="46" xfId="12" applyFont="1" applyBorder="1" applyAlignment="1">
      <alignment vertical="center" wrapText="1"/>
    </xf>
    <xf numFmtId="0" fontId="14" fillId="0" borderId="5" xfId="12" applyFont="1" applyBorder="1" applyAlignment="1">
      <alignment horizontal="center" vertical="center" wrapText="1"/>
    </xf>
    <xf numFmtId="3" fontId="14" fillId="0" borderId="9" xfId="12" applyNumberFormat="1" applyFont="1" applyBorder="1" applyAlignment="1">
      <alignment horizontal="center" vertical="center"/>
    </xf>
    <xf numFmtId="3" fontId="14" fillId="0" borderId="9" xfId="12" applyNumberFormat="1" applyFont="1" applyBorder="1" applyAlignment="1">
      <alignment vertical="center"/>
    </xf>
    <xf numFmtId="0" fontId="14" fillId="0" borderId="47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justify" vertical="center" wrapText="1"/>
    </xf>
    <xf numFmtId="0" fontId="13" fillId="0" borderId="28" xfId="0" applyFont="1" applyBorder="1" applyAlignment="1">
      <alignment vertical="center"/>
    </xf>
    <xf numFmtId="2" fontId="13" fillId="0" borderId="22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vertical="center"/>
    </xf>
    <xf numFmtId="2" fontId="14" fillId="0" borderId="9" xfId="0" applyNumberFormat="1" applyFont="1" applyBorder="1" applyAlignment="1">
      <alignment horizontal="center" vertical="center"/>
    </xf>
    <xf numFmtId="0" fontId="24" fillId="0" borderId="5" xfId="0" applyFont="1" applyBorder="1"/>
    <xf numFmtId="0" fontId="24" fillId="0" borderId="5" xfId="0" applyFont="1" applyBorder="1" applyAlignment="1">
      <alignment horizontal="center"/>
    </xf>
    <xf numFmtId="0" fontId="13" fillId="0" borderId="40" xfId="14" applyFont="1" applyBorder="1" applyAlignment="1">
      <alignment vertical="center" wrapText="1"/>
    </xf>
    <xf numFmtId="3" fontId="33" fillId="0" borderId="0" xfId="16" applyNumberFormat="1" applyFont="1" applyBorder="1" applyAlignment="1">
      <alignment vertical="center" wrapText="1"/>
    </xf>
    <xf numFmtId="0" fontId="7" fillId="0" borderId="0" xfId="0" applyFont="1" applyAlignment="1">
      <alignment wrapText="1"/>
    </xf>
    <xf numFmtId="49" fontId="0" fillId="0" borderId="0" xfId="0" applyNumberFormat="1"/>
    <xf numFmtId="49" fontId="27" fillId="0" borderId="0" xfId="0" applyNumberFormat="1" applyFont="1"/>
    <xf numFmtId="0" fontId="13" fillId="0" borderId="41" xfId="0" applyFont="1" applyFill="1" applyBorder="1" applyAlignment="1">
      <alignment vertical="center" wrapText="1"/>
    </xf>
    <xf numFmtId="49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0" fontId="14" fillId="0" borderId="25" xfId="0" applyFont="1" applyFill="1" applyBorder="1" applyAlignment="1">
      <alignment vertical="center" wrapText="1"/>
    </xf>
    <xf numFmtId="0" fontId="14" fillId="0" borderId="0" xfId="0" applyFont="1" applyFill="1" applyAlignment="1">
      <alignment vertical="center"/>
    </xf>
    <xf numFmtId="0" fontId="13" fillId="0" borderId="25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3" fontId="14" fillId="0" borderId="9" xfId="0" applyNumberFormat="1" applyFont="1" applyBorder="1" applyAlignment="1">
      <alignment vertical="center" shrinkToFit="1"/>
    </xf>
    <xf numFmtId="0" fontId="10" fillId="0" borderId="0" xfId="1" applyFont="1" applyFill="1" applyAlignment="1">
      <alignment horizontal="center" vertical="center"/>
    </xf>
    <xf numFmtId="3" fontId="10" fillId="0" borderId="0" xfId="1" applyNumberFormat="1" applyFont="1" applyFill="1" applyAlignment="1">
      <alignment vertical="center"/>
    </xf>
    <xf numFmtId="0" fontId="27" fillId="0" borderId="0" xfId="0" applyFont="1"/>
    <xf numFmtId="49" fontId="14" fillId="0" borderId="41" xfId="4" applyNumberFormat="1" applyFont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3" fontId="21" fillId="0" borderId="60" xfId="5" applyNumberFormat="1" applyFont="1" applyBorder="1" applyAlignment="1">
      <alignment vertical="center"/>
    </xf>
    <xf numFmtId="3" fontId="20" fillId="0" borderId="58" xfId="5" applyNumberFormat="1" applyFont="1" applyBorder="1" applyAlignment="1">
      <alignment vertical="center"/>
    </xf>
    <xf numFmtId="0" fontId="20" fillId="0" borderId="59" xfId="5" applyFont="1" applyBorder="1" applyAlignment="1">
      <alignment vertical="center"/>
    </xf>
    <xf numFmtId="3" fontId="20" fillId="0" borderId="57" xfId="5" applyNumberFormat="1" applyFont="1" applyBorder="1" applyAlignment="1">
      <alignment vertical="center"/>
    </xf>
    <xf numFmtId="3" fontId="20" fillId="0" borderId="59" xfId="5" applyNumberFormat="1" applyFont="1" applyBorder="1" applyAlignment="1">
      <alignment vertical="center"/>
    </xf>
    <xf numFmtId="3" fontId="21" fillId="0" borderId="57" xfId="5" applyNumberFormat="1" applyFont="1" applyBorder="1" applyAlignment="1">
      <alignment vertical="center"/>
    </xf>
    <xf numFmtId="3" fontId="21" fillId="0" borderId="58" xfId="5" applyNumberFormat="1" applyFont="1" applyBorder="1" applyAlignment="1">
      <alignment vertical="center"/>
    </xf>
    <xf numFmtId="3" fontId="21" fillId="0" borderId="59" xfId="5" applyNumberFormat="1" applyFont="1" applyBorder="1" applyAlignment="1">
      <alignment vertical="center"/>
    </xf>
    <xf numFmtId="3" fontId="43" fillId="0" borderId="58" xfId="6" applyNumberFormat="1" applyFont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49" fontId="13" fillId="2" borderId="40" xfId="10" applyNumberFormat="1" applyFont="1" applyFill="1" applyBorder="1" applyAlignment="1">
      <alignment horizontal="left" vertical="center" wrapText="1"/>
    </xf>
    <xf numFmtId="49" fontId="20" fillId="2" borderId="40" xfId="10" applyNumberFormat="1" applyFont="1" applyFill="1" applyBorder="1" applyAlignment="1">
      <alignment horizontal="left" vertical="center" wrapText="1"/>
    </xf>
    <xf numFmtId="3" fontId="14" fillId="0" borderId="16" xfId="14" applyNumberFormat="1" applyFont="1" applyBorder="1" applyAlignment="1">
      <alignment horizontal="right" vertical="center"/>
    </xf>
    <xf numFmtId="0" fontId="13" fillId="0" borderId="57" xfId="14" applyFont="1" applyBorder="1" applyAlignment="1">
      <alignment vertical="center" wrapText="1"/>
    </xf>
    <xf numFmtId="3" fontId="14" fillId="0" borderId="56" xfId="0" applyNumberFormat="1" applyFont="1" applyBorder="1" applyAlignment="1">
      <alignment horizontal="center" vertical="center"/>
    </xf>
    <xf numFmtId="0" fontId="13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2" xfId="9" applyFont="1" applyBorder="1" applyAlignment="1">
      <alignment vertical="center" wrapText="1"/>
    </xf>
    <xf numFmtId="0" fontId="13" fillId="2" borderId="63" xfId="9" applyFont="1" applyFill="1" applyBorder="1" applyAlignment="1">
      <alignment vertical="center" wrapText="1"/>
    </xf>
    <xf numFmtId="0" fontId="13" fillId="0" borderId="58" xfId="0" applyFont="1" applyBorder="1" applyAlignment="1">
      <alignment vertical="center" wrapText="1"/>
    </xf>
    <xf numFmtId="3" fontId="13" fillId="0" borderId="58" xfId="0" applyNumberFormat="1" applyFont="1" applyBorder="1" applyAlignment="1">
      <alignment vertical="center"/>
    </xf>
    <xf numFmtId="3" fontId="14" fillId="0" borderId="59" xfId="0" applyNumberFormat="1" applyFont="1" applyBorder="1" applyAlignment="1">
      <alignment vertical="center"/>
    </xf>
    <xf numFmtId="3" fontId="43" fillId="0" borderId="43" xfId="6" applyNumberFormat="1" applyFont="1" applyBorder="1" applyAlignment="1">
      <alignment vertical="center"/>
    </xf>
    <xf numFmtId="3" fontId="43" fillId="0" borderId="26" xfId="6" applyNumberFormat="1" applyFont="1" applyBorder="1" applyAlignment="1">
      <alignment vertical="center"/>
    </xf>
    <xf numFmtId="0" fontId="13" fillId="0" borderId="40" xfId="14" applyFont="1" applyBorder="1" applyAlignment="1">
      <alignment vertical="center" wrapText="1"/>
    </xf>
    <xf numFmtId="3" fontId="14" fillId="0" borderId="55" xfId="14" applyNumberFormat="1" applyFont="1" applyBorder="1" applyAlignment="1">
      <alignment horizontal="right" vertical="center"/>
    </xf>
    <xf numFmtId="3" fontId="3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vertical="center"/>
    </xf>
    <xf numFmtId="0" fontId="5" fillId="0" borderId="29" xfId="0" applyFont="1" applyBorder="1" applyAlignment="1">
      <alignment horizontal="left" vertical="center"/>
    </xf>
    <xf numFmtId="3" fontId="4" fillId="0" borderId="9" xfId="0" applyNumberFormat="1" applyFont="1" applyBorder="1" applyAlignment="1">
      <alignment horizontal="left" vertical="center"/>
    </xf>
    <xf numFmtId="0" fontId="3" fillId="0" borderId="57" xfId="0" applyFont="1" applyBorder="1" applyAlignment="1">
      <alignment vertical="center"/>
    </xf>
    <xf numFmtId="0" fontId="5" fillId="0" borderId="69" xfId="0" applyFont="1" applyBorder="1" applyAlignment="1">
      <alignment vertical="center"/>
    </xf>
    <xf numFmtId="49" fontId="4" fillId="0" borderId="69" xfId="0" applyNumberFormat="1" applyFont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3" fontId="2" fillId="0" borderId="0" xfId="1" applyNumberFormat="1" applyFont="1" applyBorder="1" applyAlignment="1">
      <alignment horizontal="right" vertical="center"/>
    </xf>
    <xf numFmtId="3" fontId="2" fillId="0" borderId="0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3" fontId="10" fillId="0" borderId="0" xfId="1" applyNumberFormat="1" applyFont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0" borderId="0" xfId="2" applyNumberFormat="1" applyFont="1" applyBorder="1" applyAlignment="1">
      <alignment vertical="center"/>
    </xf>
    <xf numFmtId="0" fontId="2" fillId="0" borderId="57" xfId="1" applyFont="1" applyBorder="1" applyAlignment="1">
      <alignment horizontal="left" vertical="center" wrapText="1"/>
    </xf>
    <xf numFmtId="49" fontId="2" fillId="0" borderId="57" xfId="1" applyNumberFormat="1" applyFont="1" applyBorder="1" applyAlignment="1">
      <alignment vertical="center" wrapText="1"/>
    </xf>
    <xf numFmtId="3" fontId="2" fillId="0" borderId="0" xfId="1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0" fillId="0" borderId="0" xfId="0" applyFont="1"/>
    <xf numFmtId="3" fontId="41" fillId="0" borderId="66" xfId="20" applyNumberFormat="1" applyFont="1" applyBorder="1" applyAlignment="1" applyProtection="1">
      <alignment horizontal="right"/>
    </xf>
    <xf numFmtId="3" fontId="56" fillId="0" borderId="66" xfId="20" applyNumberFormat="1" applyFont="1" applyBorder="1" applyAlignment="1" applyProtection="1">
      <alignment horizontal="right"/>
    </xf>
    <xf numFmtId="0" fontId="41" fillId="0" borderId="0" xfId="0" applyFont="1"/>
    <xf numFmtId="0" fontId="20" fillId="0" borderId="66" xfId="20" applyFont="1" applyBorder="1" applyAlignment="1" applyProtection="1">
      <alignment horizontal="left"/>
    </xf>
    <xf numFmtId="0" fontId="20" fillId="0" borderId="66" xfId="20" applyFont="1" applyBorder="1" applyProtection="1"/>
    <xf numFmtId="3" fontId="20" fillId="0" borderId="66" xfId="20" applyNumberFormat="1" applyFont="1" applyBorder="1" applyAlignment="1" applyProtection="1">
      <alignment horizontal="right"/>
    </xf>
    <xf numFmtId="0" fontId="20" fillId="0" borderId="66" xfId="0" applyFont="1" applyBorder="1"/>
    <xf numFmtId="3" fontId="20" fillId="0" borderId="66" xfId="0" applyNumberFormat="1" applyFont="1" applyBorder="1"/>
    <xf numFmtId="0" fontId="57" fillId="0" borderId="0" xfId="0" applyFont="1" applyAlignment="1">
      <alignment vertical="center"/>
    </xf>
    <xf numFmtId="0" fontId="17" fillId="2" borderId="72" xfId="9" applyFont="1" applyFill="1" applyBorder="1" applyAlignment="1">
      <alignment vertical="center" wrapText="1"/>
    </xf>
    <xf numFmtId="0" fontId="13" fillId="2" borderId="72" xfId="9" applyFont="1" applyFill="1" applyBorder="1" applyAlignment="1">
      <alignment vertical="center" wrapText="1"/>
    </xf>
    <xf numFmtId="0" fontId="13" fillId="0" borderId="72" xfId="9" applyFont="1" applyBorder="1" applyAlignment="1">
      <alignment vertical="center" wrapText="1"/>
    </xf>
    <xf numFmtId="0" fontId="13" fillId="0" borderId="73" xfId="9" applyFont="1" applyBorder="1" applyAlignment="1">
      <alignment vertical="center" wrapText="1"/>
    </xf>
    <xf numFmtId="0" fontId="13" fillId="2" borderId="76" xfId="9" applyFont="1" applyFill="1" applyBorder="1" applyAlignment="1">
      <alignment vertical="center" wrapText="1"/>
    </xf>
    <xf numFmtId="3" fontId="14" fillId="0" borderId="75" xfId="0" applyNumberFormat="1" applyFont="1" applyBorder="1" applyAlignment="1">
      <alignment vertical="center"/>
    </xf>
    <xf numFmtId="3" fontId="13" fillId="0" borderId="57" xfId="0" applyNumberFormat="1" applyFont="1" applyBorder="1" applyAlignment="1">
      <alignment vertical="center"/>
    </xf>
    <xf numFmtId="3" fontId="13" fillId="0" borderId="79" xfId="0" applyNumberFormat="1" applyFont="1" applyBorder="1" applyAlignment="1">
      <alignment vertical="center"/>
    </xf>
    <xf numFmtId="14" fontId="13" fillId="0" borderId="58" xfId="0" applyNumberFormat="1" applyFont="1" applyBorder="1" applyAlignment="1">
      <alignment horizontal="center" vertical="center" wrapText="1"/>
    </xf>
    <xf numFmtId="14" fontId="13" fillId="2" borderId="58" xfId="0" applyNumberFormat="1" applyFont="1" applyFill="1" applyBorder="1" applyAlignment="1">
      <alignment horizontal="center" vertical="center"/>
    </xf>
    <xf numFmtId="3" fontId="13" fillId="0" borderId="59" xfId="0" applyNumberFormat="1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3" fontId="14" fillId="0" borderId="11" xfId="0" applyNumberFormat="1" applyFont="1" applyBorder="1" applyAlignment="1">
      <alignment vertical="center"/>
    </xf>
    <xf numFmtId="0" fontId="21" fillId="0" borderId="79" xfId="5" applyFont="1" applyBorder="1" applyAlignment="1">
      <alignment horizontal="center" vertical="center" wrapText="1"/>
    </xf>
    <xf numFmtId="0" fontId="21" fillId="0" borderId="82" xfId="5" applyFont="1" applyBorder="1" applyAlignment="1">
      <alignment horizontal="center" vertical="center" wrapText="1"/>
    </xf>
    <xf numFmtId="0" fontId="21" fillId="0" borderId="83" xfId="5" applyFont="1" applyBorder="1" applyAlignment="1">
      <alignment horizontal="center" vertical="center" wrapText="1"/>
    </xf>
    <xf numFmtId="0" fontId="21" fillId="0" borderId="79" xfId="5" applyFont="1" applyBorder="1" applyAlignment="1">
      <alignment horizontal="center" vertical="center"/>
    </xf>
    <xf numFmtId="0" fontId="21" fillId="0" borderId="82" xfId="5" applyFont="1" applyBorder="1" applyAlignment="1">
      <alignment horizontal="center" vertical="center"/>
    </xf>
    <xf numFmtId="3" fontId="21" fillId="0" borderId="83" xfId="5" applyNumberFormat="1" applyFont="1" applyBorder="1" applyAlignment="1">
      <alignment horizontal="center" vertical="center" wrapText="1"/>
    </xf>
    <xf numFmtId="3" fontId="21" fillId="0" borderId="79" xfId="5" applyNumberFormat="1" applyFont="1" applyBorder="1" applyAlignment="1">
      <alignment horizontal="center" vertical="center" wrapText="1"/>
    </xf>
    <xf numFmtId="3" fontId="21" fillId="0" borderId="45" xfId="5" applyNumberFormat="1" applyFont="1" applyBorder="1" applyAlignment="1">
      <alignment vertical="center"/>
    </xf>
    <xf numFmtId="3" fontId="21" fillId="0" borderId="17" xfId="5" applyNumberFormat="1" applyFont="1" applyBorder="1" applyAlignment="1">
      <alignment vertical="center"/>
    </xf>
    <xf numFmtId="3" fontId="21" fillId="0" borderId="8" xfId="5" applyNumberFormat="1" applyFont="1" applyBorder="1" applyAlignment="1">
      <alignment vertical="center"/>
    </xf>
    <xf numFmtId="3" fontId="21" fillId="0" borderId="1" xfId="5" applyNumberFormat="1" applyFont="1" applyBorder="1" applyAlignment="1">
      <alignment vertical="center"/>
    </xf>
    <xf numFmtId="3" fontId="21" fillId="0" borderId="20" xfId="5" applyNumberFormat="1" applyFont="1" applyBorder="1" applyAlignment="1">
      <alignment vertical="center"/>
    </xf>
    <xf numFmtId="3" fontId="20" fillId="0" borderId="0" xfId="0" applyNumberFormat="1" applyFont="1"/>
    <xf numFmtId="0" fontId="14" fillId="0" borderId="0" xfId="0" applyFont="1" applyAlignment="1">
      <alignment horizontal="center" vertical="center" wrapText="1"/>
    </xf>
    <xf numFmtId="3" fontId="13" fillId="0" borderId="53" xfId="0" applyNumberFormat="1" applyFont="1" applyBorder="1" applyAlignment="1">
      <alignment vertical="center"/>
    </xf>
    <xf numFmtId="3" fontId="14" fillId="0" borderId="35" xfId="0" applyNumberFormat="1" applyFont="1" applyBorder="1" applyAlignment="1">
      <alignment vertical="center"/>
    </xf>
    <xf numFmtId="3" fontId="13" fillId="0" borderId="74" xfId="0" applyNumberFormat="1" applyFont="1" applyBorder="1" applyAlignment="1">
      <alignment vertical="center"/>
    </xf>
    <xf numFmtId="3" fontId="13" fillId="0" borderId="75" xfId="0" applyNumberFormat="1" applyFont="1" applyBorder="1" applyAlignment="1">
      <alignment vertical="center"/>
    </xf>
    <xf numFmtId="3" fontId="33" fillId="0" borderId="5" xfId="0" applyNumberFormat="1" applyFont="1" applyBorder="1" applyAlignment="1">
      <alignment horizontal="center" vertical="center" wrapText="1"/>
    </xf>
    <xf numFmtId="3" fontId="33" fillId="0" borderId="52" xfId="0" applyNumberFormat="1" applyFont="1" applyBorder="1" applyAlignment="1">
      <alignment vertical="center" wrapText="1"/>
    </xf>
    <xf numFmtId="3" fontId="32" fillId="0" borderId="76" xfId="0" applyNumberFormat="1" applyFont="1" applyBorder="1" applyAlignment="1">
      <alignment vertical="center" wrapText="1"/>
    </xf>
    <xf numFmtId="3" fontId="33" fillId="0" borderId="76" xfId="0" applyNumberFormat="1" applyFont="1" applyBorder="1" applyAlignment="1">
      <alignment vertical="center" wrapText="1"/>
    </xf>
    <xf numFmtId="3" fontId="31" fillId="0" borderId="76" xfId="0" applyNumberFormat="1" applyFont="1" applyBorder="1" applyAlignment="1">
      <alignment vertical="center" wrapText="1"/>
    </xf>
    <xf numFmtId="3" fontId="17" fillId="0" borderId="76" xfId="0" applyNumberFormat="1" applyFont="1" applyBorder="1" applyAlignment="1">
      <alignment vertical="center" wrapText="1"/>
    </xf>
    <xf numFmtId="49" fontId="31" fillId="0" borderId="76" xfId="0" applyNumberFormat="1" applyFont="1" applyBorder="1" applyAlignment="1">
      <alignment vertical="center" wrapText="1"/>
    </xf>
    <xf numFmtId="3" fontId="31" fillId="0" borderId="76" xfId="0" applyNumberFormat="1" applyFont="1" applyBorder="1" applyAlignment="1">
      <alignment vertical="center"/>
    </xf>
    <xf numFmtId="3" fontId="33" fillId="0" borderId="5" xfId="0" applyNumberFormat="1" applyFont="1" applyBorder="1" applyAlignment="1">
      <alignment vertical="center" wrapText="1"/>
    </xf>
    <xf numFmtId="3" fontId="33" fillId="0" borderId="9" xfId="0" applyNumberFormat="1" applyFont="1" applyBorder="1" applyAlignment="1">
      <alignment horizontal="center" vertical="center" wrapText="1"/>
    </xf>
    <xf numFmtId="3" fontId="33" fillId="0" borderId="9" xfId="0" applyNumberFormat="1" applyFont="1" applyBorder="1" applyAlignment="1">
      <alignment vertical="center" wrapText="1"/>
    </xf>
    <xf numFmtId="3" fontId="33" fillId="0" borderId="11" xfId="0" applyNumberFormat="1" applyFont="1" applyBorder="1" applyAlignment="1">
      <alignment vertical="center" wrapText="1"/>
    </xf>
    <xf numFmtId="0" fontId="14" fillId="0" borderId="89" xfId="14" applyFont="1" applyBorder="1" applyAlignment="1">
      <alignment horizontal="center" vertical="center"/>
    </xf>
    <xf numFmtId="3" fontId="14" fillId="0" borderId="8" xfId="14" applyNumberFormat="1" applyFont="1" applyBorder="1" applyAlignment="1">
      <alignment horizontal="center" vertical="center" wrapText="1"/>
    </xf>
    <xf numFmtId="3" fontId="14" fillId="0" borderId="57" xfId="14" applyNumberFormat="1" applyFont="1" applyBorder="1" applyAlignment="1">
      <alignment horizontal="right" vertical="center"/>
    </xf>
    <xf numFmtId="0" fontId="14" fillId="0" borderId="14" xfId="14" applyFont="1" applyBorder="1" applyAlignment="1">
      <alignment horizontal="left" vertical="center"/>
    </xf>
    <xf numFmtId="3" fontId="14" fillId="0" borderId="15" xfId="14" applyNumberFormat="1" applyFont="1" applyBorder="1" applyAlignment="1">
      <alignment horizontal="right" vertical="center"/>
    </xf>
    <xf numFmtId="3" fontId="13" fillId="0" borderId="44" xfId="14" applyNumberFormat="1" applyFont="1" applyBorder="1" applyAlignment="1">
      <alignment vertical="center" wrapText="1"/>
    </xf>
    <xf numFmtId="3" fontId="13" fillId="0" borderId="85" xfId="14" applyNumberFormat="1" applyFont="1" applyBorder="1" applyAlignment="1">
      <alignment vertical="center" wrapText="1"/>
    </xf>
    <xf numFmtId="3" fontId="13" fillId="2" borderId="85" xfId="9" applyNumberFormat="1" applyFont="1" applyFill="1" applyBorder="1" applyAlignment="1">
      <alignment vertical="center" wrapText="1"/>
    </xf>
    <xf numFmtId="3" fontId="14" fillId="0" borderId="91" xfId="14" applyNumberFormat="1" applyFont="1" applyBorder="1" applyAlignment="1">
      <alignment horizontal="right" vertical="center"/>
    </xf>
    <xf numFmtId="3" fontId="13" fillId="0" borderId="53" xfId="14" applyNumberFormat="1" applyFont="1" applyBorder="1" applyAlignment="1">
      <alignment horizontal="right" vertical="center" wrapText="1"/>
    </xf>
    <xf numFmtId="3" fontId="14" fillId="0" borderId="86" xfId="14" applyNumberFormat="1" applyFont="1" applyBorder="1" applyAlignment="1">
      <alignment horizontal="right" vertical="center" wrapText="1"/>
    </xf>
    <xf numFmtId="3" fontId="13" fillId="0" borderId="86" xfId="14" applyNumberFormat="1" applyFont="1" applyBorder="1" applyAlignment="1">
      <alignment horizontal="right" vertical="center" wrapText="1"/>
    </xf>
    <xf numFmtId="3" fontId="13" fillId="2" borderId="86" xfId="9" applyNumberFormat="1" applyFont="1" applyFill="1" applyBorder="1" applyAlignment="1">
      <alignment horizontal="right" vertical="center" wrapText="1"/>
    </xf>
    <xf numFmtId="3" fontId="20" fillId="2" borderId="86" xfId="10" applyNumberFormat="1" applyFont="1" applyFill="1" applyBorder="1" applyAlignment="1">
      <alignment horizontal="right" vertical="center" wrapText="1"/>
    </xf>
    <xf numFmtId="3" fontId="13" fillId="0" borderId="58" xfId="14" applyNumberFormat="1" applyFont="1" applyBorder="1" applyAlignment="1">
      <alignment vertical="center" wrapText="1"/>
    </xf>
    <xf numFmtId="3" fontId="13" fillId="0" borderId="80" xfId="14" applyNumberFormat="1" applyFont="1" applyBorder="1" applyAlignment="1">
      <alignment vertical="center" wrapText="1"/>
    </xf>
    <xf numFmtId="3" fontId="13" fillId="2" borderId="80" xfId="9" applyNumberFormat="1" applyFont="1" applyFill="1" applyBorder="1" applyAlignment="1">
      <alignment vertical="center" wrapText="1"/>
    </xf>
    <xf numFmtId="0" fontId="13" fillId="0" borderId="62" xfId="14" applyFont="1" applyBorder="1" applyAlignment="1">
      <alignment vertical="center" wrapText="1"/>
    </xf>
    <xf numFmtId="0" fontId="13" fillId="0" borderId="76" xfId="14" applyFont="1" applyBorder="1" applyAlignment="1">
      <alignment vertical="center" wrapText="1"/>
    </xf>
    <xf numFmtId="49" fontId="13" fillId="2" borderId="76" xfId="10" applyNumberFormat="1" applyFont="1" applyFill="1" applyBorder="1" applyAlignment="1">
      <alignment horizontal="left" vertical="center" wrapText="1"/>
    </xf>
    <xf numFmtId="0" fontId="13" fillId="0" borderId="76" xfId="0" applyFont="1" applyBorder="1" applyAlignment="1">
      <alignment vertical="center" wrapText="1"/>
    </xf>
    <xf numFmtId="49" fontId="20" fillId="2" borderId="76" xfId="10" applyNumberFormat="1" applyFont="1" applyFill="1" applyBorder="1" applyAlignment="1">
      <alignment horizontal="left" vertical="center" wrapText="1"/>
    </xf>
    <xf numFmtId="3" fontId="13" fillId="0" borderId="57" xfId="14" applyNumberFormat="1" applyFont="1" applyBorder="1" applyAlignment="1">
      <alignment horizontal="right" vertical="center" wrapText="1"/>
    </xf>
    <xf numFmtId="3" fontId="13" fillId="0" borderId="59" xfId="14" applyNumberFormat="1" applyFont="1" applyBorder="1" applyAlignment="1">
      <alignment horizontal="right" vertical="center" wrapText="1"/>
    </xf>
    <xf numFmtId="3" fontId="13" fillId="0" borderId="74" xfId="14" applyNumberFormat="1" applyFont="1" applyBorder="1" applyAlignment="1">
      <alignment horizontal="right" vertical="center" wrapText="1"/>
    </xf>
    <xf numFmtId="3" fontId="13" fillId="0" borderId="75" xfId="14" applyNumberFormat="1" applyFont="1" applyBorder="1" applyAlignment="1">
      <alignment horizontal="right" vertical="center" wrapText="1"/>
    </xf>
    <xf numFmtId="3" fontId="13" fillId="2" borderId="74" xfId="9" applyNumberFormat="1" applyFont="1" applyFill="1" applyBorder="1" applyAlignment="1">
      <alignment horizontal="right" vertical="center" wrapText="1"/>
    </xf>
    <xf numFmtId="3" fontId="13" fillId="2" borderId="75" xfId="9" applyNumberFormat="1" applyFont="1" applyFill="1" applyBorder="1" applyAlignment="1">
      <alignment horizontal="right" vertical="center" wrapText="1"/>
    </xf>
    <xf numFmtId="3" fontId="13" fillId="0" borderId="74" xfId="9" applyNumberFormat="1" applyFont="1" applyBorder="1" applyAlignment="1">
      <alignment horizontal="right" vertical="center"/>
    </xf>
    <xf numFmtId="3" fontId="13" fillId="0" borderId="75" xfId="9" applyNumberFormat="1" applyFont="1" applyBorder="1" applyAlignment="1">
      <alignment horizontal="right" vertical="center"/>
    </xf>
    <xf numFmtId="3" fontId="20" fillId="2" borderId="74" xfId="10" applyNumberFormat="1" applyFont="1" applyFill="1" applyBorder="1" applyAlignment="1">
      <alignment horizontal="right" vertical="center" wrapText="1"/>
    </xf>
    <xf numFmtId="3" fontId="20" fillId="2" borderId="75" xfId="10" applyNumberFormat="1" applyFont="1" applyFill="1" applyBorder="1" applyAlignment="1">
      <alignment horizontal="right" vertical="center" wrapText="1"/>
    </xf>
    <xf numFmtId="3" fontId="14" fillId="0" borderId="74" xfId="14" applyNumberFormat="1" applyFont="1" applyBorder="1" applyAlignment="1">
      <alignment horizontal="right" vertical="center" wrapText="1"/>
    </xf>
    <xf numFmtId="3" fontId="14" fillId="0" borderId="75" xfId="14" applyNumberFormat="1" applyFont="1" applyBorder="1" applyAlignment="1">
      <alignment horizontal="right" vertical="center" wrapText="1"/>
    </xf>
    <xf numFmtId="3" fontId="14" fillId="0" borderId="57" xfId="14" applyNumberFormat="1" applyFont="1" applyBorder="1" applyAlignment="1">
      <alignment horizontal="right" vertical="center" wrapText="1"/>
    </xf>
    <xf numFmtId="3" fontId="14" fillId="0" borderId="59" xfId="14" applyNumberFormat="1" applyFont="1" applyBorder="1" applyAlignment="1">
      <alignment horizontal="right" vertical="center" wrapText="1"/>
    </xf>
    <xf numFmtId="0" fontId="13" fillId="0" borderId="79" xfId="14" applyFont="1" applyBorder="1" applyAlignment="1">
      <alignment vertical="center" wrapText="1"/>
    </xf>
    <xf numFmtId="3" fontId="13" fillId="0" borderId="82" xfId="14" applyNumberFormat="1" applyFont="1" applyBorder="1" applyAlignment="1">
      <alignment vertical="center" wrapText="1"/>
    </xf>
    <xf numFmtId="3" fontId="13" fillId="0" borderId="87" xfId="14" applyNumberFormat="1" applyFont="1" applyBorder="1" applyAlignment="1">
      <alignment vertical="center" wrapText="1"/>
    </xf>
    <xf numFmtId="3" fontId="13" fillId="0" borderId="79" xfId="14" applyNumberFormat="1" applyFont="1" applyBorder="1" applyAlignment="1">
      <alignment horizontal="right" vertical="center" wrapText="1"/>
    </xf>
    <xf numFmtId="3" fontId="13" fillId="0" borderId="83" xfId="14" applyNumberFormat="1" applyFont="1" applyBorder="1" applyAlignment="1">
      <alignment horizontal="right" vertical="center" wrapText="1"/>
    </xf>
    <xf numFmtId="3" fontId="13" fillId="0" borderId="88" xfId="14" applyNumberFormat="1" applyFont="1" applyBorder="1" applyAlignment="1">
      <alignment horizontal="right" vertical="center" wrapText="1"/>
    </xf>
    <xf numFmtId="0" fontId="14" fillId="0" borderId="9" xfId="14" applyFont="1" applyBorder="1" applyAlignment="1">
      <alignment horizontal="left" vertical="center"/>
    </xf>
    <xf numFmtId="3" fontId="14" fillId="0" borderId="10" xfId="14" applyNumberFormat="1" applyFont="1" applyBorder="1" applyAlignment="1">
      <alignment horizontal="right" vertical="center"/>
    </xf>
    <xf numFmtId="3" fontId="14" fillId="0" borderId="89" xfId="14" applyNumberFormat="1" applyFont="1" applyBorder="1" applyAlignment="1">
      <alignment horizontal="right" vertical="center"/>
    </xf>
    <xf numFmtId="0" fontId="14" fillId="0" borderId="5" xfId="14" applyFont="1" applyBorder="1" applyAlignment="1">
      <alignment horizontal="left" vertical="center"/>
    </xf>
    <xf numFmtId="3" fontId="14" fillId="0" borderId="9" xfId="14" applyNumberFormat="1" applyFont="1" applyBorder="1" applyAlignment="1">
      <alignment horizontal="right" vertical="center"/>
    </xf>
    <xf numFmtId="3" fontId="14" fillId="0" borderId="11" xfId="14" applyNumberFormat="1" applyFont="1" applyBorder="1" applyAlignment="1">
      <alignment horizontal="right" vertical="center"/>
    </xf>
    <xf numFmtId="3" fontId="14" fillId="0" borderId="35" xfId="14" applyNumberFormat="1" applyFont="1" applyBorder="1" applyAlignment="1">
      <alignment horizontal="right" vertical="center"/>
    </xf>
    <xf numFmtId="0" fontId="58" fillId="0" borderId="0" xfId="0" applyFont="1" applyAlignment="1">
      <alignment vertical="center" wrapText="1"/>
    </xf>
    <xf numFmtId="3" fontId="13" fillId="0" borderId="74" xfId="4" applyNumberFormat="1" applyFont="1" applyBorder="1" applyAlignment="1">
      <alignment vertical="center"/>
    </xf>
    <xf numFmtId="3" fontId="13" fillId="0" borderId="75" xfId="4" applyNumberFormat="1" applyFont="1" applyBorder="1" applyAlignment="1">
      <alignment vertical="center"/>
    </xf>
    <xf numFmtId="3" fontId="13" fillId="0" borderId="38" xfId="4" applyNumberFormat="1" applyFont="1" applyBorder="1" applyAlignment="1">
      <alignment vertical="center"/>
    </xf>
    <xf numFmtId="3" fontId="13" fillId="0" borderId="39" xfId="4" applyNumberFormat="1" applyFont="1" applyBorder="1" applyAlignment="1">
      <alignment vertical="center"/>
    </xf>
    <xf numFmtId="0" fontId="24" fillId="0" borderId="9" xfId="0" applyFont="1" applyBorder="1" applyAlignment="1">
      <alignment horizontal="center"/>
    </xf>
    <xf numFmtId="3" fontId="13" fillId="0" borderId="79" xfId="4" applyNumberFormat="1" applyFont="1" applyBorder="1" applyAlignment="1">
      <alignment vertical="center"/>
    </xf>
    <xf numFmtId="3" fontId="13" fillId="0" borderId="83" xfId="4" applyNumberFormat="1" applyFont="1" applyBorder="1" applyAlignment="1">
      <alignment vertical="center"/>
    </xf>
    <xf numFmtId="3" fontId="24" fillId="0" borderId="9" xfId="0" applyNumberFormat="1" applyFont="1" applyBorder="1"/>
    <xf numFmtId="3" fontId="24" fillId="0" borderId="11" xfId="0" applyNumberFormat="1" applyFont="1" applyBorder="1"/>
    <xf numFmtId="3" fontId="28" fillId="0" borderId="1" xfId="0" applyNumberFormat="1" applyFont="1" applyBorder="1" applyAlignment="1">
      <alignment vertical="center"/>
    </xf>
    <xf numFmtId="3" fontId="14" fillId="0" borderId="57" xfId="0" applyNumberFormat="1" applyFont="1" applyBorder="1" applyAlignment="1">
      <alignment vertical="center"/>
    </xf>
    <xf numFmtId="3" fontId="17" fillId="0" borderId="74" xfId="0" applyNumberFormat="1" applyFont="1" applyBorder="1" applyAlignment="1">
      <alignment vertical="center"/>
    </xf>
    <xf numFmtId="3" fontId="17" fillId="0" borderId="75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3" fillId="0" borderId="1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horizontal="center" vertical="center"/>
    </xf>
    <xf numFmtId="3" fontId="13" fillId="0" borderId="102" xfId="0" applyNumberFormat="1" applyFont="1" applyBorder="1" applyAlignment="1">
      <alignment vertical="center"/>
    </xf>
    <xf numFmtId="3" fontId="14" fillId="0" borderId="61" xfId="0" applyNumberFormat="1" applyFont="1" applyBorder="1" applyAlignment="1">
      <alignment vertical="center"/>
    </xf>
    <xf numFmtId="3" fontId="14" fillId="0" borderId="103" xfId="0" applyNumberFormat="1" applyFont="1" applyBorder="1" applyAlignment="1">
      <alignment horizontal="center" vertical="center"/>
    </xf>
    <xf numFmtId="3" fontId="13" fillId="0" borderId="103" xfId="0" applyNumberFormat="1" applyFont="1" applyBorder="1" applyAlignment="1">
      <alignment vertical="center"/>
    </xf>
    <xf numFmtId="3" fontId="17" fillId="0" borderId="103" xfId="0" applyNumberFormat="1" applyFont="1" applyBorder="1" applyAlignment="1">
      <alignment vertical="center"/>
    </xf>
    <xf numFmtId="3" fontId="14" fillId="0" borderId="103" xfId="0" applyNumberFormat="1" applyFont="1" applyBorder="1" applyAlignment="1">
      <alignment vertical="center"/>
    </xf>
    <xf numFmtId="3" fontId="14" fillId="0" borderId="98" xfId="0" applyNumberFormat="1" applyFont="1" applyBorder="1" applyAlignment="1">
      <alignment vertical="center"/>
    </xf>
    <xf numFmtId="3" fontId="13" fillId="0" borderId="74" xfId="12" applyNumberFormat="1" applyFont="1" applyBorder="1" applyAlignment="1">
      <alignment vertical="center"/>
    </xf>
    <xf numFmtId="3" fontId="17" fillId="0" borderId="74" xfId="12" applyNumberFormat="1" applyFont="1" applyBorder="1" applyAlignment="1">
      <alignment vertical="center"/>
    </xf>
    <xf numFmtId="3" fontId="14" fillId="0" borderId="99" xfId="12" applyNumberFormat="1" applyFont="1" applyBorder="1" applyAlignment="1">
      <alignment horizontal="center" vertical="center"/>
    </xf>
    <xf numFmtId="3" fontId="14" fillId="0" borderId="74" xfId="12" applyNumberFormat="1" applyFont="1" applyBorder="1" applyAlignment="1">
      <alignment horizontal="center" vertical="center"/>
    </xf>
    <xf numFmtId="3" fontId="13" fillId="0" borderId="79" xfId="12" applyNumberFormat="1" applyFont="1" applyBorder="1" applyAlignment="1">
      <alignment vertical="center"/>
    </xf>
    <xf numFmtId="3" fontId="14" fillId="0" borderId="104" xfId="12" applyNumberFormat="1" applyFont="1" applyBorder="1" applyAlignment="1">
      <alignment vertical="center"/>
    </xf>
    <xf numFmtId="3" fontId="13" fillId="0" borderId="103" xfId="12" applyNumberFormat="1" applyFont="1" applyBorder="1" applyAlignment="1">
      <alignment vertical="center"/>
    </xf>
    <xf numFmtId="3" fontId="17" fillId="0" borderId="103" xfId="12" applyNumberFormat="1" applyFont="1" applyBorder="1" applyAlignment="1">
      <alignment vertical="center"/>
    </xf>
    <xf numFmtId="3" fontId="13" fillId="0" borderId="103" xfId="12" applyNumberFormat="1" applyFont="1" applyFill="1" applyBorder="1" applyAlignment="1">
      <alignment vertical="center"/>
    </xf>
    <xf numFmtId="3" fontId="14" fillId="0" borderId="103" xfId="12" applyNumberFormat="1" applyFont="1" applyBorder="1" applyAlignment="1">
      <alignment vertical="center"/>
    </xf>
    <xf numFmtId="3" fontId="14" fillId="0" borderId="102" xfId="12" applyNumberFormat="1" applyFont="1" applyBorder="1" applyAlignment="1">
      <alignment vertical="center"/>
    </xf>
    <xf numFmtId="3" fontId="14" fillId="0" borderId="98" xfId="12" applyNumberFormat="1" applyFont="1" applyBorder="1" applyAlignment="1">
      <alignment vertical="center"/>
    </xf>
    <xf numFmtId="3" fontId="14" fillId="0" borderId="104" xfId="12" applyNumberFormat="1" applyFont="1" applyBorder="1" applyAlignment="1">
      <alignment horizontal="center" vertical="center"/>
    </xf>
    <xf numFmtId="3" fontId="14" fillId="0" borderId="103" xfId="12" applyNumberFormat="1" applyFont="1" applyBorder="1" applyAlignment="1">
      <alignment horizontal="center" vertical="center"/>
    </xf>
    <xf numFmtId="3" fontId="13" fillId="0" borderId="102" xfId="12" applyNumberFormat="1" applyFont="1" applyBorder="1" applyAlignment="1">
      <alignment vertical="center"/>
    </xf>
    <xf numFmtId="3" fontId="13" fillId="0" borderId="104" xfId="0" applyNumberFormat="1" applyFont="1" applyBorder="1" applyAlignment="1">
      <alignment horizontal="right" vertical="center"/>
    </xf>
    <xf numFmtId="3" fontId="13" fillId="0" borderId="103" xfId="0" applyNumberFormat="1" applyFont="1" applyBorder="1" applyAlignment="1">
      <alignment horizontal="right" vertical="center"/>
    </xf>
    <xf numFmtId="3" fontId="13" fillId="0" borderId="103" xfId="0" applyNumberFormat="1" applyFont="1" applyFill="1" applyBorder="1" applyAlignment="1">
      <alignment horizontal="right" vertical="center"/>
    </xf>
    <xf numFmtId="3" fontId="14" fillId="0" borderId="103" xfId="0" applyNumberFormat="1" applyFont="1" applyBorder="1" applyAlignment="1">
      <alignment horizontal="right" vertical="center"/>
    </xf>
    <xf numFmtId="3" fontId="17" fillId="0" borderId="103" xfId="0" applyNumberFormat="1" applyFont="1" applyBorder="1" applyAlignment="1">
      <alignment horizontal="right" vertical="center"/>
    </xf>
    <xf numFmtId="3" fontId="13" fillId="0" borderId="102" xfId="0" applyNumberFormat="1" applyFont="1" applyBorder="1" applyAlignment="1">
      <alignment horizontal="right" vertical="center"/>
    </xf>
    <xf numFmtId="3" fontId="14" fillId="0" borderId="98" xfId="0" applyNumberFormat="1" applyFont="1" applyBorder="1" applyAlignment="1">
      <alignment horizontal="right" vertical="center"/>
    </xf>
    <xf numFmtId="0" fontId="14" fillId="0" borderId="9" xfId="0" applyFont="1" applyBorder="1" applyAlignment="1">
      <alignment horizontal="center" vertical="center"/>
    </xf>
    <xf numFmtId="3" fontId="13" fillId="0" borderId="99" xfId="0" applyNumberFormat="1" applyFont="1" applyBorder="1" applyAlignment="1">
      <alignment horizontal="right" vertical="center"/>
    </xf>
    <xf numFmtId="3" fontId="13" fillId="0" borderId="74" xfId="0" applyNumberFormat="1" applyFont="1" applyBorder="1" applyAlignment="1">
      <alignment horizontal="right" vertical="center"/>
    </xf>
    <xf numFmtId="3" fontId="13" fillId="0" borderId="74" xfId="0" applyNumberFormat="1" applyFont="1" applyFill="1" applyBorder="1" applyAlignment="1">
      <alignment horizontal="right" vertical="center"/>
    </xf>
    <xf numFmtId="3" fontId="14" fillId="0" borderId="74" xfId="0" applyNumberFormat="1" applyFont="1" applyBorder="1" applyAlignment="1">
      <alignment horizontal="right" vertical="center"/>
    </xf>
    <xf numFmtId="3" fontId="17" fillId="0" borderId="74" xfId="0" applyNumberFormat="1" applyFont="1" applyBorder="1" applyAlignment="1">
      <alignment horizontal="right" vertical="center"/>
    </xf>
    <xf numFmtId="3" fontId="13" fillId="0" borderId="79" xfId="0" applyNumberFormat="1" applyFont="1" applyBorder="1" applyAlignment="1">
      <alignment horizontal="right" vertical="center"/>
    </xf>
    <xf numFmtId="3" fontId="14" fillId="0" borderId="9" xfId="0" applyNumberFormat="1" applyFont="1" applyBorder="1" applyAlignment="1">
      <alignment horizontal="right" vertical="center"/>
    </xf>
    <xf numFmtId="3" fontId="13" fillId="0" borderId="81" xfId="9" applyNumberFormat="1" applyFont="1" applyBorder="1" applyAlignment="1">
      <alignment vertical="center"/>
    </xf>
    <xf numFmtId="3" fontId="20" fillId="0" borderId="75" xfId="10" applyNumberFormat="1" applyFont="1" applyBorder="1" applyAlignment="1">
      <alignment vertical="center"/>
    </xf>
    <xf numFmtId="3" fontId="13" fillId="0" borderId="75" xfId="9" applyNumberFormat="1" applyFont="1" applyBorder="1" applyAlignment="1">
      <alignment vertical="center"/>
    </xf>
    <xf numFmtId="3" fontId="13" fillId="0" borderId="83" xfId="9" applyNumberFormat="1" applyFont="1" applyBorder="1" applyAlignment="1">
      <alignment vertical="center"/>
    </xf>
    <xf numFmtId="3" fontId="13" fillId="0" borderId="1" xfId="9" applyNumberFormat="1" applyFont="1" applyBorder="1" applyAlignment="1">
      <alignment vertical="center"/>
    </xf>
    <xf numFmtId="3" fontId="14" fillId="0" borderId="5" xfId="9" applyNumberFormat="1" applyFont="1" applyBorder="1" applyAlignment="1">
      <alignment vertical="center"/>
    </xf>
    <xf numFmtId="3" fontId="14" fillId="0" borderId="11" xfId="9" applyNumberFormat="1" applyFont="1" applyBorder="1" applyAlignment="1">
      <alignment vertical="center"/>
    </xf>
    <xf numFmtId="3" fontId="14" fillId="0" borderId="59" xfId="9" applyNumberFormat="1" applyFont="1" applyBorder="1" applyAlignment="1">
      <alignment vertical="center"/>
    </xf>
    <xf numFmtId="3" fontId="14" fillId="0" borderId="75" xfId="9" applyNumberFormat="1" applyFont="1" applyBorder="1" applyAlignment="1">
      <alignment vertical="center"/>
    </xf>
    <xf numFmtId="3" fontId="13" fillId="0" borderId="101" xfId="9" applyNumberFormat="1" applyFont="1" applyBorder="1" applyAlignment="1">
      <alignment vertical="center"/>
    </xf>
    <xf numFmtId="3" fontId="13" fillId="0" borderId="100" xfId="9" applyNumberFormat="1" applyFont="1" applyBorder="1" applyAlignment="1">
      <alignment vertical="center"/>
    </xf>
    <xf numFmtId="3" fontId="13" fillId="0" borderId="105" xfId="9" applyNumberFormat="1" applyFont="1" applyBorder="1" applyAlignment="1">
      <alignment vertical="center"/>
    </xf>
    <xf numFmtId="0" fontId="13" fillId="0" borderId="27" xfId="9" applyFont="1" applyBorder="1" applyAlignment="1">
      <alignment vertical="center" wrapText="1"/>
    </xf>
    <xf numFmtId="0" fontId="14" fillId="0" borderId="37" xfId="9" applyFont="1" applyBorder="1" applyAlignment="1">
      <alignment horizontal="center" vertical="center" wrapText="1"/>
    </xf>
    <xf numFmtId="3" fontId="24" fillId="0" borderId="5" xfId="9" applyNumberFormat="1" applyFont="1" applyBorder="1" applyAlignment="1">
      <alignment vertical="center"/>
    </xf>
    <xf numFmtId="3" fontId="13" fillId="0" borderId="59" xfId="9" applyNumberFormat="1" applyFont="1" applyBorder="1" applyAlignment="1">
      <alignment vertical="center"/>
    </xf>
    <xf numFmtId="3" fontId="7" fillId="0" borderId="75" xfId="10" applyNumberFormat="1" applyFont="1" applyFill="1" applyBorder="1" applyAlignment="1">
      <alignment vertical="center"/>
    </xf>
    <xf numFmtId="3" fontId="7" fillId="0" borderId="58" xfId="0" applyNumberFormat="1" applyFont="1" applyBorder="1"/>
    <xf numFmtId="3" fontId="7" fillId="0" borderId="59" xfId="0" applyNumberFormat="1" applyFont="1" applyBorder="1"/>
    <xf numFmtId="3" fontId="24" fillId="0" borderId="58" xfId="0" applyNumberFormat="1" applyFont="1" applyBorder="1"/>
    <xf numFmtId="3" fontId="24" fillId="0" borderId="59" xfId="0" applyNumberFormat="1" applyFont="1" applyBorder="1"/>
    <xf numFmtId="0" fontId="4" fillId="0" borderId="0" xfId="0" applyFont="1" applyAlignment="1">
      <alignment horizontal="center" vertical="center"/>
    </xf>
    <xf numFmtId="3" fontId="14" fillId="0" borderId="109" xfId="0" applyNumberFormat="1" applyFont="1" applyBorder="1" applyAlignment="1">
      <alignment vertical="center"/>
    </xf>
    <xf numFmtId="3" fontId="13" fillId="0" borderId="111" xfId="0" applyNumberFormat="1" applyFont="1" applyBorder="1" applyAlignment="1">
      <alignment vertical="center"/>
    </xf>
    <xf numFmtId="3" fontId="14" fillId="0" borderId="112" xfId="0" applyNumberFormat="1" applyFont="1" applyBorder="1" applyAlignment="1">
      <alignment vertical="center"/>
    </xf>
    <xf numFmtId="3" fontId="7" fillId="0" borderId="110" xfId="0" applyNumberFormat="1" applyFont="1" applyBorder="1"/>
    <xf numFmtId="3" fontId="43" fillId="0" borderId="111" xfId="6" applyNumberFormat="1" applyFont="1" applyBorder="1" applyAlignment="1">
      <alignment horizontal="right" vertical="center"/>
    </xf>
    <xf numFmtId="3" fontId="43" fillId="0" borderId="111" xfId="6" applyNumberFormat="1" applyFont="1" applyBorder="1" applyAlignment="1">
      <alignment vertical="center"/>
    </xf>
    <xf numFmtId="3" fontId="44" fillId="0" borderId="111" xfId="6" applyNumberFormat="1" applyFont="1" applyBorder="1" applyAlignment="1">
      <alignment horizontal="right" vertical="center"/>
    </xf>
    <xf numFmtId="0" fontId="43" fillId="2" borderId="29" xfId="6" applyFont="1" applyFill="1" applyBorder="1" applyAlignment="1">
      <alignment horizontal="center" vertical="center"/>
    </xf>
    <xf numFmtId="3" fontId="43" fillId="0" borderId="59" xfId="6" applyNumberFormat="1" applyFont="1" applyBorder="1" applyAlignment="1">
      <alignment vertical="center"/>
    </xf>
    <xf numFmtId="3" fontId="43" fillId="0" borderId="110" xfId="6" applyNumberFormat="1" applyFont="1" applyBorder="1" applyAlignment="1">
      <alignment vertical="center"/>
    </xf>
    <xf numFmtId="3" fontId="43" fillId="0" borderId="1" xfId="6" applyNumberFormat="1" applyFont="1" applyBorder="1" applyAlignment="1">
      <alignment vertical="center"/>
    </xf>
    <xf numFmtId="3" fontId="21" fillId="0" borderId="36" xfId="5" applyNumberFormat="1" applyFont="1" applyBorder="1" applyAlignment="1">
      <alignment vertical="center"/>
    </xf>
    <xf numFmtId="3" fontId="20" fillId="0" borderId="111" xfId="5" applyNumberFormat="1" applyFont="1" applyBorder="1" applyAlignment="1">
      <alignment vertical="center"/>
    </xf>
    <xf numFmtId="3" fontId="21" fillId="0" borderId="127" xfId="5" applyNumberFormat="1" applyFont="1" applyBorder="1" applyAlignment="1">
      <alignment vertical="center"/>
    </xf>
    <xf numFmtId="3" fontId="20" fillId="0" borderId="115" xfId="5" applyNumberFormat="1" applyFont="1" applyBorder="1" applyAlignment="1">
      <alignment horizontal="right" vertical="center"/>
    </xf>
    <xf numFmtId="3" fontId="20" fillId="0" borderId="116" xfId="5" applyNumberFormat="1" applyFont="1" applyBorder="1" applyAlignment="1">
      <alignment horizontal="right" vertical="center"/>
    </xf>
    <xf numFmtId="3" fontId="20" fillId="0" borderId="117" xfId="5" applyNumberFormat="1" applyFont="1" applyBorder="1" applyAlignment="1">
      <alignment horizontal="right" vertical="center"/>
    </xf>
    <xf numFmtId="0" fontId="20" fillId="0" borderId="117" xfId="5" applyFont="1" applyBorder="1" applyAlignment="1">
      <alignment vertical="center"/>
    </xf>
    <xf numFmtId="3" fontId="21" fillId="0" borderId="122" xfId="5" applyNumberFormat="1" applyFont="1" applyBorder="1" applyAlignment="1">
      <alignment vertical="center"/>
    </xf>
    <xf numFmtId="3" fontId="21" fillId="0" borderId="111" xfId="5" applyNumberFormat="1" applyFont="1" applyBorder="1" applyAlignment="1">
      <alignment vertical="center"/>
    </xf>
    <xf numFmtId="3" fontId="21" fillId="0" borderId="112" xfId="5" applyNumberFormat="1" applyFont="1" applyBorder="1" applyAlignment="1">
      <alignment vertical="center"/>
    </xf>
    <xf numFmtId="3" fontId="21" fillId="0" borderId="123" xfId="5" applyNumberFormat="1" applyFont="1" applyBorder="1" applyAlignment="1">
      <alignment vertical="center"/>
    </xf>
    <xf numFmtId="3" fontId="21" fillId="0" borderId="115" xfId="5" applyNumberFormat="1" applyFont="1" applyBorder="1" applyAlignment="1">
      <alignment vertical="center"/>
    </xf>
    <xf numFmtId="3" fontId="21" fillId="0" borderId="116" xfId="5" applyNumberFormat="1" applyFont="1" applyBorder="1" applyAlignment="1">
      <alignment vertical="center"/>
    </xf>
    <xf numFmtId="3" fontId="21" fillId="0" borderId="117" xfId="5" applyNumberFormat="1" applyFont="1" applyBorder="1" applyAlignment="1">
      <alignment vertical="center"/>
    </xf>
    <xf numFmtId="3" fontId="21" fillId="0" borderId="78" xfId="5" applyNumberFormat="1" applyFont="1" applyBorder="1" applyAlignment="1">
      <alignment vertical="center"/>
    </xf>
    <xf numFmtId="3" fontId="21" fillId="0" borderId="110" xfId="5" applyNumberFormat="1" applyFont="1" applyBorder="1" applyAlignment="1">
      <alignment vertical="center"/>
    </xf>
    <xf numFmtId="0" fontId="21" fillId="0" borderId="60" xfId="5" applyFont="1" applyBorder="1" applyAlignment="1">
      <alignment horizontal="left" vertical="center"/>
    </xf>
    <xf numFmtId="3" fontId="4" fillId="0" borderId="108" xfId="0" applyNumberFormat="1" applyFont="1" applyBorder="1" applyAlignment="1">
      <alignment vertical="center"/>
    </xf>
    <xf numFmtId="3" fontId="4" fillId="0" borderId="107" xfId="0" applyNumberFormat="1" applyFont="1" applyBorder="1" applyAlignment="1">
      <alignment vertical="center" wrapText="1"/>
    </xf>
    <xf numFmtId="3" fontId="4" fillId="0" borderId="109" xfId="0" applyNumberFormat="1" applyFont="1" applyBorder="1" applyAlignment="1">
      <alignment vertical="center" wrapText="1"/>
    </xf>
    <xf numFmtId="37" fontId="4" fillId="0" borderId="107" xfId="0" applyNumberFormat="1" applyFont="1" applyBorder="1" applyAlignment="1">
      <alignment vertical="center" wrapText="1"/>
    </xf>
    <xf numFmtId="37" fontId="5" fillId="0" borderId="107" xfId="0" applyNumberFormat="1" applyFont="1" applyBorder="1" applyAlignment="1">
      <alignment vertical="center" wrapText="1"/>
    </xf>
    <xf numFmtId="3" fontId="5" fillId="0" borderId="107" xfId="0" applyNumberFormat="1" applyFont="1" applyBorder="1" applyAlignment="1">
      <alignment vertical="center" wrapText="1"/>
    </xf>
    <xf numFmtId="3" fontId="6" fillId="0" borderId="107" xfId="0" applyNumberFormat="1" applyFont="1" applyBorder="1" applyAlignment="1">
      <alignment vertical="center" wrapText="1"/>
    </xf>
    <xf numFmtId="3" fontId="4" fillId="0" borderId="107" xfId="0" applyNumberFormat="1" applyFont="1" applyBorder="1" applyAlignment="1">
      <alignment vertical="center"/>
    </xf>
    <xf numFmtId="3" fontId="4" fillId="0" borderId="109" xfId="0" applyNumberFormat="1" applyFont="1" applyBorder="1" applyAlignment="1">
      <alignment vertical="center"/>
    </xf>
    <xf numFmtId="3" fontId="22" fillId="0" borderId="109" xfId="0" applyNumberFormat="1" applyFont="1" applyBorder="1" applyAlignment="1">
      <alignment vertical="center"/>
    </xf>
    <xf numFmtId="3" fontId="4" fillId="0" borderId="122" xfId="0" applyNumberFormat="1" applyFont="1" applyBorder="1" applyAlignment="1">
      <alignment vertical="center" wrapText="1"/>
    </xf>
    <xf numFmtId="3" fontId="4" fillId="0" borderId="112" xfId="0" applyNumberFormat="1" applyFont="1" applyBorder="1" applyAlignment="1">
      <alignment vertical="center" wrapText="1"/>
    </xf>
    <xf numFmtId="3" fontId="4" fillId="0" borderId="122" xfId="0" applyNumberFormat="1" applyFont="1" applyBorder="1" applyAlignment="1">
      <alignment vertical="center"/>
    </xf>
    <xf numFmtId="3" fontId="4" fillId="0" borderId="112" xfId="0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3" fontId="22" fillId="0" borderId="117" xfId="0" applyNumberFormat="1" applyFont="1" applyBorder="1" applyAlignment="1">
      <alignment vertical="center"/>
    </xf>
    <xf numFmtId="3" fontId="4" fillId="0" borderId="9" xfId="0" applyNumberFormat="1" applyFont="1" applyBorder="1" applyAlignment="1">
      <alignment vertical="center" wrapText="1"/>
    </xf>
    <xf numFmtId="3" fontId="4" fillId="0" borderId="11" xfId="0" applyNumberFormat="1" applyFont="1" applyBorder="1" applyAlignment="1">
      <alignment vertical="center" wrapText="1"/>
    </xf>
    <xf numFmtId="3" fontId="4" fillId="0" borderId="115" xfId="0" applyNumberFormat="1" applyFont="1" applyBorder="1" applyAlignment="1">
      <alignment vertical="center"/>
    </xf>
    <xf numFmtId="3" fontId="4" fillId="0" borderId="117" xfId="0" applyNumberFormat="1" applyFont="1" applyBorder="1" applyAlignment="1">
      <alignment vertical="center"/>
    </xf>
    <xf numFmtId="0" fontId="4" fillId="0" borderId="115" xfId="0" applyFont="1" applyBorder="1" applyAlignment="1">
      <alignment vertical="center"/>
    </xf>
    <xf numFmtId="0" fontId="4" fillId="0" borderId="117" xfId="0" applyFont="1" applyBorder="1" applyAlignment="1">
      <alignment vertical="center"/>
    </xf>
    <xf numFmtId="3" fontId="4" fillId="0" borderId="15" xfId="0" applyNumberFormat="1" applyFont="1" applyBorder="1" applyAlignment="1">
      <alignment vertical="center"/>
    </xf>
    <xf numFmtId="3" fontId="4" fillId="0" borderId="16" xfId="0" applyNumberFormat="1" applyFont="1" applyBorder="1" applyAlignment="1">
      <alignment vertical="center"/>
    </xf>
    <xf numFmtId="3" fontId="4" fillId="0" borderId="9" xfId="0" applyNumberFormat="1" applyFont="1" applyBorder="1" applyAlignment="1">
      <alignment vertical="center"/>
    </xf>
    <xf numFmtId="3" fontId="13" fillId="0" borderId="77" xfId="0" applyNumberFormat="1" applyFont="1" applyBorder="1" applyAlignment="1">
      <alignment horizontal="right" vertical="center" wrapText="1"/>
    </xf>
    <xf numFmtId="3" fontId="14" fillId="0" borderId="77" xfId="0" applyNumberFormat="1" applyFont="1" applyFill="1" applyBorder="1" applyAlignment="1">
      <alignment horizontal="right" vertical="center" wrapText="1"/>
    </xf>
    <xf numFmtId="3" fontId="13" fillId="0" borderId="77" xfId="0" applyNumberFormat="1" applyFont="1" applyFill="1" applyBorder="1" applyAlignment="1">
      <alignment horizontal="right" vertical="center" wrapText="1"/>
    </xf>
    <xf numFmtId="3" fontId="14" fillId="0" borderId="77" xfId="0" applyNumberFormat="1" applyFont="1" applyBorder="1" applyAlignment="1">
      <alignment horizontal="right" vertical="center" wrapText="1"/>
    </xf>
    <xf numFmtId="3" fontId="13" fillId="0" borderId="77" xfId="0" applyNumberFormat="1" applyFont="1" applyBorder="1" applyAlignment="1">
      <alignment vertical="center"/>
    </xf>
    <xf numFmtId="3" fontId="11" fillId="0" borderId="77" xfId="0" applyNumberFormat="1" applyFont="1" applyBorder="1" applyAlignment="1">
      <alignment horizontal="right" vertical="center" wrapText="1"/>
    </xf>
    <xf numFmtId="3" fontId="11" fillId="0" borderId="77" xfId="0" applyNumberFormat="1" applyFont="1" applyBorder="1" applyAlignment="1">
      <alignment vertical="center"/>
    </xf>
    <xf numFmtId="3" fontId="14" fillId="0" borderId="77" xfId="0" applyNumberFormat="1" applyFont="1" applyBorder="1" applyAlignment="1">
      <alignment vertical="center"/>
    </xf>
    <xf numFmtId="3" fontId="13" fillId="0" borderId="78" xfId="0" applyNumberFormat="1" applyFont="1" applyBorder="1" applyAlignment="1">
      <alignment vertical="center"/>
    </xf>
    <xf numFmtId="3" fontId="14" fillId="0" borderId="123" xfId="0" applyNumberFormat="1" applyFont="1" applyBorder="1" applyAlignment="1">
      <alignment vertical="center"/>
    </xf>
    <xf numFmtId="3" fontId="14" fillId="0" borderId="78" xfId="0" applyNumberFormat="1" applyFont="1" applyBorder="1" applyAlignment="1">
      <alignment vertical="center"/>
    </xf>
    <xf numFmtId="3" fontId="14" fillId="0" borderId="107" xfId="0" applyNumberFormat="1" applyFont="1" applyBorder="1" applyAlignment="1">
      <alignment horizontal="right" vertical="center" wrapText="1"/>
    </xf>
    <xf numFmtId="3" fontId="14" fillId="0" borderId="109" xfId="0" applyNumberFormat="1" applyFont="1" applyBorder="1" applyAlignment="1">
      <alignment horizontal="right" vertical="center" wrapText="1"/>
    </xf>
    <xf numFmtId="3" fontId="13" fillId="0" borderId="107" xfId="0" applyNumberFormat="1" applyFont="1" applyBorder="1" applyAlignment="1">
      <alignment horizontal="right" vertical="center" wrapText="1"/>
    </xf>
    <xf numFmtId="3" fontId="13" fillId="0" borderId="109" xfId="0" applyNumberFormat="1" applyFont="1" applyBorder="1" applyAlignment="1">
      <alignment horizontal="right" vertical="center" wrapText="1"/>
    </xf>
    <xf numFmtId="3" fontId="14" fillId="0" borderId="107" xfId="0" applyNumberFormat="1" applyFont="1" applyFill="1" applyBorder="1" applyAlignment="1">
      <alignment horizontal="right" vertical="center" wrapText="1"/>
    </xf>
    <xf numFmtId="3" fontId="14" fillId="0" borderId="109" xfId="0" applyNumberFormat="1" applyFont="1" applyFill="1" applyBorder="1" applyAlignment="1">
      <alignment horizontal="right" vertical="center" wrapText="1"/>
    </xf>
    <xf numFmtId="3" fontId="13" fillId="0" borderId="107" xfId="0" applyNumberFormat="1" applyFont="1" applyFill="1" applyBorder="1" applyAlignment="1">
      <alignment horizontal="right" vertical="center" wrapText="1"/>
    </xf>
    <xf numFmtId="3" fontId="13" fillId="0" borderId="109" xfId="0" applyNumberFormat="1" applyFont="1" applyFill="1" applyBorder="1" applyAlignment="1">
      <alignment horizontal="right" vertical="center" wrapText="1"/>
    </xf>
    <xf numFmtId="3" fontId="13" fillId="0" borderId="107" xfId="0" applyNumberFormat="1" applyFont="1" applyBorder="1" applyAlignment="1">
      <alignment vertical="center"/>
    </xf>
    <xf numFmtId="3" fontId="13" fillId="0" borderId="109" xfId="0" applyNumberFormat="1" applyFont="1" applyBorder="1" applyAlignment="1">
      <alignment vertical="center"/>
    </xf>
    <xf numFmtId="3" fontId="11" fillId="0" borderId="107" xfId="0" applyNumberFormat="1" applyFont="1" applyBorder="1" applyAlignment="1">
      <alignment horizontal="right" vertical="center" wrapText="1"/>
    </xf>
    <xf numFmtId="3" fontId="11" fillId="0" borderId="109" xfId="0" applyNumberFormat="1" applyFont="1" applyBorder="1" applyAlignment="1">
      <alignment horizontal="right" vertical="center" wrapText="1"/>
    </xf>
    <xf numFmtId="3" fontId="11" fillId="0" borderId="107" xfId="0" applyNumberFormat="1" applyFont="1" applyBorder="1" applyAlignment="1">
      <alignment vertical="center"/>
    </xf>
    <xf numFmtId="3" fontId="11" fillId="0" borderId="109" xfId="0" applyNumberFormat="1" applyFont="1" applyBorder="1" applyAlignment="1">
      <alignment vertical="center"/>
    </xf>
    <xf numFmtId="3" fontId="14" fillId="0" borderId="107" xfId="0" applyNumberFormat="1" applyFont="1" applyBorder="1" applyAlignment="1">
      <alignment vertical="center"/>
    </xf>
    <xf numFmtId="3" fontId="13" fillId="0" borderId="117" xfId="0" applyNumberFormat="1" applyFont="1" applyBorder="1" applyAlignment="1">
      <alignment vertical="center"/>
    </xf>
    <xf numFmtId="3" fontId="14" fillId="0" borderId="117" xfId="0" applyNumberFormat="1" applyFont="1" applyBorder="1" applyAlignment="1">
      <alignment vertical="center"/>
    </xf>
    <xf numFmtId="3" fontId="14" fillId="0" borderId="15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3" fontId="14" fillId="0" borderId="114" xfId="0" applyNumberFormat="1" applyFont="1" applyBorder="1" applyAlignment="1">
      <alignment vertical="center"/>
    </xf>
    <xf numFmtId="3" fontId="2" fillId="0" borderId="61" xfId="1" applyNumberFormat="1" applyFont="1" applyBorder="1" applyAlignment="1">
      <alignment vertical="center"/>
    </xf>
    <xf numFmtId="3" fontId="2" fillId="0" borderId="103" xfId="1" applyNumberFormat="1" applyFont="1" applyBorder="1" applyAlignment="1">
      <alignment vertical="center"/>
    </xf>
    <xf numFmtId="3" fontId="4" fillId="0" borderId="103" xfId="1" applyNumberFormat="1" applyFont="1" applyBorder="1" applyAlignment="1">
      <alignment vertical="center"/>
    </xf>
    <xf numFmtId="3" fontId="5" fillId="0" borderId="103" xfId="1" applyNumberFormat="1" applyFont="1" applyBorder="1" applyAlignment="1">
      <alignment vertical="center"/>
    </xf>
    <xf numFmtId="3" fontId="10" fillId="0" borderId="103" xfId="1" applyNumberFormat="1" applyFont="1" applyBorder="1" applyAlignment="1">
      <alignment vertical="center"/>
    </xf>
    <xf numFmtId="3" fontId="2" fillId="0" borderId="103" xfId="1" applyNumberFormat="1" applyFont="1" applyFill="1" applyBorder="1" applyAlignment="1">
      <alignment vertical="center"/>
    </xf>
    <xf numFmtId="3" fontId="10" fillId="0" borderId="129" xfId="1" applyNumberFormat="1" applyFont="1" applyBorder="1" applyAlignment="1">
      <alignment vertical="center"/>
    </xf>
    <xf numFmtId="3" fontId="2" fillId="0" borderId="98" xfId="1" applyNumberFormat="1" applyFont="1" applyBorder="1" applyAlignment="1">
      <alignment vertical="center"/>
    </xf>
    <xf numFmtId="3" fontId="2" fillId="0" borderId="104" xfId="1" applyNumberFormat="1" applyFont="1" applyBorder="1" applyAlignment="1">
      <alignment vertical="center"/>
    </xf>
    <xf numFmtId="3" fontId="4" fillId="2" borderId="103" xfId="1" applyNumberFormat="1" applyFont="1" applyFill="1" applyBorder="1" applyAlignment="1">
      <alignment vertical="center"/>
    </xf>
    <xf numFmtId="3" fontId="2" fillId="0" borderId="129" xfId="1" applyNumberFormat="1" applyFont="1" applyBorder="1" applyAlignment="1">
      <alignment vertical="center"/>
    </xf>
    <xf numFmtId="3" fontId="2" fillId="0" borderId="92" xfId="1" applyNumberFormat="1" applyFont="1" applyBorder="1" applyAlignment="1">
      <alignment vertical="center"/>
    </xf>
    <xf numFmtId="3" fontId="2" fillId="0" borderId="98" xfId="2" applyNumberFormat="1" applyFont="1" applyBorder="1" applyAlignment="1">
      <alignment vertical="center"/>
    </xf>
    <xf numFmtId="0" fontId="2" fillId="0" borderId="116" xfId="1" applyFont="1" applyBorder="1" applyAlignment="1">
      <alignment horizontal="center" vertical="center"/>
    </xf>
    <xf numFmtId="3" fontId="2" fillId="0" borderId="58" xfId="1" applyNumberFormat="1" applyFont="1" applyBorder="1" applyAlignment="1">
      <alignment vertical="center"/>
    </xf>
    <xf numFmtId="3" fontId="2" fillId="0" borderId="108" xfId="1" applyNumberFormat="1" applyFont="1" applyBorder="1" applyAlignment="1">
      <alignment vertical="center"/>
    </xf>
    <xf numFmtId="3" fontId="4" fillId="0" borderId="108" xfId="1" applyNumberFormat="1" applyFont="1" applyBorder="1" applyAlignment="1">
      <alignment vertical="center"/>
    </xf>
    <xf numFmtId="3" fontId="5" fillId="0" borderId="108" xfId="1" applyNumberFormat="1" applyFont="1" applyBorder="1" applyAlignment="1">
      <alignment vertical="center"/>
    </xf>
    <xf numFmtId="3" fontId="10" fillId="0" borderId="108" xfId="1" applyNumberFormat="1" applyFont="1" applyBorder="1" applyAlignment="1">
      <alignment vertical="center"/>
    </xf>
    <xf numFmtId="3" fontId="2" fillId="0" borderId="108" xfId="1" applyNumberFormat="1" applyFont="1" applyFill="1" applyBorder="1" applyAlignment="1">
      <alignment vertical="center"/>
    </xf>
    <xf numFmtId="3" fontId="10" fillId="0" borderId="116" xfId="1" applyNumberFormat="1" applyFont="1" applyBorder="1" applyAlignment="1">
      <alignment vertical="center"/>
    </xf>
    <xf numFmtId="3" fontId="2" fillId="0" borderId="10" xfId="1" applyNumberFormat="1" applyFont="1" applyBorder="1" applyAlignment="1">
      <alignment vertical="center"/>
    </xf>
    <xf numFmtId="3" fontId="2" fillId="0" borderId="111" xfId="1" applyNumberFormat="1" applyFont="1" applyBorder="1" applyAlignment="1">
      <alignment vertical="center"/>
    </xf>
    <xf numFmtId="3" fontId="4" fillId="2" borderId="108" xfId="1" applyNumberFormat="1" applyFont="1" applyFill="1" applyBorder="1" applyAlignment="1">
      <alignment vertical="center"/>
    </xf>
    <xf numFmtId="3" fontId="2" fillId="0" borderId="116" xfId="1" applyNumberFormat="1" applyFont="1" applyBorder="1" applyAlignment="1">
      <alignment vertical="center"/>
    </xf>
    <xf numFmtId="3" fontId="2" fillId="0" borderId="43" xfId="1" applyNumberFormat="1" applyFont="1" applyBorder="1" applyAlignment="1">
      <alignment vertical="center"/>
    </xf>
    <xf numFmtId="3" fontId="2" fillId="0" borderId="10" xfId="2" applyNumberFormat="1" applyFont="1" applyBorder="1" applyAlignment="1">
      <alignment vertical="center"/>
    </xf>
    <xf numFmtId="0" fontId="2" fillId="0" borderId="115" xfId="1" applyFont="1" applyBorder="1" applyAlignment="1">
      <alignment horizontal="center" vertical="center" wrapText="1"/>
    </xf>
    <xf numFmtId="49" fontId="2" fillId="0" borderId="107" xfId="1" applyNumberFormat="1" applyFont="1" applyBorder="1" applyAlignment="1">
      <alignment vertical="center" wrapText="1"/>
    </xf>
    <xf numFmtId="49" fontId="5" fillId="0" borderId="107" xfId="1" applyNumberFormat="1" applyFont="1" applyBorder="1" applyAlignment="1">
      <alignment vertical="center" wrapText="1"/>
    </xf>
    <xf numFmtId="49" fontId="10" fillId="0" borderId="107" xfId="1" applyNumberFormat="1" applyFont="1" applyBorder="1" applyAlignment="1">
      <alignment vertical="center" wrapText="1"/>
    </xf>
    <xf numFmtId="0" fontId="13" fillId="0" borderId="107" xfId="0" applyFont="1" applyBorder="1" applyAlignment="1">
      <alignment vertical="center"/>
    </xf>
    <xf numFmtId="49" fontId="10" fillId="0" borderId="115" xfId="1" applyNumberFormat="1" applyFont="1" applyBorder="1" applyAlignment="1">
      <alignment vertical="center" wrapText="1"/>
    </xf>
    <xf numFmtId="0" fontId="2" fillId="0" borderId="122" xfId="1" applyFont="1" applyBorder="1" applyAlignment="1">
      <alignment vertical="center" wrapText="1"/>
    </xf>
    <xf numFmtId="0" fontId="2" fillId="0" borderId="107" xfId="1" applyFont="1" applyBorder="1" applyAlignment="1">
      <alignment vertical="center" wrapText="1"/>
    </xf>
    <xf numFmtId="3" fontId="14" fillId="0" borderId="107" xfId="0" applyNumberFormat="1" applyFont="1" applyBorder="1" applyAlignment="1">
      <alignment vertical="center" wrapText="1"/>
    </xf>
    <xf numFmtId="3" fontId="14" fillId="0" borderId="115" xfId="0" applyNumberFormat="1" applyFont="1" applyBorder="1" applyAlignment="1">
      <alignment vertical="center" wrapText="1"/>
    </xf>
    <xf numFmtId="3" fontId="11" fillId="0" borderId="103" xfId="3" applyNumberFormat="1" applyFont="1" applyBorder="1" applyAlignment="1">
      <alignment vertical="center"/>
    </xf>
    <xf numFmtId="3" fontId="12" fillId="0" borderId="103" xfId="1" applyNumberFormat="1" applyFont="1" applyBorder="1" applyAlignment="1">
      <alignment vertical="center"/>
    </xf>
    <xf numFmtId="3" fontId="15" fillId="0" borderId="103" xfId="1" applyNumberFormat="1" applyFont="1" applyBorder="1" applyAlignment="1">
      <alignment vertical="center"/>
    </xf>
    <xf numFmtId="3" fontId="11" fillId="0" borderId="108" xfId="3" applyNumberFormat="1" applyFont="1" applyBorder="1" applyAlignment="1">
      <alignment vertical="center"/>
    </xf>
    <xf numFmtId="3" fontId="12" fillId="0" borderId="108" xfId="1" applyNumberFormat="1" applyFont="1" applyBorder="1" applyAlignment="1">
      <alignment vertical="center"/>
    </xf>
    <xf numFmtId="3" fontId="15" fillId="0" borderId="108" xfId="1" applyNumberFormat="1" applyFont="1" applyBorder="1" applyAlignment="1">
      <alignment vertical="center"/>
    </xf>
    <xf numFmtId="0" fontId="4" fillId="0" borderId="107" xfId="0" applyFont="1" applyBorder="1" applyAlignment="1">
      <alignment horizontal="left" vertical="center"/>
    </xf>
    <xf numFmtId="0" fontId="5" fillId="0" borderId="107" xfId="1" applyFont="1" applyBorder="1" applyAlignment="1">
      <alignment vertical="center" wrapText="1"/>
    </xf>
    <xf numFmtId="0" fontId="5" fillId="0" borderId="107" xfId="0" applyFont="1" applyBorder="1" applyAlignment="1">
      <alignment horizontal="left" vertical="center"/>
    </xf>
    <xf numFmtId="0" fontId="6" fillId="0" borderId="107" xfId="0" applyFont="1" applyBorder="1" applyAlignment="1">
      <alignment horizontal="left" vertical="center"/>
    </xf>
    <xf numFmtId="0" fontId="6" fillId="0" borderId="107" xfId="0" applyFont="1" applyBorder="1" applyAlignment="1">
      <alignment vertical="center" wrapText="1"/>
    </xf>
    <xf numFmtId="0" fontId="6" fillId="0" borderId="107" xfId="0" applyFont="1" applyBorder="1" applyAlignment="1">
      <alignment vertical="center"/>
    </xf>
    <xf numFmtId="0" fontId="10" fillId="0" borderId="107" xfId="2" applyFont="1" applyBorder="1" applyAlignment="1">
      <alignment vertical="center" wrapText="1"/>
    </xf>
    <xf numFmtId="0" fontId="11" fillId="0" borderId="107" xfId="3" applyFont="1" applyBorder="1" applyAlignment="1">
      <alignment vertical="center" wrapText="1"/>
    </xf>
    <xf numFmtId="0" fontId="10" fillId="0" borderId="107" xfId="1" applyFont="1" applyBorder="1" applyAlignment="1">
      <alignment vertical="center" wrapText="1"/>
    </xf>
    <xf numFmtId="0" fontId="10" fillId="0" borderId="115" xfId="1" applyFont="1" applyBorder="1" applyAlignment="1">
      <alignment vertical="center" wrapText="1"/>
    </xf>
    <xf numFmtId="0" fontId="2" fillId="0" borderId="115" xfId="1" applyFont="1" applyBorder="1" applyAlignment="1">
      <alignment vertical="center" wrapText="1"/>
    </xf>
    <xf numFmtId="3" fontId="2" fillId="0" borderId="104" xfId="1" applyNumberFormat="1" applyFont="1" applyBorder="1" applyAlignment="1">
      <alignment horizontal="right" vertical="center"/>
    </xf>
    <xf numFmtId="0" fontId="2" fillId="0" borderId="103" xfId="1" applyFont="1" applyBorder="1" applyAlignment="1">
      <alignment horizontal="center" vertical="center"/>
    </xf>
    <xf numFmtId="3" fontId="5" fillId="0" borderId="104" xfId="1" applyNumberFormat="1" applyFont="1" applyBorder="1" applyAlignment="1">
      <alignment vertical="center"/>
    </xf>
    <xf numFmtId="3" fontId="4" fillId="0" borderId="104" xfId="1" applyNumberFormat="1" applyFont="1" applyBorder="1" applyAlignment="1">
      <alignment vertical="center"/>
    </xf>
    <xf numFmtId="0" fontId="2" fillId="0" borderId="110" xfId="1" applyFont="1" applyBorder="1" applyAlignment="1">
      <alignment horizontal="center" vertical="center"/>
    </xf>
    <xf numFmtId="0" fontId="2" fillId="0" borderId="122" xfId="1" applyFont="1" applyBorder="1" applyAlignment="1">
      <alignment horizontal="left" vertical="center" wrapText="1"/>
    </xf>
    <xf numFmtId="3" fontId="2" fillId="0" borderId="111" xfId="1" applyNumberFormat="1" applyFont="1" applyBorder="1" applyAlignment="1">
      <alignment horizontal="right" vertical="center"/>
    </xf>
    <xf numFmtId="0" fontId="2" fillId="0" borderId="107" xfId="1" applyFont="1" applyBorder="1" applyAlignment="1">
      <alignment horizontal="center" vertical="center" wrapText="1"/>
    </xf>
    <xf numFmtId="0" fontId="2" fillId="0" borderId="108" xfId="1" applyFont="1" applyBorder="1" applyAlignment="1">
      <alignment horizontal="center" vertical="center"/>
    </xf>
    <xf numFmtId="49" fontId="5" fillId="0" borderId="122" xfId="1" applyNumberFormat="1" applyFont="1" applyBorder="1" applyAlignment="1">
      <alignment vertical="center" wrapText="1"/>
    </xf>
    <xf numFmtId="3" fontId="5" fillId="0" borderId="111" xfId="1" applyNumberFormat="1" applyFont="1" applyBorder="1" applyAlignment="1">
      <alignment vertical="center"/>
    </xf>
    <xf numFmtId="49" fontId="2" fillId="0" borderId="122" xfId="1" applyNumberFormat="1" applyFont="1" applyBorder="1" applyAlignment="1">
      <alignment vertical="center" wrapText="1"/>
    </xf>
    <xf numFmtId="3" fontId="4" fillId="0" borderId="111" xfId="1" applyNumberFormat="1" applyFont="1" applyBorder="1" applyAlignment="1">
      <alignment vertical="center"/>
    </xf>
    <xf numFmtId="0" fontId="10" fillId="0" borderId="115" xfId="0" applyFont="1" applyBorder="1" applyAlignment="1">
      <alignment vertical="center"/>
    </xf>
    <xf numFmtId="0" fontId="2" fillId="0" borderId="104" xfId="1" applyFont="1" applyBorder="1" applyAlignment="1">
      <alignment horizontal="center" vertical="center"/>
    </xf>
    <xf numFmtId="3" fontId="6" fillId="0" borderId="103" xfId="1" applyNumberFormat="1" applyFont="1" applyBorder="1" applyAlignment="1">
      <alignment vertical="center"/>
    </xf>
    <xf numFmtId="3" fontId="2" fillId="2" borderId="104" xfId="1" applyNumberFormat="1" applyFont="1" applyFill="1" applyBorder="1" applyAlignment="1">
      <alignment vertical="center"/>
    </xf>
    <xf numFmtId="3" fontId="2" fillId="2" borderId="103" xfId="1" applyNumberFormat="1" applyFont="1" applyFill="1" applyBorder="1" applyAlignment="1">
      <alignment vertical="center"/>
    </xf>
    <xf numFmtId="0" fontId="2" fillId="0" borderId="122" xfId="1" applyFont="1" applyBorder="1" applyAlignment="1">
      <alignment horizontal="center" vertical="center" wrapText="1"/>
    </xf>
    <xf numFmtId="0" fontId="2" fillId="0" borderId="111" xfId="1" applyFont="1" applyBorder="1" applyAlignment="1">
      <alignment horizontal="center" vertical="center"/>
    </xf>
    <xf numFmtId="0" fontId="2" fillId="0" borderId="107" xfId="1" applyFont="1" applyBorder="1" applyAlignment="1">
      <alignment horizontal="left" vertical="center" wrapText="1"/>
    </xf>
    <xf numFmtId="0" fontId="12" fillId="0" borderId="107" xfId="0" applyFont="1" applyBorder="1" applyAlignment="1">
      <alignment vertical="center" wrapText="1"/>
    </xf>
    <xf numFmtId="3" fontId="6" fillId="0" borderId="108" xfId="1" applyNumberFormat="1" applyFont="1" applyBorder="1" applyAlignment="1">
      <alignment vertical="center"/>
    </xf>
    <xf numFmtId="3" fontId="12" fillId="0" borderId="107" xfId="1" applyNumberFormat="1" applyFont="1" applyBorder="1" applyAlignment="1">
      <alignment vertical="center" wrapText="1"/>
    </xf>
    <xf numFmtId="0" fontId="2" fillId="2" borderId="122" xfId="1" applyFont="1" applyFill="1" applyBorder="1" applyAlignment="1">
      <alignment vertical="center" wrapText="1"/>
    </xf>
    <xf numFmtId="3" fontId="2" fillId="2" borderId="111" xfId="1" applyNumberFormat="1" applyFont="1" applyFill="1" applyBorder="1" applyAlignment="1">
      <alignment vertical="center"/>
    </xf>
    <xf numFmtId="0" fontId="2" fillId="2" borderId="107" xfId="1" applyFont="1" applyFill="1" applyBorder="1" applyAlignment="1">
      <alignment vertical="center" wrapText="1"/>
    </xf>
    <xf numFmtId="3" fontId="2" fillId="2" borderId="108" xfId="1" applyNumberFormat="1" applyFont="1" applyFill="1" applyBorder="1" applyAlignment="1">
      <alignment vertical="center"/>
    </xf>
    <xf numFmtId="3" fontId="4" fillId="0" borderId="104" xfId="0" applyNumberFormat="1" applyFont="1" applyBorder="1" applyAlignment="1">
      <alignment vertical="center"/>
    </xf>
    <xf numFmtId="3" fontId="4" fillId="0" borderId="103" xfId="0" applyNumberFormat="1" applyFont="1" applyBorder="1" applyAlignment="1">
      <alignment vertical="center"/>
    </xf>
    <xf numFmtId="3" fontId="5" fillId="0" borderId="103" xfId="0" applyNumberFormat="1" applyFont="1" applyBorder="1" applyAlignment="1">
      <alignment vertical="center"/>
    </xf>
    <xf numFmtId="3" fontId="5" fillId="0" borderId="129" xfId="0" applyNumberFormat="1" applyFont="1" applyBorder="1" applyAlignment="1">
      <alignment vertical="center"/>
    </xf>
    <xf numFmtId="3" fontId="4" fillId="0" borderId="98" xfId="0" applyNumberFormat="1" applyFont="1" applyBorder="1" applyAlignment="1">
      <alignment vertical="center"/>
    </xf>
    <xf numFmtId="3" fontId="5" fillId="0" borderId="104" xfId="0" applyNumberFormat="1" applyFont="1" applyBorder="1" applyAlignment="1">
      <alignment vertical="center"/>
    </xf>
    <xf numFmtId="3" fontId="4" fillId="0" borderId="129" xfId="0" applyNumberFormat="1" applyFont="1" applyBorder="1" applyAlignment="1">
      <alignment vertical="center"/>
    </xf>
    <xf numFmtId="3" fontId="5" fillId="0" borderId="92" xfId="0" applyNumberFormat="1" applyFont="1" applyBorder="1" applyAlignment="1">
      <alignment vertical="center"/>
    </xf>
    <xf numFmtId="0" fontId="3" fillId="0" borderId="92" xfId="0" applyFont="1" applyBorder="1" applyAlignment="1">
      <alignment vertical="center"/>
    </xf>
    <xf numFmtId="3" fontId="3" fillId="0" borderId="61" xfId="0" applyNumberFormat="1" applyFont="1" applyBorder="1" applyAlignment="1">
      <alignment vertical="center"/>
    </xf>
    <xf numFmtId="3" fontId="36" fillId="0" borderId="130" xfId="0" applyNumberFormat="1" applyFont="1" applyBorder="1" applyAlignment="1">
      <alignment vertical="center"/>
    </xf>
    <xf numFmtId="3" fontId="4" fillId="0" borderId="110" xfId="0" applyNumberFormat="1" applyFont="1" applyBorder="1" applyAlignment="1">
      <alignment horizontal="center" vertical="center" wrapText="1"/>
    </xf>
    <xf numFmtId="3" fontId="4" fillId="0" borderId="111" xfId="0" applyNumberFormat="1" applyFont="1" applyBorder="1" applyAlignment="1">
      <alignment vertical="center"/>
    </xf>
    <xf numFmtId="3" fontId="5" fillId="0" borderId="108" xfId="0" applyNumberFormat="1" applyFont="1" applyBorder="1" applyAlignment="1">
      <alignment vertical="center"/>
    </xf>
    <xf numFmtId="3" fontId="5" fillId="0" borderId="116" xfId="0" applyNumberFormat="1" applyFont="1" applyBorder="1" applyAlignment="1">
      <alignment vertical="center"/>
    </xf>
    <xf numFmtId="3" fontId="4" fillId="0" borderId="10" xfId="0" applyNumberFormat="1" applyFont="1" applyBorder="1" applyAlignment="1">
      <alignment vertical="center"/>
    </xf>
    <xf numFmtId="3" fontId="5" fillId="0" borderId="111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vertical="center"/>
    </xf>
    <xf numFmtId="3" fontId="5" fillId="0" borderId="43" xfId="0" applyNumberFormat="1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3" fontId="3" fillId="0" borderId="58" xfId="0" applyNumberFormat="1" applyFont="1" applyBorder="1" applyAlignment="1">
      <alignment vertical="center"/>
    </xf>
    <xf numFmtId="3" fontId="36" fillId="0" borderId="110" xfId="0" applyNumberFormat="1" applyFont="1" applyBorder="1" applyAlignment="1">
      <alignment vertical="center"/>
    </xf>
    <xf numFmtId="3" fontId="6" fillId="0" borderId="103" xfId="0" applyNumberFormat="1" applyFont="1" applyBorder="1" applyAlignment="1">
      <alignment vertical="center"/>
    </xf>
    <xf numFmtId="0" fontId="4" fillId="0" borderId="122" xfId="0" applyFont="1" applyBorder="1" applyAlignment="1">
      <alignment horizontal="left" vertical="center"/>
    </xf>
    <xf numFmtId="0" fontId="4" fillId="0" borderId="107" xfId="0" applyFont="1" applyBorder="1" applyAlignment="1">
      <alignment horizontal="center" vertical="center"/>
    </xf>
    <xf numFmtId="3" fontId="6" fillId="0" borderId="108" xfId="0" applyNumberFormat="1" applyFont="1" applyBorder="1" applyAlignment="1">
      <alignment vertical="center"/>
    </xf>
    <xf numFmtId="0" fontId="6" fillId="0" borderId="107" xfId="0" applyFont="1" applyBorder="1" applyAlignment="1">
      <alignment horizontal="left" vertical="center" wrapText="1"/>
    </xf>
    <xf numFmtId="0" fontId="4" fillId="0" borderId="115" xfId="0" applyFont="1" applyBorder="1" applyAlignment="1">
      <alignment horizontal="left" vertical="center"/>
    </xf>
    <xf numFmtId="0" fontId="24" fillId="0" borderId="8" xfId="0" applyFont="1" applyBorder="1" applyAlignment="1">
      <alignment horizontal="center" vertical="center" wrapText="1"/>
    </xf>
    <xf numFmtId="3" fontId="20" fillId="0" borderId="87" xfId="10" applyNumberFormat="1" applyFont="1" applyBorder="1" applyAlignment="1">
      <alignment vertical="center"/>
    </xf>
    <xf numFmtId="0" fontId="48" fillId="0" borderId="0" xfId="0" applyFont="1"/>
    <xf numFmtId="0" fontId="13" fillId="0" borderId="0" xfId="0" applyNumberFormat="1" applyFont="1" applyFill="1" applyAlignment="1">
      <alignment vertical="center"/>
    </xf>
    <xf numFmtId="3" fontId="13" fillId="0" borderId="131" xfId="9" applyNumberFormat="1" applyFont="1" applyBorder="1" applyAlignment="1">
      <alignment vertical="center" wrapText="1"/>
    </xf>
    <xf numFmtId="3" fontId="13" fillId="0" borderId="44" xfId="9" applyNumberFormat="1" applyFont="1" applyBorder="1" applyAlignment="1">
      <alignment vertical="center"/>
    </xf>
    <xf numFmtId="3" fontId="14" fillId="0" borderId="131" xfId="9" applyNumberFormat="1" applyFont="1" applyBorder="1" applyAlignment="1">
      <alignment vertical="center"/>
    </xf>
    <xf numFmtId="3" fontId="13" fillId="0" borderId="131" xfId="9" applyNumberFormat="1" applyFont="1" applyBorder="1" applyAlignment="1">
      <alignment vertical="center"/>
    </xf>
    <xf numFmtId="3" fontId="13" fillId="0" borderId="132" xfId="9" applyNumberFormat="1" applyFont="1" applyBorder="1" applyAlignment="1">
      <alignment vertical="center" wrapText="1"/>
    </xf>
    <xf numFmtId="3" fontId="20" fillId="0" borderId="131" xfId="10" applyNumberFormat="1" applyFont="1" applyBorder="1" applyAlignment="1">
      <alignment vertical="center"/>
    </xf>
    <xf numFmtId="3" fontId="7" fillId="0" borderId="131" xfId="10" applyNumberFormat="1" applyFont="1" applyFill="1" applyBorder="1" applyAlignment="1">
      <alignment vertical="center"/>
    </xf>
    <xf numFmtId="3" fontId="7" fillId="0" borderId="131" xfId="9" applyNumberFormat="1" applyFont="1" applyBorder="1" applyAlignment="1">
      <alignment vertical="center"/>
    </xf>
    <xf numFmtId="3" fontId="20" fillId="0" borderId="133" xfId="10" applyNumberFormat="1" applyFont="1" applyBorder="1" applyAlignment="1">
      <alignment vertical="center"/>
    </xf>
    <xf numFmtId="0" fontId="13" fillId="0" borderId="60" xfId="9" applyFont="1" applyBorder="1" applyAlignment="1">
      <alignment vertical="center" wrapText="1"/>
    </xf>
    <xf numFmtId="0" fontId="14" fillId="0" borderId="71" xfId="9" applyFont="1" applyBorder="1" applyAlignment="1">
      <alignment vertical="center" wrapText="1"/>
    </xf>
    <xf numFmtId="0" fontId="13" fillId="2" borderId="71" xfId="9" applyFont="1" applyFill="1" applyBorder="1" applyAlignment="1">
      <alignment vertical="center" wrapText="1"/>
    </xf>
    <xf numFmtId="49" fontId="13" fillId="2" borderId="71" xfId="10" applyNumberFormat="1" applyFont="1" applyFill="1" applyBorder="1" applyAlignment="1">
      <alignment horizontal="left" vertical="center" wrapText="1"/>
    </xf>
    <xf numFmtId="0" fontId="13" fillId="0" borderId="71" xfId="0" applyFont="1" applyBorder="1" applyAlignment="1">
      <alignment vertical="center" wrapText="1"/>
    </xf>
    <xf numFmtId="49" fontId="20" fillId="2" borderId="71" xfId="10" applyNumberFormat="1" applyFont="1" applyFill="1" applyBorder="1" applyAlignment="1">
      <alignment horizontal="left" vertical="center" wrapText="1"/>
    </xf>
    <xf numFmtId="49" fontId="20" fillId="2" borderId="71" xfId="10" applyNumberFormat="1" applyFont="1" applyFill="1" applyBorder="1" applyAlignment="1">
      <alignment vertical="center" wrapText="1"/>
    </xf>
    <xf numFmtId="0" fontId="48" fillId="0" borderId="71" xfId="0" applyFont="1" applyBorder="1"/>
    <xf numFmtId="0" fontId="39" fillId="0" borderId="71" xfId="0" applyFont="1" applyBorder="1"/>
    <xf numFmtId="0" fontId="14" fillId="2" borderId="71" xfId="9" applyFont="1" applyFill="1" applyBorder="1" applyAlignment="1">
      <alignment vertical="center" wrapText="1"/>
    </xf>
    <xf numFmtId="49" fontId="20" fillId="2" borderId="36" xfId="10" applyNumberFormat="1" applyFont="1" applyFill="1" applyBorder="1" applyAlignment="1">
      <alignment vertical="center" wrapText="1"/>
    </xf>
    <xf numFmtId="0" fontId="13" fillId="0" borderId="71" xfId="9" applyFont="1" applyBorder="1" applyAlignment="1">
      <alignment vertical="center" wrapText="1"/>
    </xf>
    <xf numFmtId="49" fontId="7" fillId="2" borderId="71" xfId="10" applyNumberFormat="1" applyFont="1" applyFill="1" applyBorder="1" applyAlignment="1">
      <alignment horizontal="left" vertical="center" wrapText="1"/>
    </xf>
    <xf numFmtId="49" fontId="13" fillId="2" borderId="71" xfId="9" applyNumberFormat="1" applyFont="1" applyFill="1" applyBorder="1" applyAlignment="1">
      <alignment vertical="center" wrapText="1"/>
    </xf>
    <xf numFmtId="0" fontId="39" fillId="0" borderId="71" xfId="0" applyFont="1" applyBorder="1" applyAlignment="1">
      <alignment horizontal="left" vertical="center"/>
    </xf>
    <xf numFmtId="49" fontId="20" fillId="2" borderId="127" xfId="10" applyNumberFormat="1" applyFont="1" applyFill="1" applyBorder="1" applyAlignment="1">
      <alignment horizontal="left" vertical="center" wrapText="1"/>
    </xf>
    <xf numFmtId="0" fontId="39" fillId="0" borderId="71" xfId="0" applyFont="1" applyBorder="1" applyAlignment="1">
      <alignment wrapText="1"/>
    </xf>
    <xf numFmtId="0" fontId="39" fillId="0" borderId="127" xfId="0" applyFont="1" applyBorder="1" applyAlignment="1">
      <alignment wrapText="1"/>
    </xf>
    <xf numFmtId="0" fontId="48" fillId="0" borderId="71" xfId="0" applyFont="1" applyBorder="1" applyAlignment="1">
      <alignment wrapText="1"/>
    </xf>
    <xf numFmtId="49" fontId="20" fillId="2" borderId="17" xfId="10" applyNumberFormat="1" applyFont="1" applyFill="1" applyBorder="1" applyAlignment="1">
      <alignment horizontal="left" vertical="center" wrapText="1"/>
    </xf>
    <xf numFmtId="3" fontId="13" fillId="0" borderId="117" xfId="9" applyNumberFormat="1" applyFont="1" applyBorder="1" applyAlignment="1">
      <alignment vertical="center"/>
    </xf>
    <xf numFmtId="3" fontId="13" fillId="0" borderId="118" xfId="0" applyNumberFormat="1" applyFont="1" applyBorder="1" applyAlignment="1">
      <alignment vertical="center"/>
    </xf>
    <xf numFmtId="3" fontId="17" fillId="0" borderId="118" xfId="0" applyNumberFormat="1" applyFont="1" applyBorder="1" applyAlignment="1">
      <alignment vertical="center"/>
    </xf>
    <xf numFmtId="0" fontId="14" fillId="0" borderId="0" xfId="14" applyFont="1" applyAlignment="1">
      <alignment horizontal="center"/>
    </xf>
    <xf numFmtId="3" fontId="14" fillId="0" borderId="59" xfId="14" applyNumberFormat="1" applyFont="1" applyBorder="1" applyAlignment="1">
      <alignment horizontal="center" vertical="center" wrapText="1"/>
    </xf>
    <xf numFmtId="3" fontId="14" fillId="0" borderId="1" xfId="14" applyNumberFormat="1" applyFont="1" applyBorder="1" applyAlignment="1">
      <alignment horizontal="center" vertical="center" wrapText="1"/>
    </xf>
    <xf numFmtId="3" fontId="13" fillId="0" borderId="87" xfId="9" applyNumberFormat="1" applyFont="1" applyBorder="1" applyAlignment="1">
      <alignment vertical="center"/>
    </xf>
    <xf numFmtId="3" fontId="13" fillId="0" borderId="0" xfId="9" applyNumberFormat="1" applyFont="1" applyAlignment="1">
      <alignment horizontal="center" vertical="center"/>
    </xf>
    <xf numFmtId="3" fontId="11" fillId="0" borderId="0" xfId="9" applyNumberFormat="1" applyFont="1" applyAlignment="1">
      <alignment vertical="center"/>
    </xf>
    <xf numFmtId="3" fontId="14" fillId="0" borderId="0" xfId="9" applyNumberFormat="1" applyFont="1" applyAlignment="1">
      <alignment vertical="center"/>
    </xf>
    <xf numFmtId="3" fontId="17" fillId="0" borderId="0" xfId="9" applyNumberFormat="1" applyFont="1" applyAlignment="1">
      <alignment vertical="center"/>
    </xf>
    <xf numFmtId="0" fontId="13" fillId="0" borderId="0" xfId="9" applyNumberFormat="1" applyFont="1" applyAlignment="1">
      <alignment vertical="center"/>
    </xf>
    <xf numFmtId="0" fontId="14" fillId="0" borderId="0" xfId="9" applyNumberFormat="1" applyFont="1" applyAlignment="1">
      <alignment vertical="center"/>
    </xf>
    <xf numFmtId="3" fontId="14" fillId="0" borderId="45" xfId="0" applyNumberFormat="1" applyFont="1" applyBorder="1" applyAlignment="1">
      <alignment vertical="center"/>
    </xf>
    <xf numFmtId="3" fontId="13" fillId="0" borderId="125" xfId="0" applyNumberFormat="1" applyFont="1" applyBorder="1" applyAlignment="1">
      <alignment vertical="center"/>
    </xf>
    <xf numFmtId="3" fontId="17" fillId="0" borderId="125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0" fontId="14" fillId="0" borderId="37" xfId="0" applyFont="1" applyBorder="1" applyAlignment="1">
      <alignment horizontal="center" vertical="center" wrapText="1"/>
    </xf>
    <xf numFmtId="3" fontId="13" fillId="0" borderId="135" xfId="0" applyNumberFormat="1" applyFont="1" applyBorder="1" applyAlignment="1">
      <alignment vertical="center"/>
    </xf>
    <xf numFmtId="0" fontId="14" fillId="0" borderId="60" xfId="12" applyFont="1" applyBorder="1" applyAlignment="1">
      <alignment vertical="center" wrapText="1"/>
    </xf>
    <xf numFmtId="0" fontId="17" fillId="0" borderId="71" xfId="0" applyFont="1" applyBorder="1" applyAlignment="1">
      <alignment vertical="center" wrapText="1"/>
    </xf>
    <xf numFmtId="0" fontId="20" fillId="0" borderId="71" xfId="0" applyFont="1" applyBorder="1" applyAlignment="1">
      <alignment wrapText="1"/>
    </xf>
    <xf numFmtId="49" fontId="20" fillId="0" borderId="71" xfId="4" applyNumberFormat="1" applyFont="1" applyBorder="1" applyAlignment="1">
      <alignment horizontal="left" vertical="center" wrapText="1"/>
    </xf>
    <xf numFmtId="0" fontId="14" fillId="0" borderId="71" xfId="12" applyFont="1" applyBorder="1" applyAlignment="1">
      <alignment vertical="center" wrapText="1"/>
    </xf>
    <xf numFmtId="49" fontId="31" fillId="0" borderId="71" xfId="0" applyNumberFormat="1" applyFont="1" applyBorder="1" applyAlignment="1">
      <alignment vertical="center" wrapText="1"/>
    </xf>
    <xf numFmtId="0" fontId="13" fillId="0" borderId="17" xfId="0" applyFont="1" applyBorder="1" applyAlignment="1">
      <alignment vertical="center" wrapText="1"/>
    </xf>
    <xf numFmtId="3" fontId="13" fillId="0" borderId="136" xfId="12" applyNumberFormat="1" applyFont="1" applyBorder="1" applyAlignment="1">
      <alignment vertical="center"/>
    </xf>
    <xf numFmtId="3" fontId="13" fillId="0" borderId="125" xfId="12" applyNumberFormat="1" applyFont="1" applyBorder="1" applyAlignment="1">
      <alignment vertical="center"/>
    </xf>
    <xf numFmtId="3" fontId="14" fillId="0" borderId="123" xfId="12" applyNumberFormat="1" applyFont="1" applyBorder="1" applyAlignment="1">
      <alignment vertical="center"/>
    </xf>
    <xf numFmtId="3" fontId="17" fillId="0" borderId="125" xfId="12" applyNumberFormat="1" applyFont="1" applyBorder="1" applyAlignment="1">
      <alignment vertical="center"/>
    </xf>
    <xf numFmtId="3" fontId="13" fillId="0" borderId="125" xfId="12" applyNumberFormat="1" applyFont="1" applyFill="1" applyBorder="1" applyAlignment="1">
      <alignment vertical="center"/>
    </xf>
    <xf numFmtId="3" fontId="14" fillId="0" borderId="125" xfId="12" applyNumberFormat="1" applyFont="1" applyBorder="1" applyAlignment="1">
      <alignment vertical="center"/>
    </xf>
    <xf numFmtId="3" fontId="14" fillId="0" borderId="78" xfId="12" applyNumberFormat="1" applyFont="1" applyBorder="1" applyAlignment="1">
      <alignment vertical="center"/>
    </xf>
    <xf numFmtId="0" fontId="13" fillId="0" borderId="71" xfId="12" applyFont="1" applyBorder="1" applyAlignment="1">
      <alignment vertical="center" wrapText="1"/>
    </xf>
    <xf numFmtId="0" fontId="17" fillId="0" borderId="71" xfId="12" applyFont="1" applyBorder="1" applyAlignment="1">
      <alignment vertical="center" wrapText="1"/>
    </xf>
    <xf numFmtId="0" fontId="48" fillId="0" borderId="128" xfId="0" applyFont="1" applyBorder="1"/>
    <xf numFmtId="0" fontId="13" fillId="3" borderId="71" xfId="12" applyFont="1" applyFill="1" applyBorder="1" applyAlignment="1">
      <alignment vertical="center" wrapText="1"/>
    </xf>
    <xf numFmtId="0" fontId="14" fillId="0" borderId="17" xfId="12" applyFont="1" applyBorder="1" applyAlignment="1">
      <alignment vertical="center" wrapText="1"/>
    </xf>
    <xf numFmtId="3" fontId="14" fillId="0" borderId="8" xfId="17" applyNumberFormat="1" applyFont="1" applyBorder="1" applyAlignment="1">
      <alignment horizontal="center" vertical="center" wrapText="1"/>
    </xf>
    <xf numFmtId="3" fontId="14" fillId="0" borderId="110" xfId="17" applyNumberFormat="1" applyFont="1" applyBorder="1" applyAlignment="1">
      <alignment horizontal="center" vertical="center" wrapText="1"/>
    </xf>
    <xf numFmtId="3" fontId="13" fillId="0" borderId="122" xfId="0" applyNumberFormat="1" applyFont="1" applyBorder="1" applyAlignment="1">
      <alignment vertical="center"/>
    </xf>
    <xf numFmtId="3" fontId="13" fillId="0" borderId="124" xfId="0" applyNumberFormat="1" applyFont="1" applyBorder="1" applyAlignment="1">
      <alignment vertical="center"/>
    </xf>
    <xf numFmtId="14" fontId="13" fillId="0" borderId="119" xfId="0" applyNumberFormat="1" applyFont="1" applyBorder="1" applyAlignment="1">
      <alignment horizontal="center" vertical="center" wrapText="1"/>
    </xf>
    <xf numFmtId="14" fontId="13" fillId="2" borderId="119" xfId="0" applyNumberFormat="1" applyFont="1" applyFill="1" applyBorder="1" applyAlignment="1">
      <alignment horizontal="center" vertical="center"/>
    </xf>
    <xf numFmtId="3" fontId="13" fillId="0" borderId="119" xfId="0" applyNumberFormat="1" applyFont="1" applyBorder="1" applyAlignment="1">
      <alignment vertical="center"/>
    </xf>
    <xf numFmtId="3" fontId="13" fillId="0" borderId="126" xfId="0" applyNumberFormat="1" applyFont="1" applyBorder="1" applyAlignment="1">
      <alignment vertical="center"/>
    </xf>
    <xf numFmtId="14" fontId="13" fillId="0" borderId="119" xfId="0" applyNumberFormat="1" applyFont="1" applyBorder="1" applyAlignment="1">
      <alignment horizontal="center" vertical="center"/>
    </xf>
    <xf numFmtId="0" fontId="13" fillId="0" borderId="45" xfId="0" applyFont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48" fillId="0" borderId="125" xfId="0" applyFont="1" applyBorder="1"/>
    <xf numFmtId="0" fontId="48" fillId="0" borderId="125" xfId="0" applyFont="1" applyBorder="1" applyAlignment="1">
      <alignment wrapText="1"/>
    </xf>
    <xf numFmtId="0" fontId="13" fillId="0" borderId="60" xfId="0" applyFont="1" applyBorder="1" applyAlignment="1">
      <alignment vertical="center" wrapText="1"/>
    </xf>
    <xf numFmtId="0" fontId="14" fillId="0" borderId="14" xfId="0" applyFont="1" applyBorder="1" applyAlignment="1">
      <alignment vertical="center" wrapText="1"/>
    </xf>
    <xf numFmtId="3" fontId="31" fillId="0" borderId="72" xfId="0" applyNumberFormat="1" applyFont="1" applyBorder="1" applyAlignment="1">
      <alignment vertical="center" wrapText="1"/>
    </xf>
    <xf numFmtId="3" fontId="17" fillId="0" borderId="72" xfId="9" applyNumberFormat="1" applyFont="1" applyBorder="1" applyAlignment="1">
      <alignment vertical="center"/>
    </xf>
    <xf numFmtId="0" fontId="35" fillId="0" borderId="138" xfId="0" applyFont="1" applyBorder="1" applyAlignment="1">
      <alignment horizontal="right" vertical="center" wrapText="1"/>
    </xf>
    <xf numFmtId="0" fontId="35" fillId="0" borderId="72" xfId="0" applyFont="1" applyBorder="1" applyAlignment="1">
      <alignment horizontal="right" vertical="center" wrapText="1"/>
    </xf>
    <xf numFmtId="0" fontId="35" fillId="0" borderId="72" xfId="0" applyFont="1" applyBorder="1"/>
    <xf numFmtId="3" fontId="17" fillId="0" borderId="140" xfId="9" applyNumberFormat="1" applyFont="1" applyBorder="1" applyAlignment="1">
      <alignment vertical="center"/>
    </xf>
    <xf numFmtId="0" fontId="35" fillId="0" borderId="72" xfId="0" applyFont="1" applyBorder="1" applyAlignment="1">
      <alignment vertical="center"/>
    </xf>
    <xf numFmtId="3" fontId="13" fillId="0" borderId="72" xfId="9" applyNumberFormat="1" applyFont="1" applyBorder="1" applyAlignment="1">
      <alignment vertical="center"/>
    </xf>
    <xf numFmtId="3" fontId="13" fillId="0" borderId="140" xfId="9" applyNumberFormat="1" applyFont="1" applyBorder="1" applyAlignment="1">
      <alignment vertical="center"/>
    </xf>
    <xf numFmtId="3" fontId="35" fillId="0" borderId="137" xfId="0" applyNumberFormat="1" applyFont="1" applyBorder="1" applyAlignment="1">
      <alignment vertical="center"/>
    </xf>
    <xf numFmtId="3" fontId="35" fillId="0" borderId="137" xfId="0" applyNumberFormat="1" applyFont="1" applyBorder="1" applyAlignment="1">
      <alignment horizontal="right" vertical="center"/>
    </xf>
    <xf numFmtId="3" fontId="35" fillId="0" borderId="72" xfId="9" applyNumberFormat="1" applyFont="1" applyBorder="1" applyAlignment="1">
      <alignment vertical="center"/>
    </xf>
    <xf numFmtId="3" fontId="35" fillId="0" borderId="140" xfId="9" applyNumberFormat="1" applyFont="1" applyBorder="1" applyAlignment="1">
      <alignment vertical="center"/>
    </xf>
    <xf numFmtId="0" fontId="39" fillId="0" borderId="72" xfId="0" applyFont="1" applyBorder="1"/>
    <xf numFmtId="3" fontId="35" fillId="4" borderId="72" xfId="0" applyNumberFormat="1" applyFont="1" applyFill="1" applyBorder="1" applyAlignment="1">
      <alignment horizontal="right" wrapText="1"/>
    </xf>
    <xf numFmtId="49" fontId="35" fillId="4" borderId="71" xfId="0" applyNumberFormat="1" applyFont="1" applyFill="1" applyBorder="1" applyAlignment="1">
      <alignment vertical="center" wrapText="1"/>
    </xf>
    <xf numFmtId="3" fontId="35" fillId="4" borderId="142" xfId="0" applyNumberFormat="1" applyFont="1" applyFill="1" applyBorder="1" applyAlignment="1">
      <alignment horizontal="right" wrapText="1"/>
    </xf>
    <xf numFmtId="3" fontId="13" fillId="0" borderId="144" xfId="9" applyNumberFormat="1" applyFont="1" applyBorder="1" applyAlignment="1">
      <alignment vertical="center"/>
    </xf>
    <xf numFmtId="0" fontId="13" fillId="2" borderId="60" xfId="9" applyFont="1" applyFill="1" applyBorder="1" applyAlignment="1">
      <alignment vertical="center" wrapText="1"/>
    </xf>
    <xf numFmtId="0" fontId="17" fillId="2" borderId="71" xfId="9" applyFont="1" applyFill="1" applyBorder="1" applyAlignment="1">
      <alignment vertical="center" wrapText="1"/>
    </xf>
    <xf numFmtId="0" fontId="35" fillId="0" borderId="146" xfId="0" applyFont="1" applyBorder="1" applyAlignment="1">
      <alignment vertical="center"/>
    </xf>
    <xf numFmtId="0" fontId="35" fillId="0" borderId="71" xfId="0" applyFont="1" applyBorder="1" applyAlignment="1">
      <alignment horizontal="left" vertical="center"/>
    </xf>
    <xf numFmtId="0" fontId="35" fillId="0" borderId="71" xfId="0" applyFont="1" applyBorder="1"/>
    <xf numFmtId="0" fontId="35" fillId="0" borderId="71" xfId="0" applyFont="1" applyBorder="1" applyAlignment="1">
      <alignment vertical="center"/>
    </xf>
    <xf numFmtId="0" fontId="35" fillId="0" borderId="128" xfId="0" applyFont="1" applyBorder="1" applyAlignment="1">
      <alignment vertical="center"/>
    </xf>
    <xf numFmtId="49" fontId="35" fillId="4" borderId="147" xfId="0" applyNumberFormat="1" applyFont="1" applyFill="1" applyBorder="1" applyAlignment="1">
      <alignment vertical="center" wrapText="1"/>
    </xf>
    <xf numFmtId="3" fontId="13" fillId="0" borderId="62" xfId="9" applyNumberFormat="1" applyFont="1" applyBorder="1" applyAlignment="1">
      <alignment vertical="center"/>
    </xf>
    <xf numFmtId="0" fontId="14" fillId="2" borderId="134" xfId="9" applyFont="1" applyFill="1" applyBorder="1" applyAlignment="1">
      <alignment vertical="center" wrapText="1"/>
    </xf>
    <xf numFmtId="3" fontId="14" fillId="0" borderId="134" xfId="9" applyNumberFormat="1" applyFont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0" fontId="13" fillId="2" borderId="17" xfId="9" applyFont="1" applyFill="1" applyBorder="1" applyAlignment="1">
      <alignment vertical="center" wrapText="1"/>
    </xf>
    <xf numFmtId="0" fontId="14" fillId="2" borderId="62" xfId="9" applyFont="1" applyFill="1" applyBorder="1" applyAlignment="1">
      <alignment vertical="center" wrapText="1"/>
    </xf>
    <xf numFmtId="0" fontId="13" fillId="2" borderId="101" xfId="9" applyFont="1" applyFill="1" applyBorder="1" applyAlignment="1">
      <alignment vertical="center" wrapText="1"/>
    </xf>
    <xf numFmtId="49" fontId="20" fillId="2" borderId="72" xfId="10" applyNumberFormat="1" applyFont="1" applyFill="1" applyBorder="1" applyAlignment="1">
      <alignment horizontal="left" vertical="center" wrapText="1"/>
    </xf>
    <xf numFmtId="0" fontId="13" fillId="2" borderId="106" xfId="9" applyFont="1" applyFill="1" applyBorder="1" applyAlignment="1">
      <alignment vertical="center" wrapText="1"/>
    </xf>
    <xf numFmtId="3" fontId="20" fillId="0" borderId="144" xfId="10" applyNumberFormat="1" applyFont="1" applyBorder="1" applyAlignment="1">
      <alignment vertical="center"/>
    </xf>
    <xf numFmtId="3" fontId="24" fillId="0" borderId="60" xfId="9" applyNumberFormat="1" applyFont="1" applyBorder="1" applyAlignment="1">
      <alignment vertical="center"/>
    </xf>
    <xf numFmtId="3" fontId="7" fillId="0" borderId="36" xfId="9" applyNumberFormat="1" applyFont="1" applyBorder="1" applyAlignment="1">
      <alignment vertical="center"/>
    </xf>
    <xf numFmtId="3" fontId="7" fillId="0" borderId="71" xfId="9" applyNumberFormat="1" applyFont="1" applyBorder="1" applyAlignment="1">
      <alignment vertical="center"/>
    </xf>
    <xf numFmtId="3" fontId="20" fillId="0" borderId="71" xfId="10" applyNumberFormat="1" applyFont="1" applyBorder="1" applyAlignment="1">
      <alignment vertical="center"/>
    </xf>
    <xf numFmtId="3" fontId="13" fillId="0" borderId="71" xfId="9" applyNumberFormat="1" applyFont="1" applyBorder="1" applyAlignment="1">
      <alignment vertical="center"/>
    </xf>
    <xf numFmtId="3" fontId="14" fillId="0" borderId="71" xfId="9" applyNumberFormat="1" applyFont="1" applyBorder="1" applyAlignment="1">
      <alignment vertical="center"/>
    </xf>
    <xf numFmtId="3" fontId="13" fillId="0" borderId="17" xfId="9" applyNumberFormat="1" applyFont="1" applyBorder="1" applyAlignment="1">
      <alignment vertical="center"/>
    </xf>
    <xf numFmtId="0" fontId="35" fillId="0" borderId="148" xfId="0" applyFont="1" applyBorder="1" applyAlignment="1">
      <alignment vertical="center"/>
    </xf>
    <xf numFmtId="3" fontId="35" fillId="0" borderId="72" xfId="0" applyNumberFormat="1" applyFont="1" applyBorder="1" applyAlignment="1">
      <alignment horizontal="right" vertical="center"/>
    </xf>
    <xf numFmtId="3" fontId="35" fillId="0" borderId="140" xfId="0" applyNumberFormat="1" applyFont="1" applyBorder="1" applyAlignment="1">
      <alignment horizontal="right" vertical="center"/>
    </xf>
    <xf numFmtId="3" fontId="35" fillId="0" borderId="148" xfId="0" applyNumberFormat="1" applyFont="1" applyBorder="1" applyAlignment="1">
      <alignment horizontal="right" vertical="center"/>
    </xf>
    <xf numFmtId="3" fontId="35" fillId="0" borderId="149" xfId="0" applyNumberFormat="1" applyFont="1" applyBorder="1" applyAlignment="1">
      <alignment horizontal="right" vertical="center"/>
    </xf>
    <xf numFmtId="3" fontId="35" fillId="0" borderId="148" xfId="0" applyNumberFormat="1" applyFont="1" applyBorder="1" applyAlignment="1">
      <alignment vertical="center"/>
    </xf>
    <xf numFmtId="3" fontId="35" fillId="0" borderId="149" xfId="0" applyNumberFormat="1" applyFont="1" applyBorder="1" applyAlignment="1">
      <alignment vertical="center"/>
    </xf>
    <xf numFmtId="0" fontId="35" fillId="0" borderId="148" xfId="0" applyFont="1" applyBorder="1" applyAlignment="1">
      <alignment vertical="center" wrapText="1"/>
    </xf>
    <xf numFmtId="0" fontId="35" fillId="0" borderId="148" xfId="0" applyFont="1" applyBorder="1" applyAlignment="1">
      <alignment vertical="top" wrapText="1"/>
    </xf>
    <xf numFmtId="0" fontId="13" fillId="0" borderId="106" xfId="9" applyFont="1" applyBorder="1" applyAlignment="1">
      <alignment vertical="center" wrapText="1"/>
    </xf>
    <xf numFmtId="0" fontId="39" fillId="0" borderId="107" xfId="0" applyFont="1" applyBorder="1" applyAlignment="1">
      <alignment wrapText="1"/>
    </xf>
    <xf numFmtId="3" fontId="14" fillId="0" borderId="37" xfId="9" applyNumberFormat="1" applyFont="1" applyBorder="1" applyAlignment="1">
      <alignment vertical="center"/>
    </xf>
    <xf numFmtId="3" fontId="14" fillId="0" borderId="23" xfId="9" applyNumberFormat="1" applyFont="1" applyBorder="1" applyAlignment="1">
      <alignment vertical="center"/>
    </xf>
    <xf numFmtId="3" fontId="13" fillId="0" borderId="57" xfId="9" applyNumberFormat="1" applyFont="1" applyBorder="1" applyAlignment="1">
      <alignment vertical="center"/>
    </xf>
    <xf numFmtId="3" fontId="13" fillId="0" borderId="107" xfId="9" applyNumberFormat="1" applyFont="1" applyBorder="1" applyAlignment="1">
      <alignment vertical="center"/>
    </xf>
    <xf numFmtId="3" fontId="13" fillId="0" borderId="8" xfId="9" applyNumberFormat="1" applyFont="1" applyBorder="1" applyAlignment="1">
      <alignment vertical="center"/>
    </xf>
    <xf numFmtId="0" fontId="14" fillId="0" borderId="134" xfId="9" applyFont="1" applyBorder="1" applyAlignment="1">
      <alignment vertical="center" wrapText="1"/>
    </xf>
    <xf numFmtId="3" fontId="14" fillId="0" borderId="44" xfId="9" applyNumberFormat="1" applyFont="1" applyBorder="1" applyAlignment="1">
      <alignment vertical="center"/>
    </xf>
    <xf numFmtId="3" fontId="14" fillId="0" borderId="144" xfId="9" applyNumberFormat="1" applyFont="1" applyBorder="1" applyAlignment="1">
      <alignment vertical="center"/>
    </xf>
    <xf numFmtId="3" fontId="13" fillId="0" borderId="133" xfId="9" applyNumberFormat="1" applyFont="1" applyBorder="1" applyAlignment="1">
      <alignment vertical="center"/>
    </xf>
    <xf numFmtId="0" fontId="14" fillId="0" borderId="56" xfId="9" applyFont="1" applyBorder="1" applyAlignment="1">
      <alignment vertical="center" wrapText="1"/>
    </xf>
    <xf numFmtId="49" fontId="20" fillId="0" borderId="71" xfId="18" applyNumberFormat="1" applyFont="1" applyBorder="1" applyAlignment="1">
      <alignment horizontal="left" vertical="center" wrapText="1"/>
    </xf>
    <xf numFmtId="0" fontId="13" fillId="0" borderId="36" xfId="9" applyFont="1" applyBorder="1" applyAlignment="1">
      <alignment vertical="center" wrapText="1"/>
    </xf>
    <xf numFmtId="0" fontId="20" fillId="0" borderId="71" xfId="0" applyFont="1" applyFill="1" applyBorder="1"/>
    <xf numFmtId="0" fontId="13" fillId="0" borderId="17" xfId="9" applyFont="1" applyBorder="1" applyAlignment="1">
      <alignment vertical="center" wrapText="1"/>
    </xf>
    <xf numFmtId="0" fontId="14" fillId="0" borderId="150" xfId="0" applyFont="1" applyBorder="1" applyAlignment="1">
      <alignment horizontal="center" vertical="center" wrapText="1"/>
    </xf>
    <xf numFmtId="3" fontId="14" fillId="0" borderId="57" xfId="0" applyNumberFormat="1" applyFont="1" applyBorder="1" applyAlignment="1">
      <alignment horizontal="right" vertical="center" wrapText="1"/>
    </xf>
    <xf numFmtId="3" fontId="13" fillId="0" borderId="140" xfId="0" applyNumberFormat="1" applyFont="1" applyBorder="1" applyAlignment="1">
      <alignment horizontal="right" vertical="center" wrapText="1"/>
    </xf>
    <xf numFmtId="3" fontId="14" fillId="0" borderId="140" xfId="0" applyNumberFormat="1" applyFont="1" applyFill="1" applyBorder="1" applyAlignment="1">
      <alignment horizontal="right" vertical="center" wrapText="1"/>
    </xf>
    <xf numFmtId="3" fontId="13" fillId="0" borderId="140" xfId="0" applyNumberFormat="1" applyFont="1" applyFill="1" applyBorder="1" applyAlignment="1">
      <alignment horizontal="right" vertical="center" wrapText="1"/>
    </xf>
    <xf numFmtId="3" fontId="14" fillId="0" borderId="140" xfId="0" applyNumberFormat="1" applyFont="1" applyBorder="1" applyAlignment="1">
      <alignment horizontal="right" vertical="center" wrapText="1"/>
    </xf>
    <xf numFmtId="3" fontId="13" fillId="0" borderId="140" xfId="0" applyNumberFormat="1" applyFont="1" applyBorder="1" applyAlignment="1">
      <alignment vertical="center"/>
    </xf>
    <xf numFmtId="3" fontId="11" fillId="0" borderId="140" xfId="0" applyNumberFormat="1" applyFont="1" applyBorder="1" applyAlignment="1">
      <alignment horizontal="right" vertical="center" wrapText="1"/>
    </xf>
    <xf numFmtId="3" fontId="11" fillId="0" borderId="140" xfId="0" applyNumberFormat="1" applyFont="1" applyBorder="1" applyAlignment="1">
      <alignment vertical="center"/>
    </xf>
    <xf numFmtId="3" fontId="14" fillId="0" borderId="140" xfId="0" applyNumberFormat="1" applyFont="1" applyBorder="1" applyAlignment="1">
      <alignment vertical="center"/>
    </xf>
    <xf numFmtId="3" fontId="13" fillId="0" borderId="151" xfId="0" applyNumberFormat="1" applyFont="1" applyBorder="1" applyAlignment="1">
      <alignment horizontal="right" vertical="center" wrapText="1"/>
    </xf>
    <xf numFmtId="3" fontId="14" fillId="0" borderId="144" xfId="0" applyNumberFormat="1" applyFont="1" applyFill="1" applyBorder="1" applyAlignment="1">
      <alignment horizontal="right" vertical="center" wrapText="1"/>
    </xf>
    <xf numFmtId="3" fontId="13" fillId="0" borderId="151" xfId="0" applyNumberFormat="1" applyFont="1" applyFill="1" applyBorder="1" applyAlignment="1">
      <alignment horizontal="right" vertical="center" wrapText="1"/>
    </xf>
    <xf numFmtId="3" fontId="13" fillId="0" borderId="144" xfId="0" applyNumberFormat="1" applyFont="1" applyFill="1" applyBorder="1" applyAlignment="1">
      <alignment horizontal="right" vertical="center" wrapText="1"/>
    </xf>
    <xf numFmtId="3" fontId="14" fillId="0" borderId="151" xfId="0" applyNumberFormat="1" applyFont="1" applyBorder="1" applyAlignment="1">
      <alignment horizontal="right" vertical="center" wrapText="1"/>
    </xf>
    <xf numFmtId="3" fontId="14" fillId="0" borderId="144" xfId="0" applyNumberFormat="1" applyFont="1" applyBorder="1" applyAlignment="1">
      <alignment horizontal="right" vertical="center" wrapText="1"/>
    </xf>
    <xf numFmtId="3" fontId="13" fillId="0" borderId="151" xfId="0" applyNumberFormat="1" applyFont="1" applyBorder="1" applyAlignment="1">
      <alignment vertical="center"/>
    </xf>
    <xf numFmtId="3" fontId="11" fillId="0" borderId="151" xfId="0" applyNumberFormat="1" applyFont="1" applyBorder="1" applyAlignment="1">
      <alignment horizontal="right" vertical="center" wrapText="1"/>
    </xf>
    <xf numFmtId="3" fontId="11" fillId="0" borderId="151" xfId="0" applyNumberFormat="1" applyFont="1" applyBorder="1" applyAlignment="1">
      <alignment vertical="center"/>
    </xf>
    <xf numFmtId="3" fontId="14" fillId="0" borderId="144" xfId="0" applyNumberFormat="1" applyFont="1" applyBorder="1" applyAlignment="1">
      <alignment vertical="center"/>
    </xf>
    <xf numFmtId="3" fontId="14" fillId="0" borderId="148" xfId="0" applyNumberFormat="1" applyFont="1" applyBorder="1" applyAlignment="1">
      <alignment vertical="center" wrapText="1"/>
    </xf>
    <xf numFmtId="3" fontId="14" fillId="0" borderId="148" xfId="0" applyNumberFormat="1" applyFont="1" applyBorder="1" applyAlignment="1">
      <alignment vertical="center" shrinkToFit="1"/>
    </xf>
    <xf numFmtId="3" fontId="14" fillId="0" borderId="152" xfId="0" applyNumberFormat="1" applyFont="1" applyBorder="1" applyAlignment="1">
      <alignment vertical="center" shrinkToFit="1"/>
    </xf>
    <xf numFmtId="3" fontId="14" fillId="0" borderId="145" xfId="0" applyNumberFormat="1" applyFont="1" applyBorder="1" applyAlignment="1">
      <alignment vertical="center"/>
    </xf>
    <xf numFmtId="3" fontId="14" fillId="0" borderId="1" xfId="0" applyNumberFormat="1" applyFont="1" applyBorder="1" applyAlignment="1">
      <alignment vertical="center"/>
    </xf>
    <xf numFmtId="3" fontId="13" fillId="0" borderId="150" xfId="0" applyNumberFormat="1" applyFont="1" applyBorder="1" applyAlignment="1">
      <alignment vertical="center"/>
    </xf>
    <xf numFmtId="3" fontId="13" fillId="0" borderId="153" xfId="0" applyNumberFormat="1" applyFont="1" applyBorder="1" applyAlignment="1">
      <alignment vertical="center"/>
    </xf>
    <xf numFmtId="3" fontId="14" fillId="0" borderId="154" xfId="0" applyNumberFormat="1" applyFont="1" applyBorder="1" applyAlignment="1">
      <alignment vertical="center"/>
    </xf>
    <xf numFmtId="3" fontId="14" fillId="0" borderId="155" xfId="0" applyNumberFormat="1" applyFont="1" applyBorder="1" applyAlignment="1">
      <alignment vertical="center"/>
    </xf>
    <xf numFmtId="3" fontId="4" fillId="0" borderId="123" xfId="0" applyNumberFormat="1" applyFont="1" applyBorder="1" applyAlignment="1">
      <alignment vertical="center"/>
    </xf>
    <xf numFmtId="3" fontId="4" fillId="0" borderId="145" xfId="0" applyNumberFormat="1" applyFont="1" applyBorder="1" applyAlignment="1">
      <alignment vertical="center"/>
    </xf>
    <xf numFmtId="3" fontId="22" fillId="0" borderId="145" xfId="0" applyNumberFormat="1" applyFont="1" applyBorder="1" applyAlignment="1">
      <alignment vertical="center"/>
    </xf>
    <xf numFmtId="3" fontId="22" fillId="0" borderId="78" xfId="0" applyNumberFormat="1" applyFont="1" applyBorder="1" applyAlignment="1">
      <alignment vertical="center"/>
    </xf>
    <xf numFmtId="0" fontId="4" fillId="0" borderId="150" xfId="0" applyFont="1" applyBorder="1" applyAlignment="1">
      <alignment horizontal="center" vertical="center" wrapText="1"/>
    </xf>
    <xf numFmtId="3" fontId="4" fillId="0" borderId="57" xfId="0" applyNumberFormat="1" applyFont="1" applyBorder="1" applyAlignment="1">
      <alignment vertical="center" wrapText="1"/>
    </xf>
    <xf numFmtId="3" fontId="4" fillId="0" borderId="59" xfId="0" applyNumberFormat="1" applyFont="1" applyBorder="1" applyAlignment="1">
      <alignment vertical="center" wrapText="1"/>
    </xf>
    <xf numFmtId="3" fontId="4" fillId="0" borderId="140" xfId="0" applyNumberFormat="1" applyFont="1" applyBorder="1" applyAlignment="1">
      <alignment vertical="center" wrapText="1"/>
    </xf>
    <xf numFmtId="37" fontId="4" fillId="0" borderId="140" xfId="0" applyNumberFormat="1" applyFont="1" applyBorder="1" applyAlignment="1">
      <alignment vertical="center" wrapText="1"/>
    </xf>
    <xf numFmtId="37" fontId="5" fillId="0" borderId="140" xfId="0" applyNumberFormat="1" applyFont="1" applyBorder="1" applyAlignment="1">
      <alignment vertical="center" wrapText="1"/>
    </xf>
    <xf numFmtId="3" fontId="5" fillId="0" borderId="140" xfId="0" applyNumberFormat="1" applyFont="1" applyBorder="1" applyAlignment="1">
      <alignment vertical="center" wrapText="1"/>
    </xf>
    <xf numFmtId="3" fontId="6" fillId="0" borderId="140" xfId="0" applyNumberFormat="1" applyFont="1" applyBorder="1" applyAlignment="1">
      <alignment vertical="center" wrapText="1"/>
    </xf>
    <xf numFmtId="3" fontId="6" fillId="0" borderId="8" xfId="0" applyNumberFormat="1" applyFont="1" applyBorder="1" applyAlignment="1">
      <alignment vertical="center" wrapText="1"/>
    </xf>
    <xf numFmtId="3" fontId="6" fillId="0" borderId="1" xfId="0" applyNumberFormat="1" applyFont="1" applyBorder="1" applyAlignment="1">
      <alignment vertical="center" wrapText="1"/>
    </xf>
    <xf numFmtId="3" fontId="4" fillId="0" borderId="45" xfId="0" applyNumberFormat="1" applyFont="1" applyBorder="1" applyAlignment="1">
      <alignment vertical="center" wrapText="1"/>
    </xf>
    <xf numFmtId="3" fontId="4" fillId="0" borderId="145" xfId="0" applyNumberFormat="1" applyFont="1" applyBorder="1" applyAlignment="1">
      <alignment vertical="center" wrapText="1"/>
    </xf>
    <xf numFmtId="37" fontId="4" fillId="0" borderId="145" xfId="0" applyNumberFormat="1" applyFont="1" applyBorder="1" applyAlignment="1">
      <alignment vertical="center" wrapText="1"/>
    </xf>
    <xf numFmtId="37" fontId="5" fillId="0" borderId="145" xfId="0" applyNumberFormat="1" applyFont="1" applyBorder="1" applyAlignment="1">
      <alignment vertical="center" wrapText="1"/>
    </xf>
    <xf numFmtId="3" fontId="5" fillId="0" borderId="145" xfId="0" applyNumberFormat="1" applyFont="1" applyBorder="1" applyAlignment="1">
      <alignment vertical="center" wrapText="1"/>
    </xf>
    <xf numFmtId="3" fontId="6" fillId="0" borderId="145" xfId="0" applyNumberFormat="1" applyFont="1" applyBorder="1" applyAlignment="1">
      <alignment vertical="center" wrapText="1"/>
    </xf>
    <xf numFmtId="3" fontId="6" fillId="0" borderId="135" xfId="0" applyNumberFormat="1" applyFont="1" applyBorder="1" applyAlignment="1">
      <alignment vertical="center" wrapText="1"/>
    </xf>
    <xf numFmtId="49" fontId="48" fillId="0" borderId="160" xfId="4" applyNumberFormat="1" applyFont="1" applyBorder="1" applyAlignment="1">
      <alignment vertical="center" wrapText="1"/>
    </xf>
    <xf numFmtId="0" fontId="13" fillId="0" borderId="154" xfId="14" applyFont="1" applyBorder="1" applyAlignment="1">
      <alignment vertical="center" wrapText="1"/>
    </xf>
    <xf numFmtId="3" fontId="13" fillId="0" borderId="111" xfId="14" applyNumberFormat="1" applyFont="1" applyBorder="1" applyAlignment="1">
      <alignment vertical="center" wrapText="1"/>
    </xf>
    <xf numFmtId="3" fontId="13" fillId="0" borderId="132" xfId="14" applyNumberFormat="1" applyFont="1" applyBorder="1" applyAlignment="1">
      <alignment vertical="center" wrapText="1"/>
    </xf>
    <xf numFmtId="3" fontId="13" fillId="0" borderId="154" xfId="14" applyNumberFormat="1" applyFont="1" applyBorder="1" applyAlignment="1">
      <alignment horizontal="right" vertical="center" wrapText="1"/>
    </xf>
    <xf numFmtId="3" fontId="13" fillId="0" borderId="155" xfId="14" applyNumberFormat="1" applyFont="1" applyBorder="1" applyAlignment="1">
      <alignment horizontal="right" vertical="center" wrapText="1"/>
    </xf>
    <xf numFmtId="3" fontId="13" fillId="0" borderId="156" xfId="14" applyNumberFormat="1" applyFont="1" applyBorder="1" applyAlignment="1">
      <alignment horizontal="right" vertical="center" wrapText="1"/>
    </xf>
    <xf numFmtId="3" fontId="14" fillId="0" borderId="154" xfId="14" applyNumberFormat="1" applyFont="1" applyBorder="1" applyAlignment="1">
      <alignment horizontal="right" vertical="center" wrapText="1"/>
    </xf>
    <xf numFmtId="3" fontId="14" fillId="0" borderId="162" xfId="14" applyNumberFormat="1" applyFont="1" applyBorder="1" applyAlignment="1">
      <alignment horizontal="right" vertical="center" wrapText="1"/>
    </xf>
    <xf numFmtId="3" fontId="14" fillId="0" borderId="140" xfId="14" applyNumberFormat="1" applyFont="1" applyBorder="1" applyAlignment="1">
      <alignment horizontal="right" vertical="center" wrapText="1"/>
    </xf>
    <xf numFmtId="3" fontId="14" fillId="0" borderId="163" xfId="14" applyNumberFormat="1" applyFont="1" applyBorder="1" applyAlignment="1">
      <alignment horizontal="right" vertical="center" wrapText="1"/>
    </xf>
    <xf numFmtId="3" fontId="14" fillId="2" borderId="163" xfId="9" applyNumberFormat="1" applyFont="1" applyFill="1" applyBorder="1" applyAlignment="1">
      <alignment horizontal="right" vertical="center" wrapText="1"/>
    </xf>
    <xf numFmtId="3" fontId="14" fillId="2" borderId="140" xfId="9" applyNumberFormat="1" applyFont="1" applyFill="1" applyBorder="1" applyAlignment="1">
      <alignment horizontal="right" vertical="center" wrapText="1"/>
    </xf>
    <xf numFmtId="3" fontId="21" fillId="2" borderId="163" xfId="10" applyNumberFormat="1" applyFont="1" applyFill="1" applyBorder="1" applyAlignment="1">
      <alignment horizontal="right" vertical="center" wrapText="1"/>
    </xf>
    <xf numFmtId="3" fontId="21" fillId="2" borderId="140" xfId="10" applyNumberFormat="1" applyFont="1" applyFill="1" applyBorder="1" applyAlignment="1">
      <alignment horizontal="right" vertical="center" wrapText="1"/>
    </xf>
    <xf numFmtId="3" fontId="14" fillId="0" borderId="8" xfId="14" applyNumberFormat="1" applyFont="1" applyBorder="1" applyAlignment="1">
      <alignment horizontal="right" vertical="center" wrapText="1"/>
    </xf>
    <xf numFmtId="3" fontId="14" fillId="0" borderId="1" xfId="14" applyNumberFormat="1" applyFont="1" applyBorder="1" applyAlignment="1">
      <alignment horizontal="right" vertical="center" wrapText="1"/>
    </xf>
    <xf numFmtId="0" fontId="13" fillId="0" borderId="163" xfId="14" applyFont="1" applyBorder="1" applyAlignment="1">
      <alignment vertical="center" wrapText="1"/>
    </xf>
    <xf numFmtId="3" fontId="13" fillId="0" borderId="162" xfId="14" applyNumberFormat="1" applyFont="1" applyBorder="1" applyAlignment="1">
      <alignment vertical="center" wrapText="1"/>
    </xf>
    <xf numFmtId="3" fontId="13" fillId="0" borderId="131" xfId="14" applyNumberFormat="1" applyFont="1" applyBorder="1" applyAlignment="1">
      <alignment vertical="center" wrapText="1"/>
    </xf>
    <xf numFmtId="3" fontId="13" fillId="0" borderId="163" xfId="14" applyNumberFormat="1" applyFont="1" applyBorder="1" applyAlignment="1">
      <alignment horizontal="right" vertical="center" wrapText="1"/>
    </xf>
    <xf numFmtId="3" fontId="13" fillId="0" borderId="140" xfId="14" applyNumberFormat="1" applyFont="1" applyBorder="1" applyAlignment="1">
      <alignment horizontal="right" vertical="center" wrapText="1"/>
    </xf>
    <xf numFmtId="3" fontId="13" fillId="0" borderId="151" xfId="14" applyNumberFormat="1" applyFont="1" applyBorder="1" applyAlignment="1">
      <alignment horizontal="right" vertical="center" wrapText="1"/>
    </xf>
    <xf numFmtId="0" fontId="13" fillId="0" borderId="115" xfId="14" applyFont="1" applyBorder="1" applyAlignment="1">
      <alignment vertical="center" wrapText="1"/>
    </xf>
    <xf numFmtId="3" fontId="13" fillId="0" borderId="116" xfId="14" applyNumberFormat="1" applyFont="1" applyBorder="1" applyAlignment="1">
      <alignment vertical="center" wrapText="1"/>
    </xf>
    <xf numFmtId="0" fontId="13" fillId="0" borderId="164" xfId="14" applyFont="1" applyBorder="1" applyAlignment="1">
      <alignment vertical="center" wrapText="1"/>
    </xf>
    <xf numFmtId="3" fontId="13" fillId="0" borderId="115" xfId="14" applyNumberFormat="1" applyFont="1" applyBorder="1" applyAlignment="1">
      <alignment horizontal="right" vertical="center" wrapText="1"/>
    </xf>
    <xf numFmtId="3" fontId="13" fillId="0" borderId="117" xfId="14" applyNumberFormat="1" applyFont="1" applyBorder="1" applyAlignment="1">
      <alignment horizontal="right" vertical="center" wrapText="1"/>
    </xf>
    <xf numFmtId="3" fontId="13" fillId="0" borderId="113" xfId="14" applyNumberFormat="1" applyFont="1" applyBorder="1" applyAlignment="1">
      <alignment horizontal="right" vertical="center" wrapText="1"/>
    </xf>
    <xf numFmtId="3" fontId="14" fillId="0" borderId="115" xfId="14" applyNumberFormat="1" applyFont="1" applyBorder="1" applyAlignment="1">
      <alignment horizontal="right" vertical="center" wrapText="1"/>
    </xf>
    <xf numFmtId="3" fontId="35" fillId="0" borderId="0" xfId="22" applyNumberFormat="1" applyFont="1"/>
    <xf numFmtId="3" fontId="14" fillId="0" borderId="110" xfId="14" applyNumberFormat="1" applyFont="1" applyBorder="1" applyAlignment="1">
      <alignment horizontal="center" vertical="center" wrapText="1"/>
    </xf>
    <xf numFmtId="0" fontId="14" fillId="0" borderId="154" xfId="14" applyFont="1" applyBorder="1" applyAlignment="1">
      <alignment horizontal="left" vertical="center" wrapText="1"/>
    </xf>
    <xf numFmtId="3" fontId="14" fillId="0" borderId="111" xfId="14" applyNumberFormat="1" applyFont="1" applyBorder="1" applyAlignment="1">
      <alignment horizontal="center" vertical="center" wrapText="1"/>
    </xf>
    <xf numFmtId="0" fontId="14" fillId="0" borderId="111" xfId="14" applyFont="1" applyBorder="1" applyAlignment="1">
      <alignment horizontal="center" vertical="center"/>
    </xf>
    <xf numFmtId="49" fontId="13" fillId="0" borderId="155" xfId="14" applyNumberFormat="1" applyFont="1" applyBorder="1" applyAlignment="1">
      <alignment horizontal="center" vertical="center" wrapText="1"/>
    </xf>
    <xf numFmtId="0" fontId="14" fillId="0" borderId="163" xfId="14" applyFont="1" applyBorder="1" applyAlignment="1">
      <alignment horizontal="right" vertical="center" wrapText="1"/>
    </xf>
    <xf numFmtId="0" fontId="14" fillId="0" borderId="162" xfId="14" applyFont="1" applyBorder="1" applyAlignment="1">
      <alignment horizontal="right" vertical="center"/>
    </xf>
    <xf numFmtId="3" fontId="14" fillId="0" borderId="162" xfId="9" applyNumberFormat="1" applyFont="1" applyBorder="1" applyAlignment="1">
      <alignment horizontal="right" vertical="center"/>
    </xf>
    <xf numFmtId="3" fontId="14" fillId="0" borderId="140" xfId="9" applyNumberFormat="1" applyFont="1" applyBorder="1" applyAlignment="1">
      <alignment horizontal="right" vertical="center"/>
    </xf>
    <xf numFmtId="0" fontId="13" fillId="2" borderId="115" xfId="9" applyFont="1" applyFill="1" applyBorder="1" applyAlignment="1">
      <alignment vertical="center" wrapText="1"/>
    </xf>
    <xf numFmtId="3" fontId="13" fillId="0" borderId="116" xfId="14" applyNumberFormat="1" applyFont="1" applyBorder="1" applyAlignment="1">
      <alignment horizontal="right" vertical="center"/>
    </xf>
    <xf numFmtId="0" fontId="13" fillId="2" borderId="116" xfId="9" applyFont="1" applyFill="1" applyBorder="1" applyAlignment="1">
      <alignment vertical="center" wrapText="1"/>
    </xf>
    <xf numFmtId="3" fontId="13" fillId="0" borderId="116" xfId="9" applyNumberFormat="1" applyFont="1" applyBorder="1" applyAlignment="1">
      <alignment horizontal="right" vertical="center" wrapText="1"/>
    </xf>
    <xf numFmtId="3" fontId="13" fillId="0" borderId="116" xfId="9" applyNumberFormat="1" applyFont="1" applyBorder="1" applyAlignment="1">
      <alignment horizontal="right" vertical="center"/>
    </xf>
    <xf numFmtId="3" fontId="14" fillId="0" borderId="116" xfId="9" applyNumberFormat="1" applyFont="1" applyBorder="1" applyAlignment="1">
      <alignment horizontal="right" vertical="center"/>
    </xf>
    <xf numFmtId="3" fontId="14" fillId="0" borderId="117" xfId="9" applyNumberFormat="1" applyFont="1" applyBorder="1" applyAlignment="1">
      <alignment horizontal="right" vertical="center"/>
    </xf>
    <xf numFmtId="0" fontId="14" fillId="0" borderId="9" xfId="14" applyFont="1" applyBorder="1" applyAlignment="1">
      <alignment horizontal="left" vertical="center" wrapText="1"/>
    </xf>
    <xf numFmtId="0" fontId="14" fillId="0" borderId="10" xfId="14" applyFont="1" applyBorder="1" applyAlignment="1">
      <alignment horizontal="left" vertical="center"/>
    </xf>
    <xf numFmtId="3" fontId="14" fillId="0" borderId="111" xfId="14" applyNumberFormat="1" applyFont="1" applyBorder="1" applyAlignment="1">
      <alignment horizontal="right" vertical="center"/>
    </xf>
    <xf numFmtId="0" fontId="14" fillId="0" borderId="111" xfId="14" applyFont="1" applyBorder="1" applyAlignment="1">
      <alignment horizontal="left" vertical="center"/>
    </xf>
    <xf numFmtId="3" fontId="14" fillId="0" borderId="155" xfId="14" applyNumberFormat="1" applyFont="1" applyBorder="1" applyAlignment="1">
      <alignment horizontal="right" vertical="center"/>
    </xf>
    <xf numFmtId="0" fontId="14" fillId="0" borderId="163" xfId="14" applyFont="1" applyBorder="1" applyAlignment="1">
      <alignment horizontal="left" vertical="center" wrapText="1"/>
    </xf>
    <xf numFmtId="3" fontId="14" fillId="0" borderId="162" xfId="14" applyNumberFormat="1" applyFont="1" applyBorder="1" applyAlignment="1">
      <alignment horizontal="right" vertical="center"/>
    </xf>
    <xf numFmtId="0" fontId="14" fillId="0" borderId="162" xfId="14" applyFont="1" applyBorder="1" applyAlignment="1">
      <alignment horizontal="left" vertical="center"/>
    </xf>
    <xf numFmtId="3" fontId="14" fillId="0" borderId="140" xfId="14" applyNumberFormat="1" applyFont="1" applyBorder="1" applyAlignment="1">
      <alignment horizontal="right" vertical="center"/>
    </xf>
    <xf numFmtId="0" fontId="14" fillId="0" borderId="115" xfId="14" applyFont="1" applyBorder="1" applyAlignment="1">
      <alignment horizontal="left" vertical="center" wrapText="1"/>
    </xf>
    <xf numFmtId="3" fontId="14" fillId="0" borderId="116" xfId="14" applyNumberFormat="1" applyFont="1" applyBorder="1" applyAlignment="1">
      <alignment horizontal="right" vertical="center"/>
    </xf>
    <xf numFmtId="0" fontId="14" fillId="0" borderId="116" xfId="14" applyFont="1" applyBorder="1" applyAlignment="1">
      <alignment horizontal="left" vertical="center"/>
    </xf>
    <xf numFmtId="3" fontId="14" fillId="0" borderId="117" xfId="14" applyNumberFormat="1" applyFont="1" applyBorder="1" applyAlignment="1">
      <alignment horizontal="right" vertical="center"/>
    </xf>
    <xf numFmtId="3" fontId="14" fillId="0" borderId="10" xfId="14" applyNumberFormat="1" applyFont="1" applyBorder="1" applyAlignment="1">
      <alignment horizontal="left" vertical="center"/>
    </xf>
    <xf numFmtId="0" fontId="14" fillId="0" borderId="0" xfId="14" applyFont="1"/>
    <xf numFmtId="0" fontId="13" fillId="0" borderId="0" xfId="14" applyFont="1" applyAlignment="1">
      <alignment wrapText="1"/>
    </xf>
    <xf numFmtId="3" fontId="14" fillId="0" borderId="135" xfId="14" applyNumberFormat="1" applyFont="1" applyBorder="1" applyAlignment="1">
      <alignment horizontal="center" vertical="center" wrapText="1"/>
    </xf>
    <xf numFmtId="3" fontId="14" fillId="0" borderId="45" xfId="14" applyNumberFormat="1" applyFont="1" applyBorder="1" applyAlignment="1">
      <alignment horizontal="center" vertical="center" wrapText="1"/>
    </xf>
    <xf numFmtId="0" fontId="14" fillId="0" borderId="132" xfId="14" applyFont="1" applyBorder="1" applyAlignment="1">
      <alignment horizontal="center" vertical="center"/>
    </xf>
    <xf numFmtId="3" fontId="14" fillId="0" borderId="154" xfId="14" applyNumberFormat="1" applyFont="1" applyBorder="1" applyAlignment="1">
      <alignment horizontal="center" vertical="center" wrapText="1"/>
    </xf>
    <xf numFmtId="3" fontId="14" fillId="0" borderId="155" xfId="14" applyNumberFormat="1" applyFont="1" applyBorder="1" applyAlignment="1">
      <alignment horizontal="center" vertical="center" wrapText="1"/>
    </xf>
    <xf numFmtId="3" fontId="14" fillId="0" borderId="123" xfId="14" applyNumberFormat="1" applyFont="1" applyBorder="1" applyAlignment="1">
      <alignment horizontal="center" vertical="center" wrapText="1"/>
    </xf>
    <xf numFmtId="0" fontId="13" fillId="0" borderId="163" xfId="9" applyFont="1" applyBorder="1" applyAlignment="1">
      <alignment vertical="center" wrapText="1"/>
    </xf>
    <xf numFmtId="3" fontId="13" fillId="0" borderId="125" xfId="14" applyNumberFormat="1" applyFont="1" applyBorder="1" applyAlignment="1">
      <alignment horizontal="right" vertical="center"/>
    </xf>
    <xf numFmtId="3" fontId="13" fillId="0" borderId="140" xfId="14" applyNumberFormat="1" applyFont="1" applyBorder="1" applyAlignment="1">
      <alignment horizontal="right" vertical="center"/>
    </xf>
    <xf numFmtId="0" fontId="13" fillId="0" borderId="131" xfId="9" applyFont="1" applyBorder="1" applyAlignment="1">
      <alignment vertical="center" wrapText="1"/>
    </xf>
    <xf numFmtId="3" fontId="13" fillId="0" borderId="163" xfId="9" applyNumberFormat="1" applyFont="1" applyBorder="1" applyAlignment="1">
      <alignment horizontal="right" vertical="center" wrapText="1"/>
    </xf>
    <xf numFmtId="3" fontId="13" fillId="0" borderId="140" xfId="9" applyNumberFormat="1" applyFont="1" applyBorder="1" applyAlignment="1">
      <alignment horizontal="right" vertical="center" wrapText="1"/>
    </xf>
    <xf numFmtId="3" fontId="13" fillId="0" borderId="125" xfId="9" applyNumberFormat="1" applyFont="1" applyBorder="1" applyAlignment="1">
      <alignment horizontal="right" vertical="center" wrapText="1"/>
    </xf>
    <xf numFmtId="3" fontId="13" fillId="0" borderId="162" xfId="9" applyNumberFormat="1" applyFont="1" applyBorder="1" applyAlignment="1">
      <alignment horizontal="right" vertical="center" wrapText="1"/>
    </xf>
    <xf numFmtId="3" fontId="13" fillId="0" borderId="163" xfId="9" applyNumberFormat="1" applyFont="1" applyBorder="1" applyAlignment="1">
      <alignment horizontal="right" vertical="center"/>
    </xf>
    <xf numFmtId="3" fontId="13" fillId="0" borderId="162" xfId="9" applyNumberFormat="1" applyFont="1" applyBorder="1" applyAlignment="1">
      <alignment horizontal="right" vertical="center"/>
    </xf>
    <xf numFmtId="3" fontId="13" fillId="0" borderId="125" xfId="9" applyNumberFormat="1" applyFont="1" applyBorder="1" applyAlignment="1">
      <alignment horizontal="right" vertical="center"/>
    </xf>
    <xf numFmtId="3" fontId="14" fillId="0" borderId="163" xfId="9" applyNumberFormat="1" applyFont="1" applyBorder="1" applyAlignment="1">
      <alignment horizontal="right" vertical="center"/>
    </xf>
    <xf numFmtId="0" fontId="13" fillId="0" borderId="131" xfId="9" applyFont="1" applyBorder="1" applyAlignment="1">
      <alignment vertical="center"/>
    </xf>
    <xf numFmtId="0" fontId="14" fillId="0" borderId="163" xfId="9" applyFont="1" applyBorder="1" applyAlignment="1">
      <alignment vertical="center" wrapText="1"/>
    </xf>
    <xf numFmtId="0" fontId="14" fillId="0" borderId="115" xfId="9" applyFont="1" applyBorder="1" applyAlignment="1">
      <alignment vertical="center" wrapText="1"/>
    </xf>
    <xf numFmtId="3" fontId="13" fillId="0" borderId="78" xfId="14" applyNumberFormat="1" applyFont="1" applyBorder="1" applyAlignment="1">
      <alignment horizontal="right" vertical="center"/>
    </xf>
    <xf numFmtId="3" fontId="13" fillId="0" borderId="117" xfId="14" applyNumberFormat="1" applyFont="1" applyBorder="1" applyAlignment="1">
      <alignment horizontal="right" vertical="center"/>
    </xf>
    <xf numFmtId="0" fontId="13" fillId="0" borderId="87" xfId="9" applyFont="1" applyBorder="1" applyAlignment="1">
      <alignment vertical="center"/>
    </xf>
    <xf numFmtId="3" fontId="13" fillId="0" borderId="115" xfId="9" applyNumberFormat="1" applyFont="1" applyBorder="1" applyAlignment="1">
      <alignment horizontal="right" vertical="center" wrapText="1"/>
    </xf>
    <xf numFmtId="3" fontId="13" fillId="0" borderId="117" xfId="9" applyNumberFormat="1" applyFont="1" applyBorder="1" applyAlignment="1">
      <alignment horizontal="right" vertical="center" wrapText="1"/>
    </xf>
    <xf numFmtId="3" fontId="13" fillId="0" borderId="78" xfId="9" applyNumberFormat="1" applyFont="1" applyBorder="1" applyAlignment="1">
      <alignment horizontal="right" vertical="center" wrapText="1"/>
    </xf>
    <xf numFmtId="3" fontId="13" fillId="0" borderId="115" xfId="9" applyNumberFormat="1" applyFont="1" applyBorder="1" applyAlignment="1">
      <alignment horizontal="right" vertical="center"/>
    </xf>
    <xf numFmtId="3" fontId="13" fillId="0" borderId="78" xfId="9" applyNumberFormat="1" applyFont="1" applyBorder="1" applyAlignment="1">
      <alignment horizontal="right" vertical="center"/>
    </xf>
    <xf numFmtId="3" fontId="14" fillId="0" borderId="115" xfId="9" applyNumberFormat="1" applyFont="1" applyBorder="1" applyAlignment="1">
      <alignment horizontal="right" vertical="center"/>
    </xf>
    <xf numFmtId="3" fontId="14" fillId="0" borderId="12" xfId="14" applyNumberFormat="1" applyFont="1" applyBorder="1" applyAlignment="1">
      <alignment horizontal="right" vertical="center"/>
    </xf>
    <xf numFmtId="0" fontId="14" fillId="0" borderId="89" xfId="14" applyFont="1" applyBorder="1" applyAlignment="1">
      <alignment horizontal="left" vertical="center"/>
    </xf>
    <xf numFmtId="3" fontId="14" fillId="0" borderId="9" xfId="9" applyNumberFormat="1" applyFont="1" applyBorder="1" applyAlignment="1">
      <alignment horizontal="right" vertical="center"/>
    </xf>
    <xf numFmtId="3" fontId="14" fillId="0" borderId="11" xfId="9" applyNumberFormat="1" applyFont="1" applyBorder="1" applyAlignment="1">
      <alignment horizontal="right" vertical="center"/>
    </xf>
    <xf numFmtId="0" fontId="35" fillId="0" borderId="0" xfId="22" applyFont="1" applyAlignment="1">
      <alignment wrapText="1"/>
    </xf>
    <xf numFmtId="0" fontId="35" fillId="0" borderId="0" xfId="22" applyFont="1"/>
    <xf numFmtId="3" fontId="64" fillId="0" borderId="0" xfId="22" applyNumberFormat="1" applyFont="1"/>
    <xf numFmtId="49" fontId="35" fillId="0" borderId="0" xfId="22" applyNumberFormat="1" applyFont="1" applyAlignment="1">
      <alignment horizontal="center"/>
    </xf>
    <xf numFmtId="0" fontId="13" fillId="0" borderId="60" xfId="14" applyFont="1" applyBorder="1" applyAlignment="1">
      <alignment horizontal="left" vertical="center" wrapText="1"/>
    </xf>
    <xf numFmtId="0" fontId="13" fillId="2" borderId="165" xfId="9" applyFont="1" applyFill="1" applyBorder="1" applyAlignment="1">
      <alignment vertical="center" wrapText="1"/>
    </xf>
    <xf numFmtId="49" fontId="13" fillId="2" borderId="165" xfId="10" applyNumberFormat="1" applyFont="1" applyFill="1" applyBorder="1" applyAlignment="1">
      <alignment horizontal="left" vertical="center" wrapText="1"/>
    </xf>
    <xf numFmtId="0" fontId="13" fillId="0" borderId="165" xfId="0" applyFont="1" applyBorder="1" applyAlignment="1">
      <alignment vertical="center" wrapText="1"/>
    </xf>
    <xf numFmtId="49" fontId="20" fillId="2" borderId="165" xfId="10" applyNumberFormat="1" applyFont="1" applyFill="1" applyBorder="1" applyAlignment="1">
      <alignment horizontal="left" vertical="center" wrapText="1"/>
    </xf>
    <xf numFmtId="0" fontId="13" fillId="0" borderId="165" xfId="14" applyFont="1" applyBorder="1" applyAlignment="1">
      <alignment vertical="center" wrapText="1"/>
    </xf>
    <xf numFmtId="3" fontId="13" fillId="0" borderId="57" xfId="14" applyNumberFormat="1" applyFont="1" applyBorder="1" applyAlignment="1">
      <alignment horizontal="right" vertical="center"/>
    </xf>
    <xf numFmtId="3" fontId="13" fillId="0" borderId="59" xfId="14" applyNumberFormat="1" applyFont="1" applyBorder="1" applyAlignment="1">
      <alignment horizontal="right" vertical="center"/>
    </xf>
    <xf numFmtId="3" fontId="13" fillId="0" borderId="163" xfId="10" applyNumberFormat="1" applyFont="1" applyBorder="1" applyAlignment="1">
      <alignment horizontal="right" vertical="center" wrapText="1"/>
    </xf>
    <xf numFmtId="3" fontId="13" fillId="0" borderId="140" xfId="10" applyNumberFormat="1" applyFont="1" applyBorder="1" applyAlignment="1">
      <alignment horizontal="right" vertical="center" wrapText="1"/>
    </xf>
    <xf numFmtId="3" fontId="13" fillId="0" borderId="163" xfId="0" applyNumberFormat="1" applyFont="1" applyBorder="1" applyAlignment="1">
      <alignment horizontal="right" vertical="center" wrapText="1"/>
    </xf>
    <xf numFmtId="3" fontId="20" fillId="0" borderId="163" xfId="10" applyNumberFormat="1" applyFont="1" applyBorder="1" applyAlignment="1">
      <alignment horizontal="right" vertical="center" wrapText="1"/>
    </xf>
    <xf numFmtId="3" fontId="20" fillId="0" borderId="140" xfId="10" applyNumberFormat="1" applyFont="1" applyBorder="1" applyAlignment="1">
      <alignment horizontal="right" vertical="center" wrapText="1"/>
    </xf>
    <xf numFmtId="3" fontId="14" fillId="0" borderId="59" xfId="9" applyNumberFormat="1" applyFont="1" applyBorder="1" applyAlignment="1">
      <alignment horizontal="right" vertical="center"/>
    </xf>
    <xf numFmtId="3" fontId="14" fillId="0" borderId="163" xfId="14" applyNumberFormat="1" applyFont="1" applyBorder="1" applyAlignment="1">
      <alignment horizontal="right" vertical="center"/>
    </xf>
    <xf numFmtId="3" fontId="14" fillId="0" borderId="107" xfId="0" applyNumberFormat="1" applyFont="1" applyFill="1" applyBorder="1" applyAlignment="1">
      <alignment vertical="center"/>
    </xf>
    <xf numFmtId="0" fontId="13" fillId="0" borderId="165" xfId="14" applyFont="1" applyFill="1" applyBorder="1" applyAlignment="1">
      <alignment vertical="center" wrapText="1"/>
    </xf>
    <xf numFmtId="3" fontId="13" fillId="0" borderId="163" xfId="9" applyNumberFormat="1" applyFont="1" applyFill="1" applyBorder="1" applyAlignment="1">
      <alignment horizontal="right" vertical="center" wrapText="1"/>
    </xf>
    <xf numFmtId="3" fontId="13" fillId="0" borderId="140" xfId="9" applyNumberFormat="1" applyFont="1" applyFill="1" applyBorder="1" applyAlignment="1">
      <alignment horizontal="right" vertical="center" wrapText="1"/>
    </xf>
    <xf numFmtId="3" fontId="13" fillId="0" borderId="163" xfId="9" applyNumberFormat="1" applyFont="1" applyFill="1" applyBorder="1" applyAlignment="1">
      <alignment horizontal="right" vertical="center"/>
    </xf>
    <xf numFmtId="3" fontId="14" fillId="0" borderId="140" xfId="9" applyNumberFormat="1" applyFont="1" applyFill="1" applyBorder="1" applyAlignment="1">
      <alignment horizontal="right" vertical="center"/>
    </xf>
    <xf numFmtId="0" fontId="13" fillId="0" borderId="17" xfId="14" applyFont="1" applyFill="1" applyBorder="1" applyAlignment="1">
      <alignment vertical="center" wrapText="1"/>
    </xf>
    <xf numFmtId="3" fontId="13" fillId="0" borderId="8" xfId="9" applyNumberFormat="1" applyFont="1" applyFill="1" applyBorder="1" applyAlignment="1">
      <alignment horizontal="right" vertical="center" wrapText="1"/>
    </xf>
    <xf numFmtId="3" fontId="13" fillId="0" borderId="1" xfId="9" applyNumberFormat="1" applyFont="1" applyFill="1" applyBorder="1" applyAlignment="1">
      <alignment horizontal="right" vertical="center" wrapText="1"/>
    </xf>
    <xf numFmtId="3" fontId="13" fillId="0" borderId="8" xfId="9" applyNumberFormat="1" applyFont="1" applyFill="1" applyBorder="1" applyAlignment="1">
      <alignment horizontal="right" vertical="center"/>
    </xf>
    <xf numFmtId="3" fontId="28" fillId="0" borderId="162" xfId="0" applyNumberFormat="1" applyFont="1" applyBorder="1" applyAlignment="1">
      <alignment horizontal="right" vertical="center" wrapText="1"/>
    </xf>
    <xf numFmtId="3" fontId="24" fillId="0" borderId="162" xfId="0" applyNumberFormat="1" applyFont="1" applyBorder="1" applyAlignment="1">
      <alignment vertical="center"/>
    </xf>
    <xf numFmtId="3" fontId="29" fillId="0" borderId="162" xfId="0" applyNumberFormat="1" applyFont="1" applyBorder="1" applyAlignment="1">
      <alignment horizontal="right" vertical="center" wrapText="1"/>
    </xf>
    <xf numFmtId="3" fontId="7" fillId="0" borderId="162" xfId="0" applyNumberFormat="1" applyFont="1" applyBorder="1" applyAlignment="1">
      <alignment vertical="center"/>
    </xf>
    <xf numFmtId="3" fontId="28" fillId="0" borderId="162" xfId="0" applyNumberFormat="1" applyFont="1" applyBorder="1" applyAlignment="1">
      <alignment vertical="center"/>
    </xf>
    <xf numFmtId="3" fontId="28" fillId="0" borderId="163" xfId="0" applyNumberFormat="1" applyFont="1" applyBorder="1" applyAlignment="1">
      <alignment horizontal="right" vertical="center" wrapText="1"/>
    </xf>
    <xf numFmtId="3" fontId="24" fillId="0" borderId="140" xfId="0" applyNumberFormat="1" applyFont="1" applyBorder="1" applyAlignment="1">
      <alignment vertical="center"/>
    </xf>
    <xf numFmtId="3" fontId="28" fillId="0" borderId="140" xfId="0" applyNumberFormat="1" applyFont="1" applyBorder="1" applyAlignment="1">
      <alignment horizontal="right" vertical="center" wrapText="1"/>
    </xf>
    <xf numFmtId="3" fontId="29" fillId="0" borderId="163" xfId="0" applyNumberFormat="1" applyFont="1" applyBorder="1" applyAlignment="1">
      <alignment horizontal="right" vertical="center" wrapText="1"/>
    </xf>
    <xf numFmtId="3" fontId="7" fillId="0" borderId="140" xfId="0" applyNumberFormat="1" applyFont="1" applyBorder="1" applyAlignment="1">
      <alignment vertical="center"/>
    </xf>
    <xf numFmtId="3" fontId="28" fillId="0" borderId="163" xfId="0" applyNumberFormat="1" applyFont="1" applyBorder="1" applyAlignment="1">
      <alignment vertical="center"/>
    </xf>
    <xf numFmtId="3" fontId="28" fillId="0" borderId="140" xfId="0" applyNumberFormat="1" applyFont="1" applyBorder="1" applyAlignment="1">
      <alignment vertical="center"/>
    </xf>
    <xf numFmtId="3" fontId="28" fillId="0" borderId="8" xfId="0" applyNumberFormat="1" applyFont="1" applyBorder="1" applyAlignment="1">
      <alignment vertical="center"/>
    </xf>
    <xf numFmtId="3" fontId="28" fillId="0" borderId="110" xfId="0" applyNumberFormat="1" applyFont="1" applyBorder="1" applyAlignment="1">
      <alignment vertical="center"/>
    </xf>
    <xf numFmtId="3" fontId="28" fillId="0" borderId="154" xfId="0" applyNumberFormat="1" applyFont="1" applyBorder="1" applyAlignment="1">
      <alignment horizontal="right" vertical="center" wrapText="1"/>
    </xf>
    <xf numFmtId="3" fontId="28" fillId="0" borderId="111" xfId="0" applyNumberFormat="1" applyFont="1" applyBorder="1" applyAlignment="1">
      <alignment horizontal="right" vertical="center" wrapText="1"/>
    </xf>
    <xf numFmtId="3" fontId="24" fillId="0" borderId="111" xfId="0" applyNumberFormat="1" applyFont="1" applyBorder="1" applyAlignment="1">
      <alignment vertical="center"/>
    </xf>
    <xf numFmtId="3" fontId="24" fillId="0" borderId="155" xfId="0" applyNumberFormat="1" applyFont="1" applyBorder="1" applyAlignment="1">
      <alignment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3" fillId="0" borderId="81" xfId="14" applyFont="1" applyFill="1" applyBorder="1" applyAlignment="1">
      <alignment vertical="center" wrapText="1"/>
    </xf>
    <xf numFmtId="0" fontId="13" fillId="0" borderId="101" xfId="0" applyFont="1" applyBorder="1" applyAlignment="1">
      <alignment horizontal="justify" vertical="center" wrapText="1"/>
    </xf>
    <xf numFmtId="0" fontId="13" fillId="0" borderId="166" xfId="0" applyFont="1" applyBorder="1" applyAlignment="1">
      <alignment horizontal="justify" vertical="center" wrapText="1"/>
    </xf>
    <xf numFmtId="0" fontId="17" fillId="0" borderId="166" xfId="0" applyFont="1" applyBorder="1" applyAlignment="1">
      <alignment horizontal="justify" vertical="center" wrapText="1"/>
    </xf>
    <xf numFmtId="0" fontId="13" fillId="0" borderId="166" xfId="0" applyFont="1" applyBorder="1" applyAlignment="1">
      <alignment horizontal="left" vertical="center" wrapText="1"/>
    </xf>
    <xf numFmtId="0" fontId="14" fillId="0" borderId="166" xfId="0" applyFont="1" applyBorder="1" applyAlignment="1">
      <alignment horizontal="justify" vertical="center" wrapText="1"/>
    </xf>
    <xf numFmtId="49" fontId="13" fillId="0" borderId="166" xfId="0" applyNumberFormat="1" applyFont="1" applyBorder="1" applyAlignment="1">
      <alignment horizontal="justify" vertical="center" wrapText="1"/>
    </xf>
    <xf numFmtId="0" fontId="13" fillId="0" borderId="164" xfId="0" applyFont="1" applyBorder="1" applyAlignment="1">
      <alignment horizontal="justify" vertical="center" wrapText="1"/>
    </xf>
    <xf numFmtId="2" fontId="13" fillId="0" borderId="60" xfId="0" applyNumberFormat="1" applyFont="1" applyBorder="1" applyAlignment="1">
      <alignment horizontal="center" vertical="center" wrapText="1"/>
    </xf>
    <xf numFmtId="2" fontId="13" fillId="0" borderId="165" xfId="0" applyNumberFormat="1" applyFont="1" applyBorder="1" applyAlignment="1">
      <alignment horizontal="center" vertical="center" wrapText="1"/>
    </xf>
    <xf numFmtId="2" fontId="11" fillId="0" borderId="165" xfId="0" applyNumberFormat="1" applyFont="1" applyBorder="1" applyAlignment="1">
      <alignment horizontal="center" vertical="center" wrapText="1"/>
    </xf>
    <xf numFmtId="2" fontId="14" fillId="0" borderId="165" xfId="0" applyNumberFormat="1" applyFont="1" applyBorder="1" applyAlignment="1">
      <alignment horizontal="center" vertical="center" wrapText="1"/>
    </xf>
    <xf numFmtId="2" fontId="13" fillId="0" borderId="165" xfId="0" applyNumberFormat="1" applyFont="1" applyBorder="1" applyAlignment="1">
      <alignment horizontal="center" vertical="center"/>
    </xf>
    <xf numFmtId="2" fontId="13" fillId="0" borderId="17" xfId="0" applyNumberFormat="1" applyFont="1" applyBorder="1" applyAlignment="1">
      <alignment horizontal="center" vertical="center" wrapText="1"/>
    </xf>
    <xf numFmtId="0" fontId="44" fillId="2" borderId="29" xfId="6" applyFont="1" applyFill="1" applyBorder="1" applyAlignment="1">
      <alignment horizontal="center" vertical="center"/>
    </xf>
    <xf numFmtId="3" fontId="14" fillId="0" borderId="1" xfId="14" applyNumberFormat="1" applyFont="1" applyBorder="1" applyAlignment="1">
      <alignment horizontal="center" vertical="center" wrapText="1"/>
    </xf>
    <xf numFmtId="3" fontId="14" fillId="0" borderId="110" xfId="14" applyNumberFormat="1" applyFont="1" applyBorder="1" applyAlignment="1">
      <alignment horizontal="center" vertical="center" wrapText="1"/>
    </xf>
    <xf numFmtId="3" fontId="4" fillId="0" borderId="130" xfId="0" applyNumberFormat="1" applyFont="1" applyFill="1" applyBorder="1" applyAlignment="1">
      <alignment horizontal="center" vertical="center" wrapText="1"/>
    </xf>
    <xf numFmtId="0" fontId="2" fillId="0" borderId="129" xfId="1" applyFont="1" applyFill="1" applyBorder="1" applyAlignment="1">
      <alignment horizontal="center" vertical="center"/>
    </xf>
    <xf numFmtId="0" fontId="2" fillId="0" borderId="130" xfId="1" applyFont="1" applyFill="1" applyBorder="1" applyAlignment="1">
      <alignment horizontal="center" vertical="center"/>
    </xf>
    <xf numFmtId="0" fontId="45" fillId="0" borderId="150" xfId="5" applyFont="1" applyBorder="1" applyAlignment="1">
      <alignment horizontal="center" vertical="center" wrapText="1"/>
    </xf>
    <xf numFmtId="0" fontId="45" fillId="0" borderId="167" xfId="5" applyFont="1" applyBorder="1" applyAlignment="1">
      <alignment horizontal="center" vertical="center" wrapText="1"/>
    </xf>
    <xf numFmtId="0" fontId="45" fillId="0" borderId="143" xfId="5" applyFont="1" applyBorder="1" applyAlignment="1">
      <alignment horizontal="center" vertical="center" wrapText="1"/>
    </xf>
    <xf numFmtId="0" fontId="45" fillId="0" borderId="150" xfId="5" applyFont="1" applyBorder="1" applyAlignment="1">
      <alignment horizontal="center" vertical="center"/>
    </xf>
    <xf numFmtId="0" fontId="45" fillId="0" borderId="167" xfId="5" applyFont="1" applyBorder="1" applyAlignment="1">
      <alignment horizontal="center" vertical="center"/>
    </xf>
    <xf numFmtId="3" fontId="45" fillId="0" borderId="143" xfId="5" applyNumberFormat="1" applyFont="1" applyBorder="1" applyAlignment="1">
      <alignment horizontal="center" vertical="center" wrapText="1"/>
    </xf>
    <xf numFmtId="3" fontId="45" fillId="0" borderId="150" xfId="5" applyNumberFormat="1" applyFont="1" applyBorder="1" applyAlignment="1">
      <alignment horizontal="center" vertical="center" wrapText="1"/>
    </xf>
    <xf numFmtId="0" fontId="46" fillId="0" borderId="111" xfId="5" applyFont="1" applyFill="1" applyBorder="1" applyAlignment="1">
      <alignment horizontal="left" vertical="center"/>
    </xf>
    <xf numFmtId="0" fontId="44" fillId="0" borderId="155" xfId="6" applyFont="1" applyBorder="1" applyAlignment="1">
      <alignment vertical="center"/>
    </xf>
    <xf numFmtId="0" fontId="46" fillId="0" borderId="162" xfId="5" applyFont="1" applyFill="1" applyBorder="1" applyAlignment="1">
      <alignment horizontal="left" vertical="center"/>
    </xf>
    <xf numFmtId="3" fontId="43" fillId="0" borderId="162" xfId="6" applyNumberFormat="1" applyFont="1" applyBorder="1" applyAlignment="1">
      <alignment vertical="center"/>
    </xf>
    <xf numFmtId="3" fontId="44" fillId="0" borderId="162" xfId="6" applyNumberFormat="1" applyFont="1" applyBorder="1" applyAlignment="1">
      <alignment horizontal="right" vertical="center"/>
    </xf>
    <xf numFmtId="0" fontId="44" fillId="0" borderId="140" xfId="6" applyFont="1" applyBorder="1" applyAlignment="1">
      <alignment vertical="center"/>
    </xf>
    <xf numFmtId="3" fontId="43" fillId="0" borderId="162" xfId="6" applyNumberFormat="1" applyFont="1" applyBorder="1" applyAlignment="1">
      <alignment horizontal="right" vertical="center"/>
    </xf>
    <xf numFmtId="3" fontId="44" fillId="0" borderId="162" xfId="6" applyNumberFormat="1" applyFont="1" applyBorder="1" applyAlignment="1">
      <alignment vertical="center"/>
    </xf>
    <xf numFmtId="0" fontId="43" fillId="2" borderId="150" xfId="6" applyFont="1" applyFill="1" applyBorder="1" applyAlignment="1">
      <alignment horizontal="center" vertical="center"/>
    </xf>
    <xf numFmtId="0" fontId="44" fillId="0" borderId="162" xfId="6" applyFont="1" applyFill="1" applyBorder="1" applyAlignment="1">
      <alignment horizontal="left" vertical="center"/>
    </xf>
    <xf numFmtId="3" fontId="43" fillId="0" borderId="140" xfId="6" applyNumberFormat="1" applyFont="1" applyBorder="1" applyAlignment="1">
      <alignment vertical="center"/>
    </xf>
    <xf numFmtId="0" fontId="44" fillId="2" borderId="150" xfId="6" applyFont="1" applyFill="1" applyBorder="1" applyAlignment="1">
      <alignment horizontal="center" vertical="center"/>
    </xf>
    <xf numFmtId="3" fontId="43" fillId="0" borderId="140" xfId="6" applyNumberFormat="1" applyFont="1" applyBorder="1" applyAlignment="1">
      <alignment horizontal="right" vertical="center"/>
    </xf>
    <xf numFmtId="0" fontId="46" fillId="0" borderId="58" xfId="5" applyFont="1" applyFill="1" applyBorder="1" applyAlignment="1">
      <alignment horizontal="left" vertical="center"/>
    </xf>
    <xf numFmtId="0" fontId="46" fillId="0" borderId="43" xfId="5" applyFont="1" applyFill="1" applyBorder="1" applyAlignment="1">
      <alignment horizontal="left" vertical="center"/>
    </xf>
    <xf numFmtId="0" fontId="44" fillId="0" borderId="58" xfId="6" applyFont="1" applyFill="1" applyBorder="1" applyAlignment="1">
      <alignment horizontal="left" vertical="center"/>
    </xf>
    <xf numFmtId="0" fontId="46" fillId="0" borderId="110" xfId="5" applyFont="1" applyFill="1" applyBorder="1" applyAlignment="1">
      <alignment horizontal="left" vertical="center"/>
    </xf>
    <xf numFmtId="0" fontId="46" fillId="0" borderId="167" xfId="5" applyFont="1" applyFill="1" applyBorder="1" applyAlignment="1">
      <alignment horizontal="left" vertical="center"/>
    </xf>
    <xf numFmtId="3" fontId="43" fillId="0" borderId="167" xfId="6" applyNumberFormat="1" applyFont="1" applyBorder="1" applyAlignment="1">
      <alignment vertical="center"/>
    </xf>
    <xf numFmtId="3" fontId="43" fillId="0" borderId="143" xfId="6" applyNumberFormat="1" applyFont="1" applyBorder="1" applyAlignment="1">
      <alignment vertical="center"/>
    </xf>
    <xf numFmtId="0" fontId="0" fillId="0" borderId="0" xfId="0" applyFill="1"/>
    <xf numFmtId="0" fontId="44" fillId="2" borderId="15" xfId="6" applyFont="1" applyFill="1" applyBorder="1" applyAlignment="1">
      <alignment horizontal="center" vertical="center"/>
    </xf>
    <xf numFmtId="0" fontId="46" fillId="0" borderId="42" xfId="5" applyFont="1" applyFill="1" applyBorder="1" applyAlignment="1">
      <alignment horizontal="left" vertical="center"/>
    </xf>
    <xf numFmtId="3" fontId="43" fillId="0" borderId="42" xfId="6" applyNumberFormat="1" applyFont="1" applyBorder="1" applyAlignment="1">
      <alignment horizontal="right" vertical="center"/>
    </xf>
    <xf numFmtId="3" fontId="43" fillId="0" borderId="16" xfId="6" applyNumberFormat="1" applyFont="1" applyBorder="1" applyAlignment="1">
      <alignment horizontal="right" vertical="center"/>
    </xf>
    <xf numFmtId="3" fontId="43" fillId="0" borderId="110" xfId="6" applyNumberFormat="1" applyFont="1" applyBorder="1" applyAlignment="1">
      <alignment horizontal="right" vertical="center"/>
    </xf>
    <xf numFmtId="3" fontId="44" fillId="0" borderId="110" xfId="6" applyNumberFormat="1" applyFont="1" applyBorder="1" applyAlignment="1">
      <alignment horizontal="right" vertical="center"/>
    </xf>
    <xf numFmtId="0" fontId="44" fillId="0" borderId="1" xfId="6" applyFont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2" fontId="13" fillId="0" borderId="60" xfId="0" applyNumberFormat="1" applyFont="1" applyFill="1" applyBorder="1" applyAlignment="1">
      <alignment horizontal="center" vertical="center" wrapText="1"/>
    </xf>
    <xf numFmtId="2" fontId="13" fillId="0" borderId="165" xfId="0" applyNumberFormat="1" applyFont="1" applyFill="1" applyBorder="1" applyAlignment="1">
      <alignment horizontal="center" vertical="center" wrapText="1"/>
    </xf>
    <xf numFmtId="2" fontId="11" fillId="0" borderId="165" xfId="0" applyNumberFormat="1" applyFont="1" applyFill="1" applyBorder="1" applyAlignment="1">
      <alignment horizontal="center" vertical="center" wrapText="1"/>
    </xf>
    <xf numFmtId="2" fontId="14" fillId="0" borderId="165" xfId="0" applyNumberFormat="1" applyFont="1" applyFill="1" applyBorder="1" applyAlignment="1">
      <alignment horizontal="center" vertical="center" wrapText="1"/>
    </xf>
    <xf numFmtId="2" fontId="13" fillId="0" borderId="165" xfId="0" applyNumberFormat="1" applyFont="1" applyFill="1" applyBorder="1" applyAlignment="1">
      <alignment horizontal="center" vertical="center"/>
    </xf>
    <xf numFmtId="2" fontId="13" fillId="0" borderId="17" xfId="0" applyNumberFormat="1" applyFont="1" applyFill="1" applyBorder="1" applyAlignment="1">
      <alignment horizontal="center" vertical="center" wrapText="1"/>
    </xf>
    <xf numFmtId="167" fontId="13" fillId="0" borderId="0" xfId="0" applyNumberFormat="1" applyFont="1" applyFill="1" applyAlignment="1">
      <alignment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54" xfId="0" applyFont="1" applyFill="1" applyBorder="1" applyAlignment="1">
      <alignment horizontal="center" vertical="center" wrapText="1"/>
    </xf>
    <xf numFmtId="2" fontId="14" fillId="0" borderId="9" xfId="0" applyNumberFormat="1" applyFont="1" applyFill="1" applyBorder="1" applyAlignment="1">
      <alignment horizontal="center" vertical="center"/>
    </xf>
    <xf numFmtId="2" fontId="14" fillId="0" borderId="98" xfId="0" applyNumberFormat="1" applyFont="1" applyFill="1" applyBorder="1" applyAlignment="1">
      <alignment horizontal="center" vertical="center" wrapText="1"/>
    </xf>
    <xf numFmtId="2" fontId="14" fillId="0" borderId="134" xfId="0" applyNumberFormat="1" applyFont="1" applyBorder="1" applyAlignment="1">
      <alignment horizontal="center" vertical="center" wrapText="1"/>
    </xf>
    <xf numFmtId="3" fontId="13" fillId="0" borderId="145" xfId="0" applyNumberFormat="1" applyFont="1" applyBorder="1" applyAlignment="1">
      <alignment horizontal="right" vertical="center" wrapText="1"/>
    </xf>
    <xf numFmtId="3" fontId="14" fillId="0" borderId="169" xfId="0" applyNumberFormat="1" applyFont="1" applyFill="1" applyBorder="1" applyAlignment="1">
      <alignment horizontal="right" vertical="center" wrapText="1"/>
    </xf>
    <xf numFmtId="3" fontId="13" fillId="0" borderId="169" xfId="0" applyNumberFormat="1" applyFont="1" applyFill="1" applyBorder="1" applyAlignment="1">
      <alignment horizontal="right" vertical="center" wrapText="1"/>
    </xf>
    <xf numFmtId="3" fontId="14" fillId="0" borderId="169" xfId="0" applyNumberFormat="1" applyFont="1" applyBorder="1" applyAlignment="1">
      <alignment horizontal="right" vertical="center" wrapText="1"/>
    </xf>
    <xf numFmtId="3" fontId="13" fillId="0" borderId="169" xfId="0" applyNumberFormat="1" applyFont="1" applyBorder="1" applyAlignment="1">
      <alignment horizontal="right" vertical="center" wrapText="1"/>
    </xf>
    <xf numFmtId="3" fontId="13" fillId="0" borderId="169" xfId="0" applyNumberFormat="1" applyFont="1" applyBorder="1" applyAlignment="1">
      <alignment vertical="center"/>
    </xf>
    <xf numFmtId="3" fontId="11" fillId="0" borderId="169" xfId="0" applyNumberFormat="1" applyFont="1" applyBorder="1" applyAlignment="1">
      <alignment horizontal="right" vertical="center" wrapText="1"/>
    </xf>
    <xf numFmtId="3" fontId="11" fillId="0" borderId="169" xfId="0" applyNumberFormat="1" applyFont="1" applyBorder="1" applyAlignment="1">
      <alignment vertical="center"/>
    </xf>
    <xf numFmtId="3" fontId="14" fillId="0" borderId="169" xfId="0" applyNumberFormat="1" applyFont="1" applyBorder="1" applyAlignment="1">
      <alignment vertical="center"/>
    </xf>
    <xf numFmtId="3" fontId="13" fillId="0" borderId="145" xfId="0" applyNumberFormat="1" applyFont="1" applyBorder="1" applyAlignment="1">
      <alignment vertical="center"/>
    </xf>
    <xf numFmtId="3" fontId="13" fillId="0" borderId="129" xfId="0" applyNumberFormat="1" applyFont="1" applyBorder="1" applyAlignment="1">
      <alignment vertical="center"/>
    </xf>
    <xf numFmtId="3" fontId="14" fillId="0" borderId="104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4" fillId="0" borderId="163" xfId="0" applyNumberFormat="1" applyFont="1" applyFill="1" applyBorder="1" applyAlignment="1">
      <alignment horizontal="right" vertical="center" wrapText="1"/>
    </xf>
    <xf numFmtId="3" fontId="13" fillId="0" borderId="163" xfId="0" applyNumberFormat="1" applyFont="1" applyFill="1" applyBorder="1" applyAlignment="1">
      <alignment horizontal="right" vertical="center" wrapText="1"/>
    </xf>
    <xf numFmtId="3" fontId="14" fillId="0" borderId="163" xfId="0" applyNumberFormat="1" applyFont="1" applyBorder="1" applyAlignment="1">
      <alignment horizontal="right" vertical="center" wrapText="1"/>
    </xf>
    <xf numFmtId="3" fontId="13" fillId="0" borderId="163" xfId="0" applyNumberFormat="1" applyFont="1" applyBorder="1" applyAlignment="1">
      <alignment vertical="center"/>
    </xf>
    <xf numFmtId="3" fontId="11" fillId="0" borderId="163" xfId="0" applyNumberFormat="1" applyFont="1" applyBorder="1" applyAlignment="1">
      <alignment horizontal="right" vertical="center" wrapText="1"/>
    </xf>
    <xf numFmtId="3" fontId="11" fillId="0" borderId="163" xfId="0" applyNumberFormat="1" applyFont="1" applyBorder="1" applyAlignment="1">
      <alignment vertical="center"/>
    </xf>
    <xf numFmtId="3" fontId="14" fillId="0" borderId="163" xfId="0" applyNumberFormat="1" applyFont="1" applyBorder="1" applyAlignment="1">
      <alignment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50" xfId="0" applyFont="1" applyFill="1" applyBorder="1" applyAlignment="1">
      <alignment horizontal="center" vertical="center" wrapText="1"/>
    </xf>
    <xf numFmtId="3" fontId="14" fillId="0" borderId="61" xfId="0" applyNumberFormat="1" applyFont="1" applyFill="1" applyBorder="1" applyAlignment="1">
      <alignment horizontal="right" vertical="center" wrapText="1"/>
    </xf>
    <xf numFmtId="3" fontId="14" fillId="0" borderId="57" xfId="0" applyNumberFormat="1" applyFont="1" applyFill="1" applyBorder="1" applyAlignment="1">
      <alignment horizontal="right" vertical="center" wrapText="1"/>
    </xf>
    <xf numFmtId="3" fontId="14" fillId="0" borderId="44" xfId="0" applyNumberFormat="1" applyFont="1" applyFill="1" applyBorder="1" applyAlignment="1">
      <alignment horizontal="right" vertical="center" wrapText="1"/>
    </xf>
    <xf numFmtId="3" fontId="14" fillId="0" borderId="59" xfId="0" applyNumberFormat="1" applyFont="1" applyFill="1" applyBorder="1" applyAlignment="1">
      <alignment horizontal="right" vertical="center" wrapText="1"/>
    </xf>
    <xf numFmtId="3" fontId="14" fillId="0" borderId="123" xfId="0" applyNumberFormat="1" applyFont="1" applyFill="1" applyBorder="1" applyAlignment="1">
      <alignment horizontal="right" vertical="center" wrapText="1"/>
    </xf>
    <xf numFmtId="3" fontId="14" fillId="0" borderId="112" xfId="0" applyNumberFormat="1" applyFont="1" applyFill="1" applyBorder="1" applyAlignment="1">
      <alignment horizontal="right" vertical="center" wrapText="1"/>
    </xf>
    <xf numFmtId="3" fontId="13" fillId="0" borderId="145" xfId="0" applyNumberFormat="1" applyFont="1" applyFill="1" applyBorder="1" applyAlignment="1">
      <alignment horizontal="right" vertical="center" wrapText="1"/>
    </xf>
    <xf numFmtId="3" fontId="4" fillId="0" borderId="132" xfId="0" applyNumberFormat="1" applyFont="1" applyBorder="1" applyAlignment="1">
      <alignment vertical="center" wrapText="1"/>
    </xf>
    <xf numFmtId="3" fontId="4" fillId="0" borderId="144" xfId="0" applyNumberFormat="1" applyFont="1" applyBorder="1" applyAlignment="1">
      <alignment vertical="center" wrapText="1"/>
    </xf>
    <xf numFmtId="37" fontId="4" fillId="0" borderId="144" xfId="0" applyNumberFormat="1" applyFont="1" applyBorder="1" applyAlignment="1">
      <alignment vertical="center" wrapText="1"/>
    </xf>
    <xf numFmtId="37" fontId="5" fillId="0" borderId="144" xfId="0" applyNumberFormat="1" applyFont="1" applyBorder="1" applyAlignment="1">
      <alignment vertical="center" wrapText="1"/>
    </xf>
    <xf numFmtId="3" fontId="5" fillId="0" borderId="144" xfId="0" applyNumberFormat="1" applyFont="1" applyBorder="1" applyAlignment="1">
      <alignment vertical="center" wrapText="1"/>
    </xf>
    <xf numFmtId="3" fontId="6" fillId="0" borderId="144" xfId="0" applyNumberFormat="1" applyFont="1" applyBorder="1" applyAlignment="1">
      <alignment vertical="center" wrapText="1"/>
    </xf>
    <xf numFmtId="3" fontId="6" fillId="0" borderId="87" xfId="0" applyNumberFormat="1" applyFont="1" applyBorder="1" applyAlignment="1">
      <alignment vertical="center" wrapText="1"/>
    </xf>
    <xf numFmtId="3" fontId="4" fillId="0" borderId="12" xfId="0" applyNumberFormat="1" applyFont="1" applyBorder="1" applyAlignment="1">
      <alignment vertical="center" wrapText="1"/>
    </xf>
    <xf numFmtId="3" fontId="4" fillId="0" borderId="104" xfId="0" applyNumberFormat="1" applyFont="1" applyBorder="1" applyAlignment="1">
      <alignment vertical="center" wrapText="1"/>
    </xf>
    <xf numFmtId="3" fontId="4" fillId="0" borderId="169" xfId="0" applyNumberFormat="1" applyFont="1" applyBorder="1" applyAlignment="1">
      <alignment vertical="center" wrapText="1"/>
    </xf>
    <xf numFmtId="3" fontId="4" fillId="0" borderId="12" xfId="0" applyNumberFormat="1" applyFont="1" applyBorder="1" applyAlignment="1">
      <alignment vertical="center"/>
    </xf>
    <xf numFmtId="3" fontId="4" fillId="0" borderId="114" xfId="0" applyNumberFormat="1" applyFont="1" applyBorder="1" applyAlignment="1">
      <alignment vertical="center"/>
    </xf>
    <xf numFmtId="3" fontId="4" fillId="0" borderId="163" xfId="0" applyNumberFormat="1" applyFont="1" applyBorder="1" applyAlignment="1">
      <alignment vertical="center" wrapText="1"/>
    </xf>
    <xf numFmtId="37" fontId="4" fillId="0" borderId="163" xfId="0" applyNumberFormat="1" applyFont="1" applyBorder="1" applyAlignment="1">
      <alignment vertical="center" wrapText="1"/>
    </xf>
    <xf numFmtId="37" fontId="5" fillId="0" borderId="163" xfId="0" applyNumberFormat="1" applyFont="1" applyBorder="1" applyAlignment="1">
      <alignment vertical="center" wrapText="1"/>
    </xf>
    <xf numFmtId="3" fontId="5" fillId="0" borderId="163" xfId="0" applyNumberFormat="1" applyFont="1" applyBorder="1" applyAlignment="1">
      <alignment vertical="center" wrapText="1"/>
    </xf>
    <xf numFmtId="3" fontId="6" fillId="0" borderId="163" xfId="0" applyNumberFormat="1" applyFont="1" applyBorder="1" applyAlignment="1">
      <alignment vertical="center" wrapText="1"/>
    </xf>
    <xf numFmtId="3" fontId="6" fillId="0" borderId="150" xfId="0" applyNumberFormat="1" applyFont="1" applyBorder="1" applyAlignment="1">
      <alignment vertical="center" wrapText="1"/>
    </xf>
    <xf numFmtId="3" fontId="4" fillId="0" borderId="154" xfId="0" applyNumberFormat="1" applyFont="1" applyBorder="1" applyAlignment="1">
      <alignment vertical="center" wrapText="1"/>
    </xf>
    <xf numFmtId="3" fontId="4" fillId="0" borderId="150" xfId="0" applyNumberFormat="1" applyFont="1" applyBorder="1" applyAlignment="1">
      <alignment vertical="center"/>
    </xf>
    <xf numFmtId="3" fontId="4" fillId="0" borderId="114" xfId="0" applyNumberFormat="1" applyFont="1" applyBorder="1" applyAlignment="1">
      <alignment vertical="center" wrapText="1"/>
    </xf>
    <xf numFmtId="0" fontId="4" fillId="0" borderId="129" xfId="0" applyFont="1" applyBorder="1" applyAlignment="1">
      <alignment vertical="center"/>
    </xf>
    <xf numFmtId="0" fontId="4" fillId="0" borderId="150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21" fillId="0" borderId="66" xfId="20" applyFont="1" applyFill="1" applyBorder="1" applyAlignment="1" applyProtection="1">
      <alignment horizontal="center" vertical="center" wrapText="1"/>
    </xf>
    <xf numFmtId="3" fontId="21" fillId="0" borderId="66" xfId="2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/>
    <xf numFmtId="0" fontId="29" fillId="0" borderId="0" xfId="0" applyFont="1" applyFill="1" applyAlignment="1">
      <alignment vertical="center"/>
    </xf>
    <xf numFmtId="0" fontId="28" fillId="0" borderId="134" xfId="0" applyFont="1" applyFill="1" applyBorder="1" applyAlignment="1">
      <alignment horizontal="center" vertical="center" wrapText="1"/>
    </xf>
    <xf numFmtId="0" fontId="28" fillId="0" borderId="36" xfId="0" applyFont="1" applyFill="1" applyBorder="1" applyAlignment="1">
      <alignment vertical="center" wrapText="1"/>
    </xf>
    <xf numFmtId="0" fontId="28" fillId="0" borderId="165" xfId="0" applyFont="1" applyFill="1" applyBorder="1" applyAlignment="1">
      <alignment horizontal="left" vertical="center" wrapText="1" indent="2"/>
    </xf>
    <xf numFmtId="0" fontId="28" fillId="0" borderId="165" xfId="0" applyFont="1" applyFill="1" applyBorder="1" applyAlignment="1">
      <alignment vertical="center" wrapText="1"/>
    </xf>
    <xf numFmtId="0" fontId="29" fillId="0" borderId="165" xfId="0" applyFont="1" applyFill="1" applyBorder="1" applyAlignment="1">
      <alignment vertical="center" wrapText="1"/>
    </xf>
    <xf numFmtId="0" fontId="29" fillId="0" borderId="165" xfId="0" applyFont="1" applyFill="1" applyBorder="1" applyAlignment="1">
      <alignment horizontal="left" vertical="center" wrapText="1" indent="2"/>
    </xf>
    <xf numFmtId="0" fontId="28" fillId="0" borderId="17" xfId="0" applyFont="1" applyFill="1" applyBorder="1" applyAlignment="1">
      <alignment horizontal="left" vertical="center" wrapText="1" indent="2"/>
    </xf>
    <xf numFmtId="0" fontId="24" fillId="0" borderId="11" xfId="0" applyFont="1" applyFill="1" applyBorder="1" applyAlignment="1">
      <alignment horizontal="center"/>
    </xf>
    <xf numFmtId="3" fontId="14" fillId="0" borderId="8" xfId="14" applyNumberFormat="1" applyFont="1" applyFill="1" applyBorder="1" applyAlignment="1">
      <alignment horizontal="center" vertical="center" wrapText="1"/>
    </xf>
    <xf numFmtId="3" fontId="14" fillId="0" borderId="1" xfId="14" applyNumberFormat="1" applyFont="1" applyFill="1" applyBorder="1" applyAlignment="1">
      <alignment horizontal="center" vertical="center" wrapText="1"/>
    </xf>
    <xf numFmtId="3" fontId="13" fillId="0" borderId="61" xfId="14" applyNumberFormat="1" applyFont="1" applyBorder="1" applyAlignment="1">
      <alignment horizontal="right" vertical="center"/>
    </xf>
    <xf numFmtId="3" fontId="13" fillId="0" borderId="169" xfId="14" applyNumberFormat="1" applyFont="1" applyBorder="1" applyAlignment="1">
      <alignment horizontal="right" vertical="center"/>
    </xf>
    <xf numFmtId="3" fontId="13" fillId="0" borderId="169" xfId="14" applyNumberFormat="1" applyFont="1" applyFill="1" applyBorder="1" applyAlignment="1">
      <alignment horizontal="right" vertical="center"/>
    </xf>
    <xf numFmtId="3" fontId="13" fillId="0" borderId="130" xfId="14" applyNumberFormat="1" applyFont="1" applyFill="1" applyBorder="1" applyAlignment="1">
      <alignment horizontal="right" vertical="center"/>
    </xf>
    <xf numFmtId="3" fontId="13" fillId="0" borderId="163" xfId="14" applyNumberFormat="1" applyFont="1" applyBorder="1" applyAlignment="1">
      <alignment horizontal="right" vertical="center"/>
    </xf>
    <xf numFmtId="3" fontId="13" fillId="0" borderId="163" xfId="14" applyNumberFormat="1" applyFont="1" applyFill="1" applyBorder="1" applyAlignment="1">
      <alignment horizontal="right" vertical="center"/>
    </xf>
    <xf numFmtId="3" fontId="13" fillId="0" borderId="8" xfId="14" applyNumberFormat="1" applyFont="1" applyFill="1" applyBorder="1" applyAlignment="1">
      <alignment horizontal="right" vertical="center"/>
    </xf>
    <xf numFmtId="3" fontId="14" fillId="0" borderId="87" xfId="14" applyNumberFormat="1" applyFont="1" applyFill="1" applyBorder="1" applyAlignment="1">
      <alignment horizontal="center" vertical="center" wrapText="1"/>
    </xf>
    <xf numFmtId="49" fontId="13" fillId="0" borderId="0" xfId="14" applyNumberFormat="1" applyFont="1" applyFill="1" applyAlignment="1">
      <alignment horizontal="center" vertical="center" wrapText="1"/>
    </xf>
    <xf numFmtId="0" fontId="13" fillId="0" borderId="0" xfId="14" applyFont="1" applyFill="1" applyAlignment="1">
      <alignment vertical="center"/>
    </xf>
    <xf numFmtId="3" fontId="20" fillId="0" borderId="171" xfId="4" applyNumberFormat="1" applyFont="1" applyBorder="1" applyAlignment="1">
      <alignment horizontal="center" vertical="center" wrapText="1"/>
    </xf>
    <xf numFmtId="49" fontId="20" fillId="0" borderId="97" xfId="4" applyNumberFormat="1" applyFont="1" applyBorder="1" applyAlignment="1">
      <alignment horizontal="left" vertical="center"/>
    </xf>
    <xf numFmtId="3" fontId="20" fillId="0" borderId="70" xfId="4" applyNumberFormat="1" applyFont="1" applyBorder="1" applyAlignment="1">
      <alignment horizontal="left" vertical="center"/>
    </xf>
    <xf numFmtId="3" fontId="20" fillId="0" borderId="176" xfId="4" applyNumberFormat="1" applyFont="1" applyBorder="1" applyAlignment="1">
      <alignment horizontal="left" vertical="center"/>
    </xf>
    <xf numFmtId="49" fontId="21" fillId="0" borderId="188" xfId="4" applyNumberFormat="1" applyFont="1" applyBorder="1" applyAlignment="1">
      <alignment horizontal="left" vertical="center"/>
    </xf>
    <xf numFmtId="3" fontId="21" fillId="0" borderId="36" xfId="4" applyNumberFormat="1" applyFont="1" applyBorder="1" applyAlignment="1">
      <alignment horizontal="right" vertical="center"/>
    </xf>
    <xf numFmtId="3" fontId="21" fillId="0" borderId="132" xfId="4" applyNumberFormat="1" applyFont="1" applyBorder="1" applyAlignment="1">
      <alignment horizontal="right" vertical="center"/>
    </xf>
    <xf numFmtId="49" fontId="20" fillId="0" borderId="189" xfId="4" applyNumberFormat="1" applyFont="1" applyBorder="1" applyAlignment="1">
      <alignment horizontal="left" vertical="center"/>
    </xf>
    <xf numFmtId="171" fontId="20" fillId="0" borderId="144" xfId="21" applyNumberFormat="1" applyFont="1" applyBorder="1" applyAlignment="1">
      <alignment horizontal="right" vertical="center"/>
    </xf>
    <xf numFmtId="171" fontId="20" fillId="0" borderId="165" xfId="21" applyNumberFormat="1" applyFont="1" applyBorder="1" applyAlignment="1">
      <alignment horizontal="right" vertical="center"/>
    </xf>
    <xf numFmtId="3" fontId="20" fillId="0" borderId="165" xfId="4" applyNumberFormat="1" applyFont="1" applyBorder="1" applyAlignment="1">
      <alignment horizontal="left" vertical="center"/>
    </xf>
    <xf numFmtId="3" fontId="48" fillId="0" borderId="172" xfId="4" applyNumberFormat="1" applyFont="1" applyBorder="1" applyAlignment="1">
      <alignment horizontal="center" vertical="center" wrapText="1"/>
    </xf>
    <xf numFmtId="49" fontId="51" fillId="0" borderId="97" xfId="4" applyNumberFormat="1" applyFont="1" applyBorder="1" applyAlignment="1">
      <alignment horizontal="left" vertical="center"/>
    </xf>
    <xf numFmtId="49" fontId="51" fillId="0" borderId="189" xfId="4" applyNumberFormat="1" applyFont="1" applyBorder="1" applyAlignment="1">
      <alignment horizontal="left" vertical="center"/>
    </xf>
    <xf numFmtId="3" fontId="48" fillId="0" borderId="190" xfId="4" applyNumberFormat="1" applyFont="1" applyBorder="1" applyAlignment="1">
      <alignment horizontal="right" vertical="center"/>
    </xf>
    <xf numFmtId="3" fontId="20" fillId="0" borderId="165" xfId="21" applyNumberFormat="1" applyFont="1" applyBorder="1" applyAlignment="1">
      <alignment horizontal="right" vertical="center"/>
    </xf>
    <xf numFmtId="49" fontId="40" fillId="0" borderId="188" xfId="4" applyNumberFormat="1" applyFont="1" applyBorder="1" applyAlignment="1">
      <alignment horizontal="left" vertical="center"/>
    </xf>
    <xf numFmtId="3" fontId="49" fillId="0" borderId="132" xfId="4" applyNumberFormat="1" applyFont="1" applyBorder="1" applyAlignment="1">
      <alignment horizontal="right" vertical="center"/>
    </xf>
    <xf numFmtId="49" fontId="51" fillId="0" borderId="70" xfId="4" applyNumberFormat="1" applyFont="1" applyBorder="1" applyAlignment="1">
      <alignment horizontal="left" vertical="center"/>
    </xf>
    <xf numFmtId="49" fontId="48" fillId="0" borderId="67" xfId="4" applyNumberFormat="1" applyFont="1" applyBorder="1" applyAlignment="1">
      <alignment vertical="center" wrapText="1"/>
    </xf>
    <xf numFmtId="49" fontId="49" fillId="0" borderId="67" xfId="4" applyNumberFormat="1" applyFont="1" applyBorder="1" applyAlignment="1">
      <alignment vertical="center" wrapText="1"/>
    </xf>
    <xf numFmtId="0" fontId="48" fillId="0" borderId="67" xfId="4" applyFont="1" applyBorder="1" applyAlignment="1">
      <alignment vertical="center" wrapText="1"/>
    </xf>
    <xf numFmtId="49" fontId="48" fillId="5" borderId="97" xfId="4" applyNumberFormat="1" applyFont="1" applyFill="1" applyBorder="1" applyAlignment="1">
      <alignment vertical="center" wrapText="1"/>
    </xf>
    <xf numFmtId="0" fontId="68" fillId="5" borderId="66" xfId="4" applyFont="1" applyFill="1" applyBorder="1" applyAlignment="1">
      <alignment horizontal="center" vertical="center" wrapText="1"/>
    </xf>
    <xf numFmtId="49" fontId="49" fillId="0" borderId="97" xfId="4" applyNumberFormat="1" applyFont="1" applyBorder="1" applyAlignment="1">
      <alignment vertical="center" wrapText="1"/>
    </xf>
    <xf numFmtId="49" fontId="66" fillId="0" borderId="67" xfId="4" applyNumberFormat="1" applyFont="1" applyBorder="1" applyAlignment="1">
      <alignment vertical="center" wrapText="1"/>
    </xf>
    <xf numFmtId="0" fontId="49" fillId="0" borderId="0" xfId="4" applyFont="1" applyAlignment="1">
      <alignment horizontal="left" vertical="center" wrapText="1"/>
    </xf>
    <xf numFmtId="0" fontId="48" fillId="0" borderId="0" xfId="4" applyFont="1" applyAlignment="1">
      <alignment vertical="center"/>
    </xf>
    <xf numFmtId="0" fontId="48" fillId="0" borderId="0" xfId="4" applyFont="1" applyAlignment="1">
      <alignment horizontal="left" vertical="center"/>
    </xf>
    <xf numFmtId="0" fontId="48" fillId="0" borderId="0" xfId="4" applyFont="1" applyAlignment="1">
      <alignment horizontal="center" vertical="center"/>
    </xf>
    <xf numFmtId="3" fontId="20" fillId="0" borderId="0" xfId="4" applyNumberFormat="1" applyFont="1" applyAlignment="1">
      <alignment vertical="center"/>
    </xf>
    <xf numFmtId="3" fontId="48" fillId="0" borderId="0" xfId="4" applyNumberFormat="1" applyFont="1" applyAlignment="1">
      <alignment vertical="center"/>
    </xf>
    <xf numFmtId="0" fontId="48" fillId="0" borderId="65" xfId="4" applyFont="1" applyBorder="1" applyAlignment="1">
      <alignment vertical="center"/>
    </xf>
    <xf numFmtId="0" fontId="48" fillId="0" borderId="65" xfId="4" applyFont="1" applyBorder="1" applyAlignment="1">
      <alignment horizontal="center" vertical="center"/>
    </xf>
    <xf numFmtId="3" fontId="20" fillId="0" borderId="65" xfId="4" applyNumberFormat="1" applyFont="1" applyBorder="1" applyAlignment="1">
      <alignment vertical="center"/>
    </xf>
    <xf numFmtId="3" fontId="48" fillId="0" borderId="96" xfId="4" applyNumberFormat="1" applyFont="1" applyBorder="1" applyAlignment="1">
      <alignment vertical="center"/>
    </xf>
    <xf numFmtId="3" fontId="20" fillId="0" borderId="176" xfId="4" applyNumberFormat="1" applyFont="1" applyBorder="1" applyAlignment="1">
      <alignment vertical="center"/>
    </xf>
    <xf numFmtId="3" fontId="20" fillId="0" borderId="70" xfId="4" applyNumberFormat="1" applyFont="1" applyBorder="1" applyAlignment="1">
      <alignment vertical="center"/>
    </xf>
    <xf numFmtId="49" fontId="52" fillId="0" borderId="97" xfId="4" applyNumberFormat="1" applyFont="1" applyBorder="1" applyAlignment="1">
      <alignment vertical="center" wrapText="1"/>
    </xf>
    <xf numFmtId="0" fontId="48" fillId="5" borderId="66" xfId="4" applyFont="1" applyFill="1" applyBorder="1" applyAlignment="1">
      <alignment vertical="center"/>
    </xf>
    <xf numFmtId="0" fontId="48" fillId="5" borderId="66" xfId="4" applyFont="1" applyFill="1" applyBorder="1" applyAlignment="1">
      <alignment horizontal="center" vertical="center"/>
    </xf>
    <xf numFmtId="3" fontId="20" fillId="5" borderId="66" xfId="4" applyNumberFormat="1" applyFont="1" applyFill="1" applyBorder="1" applyAlignment="1">
      <alignment vertical="center"/>
    </xf>
    <xf numFmtId="3" fontId="49" fillId="5" borderId="68" xfId="4" applyNumberFormat="1" applyFont="1" applyFill="1" applyBorder="1" applyAlignment="1">
      <alignment vertical="center"/>
    </xf>
    <xf numFmtId="3" fontId="21" fillId="0" borderId="177" xfId="4" applyNumberFormat="1" applyFont="1" applyBorder="1" applyAlignment="1">
      <alignment horizontal="right" vertical="center"/>
    </xf>
    <xf numFmtId="3" fontId="21" fillId="0" borderId="158" xfId="4" applyNumberFormat="1" applyFont="1" applyBorder="1" applyAlignment="1">
      <alignment horizontal="right" vertical="center"/>
    </xf>
    <xf numFmtId="3" fontId="48" fillId="5" borderId="68" xfId="4" applyNumberFormat="1" applyFont="1" applyFill="1" applyBorder="1" applyAlignment="1">
      <alignment vertical="center"/>
    </xf>
    <xf numFmtId="3" fontId="20" fillId="0" borderId="177" xfId="4" applyNumberFormat="1" applyFont="1" applyBorder="1" applyAlignment="1">
      <alignment horizontal="right" vertical="center"/>
    </xf>
    <xf numFmtId="3" fontId="20" fillId="0" borderId="158" xfId="4" applyNumberFormat="1" applyFont="1" applyBorder="1" applyAlignment="1">
      <alignment horizontal="right" vertical="center"/>
    </xf>
    <xf numFmtId="49" fontId="49" fillId="0" borderId="0" xfId="4" applyNumberFormat="1" applyFont="1" applyBorder="1" applyAlignment="1">
      <alignment vertical="center" wrapText="1"/>
    </xf>
    <xf numFmtId="0" fontId="49" fillId="5" borderId="66" xfId="4" applyFont="1" applyFill="1" applyBorder="1" applyAlignment="1">
      <alignment vertical="center"/>
    </xf>
    <xf numFmtId="0" fontId="49" fillId="5" borderId="66" xfId="4" applyFont="1" applyFill="1" applyBorder="1" applyAlignment="1">
      <alignment horizontal="center" vertical="center"/>
    </xf>
    <xf numFmtId="3" fontId="21" fillId="5" borderId="66" xfId="4" applyNumberFormat="1" applyFont="1" applyFill="1" applyBorder="1" applyAlignment="1">
      <alignment vertical="center"/>
    </xf>
    <xf numFmtId="49" fontId="52" fillId="0" borderId="97" xfId="4" applyNumberFormat="1" applyFont="1" applyBorder="1" applyAlignment="1">
      <alignment vertical="center"/>
    </xf>
    <xf numFmtId="49" fontId="50" fillId="0" borderId="67" xfId="4" applyNumberFormat="1" applyFont="1" applyBorder="1" applyAlignment="1">
      <alignment vertical="center"/>
    </xf>
    <xf numFmtId="3" fontId="48" fillId="5" borderId="66" xfId="4" applyNumberFormat="1" applyFont="1" applyFill="1" applyBorder="1" applyAlignment="1">
      <alignment horizontal="center" vertical="center"/>
    </xf>
    <xf numFmtId="3" fontId="20" fillId="5" borderId="66" xfId="4" applyNumberFormat="1" applyFont="1" applyFill="1" applyBorder="1" applyAlignment="1">
      <alignment horizontal="right" vertical="center"/>
    </xf>
    <xf numFmtId="3" fontId="48" fillId="5" borderId="66" xfId="4" applyNumberFormat="1" applyFont="1" applyFill="1" applyBorder="1" applyAlignment="1">
      <alignment vertical="center"/>
    </xf>
    <xf numFmtId="49" fontId="52" fillId="0" borderId="67" xfId="4" applyNumberFormat="1" applyFont="1" applyBorder="1" applyAlignment="1">
      <alignment vertical="center"/>
    </xf>
    <xf numFmtId="3" fontId="48" fillId="0" borderId="66" xfId="4" applyNumberFormat="1" applyFont="1" applyBorder="1" applyAlignment="1">
      <alignment vertical="center"/>
    </xf>
    <xf numFmtId="0" fontId="20" fillId="0" borderId="66" xfId="4" applyFont="1" applyBorder="1" applyAlignment="1">
      <alignment horizontal="center" vertical="center" wrapText="1"/>
    </xf>
    <xf numFmtId="168" fontId="20" fillId="0" borderId="66" xfId="4" applyNumberFormat="1" applyFont="1" applyBorder="1" applyAlignment="1">
      <alignment vertical="center"/>
    </xf>
    <xf numFmtId="3" fontId="49" fillId="0" borderId="68" xfId="4" applyNumberFormat="1" applyFont="1" applyBorder="1" applyAlignment="1">
      <alignment vertical="center"/>
    </xf>
    <xf numFmtId="0" fontId="68" fillId="0" borderId="66" xfId="4" applyFont="1" applyBorder="1" applyAlignment="1">
      <alignment horizontal="center" vertical="center"/>
    </xf>
    <xf numFmtId="3" fontId="48" fillId="0" borderId="68" xfId="4" applyNumberFormat="1" applyFont="1" applyBorder="1" applyAlignment="1">
      <alignment vertical="center"/>
    </xf>
    <xf numFmtId="3" fontId="48" fillId="0" borderId="183" xfId="4" applyNumberFormat="1" applyFont="1" applyBorder="1" applyAlignment="1">
      <alignment vertical="center"/>
    </xf>
    <xf numFmtId="0" fontId="68" fillId="0" borderId="183" xfId="4" applyFont="1" applyBorder="1" applyAlignment="1">
      <alignment horizontal="center" vertical="center"/>
    </xf>
    <xf numFmtId="49" fontId="41" fillId="0" borderId="184" xfId="4" applyNumberFormat="1" applyFont="1" applyBorder="1" applyAlignment="1">
      <alignment vertical="center"/>
    </xf>
    <xf numFmtId="3" fontId="48" fillId="0" borderId="185" xfId="4" applyNumberFormat="1" applyFont="1" applyBorder="1" applyAlignment="1">
      <alignment vertical="center"/>
    </xf>
    <xf numFmtId="3" fontId="20" fillId="0" borderId="186" xfId="4" applyNumberFormat="1" applyFont="1" applyBorder="1" applyAlignment="1">
      <alignment horizontal="right" vertical="center"/>
    </xf>
    <xf numFmtId="3" fontId="20" fillId="0" borderId="187" xfId="4" applyNumberFormat="1" applyFont="1" applyBorder="1" applyAlignment="1">
      <alignment horizontal="right" vertical="center"/>
    </xf>
    <xf numFmtId="168" fontId="48" fillId="0" borderId="0" xfId="4" applyNumberFormat="1" applyFont="1" applyAlignment="1">
      <alignment vertical="center"/>
    </xf>
    <xf numFmtId="0" fontId="48" fillId="0" borderId="66" xfId="4" applyFont="1" applyBorder="1" applyAlignment="1">
      <alignment vertical="center"/>
    </xf>
    <xf numFmtId="0" fontId="48" fillId="0" borderId="66" xfId="4" applyFont="1" applyBorder="1" applyAlignment="1">
      <alignment horizontal="center" vertical="center"/>
    </xf>
    <xf numFmtId="3" fontId="20" fillId="0" borderId="66" xfId="4" applyNumberFormat="1" applyFont="1" applyBorder="1" applyAlignment="1">
      <alignment vertical="center"/>
    </xf>
    <xf numFmtId="3" fontId="20" fillId="0" borderId="158" xfId="4" applyNumberFormat="1" applyFont="1" applyBorder="1" applyAlignment="1">
      <alignment vertical="center"/>
    </xf>
    <xf numFmtId="3" fontId="20" fillId="0" borderId="177" xfId="4" applyNumberFormat="1" applyFont="1" applyBorder="1" applyAlignment="1">
      <alignment vertical="center"/>
    </xf>
    <xf numFmtId="167" fontId="48" fillId="0" borderId="66" xfId="4" applyNumberFormat="1" applyFont="1" applyBorder="1" applyAlignment="1">
      <alignment vertical="center"/>
    </xf>
    <xf numFmtId="3" fontId="21" fillId="0" borderId="177" xfId="4" applyNumberFormat="1" applyFont="1" applyBorder="1" applyAlignment="1">
      <alignment vertical="center"/>
    </xf>
    <xf numFmtId="3" fontId="21" fillId="0" borderId="158" xfId="4" applyNumberFormat="1" applyFont="1" applyBorder="1" applyAlignment="1">
      <alignment vertical="center"/>
    </xf>
    <xf numFmtId="49" fontId="49" fillId="5" borderId="67" xfId="4" applyNumberFormat="1" applyFont="1" applyFill="1" applyBorder="1" applyAlignment="1">
      <alignment vertical="center"/>
    </xf>
    <xf numFmtId="3" fontId="20" fillId="5" borderId="177" xfId="4" applyNumberFormat="1" applyFont="1" applyFill="1" applyBorder="1" applyAlignment="1">
      <alignment vertical="center"/>
    </xf>
    <xf numFmtId="3" fontId="20" fillId="5" borderId="158" xfId="4" applyNumberFormat="1" applyFont="1" applyFill="1" applyBorder="1" applyAlignment="1">
      <alignment vertical="center"/>
    </xf>
    <xf numFmtId="2" fontId="48" fillId="5" borderId="67" xfId="4" applyNumberFormat="1" applyFont="1" applyFill="1" applyBorder="1" applyAlignment="1">
      <alignment vertical="center" wrapText="1"/>
    </xf>
    <xf numFmtId="49" fontId="48" fillId="5" borderId="67" xfId="4" applyNumberFormat="1" applyFont="1" applyFill="1" applyBorder="1" applyAlignment="1">
      <alignment vertical="center" wrapText="1"/>
    </xf>
    <xf numFmtId="3" fontId="21" fillId="5" borderId="177" xfId="4" applyNumberFormat="1" applyFont="1" applyFill="1" applyBorder="1" applyAlignment="1">
      <alignment vertical="center"/>
    </xf>
    <xf numFmtId="3" fontId="21" fillId="5" borderId="158" xfId="4" applyNumberFormat="1" applyFont="1" applyFill="1" applyBorder="1" applyAlignment="1">
      <alignment vertical="center"/>
    </xf>
    <xf numFmtId="49" fontId="49" fillId="0" borderId="67" xfId="4" applyNumberFormat="1" applyFont="1" applyBorder="1" applyAlignment="1">
      <alignment vertical="center"/>
    </xf>
    <xf numFmtId="49" fontId="48" fillId="0" borderId="67" xfId="4" applyNumberFormat="1" applyFont="1" applyBorder="1" applyAlignment="1">
      <alignment vertical="center"/>
    </xf>
    <xf numFmtId="0" fontId="69" fillId="0" borderId="66" xfId="4" applyFont="1" applyBorder="1" applyAlignment="1">
      <alignment vertical="center"/>
    </xf>
    <xf numFmtId="0" fontId="49" fillId="0" borderId="66" xfId="4" applyFont="1" applyBorder="1" applyAlignment="1">
      <alignment horizontal="center" vertical="center"/>
    </xf>
    <xf numFmtId="3" fontId="21" fillId="0" borderId="66" xfId="4" applyNumberFormat="1" applyFont="1" applyBorder="1" applyAlignment="1">
      <alignment vertical="center"/>
    </xf>
    <xf numFmtId="0" fontId="20" fillId="0" borderId="66" xfId="4" applyFont="1" applyBorder="1" applyAlignment="1">
      <alignment vertical="center"/>
    </xf>
    <xf numFmtId="0" fontId="20" fillId="0" borderId="66" xfId="4" applyFont="1" applyBorder="1" applyAlignment="1">
      <alignment horizontal="center" vertical="center"/>
    </xf>
    <xf numFmtId="3" fontId="68" fillId="0" borderId="66" xfId="4" applyNumberFormat="1" applyFont="1" applyBorder="1" applyAlignment="1">
      <alignment horizontal="center" vertical="center"/>
    </xf>
    <xf numFmtId="3" fontId="49" fillId="5" borderId="68" xfId="4" applyNumberFormat="1" applyFont="1" applyFill="1" applyBorder="1" applyAlignment="1">
      <alignment horizontal="right" vertical="center"/>
    </xf>
    <xf numFmtId="0" fontId="20" fillId="0" borderId="0" xfId="4" applyFont="1" applyAlignment="1">
      <alignment vertical="center"/>
    </xf>
    <xf numFmtId="0" fontId="51" fillId="5" borderId="158" xfId="4" applyFont="1" applyFill="1" applyBorder="1" applyAlignment="1">
      <alignment vertical="center" wrapText="1"/>
    </xf>
    <xf numFmtId="0" fontId="51" fillId="5" borderId="67" xfId="4" applyFont="1" applyFill="1" applyBorder="1" applyAlignment="1">
      <alignment vertical="center" wrapText="1"/>
    </xf>
    <xf numFmtId="0" fontId="20" fillId="5" borderId="158" xfId="4" applyFont="1" applyFill="1" applyBorder="1" applyAlignment="1">
      <alignment vertical="center" wrapText="1"/>
    </xf>
    <xf numFmtId="0" fontId="20" fillId="5" borderId="67" xfId="4" applyFont="1" applyFill="1" applyBorder="1" applyAlignment="1">
      <alignment vertical="center" wrapText="1"/>
    </xf>
    <xf numFmtId="0" fontId="48" fillId="0" borderId="0" xfId="4" applyFont="1" applyBorder="1" applyAlignment="1">
      <alignment vertical="center" wrapText="1"/>
    </xf>
    <xf numFmtId="0" fontId="48" fillId="0" borderId="161" xfId="4" applyFont="1" applyBorder="1" applyAlignment="1">
      <alignment vertical="center"/>
    </xf>
    <xf numFmtId="0" fontId="48" fillId="0" borderId="161" xfId="4" applyFont="1" applyBorder="1" applyAlignment="1">
      <alignment horizontal="center" vertical="center"/>
    </xf>
    <xf numFmtId="0" fontId="56" fillId="0" borderId="161" xfId="4" applyFont="1" applyBorder="1" applyAlignment="1">
      <alignment vertical="center"/>
    </xf>
    <xf numFmtId="49" fontId="49" fillId="0" borderId="94" xfId="4" applyNumberFormat="1" applyFont="1" applyBorder="1" applyAlignment="1">
      <alignment vertical="center"/>
    </xf>
    <xf numFmtId="3" fontId="20" fillId="0" borderId="178" xfId="4" applyNumberFormat="1" applyFont="1" applyBorder="1" applyAlignment="1">
      <alignment vertical="center"/>
    </xf>
    <xf numFmtId="3" fontId="20" fillId="0" borderId="180" xfId="4" applyNumberFormat="1" applyFont="1" applyBorder="1" applyAlignment="1">
      <alignment vertical="center"/>
    </xf>
    <xf numFmtId="168" fontId="20" fillId="0" borderId="0" xfId="4" applyNumberFormat="1" applyFont="1" applyBorder="1" applyAlignment="1">
      <alignment vertical="center"/>
    </xf>
    <xf numFmtId="168" fontId="20" fillId="0" borderId="0" xfId="4" applyNumberFormat="1" applyFont="1" applyAlignment="1">
      <alignment vertical="center"/>
    </xf>
    <xf numFmtId="49" fontId="52" fillId="0" borderId="0" xfId="4" applyNumberFormat="1" applyFont="1" applyAlignment="1">
      <alignment vertical="center"/>
    </xf>
    <xf numFmtId="3" fontId="20" fillId="0" borderId="0" xfId="4" applyNumberFormat="1" applyFont="1" applyAlignment="1">
      <alignment horizontal="center" vertical="center"/>
    </xf>
    <xf numFmtId="3" fontId="51" fillId="0" borderId="0" xfId="4" applyNumberFormat="1" applyFont="1" applyAlignment="1">
      <alignment horizontal="center" vertical="center"/>
    </xf>
    <xf numFmtId="49" fontId="48" fillId="0" borderId="0" xfId="4" applyNumberFormat="1" applyFont="1" applyAlignment="1">
      <alignment vertical="center"/>
    </xf>
    <xf numFmtId="49" fontId="49" fillId="0" borderId="66" xfId="4" applyNumberFormat="1" applyFont="1" applyBorder="1" applyAlignment="1">
      <alignment vertical="center"/>
    </xf>
    <xf numFmtId="0" fontId="53" fillId="0" borderId="0" xfId="4" applyFont="1" applyAlignment="1">
      <alignment vertical="center"/>
    </xf>
    <xf numFmtId="0" fontId="53" fillId="0" borderId="0" xfId="4" applyFont="1" applyAlignment="1">
      <alignment horizontal="center" vertical="center"/>
    </xf>
    <xf numFmtId="49" fontId="54" fillId="0" borderId="66" xfId="4" applyNumberFormat="1" applyFont="1" applyBorder="1" applyAlignment="1">
      <alignment horizontal="left" vertical="center"/>
    </xf>
    <xf numFmtId="3" fontId="48" fillId="0" borderId="65" xfId="4" applyNumberFormat="1" applyFont="1" applyBorder="1" applyAlignment="1">
      <alignment vertical="center"/>
    </xf>
    <xf numFmtId="49" fontId="52" fillId="0" borderId="67" xfId="4" applyNumberFormat="1" applyFont="1" applyBorder="1" applyAlignment="1">
      <alignment vertical="center" wrapText="1"/>
    </xf>
    <xf numFmtId="49" fontId="50" fillId="0" borderId="184" xfId="4" applyNumberFormat="1" applyFont="1" applyBorder="1" applyAlignment="1">
      <alignment vertical="center"/>
    </xf>
    <xf numFmtId="49" fontId="48" fillId="0" borderId="95" xfId="4" applyNumberFormat="1" applyFont="1" applyBorder="1" applyAlignment="1">
      <alignment vertical="center" wrapText="1"/>
    </xf>
    <xf numFmtId="49" fontId="51" fillId="0" borderId="195" xfId="4" applyNumberFormat="1" applyFont="1" applyBorder="1" applyAlignment="1">
      <alignment horizontal="left" vertical="center"/>
    </xf>
    <xf numFmtId="49" fontId="48" fillId="5" borderId="67" xfId="4" applyNumberFormat="1" applyFont="1" applyFill="1" applyBorder="1" applyAlignment="1">
      <alignment vertical="center"/>
    </xf>
    <xf numFmtId="0" fontId="49" fillId="0" borderId="176" xfId="4" applyFont="1" applyBorder="1" applyAlignment="1">
      <alignment horizontal="left" vertical="center" wrapText="1"/>
    </xf>
    <xf numFmtId="0" fontId="49" fillId="0" borderId="176" xfId="4" applyFont="1" applyBorder="1" applyAlignment="1">
      <alignment horizontal="left" vertical="center"/>
    </xf>
    <xf numFmtId="0" fontId="48" fillId="0" borderId="177" xfId="4" applyFont="1" applyBorder="1" applyAlignment="1">
      <alignment horizontal="left" vertical="center"/>
    </xf>
    <xf numFmtId="0" fontId="49" fillId="0" borderId="177" xfId="4" applyFont="1" applyBorder="1" applyAlignment="1">
      <alignment horizontal="left" vertical="center"/>
    </xf>
    <xf numFmtId="0" fontId="49" fillId="5" borderId="177" xfId="4" applyFont="1" applyFill="1" applyBorder="1" applyAlignment="1">
      <alignment horizontal="left" vertical="center"/>
    </xf>
    <xf numFmtId="0" fontId="48" fillId="5" borderId="177" xfId="4" applyFont="1" applyFill="1" applyBorder="1" applyAlignment="1">
      <alignment horizontal="left" vertical="center"/>
    </xf>
    <xf numFmtId="49" fontId="48" fillId="0" borderId="177" xfId="4" applyNumberFormat="1" applyFont="1" applyBorder="1" applyAlignment="1">
      <alignment horizontal="left" vertical="center" wrapText="1"/>
    </xf>
    <xf numFmtId="49" fontId="49" fillId="0" borderId="176" xfId="4" applyNumberFormat="1" applyFont="1" applyBorder="1" applyAlignment="1">
      <alignment horizontal="left" vertical="center" wrapText="1"/>
    </xf>
    <xf numFmtId="49" fontId="49" fillId="0" borderId="128" xfId="4" applyNumberFormat="1" applyFont="1" applyBorder="1" applyAlignment="1">
      <alignment horizontal="left" vertical="center" wrapText="1"/>
    </xf>
    <xf numFmtId="49" fontId="48" fillId="0" borderId="68" xfId="4" applyNumberFormat="1" applyFont="1" applyBorder="1" applyAlignment="1">
      <alignment vertical="center"/>
    </xf>
    <xf numFmtId="49" fontId="49" fillId="0" borderId="68" xfId="4" applyNumberFormat="1" applyFont="1" applyBorder="1" applyAlignment="1">
      <alignment vertical="center"/>
    </xf>
    <xf numFmtId="3" fontId="33" fillId="0" borderId="11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vertical="center"/>
    </xf>
    <xf numFmtId="0" fontId="43" fillId="0" borderId="0" xfId="6" applyFont="1" applyAlignment="1">
      <alignment horizontal="center" vertical="center" wrapText="1"/>
    </xf>
    <xf numFmtId="0" fontId="20" fillId="0" borderId="36" xfId="5" applyFont="1" applyFill="1" applyBorder="1" applyAlignment="1">
      <alignment horizontal="left" vertical="center"/>
    </xf>
    <xf numFmtId="3" fontId="21" fillId="0" borderId="165" xfId="5" applyNumberFormat="1" applyFont="1" applyBorder="1" applyAlignment="1">
      <alignment vertical="center"/>
    </xf>
    <xf numFmtId="3" fontId="20" fillId="0" borderId="163" xfId="5" applyNumberFormat="1" applyFont="1" applyBorder="1" applyAlignment="1">
      <alignment horizontal="right" vertical="center"/>
    </xf>
    <xf numFmtId="3" fontId="20" fillId="0" borderId="162" xfId="5" applyNumberFormat="1" applyFont="1" applyBorder="1" applyAlignment="1">
      <alignment horizontal="right" vertical="center"/>
    </xf>
    <xf numFmtId="3" fontId="20" fillId="0" borderId="140" xfId="5" applyNumberFormat="1" applyFont="1" applyBorder="1" applyAlignment="1">
      <alignment horizontal="right" vertical="center"/>
    </xf>
    <xf numFmtId="0" fontId="20" fillId="0" borderId="140" xfId="5" applyFont="1" applyBorder="1" applyAlignment="1">
      <alignment vertical="center"/>
    </xf>
    <xf numFmtId="0" fontId="20" fillId="0" borderId="101" xfId="5" applyFont="1" applyFill="1" applyBorder="1" applyAlignment="1">
      <alignment horizontal="left" vertical="center"/>
    </xf>
    <xf numFmtId="0" fontId="20" fillId="0" borderId="166" xfId="5" applyFont="1" applyBorder="1" applyAlignment="1">
      <alignment horizontal="left" vertical="center"/>
    </xf>
    <xf numFmtId="0" fontId="20" fillId="0" borderId="28" xfId="5" applyFont="1" applyFill="1" applyBorder="1" applyAlignment="1">
      <alignment horizontal="left" vertical="center"/>
    </xf>
    <xf numFmtId="3" fontId="21" fillId="0" borderId="202" xfId="5" applyNumberFormat="1" applyFont="1" applyBorder="1" applyAlignment="1">
      <alignment vertical="center"/>
    </xf>
    <xf numFmtId="3" fontId="21" fillId="0" borderId="203" xfId="5" applyNumberFormat="1" applyFont="1" applyBorder="1" applyAlignment="1">
      <alignment vertical="center"/>
    </xf>
    <xf numFmtId="3" fontId="21" fillId="0" borderId="135" xfId="5" applyNumberFormat="1" applyFont="1" applyBorder="1" applyAlignment="1">
      <alignment vertical="center"/>
    </xf>
    <xf numFmtId="3" fontId="20" fillId="0" borderId="154" xfId="5" applyNumberFormat="1" applyFont="1" applyBorder="1" applyAlignment="1">
      <alignment vertical="center"/>
    </xf>
    <xf numFmtId="3" fontId="20" fillId="0" borderId="155" xfId="5" applyNumberFormat="1" applyFont="1" applyBorder="1" applyAlignment="1">
      <alignment vertical="center"/>
    </xf>
    <xf numFmtId="3" fontId="20" fillId="2" borderId="163" xfId="5" applyNumberFormat="1" applyFont="1" applyFill="1" applyBorder="1" applyAlignment="1">
      <alignment horizontal="right" vertical="center"/>
    </xf>
    <xf numFmtId="3" fontId="20" fillId="2" borderId="162" xfId="5" applyNumberFormat="1" applyFont="1" applyFill="1" applyBorder="1" applyAlignment="1">
      <alignment horizontal="right" vertical="center"/>
    </xf>
    <xf numFmtId="3" fontId="20" fillId="2" borderId="162" xfId="5" applyNumberFormat="1" applyFont="1" applyFill="1" applyBorder="1" applyAlignment="1">
      <alignment vertical="center"/>
    </xf>
    <xf numFmtId="3" fontId="20" fillId="2" borderId="140" xfId="5" applyNumberFormat="1" applyFont="1" applyFill="1" applyBorder="1" applyAlignment="1">
      <alignment horizontal="right" vertical="center"/>
    </xf>
    <xf numFmtId="3" fontId="20" fillId="2" borderId="163" xfId="5" applyNumberFormat="1" applyFont="1" applyFill="1" applyBorder="1" applyAlignment="1">
      <alignment vertical="center"/>
    </xf>
    <xf numFmtId="3" fontId="20" fillId="2" borderId="140" xfId="5" applyNumberFormat="1" applyFont="1" applyFill="1" applyBorder="1" applyAlignment="1">
      <alignment vertical="center"/>
    </xf>
    <xf numFmtId="3" fontId="20" fillId="0" borderId="162" xfId="5" applyNumberFormat="1" applyFont="1" applyBorder="1" applyAlignment="1">
      <alignment vertical="center"/>
    </xf>
    <xf numFmtId="3" fontId="20" fillId="0" borderId="163" xfId="5" applyNumberFormat="1" applyFont="1" applyBorder="1" applyAlignment="1">
      <alignment vertical="center"/>
    </xf>
    <xf numFmtId="3" fontId="20" fillId="0" borderId="140" xfId="5" applyNumberFormat="1" applyFont="1" applyBorder="1" applyAlignment="1">
      <alignment vertical="center"/>
    </xf>
    <xf numFmtId="3" fontId="20" fillId="0" borderId="202" xfId="5" applyNumberFormat="1" applyFont="1" applyBorder="1" applyAlignment="1">
      <alignment horizontal="right" vertical="center"/>
    </xf>
    <xf numFmtId="3" fontId="20" fillId="0" borderId="110" xfId="5" applyNumberFormat="1" applyFont="1" applyBorder="1" applyAlignment="1">
      <alignment horizontal="right" vertical="center"/>
    </xf>
    <xf numFmtId="3" fontId="20" fillId="0" borderId="203" xfId="5" applyNumberFormat="1" applyFont="1" applyBorder="1" applyAlignment="1">
      <alignment horizontal="right" vertical="center"/>
    </xf>
    <xf numFmtId="0" fontId="20" fillId="0" borderId="162" xfId="5" applyFont="1" applyBorder="1" applyAlignment="1">
      <alignment horizontal="right" vertical="center"/>
    </xf>
    <xf numFmtId="0" fontId="20" fillId="0" borderId="155" xfId="5" applyFont="1" applyBorder="1" applyAlignment="1">
      <alignment vertical="center"/>
    </xf>
    <xf numFmtId="0" fontId="20" fillId="2" borderId="140" xfId="5" applyFont="1" applyFill="1" applyBorder="1" applyAlignment="1">
      <alignment vertical="center"/>
    </xf>
    <xf numFmtId="0" fontId="20" fillId="0" borderId="203" xfId="5" applyFont="1" applyBorder="1" applyAlignment="1">
      <alignment vertical="center"/>
    </xf>
    <xf numFmtId="0" fontId="20" fillId="0" borderId="62" xfId="5" applyFont="1" applyBorder="1" applyAlignment="1">
      <alignment horizontal="left" vertical="center"/>
    </xf>
    <xf numFmtId="0" fontId="20" fillId="0" borderId="166" xfId="5" applyFont="1" applyFill="1" applyBorder="1" applyAlignment="1">
      <alignment horizontal="left" vertical="center"/>
    </xf>
    <xf numFmtId="3" fontId="21" fillId="0" borderId="44" xfId="5" applyNumberFormat="1" applyFont="1" applyBorder="1" applyAlignment="1">
      <alignment vertical="center"/>
    </xf>
    <xf numFmtId="3" fontId="21" fillId="0" borderId="132" xfId="5" applyNumberFormat="1" applyFont="1" applyBorder="1" applyAlignment="1">
      <alignment vertical="center"/>
    </xf>
    <xf numFmtId="3" fontId="21" fillId="2" borderId="131" xfId="5" applyNumberFormat="1" applyFont="1" applyFill="1" applyBorder="1" applyAlignment="1">
      <alignment vertical="center"/>
    </xf>
    <xf numFmtId="3" fontId="21" fillId="0" borderId="131" xfId="5" applyNumberFormat="1" applyFont="1" applyBorder="1" applyAlignment="1">
      <alignment vertical="center"/>
    </xf>
    <xf numFmtId="3" fontId="21" fillId="0" borderId="87" xfId="5" applyNumberFormat="1" applyFont="1" applyBorder="1" applyAlignment="1">
      <alignment vertical="center"/>
    </xf>
    <xf numFmtId="3" fontId="21" fillId="2" borderId="36" xfId="5" applyNumberFormat="1" applyFont="1" applyFill="1" applyBorder="1" applyAlignment="1">
      <alignment vertical="center"/>
    </xf>
    <xf numFmtId="3" fontId="21" fillId="2" borderId="165" xfId="5" applyNumberFormat="1" applyFont="1" applyFill="1" applyBorder="1" applyAlignment="1">
      <alignment vertical="center"/>
    </xf>
    <xf numFmtId="3" fontId="21" fillId="0" borderId="165" xfId="5" applyNumberFormat="1" applyFont="1" applyFill="1" applyBorder="1" applyAlignment="1">
      <alignment vertical="center"/>
    </xf>
    <xf numFmtId="0" fontId="20" fillId="0" borderId="24" xfId="5" applyFont="1" applyFill="1" applyBorder="1" applyAlignment="1">
      <alignment horizontal="left" vertical="center"/>
    </xf>
    <xf numFmtId="0" fontId="21" fillId="0" borderId="60" xfId="5" applyFont="1" applyFill="1" applyBorder="1" applyAlignment="1">
      <alignment horizontal="left" vertical="center"/>
    </xf>
    <xf numFmtId="0" fontId="20" fillId="0" borderId="17" xfId="5" applyFont="1" applyFill="1" applyBorder="1" applyAlignment="1">
      <alignment horizontal="left" vertical="center"/>
    </xf>
    <xf numFmtId="0" fontId="21" fillId="0" borderId="36" xfId="5" applyFont="1" applyFill="1" applyBorder="1" applyAlignment="1">
      <alignment horizontal="left" vertical="center"/>
    </xf>
    <xf numFmtId="3" fontId="21" fillId="0" borderId="133" xfId="5" applyNumberFormat="1" applyFont="1" applyBorder="1" applyAlignment="1">
      <alignment vertical="center"/>
    </xf>
    <xf numFmtId="3" fontId="21" fillId="0" borderId="53" xfId="5" applyNumberFormat="1" applyFont="1" applyBorder="1" applyAlignment="1">
      <alignment vertical="center"/>
    </xf>
    <xf numFmtId="3" fontId="21" fillId="0" borderId="49" xfId="5" applyNumberFormat="1" applyFont="1" applyBorder="1" applyAlignment="1">
      <alignment vertical="center"/>
    </xf>
    <xf numFmtId="0" fontId="14" fillId="0" borderId="98" xfId="0" applyFont="1" applyFill="1" applyBorder="1" applyAlignment="1">
      <alignment horizontal="center" vertical="center"/>
    </xf>
    <xf numFmtId="3" fontId="14" fillId="0" borderId="98" xfId="12" applyNumberFormat="1" applyFont="1" applyFill="1" applyBorder="1" applyAlignment="1">
      <alignment horizontal="center" vertical="center"/>
    </xf>
    <xf numFmtId="3" fontId="14" fillId="0" borderId="56" xfId="0" applyNumberFormat="1" applyFont="1" applyFill="1" applyBorder="1" applyAlignment="1">
      <alignment horizontal="center" vertical="center"/>
    </xf>
    <xf numFmtId="3" fontId="33" fillId="0" borderId="57" xfId="0" applyNumberFormat="1" applyFont="1" applyBorder="1" applyAlignment="1">
      <alignment vertical="center" wrapText="1"/>
    </xf>
    <xf numFmtId="3" fontId="33" fillId="0" borderId="59" xfId="0" applyNumberFormat="1" applyFont="1" applyBorder="1" applyAlignment="1">
      <alignment vertical="center" wrapText="1"/>
    </xf>
    <xf numFmtId="3" fontId="32" fillId="0" borderId="163" xfId="0" applyNumberFormat="1" applyFont="1" applyBorder="1" applyAlignment="1">
      <alignment vertical="center" wrapText="1"/>
    </xf>
    <xf numFmtId="3" fontId="32" fillId="0" borderId="140" xfId="0" applyNumberFormat="1" applyFont="1" applyBorder="1" applyAlignment="1">
      <alignment vertical="center" wrapText="1"/>
    </xf>
    <xf numFmtId="3" fontId="33" fillId="0" borderId="163" xfId="0" applyNumberFormat="1" applyFont="1" applyBorder="1" applyAlignment="1">
      <alignment vertical="center" wrapText="1"/>
    </xf>
    <xf numFmtId="3" fontId="33" fillId="0" borderId="140" xfId="0" applyNumberFormat="1" applyFont="1" applyBorder="1" applyAlignment="1">
      <alignment vertical="center" wrapText="1"/>
    </xf>
    <xf numFmtId="3" fontId="31" fillId="0" borderId="163" xfId="0" applyNumberFormat="1" applyFont="1" applyBorder="1" applyAlignment="1">
      <alignment vertical="center" wrapText="1"/>
    </xf>
    <xf numFmtId="3" fontId="31" fillId="0" borderId="140" xfId="0" applyNumberFormat="1" applyFont="1" applyBorder="1" applyAlignment="1">
      <alignment vertical="center" wrapText="1"/>
    </xf>
    <xf numFmtId="3" fontId="17" fillId="0" borderId="163" xfId="0" applyNumberFormat="1" applyFont="1" applyBorder="1" applyAlignment="1">
      <alignment vertical="center" wrapText="1"/>
    </xf>
    <xf numFmtId="3" fontId="17" fillId="0" borderId="140" xfId="0" applyNumberFormat="1" applyFont="1" applyBorder="1" applyAlignment="1">
      <alignment vertical="center" wrapText="1"/>
    </xf>
    <xf numFmtId="3" fontId="17" fillId="0" borderId="165" xfId="0" applyNumberFormat="1" applyFont="1" applyBorder="1" applyAlignment="1">
      <alignment vertical="center" wrapText="1"/>
    </xf>
    <xf numFmtId="3" fontId="31" fillId="0" borderId="163" xfId="0" applyNumberFormat="1" applyFont="1" applyBorder="1" applyAlignment="1">
      <alignment vertical="center"/>
    </xf>
    <xf numFmtId="3" fontId="31" fillId="0" borderId="140" xfId="0" applyNumberFormat="1" applyFont="1" applyBorder="1" applyAlignment="1">
      <alignment vertical="center"/>
    </xf>
    <xf numFmtId="3" fontId="31" fillId="0" borderId="202" xfId="0" applyNumberFormat="1" applyFont="1" applyBorder="1" applyAlignment="1">
      <alignment vertical="center"/>
    </xf>
    <xf numFmtId="3" fontId="31" fillId="0" borderId="203" xfId="0" applyNumberFormat="1" applyFont="1" applyBorder="1" applyAlignment="1">
      <alignment vertical="center"/>
    </xf>
    <xf numFmtId="3" fontId="13" fillId="0" borderId="204" xfId="9" applyNumberFormat="1" applyFont="1" applyBorder="1" applyAlignment="1">
      <alignment vertical="center"/>
    </xf>
    <xf numFmtId="0" fontId="14" fillId="0" borderId="11" xfId="9" applyFont="1" applyFill="1" applyBorder="1" applyAlignment="1">
      <alignment horizontal="center" vertical="center" wrapText="1"/>
    </xf>
    <xf numFmtId="0" fontId="14" fillId="0" borderId="116" xfId="0" applyFont="1" applyBorder="1" applyAlignment="1">
      <alignment horizontal="center" vertical="center" wrapText="1"/>
    </xf>
    <xf numFmtId="0" fontId="13" fillId="2" borderId="162" xfId="0" applyFont="1" applyFill="1" applyBorder="1" applyAlignment="1">
      <alignment vertical="center" wrapText="1"/>
    </xf>
    <xf numFmtId="0" fontId="13" fillId="0" borderId="162" xfId="0" applyFont="1" applyBorder="1" applyAlignment="1">
      <alignment vertical="center" wrapText="1"/>
    </xf>
    <xf numFmtId="3" fontId="13" fillId="0" borderId="162" xfId="0" applyNumberFormat="1" applyFont="1" applyBorder="1" applyAlignment="1">
      <alignment vertical="center"/>
    </xf>
    <xf numFmtId="0" fontId="14" fillId="0" borderId="162" xfId="0" applyFont="1" applyBorder="1" applyAlignment="1">
      <alignment vertical="center" wrapText="1"/>
    </xf>
    <xf numFmtId="3" fontId="13" fillId="2" borderId="162" xfId="0" applyNumberFormat="1" applyFont="1" applyFill="1" applyBorder="1" applyAlignment="1">
      <alignment vertical="center"/>
    </xf>
    <xf numFmtId="3" fontId="14" fillId="0" borderId="162" xfId="0" applyNumberFormat="1" applyFont="1" applyBorder="1" applyAlignment="1">
      <alignment vertical="center"/>
    </xf>
    <xf numFmtId="3" fontId="13" fillId="0" borderId="162" xfId="0" applyNumberFormat="1" applyFont="1" applyBorder="1" applyAlignment="1">
      <alignment vertical="center" wrapText="1"/>
    </xf>
    <xf numFmtId="3" fontId="71" fillId="0" borderId="162" xfId="10" applyNumberFormat="1" applyFont="1" applyFill="1" applyBorder="1" applyAlignment="1">
      <alignment vertical="center" wrapText="1"/>
    </xf>
    <xf numFmtId="3" fontId="7" fillId="0" borderId="203" xfId="0" applyNumberFormat="1" applyFont="1" applyBorder="1"/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117" xfId="0" applyNumberFormat="1" applyFont="1" applyBorder="1"/>
    <xf numFmtId="3" fontId="24" fillId="0" borderId="111" xfId="0" applyNumberFormat="1" applyFont="1" applyBorder="1"/>
    <xf numFmtId="3" fontId="24" fillId="0" borderId="112" xfId="0" applyNumberFormat="1" applyFont="1" applyBorder="1"/>
    <xf numFmtId="3" fontId="24" fillId="0" borderId="110" xfId="0" applyNumberFormat="1" applyFont="1" applyBorder="1"/>
    <xf numFmtId="3" fontId="24" fillId="0" borderId="203" xfId="0" applyNumberFormat="1" applyFont="1" applyBorder="1"/>
    <xf numFmtId="3" fontId="24" fillId="0" borderId="116" xfId="0" applyNumberFormat="1" applyFont="1" applyBorder="1"/>
    <xf numFmtId="3" fontId="24" fillId="0" borderId="117" xfId="0" applyNumberFormat="1" applyFont="1" applyBorder="1"/>
    <xf numFmtId="2" fontId="13" fillId="0" borderId="22" xfId="0" applyNumberFormat="1" applyFont="1" applyFill="1" applyBorder="1" applyAlignment="1">
      <alignment horizontal="center" vertical="center"/>
    </xf>
    <xf numFmtId="3" fontId="71" fillId="0" borderId="110" xfId="10" applyNumberFormat="1" applyFont="1" applyFill="1" applyBorder="1" applyAlignment="1">
      <alignment vertical="center" wrapText="1"/>
    </xf>
    <xf numFmtId="3" fontId="14" fillId="0" borderId="110" xfId="0" applyNumberFormat="1" applyFont="1" applyBorder="1" applyAlignment="1">
      <alignment vertical="center"/>
    </xf>
    <xf numFmtId="3" fontId="14" fillId="0" borderId="203" xfId="0" applyNumberFormat="1" applyFont="1" applyBorder="1" applyAlignment="1">
      <alignment vertical="center"/>
    </xf>
    <xf numFmtId="0" fontId="24" fillId="0" borderId="116" xfId="0" applyFont="1" applyBorder="1" applyAlignment="1">
      <alignment horizontal="center" vertical="center" wrapText="1"/>
    </xf>
    <xf numFmtId="0" fontId="24" fillId="0" borderId="116" xfId="0" applyFont="1" applyBorder="1" applyAlignment="1">
      <alignment horizontal="center" vertical="center"/>
    </xf>
    <xf numFmtId="3" fontId="7" fillId="0" borderId="162" xfId="0" applyNumberFormat="1" applyFont="1" applyBorder="1"/>
    <xf numFmtId="3" fontId="24" fillId="0" borderId="162" xfId="0" applyNumberFormat="1" applyFont="1" applyBorder="1"/>
    <xf numFmtId="3" fontId="7" fillId="0" borderId="140" xfId="0" applyNumberFormat="1" applyFont="1" applyBorder="1"/>
    <xf numFmtId="3" fontId="24" fillId="0" borderId="140" xfId="0" applyNumberFormat="1" applyFont="1" applyBorder="1"/>
    <xf numFmtId="3" fontId="7" fillId="0" borderId="116" xfId="0" applyNumberFormat="1" applyFont="1" applyBorder="1"/>
    <xf numFmtId="0" fontId="13" fillId="0" borderId="58" xfId="0" applyFont="1" applyFill="1" applyBorder="1" applyAlignment="1">
      <alignment vertical="center" wrapText="1"/>
    </xf>
    <xf numFmtId="0" fontId="13" fillId="0" borderId="162" xfId="0" applyFont="1" applyFill="1" applyBorder="1" applyAlignment="1">
      <alignment vertical="center" wrapText="1"/>
    </xf>
    <xf numFmtId="0" fontId="14" fillId="0" borderId="162" xfId="0" applyFont="1" applyFill="1" applyBorder="1" applyAlignment="1">
      <alignment vertical="center" wrapText="1"/>
    </xf>
    <xf numFmtId="3" fontId="14" fillId="0" borderId="162" xfId="0" applyNumberFormat="1" applyFont="1" applyFill="1" applyBorder="1" applyAlignment="1">
      <alignment vertical="center" wrapText="1"/>
    </xf>
    <xf numFmtId="0" fontId="14" fillId="0" borderId="110" xfId="0" applyFont="1" applyFill="1" applyBorder="1" applyAlignment="1">
      <alignment vertical="center" wrapText="1"/>
    </xf>
    <xf numFmtId="0" fontId="7" fillId="0" borderId="0" xfId="0" applyFont="1" applyFill="1"/>
    <xf numFmtId="0" fontId="7" fillId="0" borderId="58" xfId="0" applyFont="1" applyFill="1" applyBorder="1"/>
    <xf numFmtId="0" fontId="13" fillId="0" borderId="116" xfId="0" applyFont="1" applyFill="1" applyBorder="1" applyAlignment="1">
      <alignment vertical="center" wrapText="1"/>
    </xf>
    <xf numFmtId="0" fontId="13" fillId="0" borderId="110" xfId="0" applyFont="1" applyFill="1" applyBorder="1" applyAlignment="1">
      <alignment vertical="center" wrapText="1"/>
    </xf>
    <xf numFmtId="0" fontId="7" fillId="0" borderId="111" xfId="0" applyFont="1" applyFill="1" applyBorder="1"/>
    <xf numFmtId="0" fontId="7" fillId="0" borderId="162" xfId="0" applyFont="1" applyFill="1" applyBorder="1"/>
    <xf numFmtId="0" fontId="24" fillId="0" borderId="162" xfId="0" applyFont="1" applyFill="1" applyBorder="1"/>
    <xf numFmtId="0" fontId="7" fillId="0" borderId="58" xfId="0" applyFont="1" applyFill="1" applyBorder="1" applyAlignment="1">
      <alignment vertical="center"/>
    </xf>
    <xf numFmtId="0" fontId="24" fillId="0" borderId="111" xfId="0" applyFont="1" applyFill="1" applyBorder="1"/>
    <xf numFmtId="0" fontId="14" fillId="0" borderId="116" xfId="0" applyFont="1" applyFill="1" applyBorder="1" applyAlignment="1">
      <alignment vertical="center" wrapText="1"/>
    </xf>
    <xf numFmtId="0" fontId="24" fillId="0" borderId="58" xfId="0" applyFont="1" applyFill="1" applyBorder="1"/>
    <xf numFmtId="0" fontId="14" fillId="0" borderId="23" xfId="9" applyFont="1" applyFill="1" applyBorder="1" applyAlignment="1">
      <alignment horizontal="center" vertical="center" wrapText="1"/>
    </xf>
    <xf numFmtId="3" fontId="14" fillId="0" borderId="11" xfId="9" applyNumberFormat="1" applyFont="1" applyFill="1" applyBorder="1" applyAlignment="1">
      <alignment vertical="center"/>
    </xf>
    <xf numFmtId="3" fontId="13" fillId="0" borderId="59" xfId="9" applyNumberFormat="1" applyFont="1" applyFill="1" applyBorder="1" applyAlignment="1">
      <alignment vertical="center"/>
    </xf>
    <xf numFmtId="3" fontId="14" fillId="0" borderId="75" xfId="9" applyNumberFormat="1" applyFont="1" applyFill="1" applyBorder="1" applyAlignment="1">
      <alignment vertical="center"/>
    </xf>
    <xf numFmtId="3" fontId="13" fillId="0" borderId="75" xfId="9" applyNumberFormat="1" applyFont="1" applyFill="1" applyBorder="1" applyAlignment="1">
      <alignment vertical="center"/>
    </xf>
    <xf numFmtId="3" fontId="13" fillId="0" borderId="75" xfId="9" applyNumberFormat="1" applyFont="1" applyFill="1" applyBorder="1" applyAlignment="1">
      <alignment vertical="center" wrapText="1"/>
    </xf>
    <xf numFmtId="3" fontId="13" fillId="0" borderId="118" xfId="9" applyNumberFormat="1" applyFont="1" applyFill="1" applyBorder="1" applyAlignment="1">
      <alignment vertical="center" wrapText="1"/>
    </xf>
    <xf numFmtId="3" fontId="13" fillId="0" borderId="100" xfId="9" applyNumberFormat="1" applyFont="1" applyFill="1" applyBorder="1" applyAlignment="1">
      <alignment vertical="center" wrapText="1"/>
    </xf>
    <xf numFmtId="3" fontId="20" fillId="0" borderId="75" xfId="10" applyNumberFormat="1" applyFont="1" applyFill="1" applyBorder="1" applyAlignment="1">
      <alignment vertical="center"/>
    </xf>
    <xf numFmtId="3" fontId="7" fillId="0" borderId="75" xfId="9" applyNumberFormat="1" applyFont="1" applyFill="1" applyBorder="1" applyAlignment="1">
      <alignment vertical="center"/>
    </xf>
    <xf numFmtId="3" fontId="20" fillId="0" borderId="105" xfId="10" applyNumberFormat="1" applyFont="1" applyFill="1" applyBorder="1" applyAlignment="1">
      <alignment vertical="center"/>
    </xf>
    <xf numFmtId="3" fontId="20" fillId="0" borderId="117" xfId="10" applyNumberFormat="1" applyFont="1" applyFill="1" applyBorder="1" applyAlignment="1">
      <alignment vertical="center"/>
    </xf>
    <xf numFmtId="3" fontId="20" fillId="0" borderId="1" xfId="10" applyNumberFormat="1" applyFont="1" applyFill="1" applyBorder="1" applyAlignment="1">
      <alignment vertical="center"/>
    </xf>
    <xf numFmtId="3" fontId="24" fillId="0" borderId="11" xfId="9" applyNumberFormat="1" applyFont="1" applyFill="1" applyBorder="1" applyAlignment="1">
      <alignment vertical="center"/>
    </xf>
    <xf numFmtId="3" fontId="24" fillId="0" borderId="60" xfId="9" applyNumberFormat="1" applyFont="1" applyFill="1" applyBorder="1" applyAlignment="1">
      <alignment vertical="center"/>
    </xf>
    <xf numFmtId="3" fontId="7" fillId="0" borderId="36" xfId="9" applyNumberFormat="1" applyFont="1" applyFill="1" applyBorder="1" applyAlignment="1">
      <alignment vertical="center"/>
    </xf>
    <xf numFmtId="3" fontId="7" fillId="0" borderId="71" xfId="9" applyNumberFormat="1" applyFont="1" applyFill="1" applyBorder="1" applyAlignment="1">
      <alignment vertical="center"/>
    </xf>
    <xf numFmtId="3" fontId="20" fillId="0" borderId="71" xfId="10" applyNumberFormat="1" applyFont="1" applyFill="1" applyBorder="1" applyAlignment="1">
      <alignment vertical="center"/>
    </xf>
    <xf numFmtId="3" fontId="13" fillId="0" borderId="71" xfId="9" applyNumberFormat="1" applyFont="1" applyFill="1" applyBorder="1" applyAlignment="1">
      <alignment vertical="center"/>
    </xf>
    <xf numFmtId="3" fontId="14" fillId="0" borderId="71" xfId="9" applyNumberFormat="1" applyFont="1" applyFill="1" applyBorder="1" applyAlignment="1">
      <alignment vertical="center"/>
    </xf>
    <xf numFmtId="3" fontId="13" fillId="0" borderId="17" xfId="9" applyNumberFormat="1" applyFont="1" applyFill="1" applyBorder="1" applyAlignment="1">
      <alignment vertical="center"/>
    </xf>
    <xf numFmtId="3" fontId="14" fillId="0" borderId="134" xfId="9" applyNumberFormat="1" applyFont="1" applyFill="1" applyBorder="1" applyAlignment="1">
      <alignment vertical="center"/>
    </xf>
    <xf numFmtId="3" fontId="17" fillId="0" borderId="140" xfId="9" applyNumberFormat="1" applyFont="1" applyFill="1" applyBorder="1" applyAlignment="1">
      <alignment vertical="center"/>
    </xf>
    <xf numFmtId="0" fontId="35" fillId="0" borderId="139" xfId="0" applyFont="1" applyFill="1" applyBorder="1" applyAlignment="1">
      <alignment horizontal="right" vertical="center" wrapText="1"/>
    </xf>
    <xf numFmtId="0" fontId="35" fillId="0" borderId="140" xfId="0" applyFont="1" applyFill="1" applyBorder="1" applyAlignment="1">
      <alignment horizontal="right" vertical="center" wrapText="1"/>
    </xf>
    <xf numFmtId="0" fontId="35" fillId="0" borderId="140" xfId="0" applyFont="1" applyFill="1" applyBorder="1"/>
    <xf numFmtId="3" fontId="13" fillId="0" borderId="140" xfId="9" applyNumberFormat="1" applyFont="1" applyFill="1" applyBorder="1" applyAlignment="1">
      <alignment vertical="center"/>
    </xf>
    <xf numFmtId="3" fontId="35" fillId="0" borderId="141" xfId="0" applyNumberFormat="1" applyFont="1" applyFill="1" applyBorder="1" applyAlignment="1">
      <alignment vertical="center"/>
    </xf>
    <xf numFmtId="3" fontId="35" fillId="0" borderId="141" xfId="0" applyNumberFormat="1" applyFont="1" applyFill="1" applyBorder="1" applyAlignment="1">
      <alignment horizontal="right" vertical="center"/>
    </xf>
    <xf numFmtId="3" fontId="35" fillId="0" borderId="140" xfId="9" applyNumberFormat="1" applyFont="1" applyFill="1" applyBorder="1" applyAlignment="1">
      <alignment vertical="center"/>
    </xf>
    <xf numFmtId="3" fontId="35" fillId="0" borderId="140" xfId="0" applyNumberFormat="1" applyFont="1" applyFill="1" applyBorder="1" applyAlignment="1">
      <alignment horizontal="right" wrapText="1"/>
    </xf>
    <xf numFmtId="3" fontId="35" fillId="0" borderId="143" xfId="0" applyNumberFormat="1" applyFont="1" applyFill="1" applyBorder="1" applyAlignment="1">
      <alignment horizontal="right" wrapText="1"/>
    </xf>
    <xf numFmtId="3" fontId="13" fillId="0" borderId="203" xfId="9" applyNumberFormat="1" applyFont="1" applyFill="1" applyBorder="1" applyAlignment="1">
      <alignment vertical="center"/>
    </xf>
    <xf numFmtId="3" fontId="14" fillId="0" borderId="134" xfId="0" applyNumberFormat="1" applyFont="1" applyFill="1" applyBorder="1" applyAlignment="1">
      <alignment vertical="center"/>
    </xf>
    <xf numFmtId="3" fontId="13" fillId="0" borderId="0" xfId="0" applyNumberFormat="1" applyFont="1" applyFill="1" applyAlignment="1">
      <alignment vertical="center"/>
    </xf>
    <xf numFmtId="49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8" fillId="0" borderId="198" xfId="4" applyFont="1" applyFill="1" applyBorder="1" applyAlignment="1">
      <alignment vertical="center"/>
    </xf>
    <xf numFmtId="0" fontId="48" fillId="0" borderId="10" xfId="4" applyFont="1" applyFill="1" applyBorder="1" applyAlignment="1">
      <alignment horizontal="center" vertical="center"/>
    </xf>
    <xf numFmtId="3" fontId="56" fillId="0" borderId="199" xfId="4" applyNumberFormat="1" applyFont="1" applyFill="1" applyBorder="1" applyAlignment="1">
      <alignment vertical="center"/>
    </xf>
    <xf numFmtId="3" fontId="54" fillId="0" borderId="198" xfId="4" applyNumberFormat="1" applyFont="1" applyFill="1" applyBorder="1" applyAlignment="1">
      <alignment vertical="center"/>
    </xf>
    <xf numFmtId="3" fontId="49" fillId="0" borderId="134" xfId="4" applyNumberFormat="1" applyFont="1" applyFill="1" applyBorder="1" applyAlignment="1">
      <alignment vertical="center"/>
    </xf>
    <xf numFmtId="3" fontId="49" fillId="0" borderId="89" xfId="4" applyNumberFormat="1" applyFont="1" applyFill="1" applyBorder="1" applyAlignment="1">
      <alignment vertical="center"/>
    </xf>
    <xf numFmtId="0" fontId="49" fillId="0" borderId="176" xfId="4" applyFont="1" applyFill="1" applyBorder="1" applyAlignment="1">
      <alignment horizontal="left" vertical="center" wrapText="1"/>
    </xf>
    <xf numFmtId="49" fontId="51" fillId="0" borderId="97" xfId="4" applyNumberFormat="1" applyFont="1" applyFill="1" applyBorder="1" applyAlignment="1">
      <alignment horizontal="left" vertical="center"/>
    </xf>
    <xf numFmtId="0" fontId="48" fillId="0" borderId="0" xfId="4" applyFont="1" applyFill="1" applyBorder="1" applyAlignment="1">
      <alignment vertical="center"/>
    </xf>
    <xf numFmtId="0" fontId="48" fillId="0" borderId="0" xfId="4" applyFont="1" applyFill="1" applyBorder="1" applyAlignment="1">
      <alignment horizontal="center" vertical="center"/>
    </xf>
    <xf numFmtId="3" fontId="20" fillId="0" borderId="176" xfId="4" applyNumberFormat="1" applyFont="1" applyFill="1" applyBorder="1" applyAlignment="1">
      <alignment vertical="center"/>
    </xf>
    <xf numFmtId="3" fontId="20" fillId="0" borderId="70" xfId="4" applyNumberFormat="1" applyFont="1" applyFill="1" applyBorder="1" applyAlignment="1">
      <alignment vertical="center"/>
    </xf>
    <xf numFmtId="49" fontId="21" fillId="0" borderId="70" xfId="4" applyNumberFormat="1" applyFont="1" applyFill="1" applyBorder="1" applyAlignment="1">
      <alignment vertical="center" wrapText="1"/>
    </xf>
    <xf numFmtId="3" fontId="51" fillId="0" borderId="70" xfId="4" applyNumberFormat="1" applyFont="1" applyFill="1" applyBorder="1" applyAlignment="1">
      <alignment horizontal="center" vertical="center"/>
    </xf>
    <xf numFmtId="0" fontId="49" fillId="0" borderId="176" xfId="4" applyFont="1" applyFill="1" applyBorder="1" applyAlignment="1">
      <alignment horizontal="left" vertical="center"/>
    </xf>
    <xf numFmtId="49" fontId="21" fillId="0" borderId="67" xfId="4" applyNumberFormat="1" applyFont="1" applyFill="1" applyBorder="1" applyAlignment="1">
      <alignment vertical="center" wrapText="1"/>
    </xf>
    <xf numFmtId="3" fontId="51" fillId="0" borderId="68" xfId="4" applyNumberFormat="1" applyFont="1" applyFill="1" applyBorder="1" applyAlignment="1">
      <alignment horizontal="center" vertical="center"/>
    </xf>
    <xf numFmtId="3" fontId="20" fillId="0" borderId="177" xfId="4" applyNumberFormat="1" applyFont="1" applyFill="1" applyBorder="1" applyAlignment="1">
      <alignment vertical="center"/>
    </xf>
    <xf numFmtId="3" fontId="20" fillId="0" borderId="158" xfId="4" applyNumberFormat="1" applyFont="1" applyFill="1" applyBorder="1" applyAlignment="1">
      <alignment vertical="center"/>
    </xf>
    <xf numFmtId="0" fontId="49" fillId="0" borderId="128" xfId="4" applyFont="1" applyFill="1" applyBorder="1" applyAlignment="1">
      <alignment horizontal="left" vertical="center"/>
    </xf>
    <xf numFmtId="49" fontId="21" fillId="0" borderId="95" xfId="4" applyNumberFormat="1" applyFont="1" applyFill="1" applyBorder="1" applyAlignment="1">
      <alignment vertical="center" wrapText="1"/>
    </xf>
    <xf numFmtId="3" fontId="48" fillId="0" borderId="68" xfId="4" applyNumberFormat="1" applyFont="1" applyFill="1" applyBorder="1" applyAlignment="1">
      <alignment vertical="center"/>
    </xf>
    <xf numFmtId="0" fontId="49" fillId="0" borderId="168" xfId="4" applyFont="1" applyFill="1" applyBorder="1" applyAlignment="1">
      <alignment horizontal="left" vertical="center"/>
    </xf>
    <xf numFmtId="49" fontId="21" fillId="0" borderId="78" xfId="4" applyNumberFormat="1" applyFont="1" applyFill="1" applyBorder="1" applyAlignment="1">
      <alignment vertical="center" wrapText="1"/>
    </xf>
    <xf numFmtId="3" fontId="20" fillId="0" borderId="178" xfId="4" applyNumberFormat="1" applyFont="1" applyFill="1" applyBorder="1" applyAlignment="1">
      <alignment vertical="center"/>
    </xf>
    <xf numFmtId="3" fontId="20" fillId="0" borderId="180" xfId="4" applyNumberFormat="1" applyFont="1" applyFill="1" applyBorder="1" applyAlignment="1">
      <alignment vertical="center"/>
    </xf>
    <xf numFmtId="0" fontId="49" fillId="0" borderId="9" xfId="4" applyFont="1" applyFill="1" applyBorder="1" applyAlignment="1">
      <alignment horizontal="left" vertical="center" wrapText="1"/>
    </xf>
    <xf numFmtId="49" fontId="51" fillId="0" borderId="10" xfId="4" applyNumberFormat="1" applyFont="1" applyFill="1" applyBorder="1" applyAlignment="1">
      <alignment horizontal="left" vertical="center" wrapText="1"/>
    </xf>
    <xf numFmtId="3" fontId="48" fillId="0" borderId="89" xfId="4" applyNumberFormat="1" applyFont="1" applyFill="1" applyBorder="1" applyAlignment="1">
      <alignment vertical="center"/>
    </xf>
    <xf numFmtId="0" fontId="49" fillId="0" borderId="111" xfId="4" applyFont="1" applyFill="1" applyBorder="1" applyAlignment="1">
      <alignment horizontal="left" vertical="center" wrapText="1"/>
    </xf>
    <xf numFmtId="49" fontId="51" fillId="0" borderId="111" xfId="4" applyNumberFormat="1" applyFont="1" applyFill="1" applyBorder="1" applyAlignment="1">
      <alignment horizontal="left" vertical="center"/>
    </xf>
    <xf numFmtId="0" fontId="20" fillId="0" borderId="0" xfId="4" applyFont="1" applyFill="1" applyBorder="1" applyAlignment="1">
      <alignment vertical="center"/>
    </xf>
    <xf numFmtId="3" fontId="48" fillId="0" borderId="70" xfId="4" applyNumberFormat="1" applyFont="1" applyFill="1" applyBorder="1" applyAlignment="1">
      <alignment vertical="center"/>
    </xf>
    <xf numFmtId="3" fontId="20" fillId="0" borderId="128" xfId="4" applyNumberFormat="1" applyFont="1" applyFill="1" applyBorder="1" applyAlignment="1">
      <alignment vertical="center"/>
    </xf>
    <xf numFmtId="3" fontId="20" fillId="0" borderId="0" xfId="4" applyNumberFormat="1" applyFont="1" applyFill="1" applyBorder="1" applyAlignment="1">
      <alignment vertical="center"/>
    </xf>
    <xf numFmtId="0" fontId="49" fillId="0" borderId="167" xfId="4" applyFont="1" applyFill="1" applyBorder="1" applyAlignment="1">
      <alignment horizontal="left" vertical="center" wrapText="1"/>
    </xf>
    <xf numFmtId="49" fontId="21" fillId="0" borderId="167" xfId="4" applyNumberFormat="1" applyFont="1" applyFill="1" applyBorder="1" applyAlignment="1">
      <alignment horizontal="left" vertical="center" wrapText="1"/>
    </xf>
    <xf numFmtId="0" fontId="20" fillId="0" borderId="95" xfId="4" applyFont="1" applyFill="1" applyBorder="1" applyAlignment="1">
      <alignment vertical="center"/>
    </xf>
    <xf numFmtId="0" fontId="20" fillId="0" borderId="161" xfId="4" applyFont="1" applyFill="1" applyBorder="1" applyAlignment="1">
      <alignment vertical="center"/>
    </xf>
    <xf numFmtId="3" fontId="48" fillId="0" borderId="180" xfId="4" applyNumberFormat="1" applyFont="1" applyFill="1" applyBorder="1" applyAlignment="1">
      <alignment vertical="center"/>
    </xf>
    <xf numFmtId="0" fontId="49" fillId="0" borderId="5" xfId="4" applyFont="1" applyFill="1" applyBorder="1" applyAlignment="1">
      <alignment horizontal="left" vertical="center" wrapText="1"/>
    </xf>
    <xf numFmtId="49" fontId="51" fillId="0" borderId="198" xfId="4" applyNumberFormat="1" applyFont="1" applyFill="1" applyBorder="1" applyAlignment="1">
      <alignment horizontal="left" vertical="center" wrapText="1"/>
    </xf>
    <xf numFmtId="0" fontId="48" fillId="0" borderId="201" xfId="4" applyFont="1" applyFill="1" applyBorder="1" applyAlignment="1">
      <alignment horizontal="left" vertical="center"/>
    </xf>
    <xf numFmtId="49" fontId="52" fillId="0" borderId="173" xfId="4" applyNumberFormat="1" applyFont="1" applyFill="1" applyBorder="1" applyAlignment="1">
      <alignment vertical="center"/>
    </xf>
    <xf numFmtId="0" fontId="48" fillId="0" borderId="191" xfId="4" applyFont="1" applyFill="1" applyBorder="1" applyAlignment="1">
      <alignment vertical="center"/>
    </xf>
    <xf numFmtId="0" fontId="48" fillId="0" borderId="42" xfId="4" applyFont="1" applyFill="1" applyBorder="1" applyAlignment="1">
      <alignment horizontal="center" vertical="center"/>
    </xf>
    <xf numFmtId="3" fontId="56" fillId="0" borderId="192" xfId="4" applyNumberFormat="1" applyFont="1" applyFill="1" applyBorder="1" applyAlignment="1">
      <alignment vertical="center"/>
    </xf>
    <xf numFmtId="3" fontId="54" fillId="0" borderId="191" xfId="4" applyNumberFormat="1" applyFont="1" applyFill="1" applyBorder="1" applyAlignment="1">
      <alignment vertical="center"/>
    </xf>
    <xf numFmtId="3" fontId="49" fillId="0" borderId="24" xfId="4" applyNumberFormat="1" applyFont="1" applyFill="1" applyBorder="1" applyAlignment="1">
      <alignment vertical="center"/>
    </xf>
    <xf numFmtId="3" fontId="49" fillId="0" borderId="91" xfId="4" applyNumberFormat="1" applyFont="1" applyFill="1" applyBorder="1" applyAlignment="1">
      <alignment vertical="center"/>
    </xf>
    <xf numFmtId="169" fontId="54" fillId="0" borderId="0" xfId="4" applyNumberFormat="1" applyFont="1" applyFill="1" applyAlignment="1">
      <alignment vertical="center"/>
    </xf>
    <xf numFmtId="0" fontId="35" fillId="0" borderId="71" xfId="0" applyFont="1" applyFill="1" applyBorder="1" applyAlignment="1">
      <alignment vertical="center" wrapText="1"/>
    </xf>
    <xf numFmtId="0" fontId="13" fillId="0" borderId="125" xfId="0" applyFont="1" applyFill="1" applyBorder="1" applyAlignment="1">
      <alignment vertical="center"/>
    </xf>
    <xf numFmtId="14" fontId="13" fillId="0" borderId="119" xfId="0" applyNumberFormat="1" applyFont="1" applyFill="1" applyBorder="1" applyAlignment="1">
      <alignment horizontal="center" vertical="center" wrapText="1"/>
    </xf>
    <xf numFmtId="14" fontId="13" fillId="0" borderId="119" xfId="0" applyNumberFormat="1" applyFont="1" applyFill="1" applyBorder="1" applyAlignment="1">
      <alignment horizontal="center" vertical="center"/>
    </xf>
    <xf numFmtId="3" fontId="13" fillId="0" borderId="118" xfId="0" applyNumberFormat="1" applyFont="1" applyFill="1" applyBorder="1" applyAlignment="1">
      <alignment vertical="center"/>
    </xf>
    <xf numFmtId="3" fontId="13" fillId="0" borderId="107" xfId="0" applyNumberFormat="1" applyFont="1" applyFill="1" applyBorder="1" applyAlignment="1">
      <alignment vertical="center"/>
    </xf>
    <xf numFmtId="3" fontId="13" fillId="0" borderId="119" xfId="0" applyNumberFormat="1" applyFont="1" applyFill="1" applyBorder="1" applyAlignment="1">
      <alignment vertical="center"/>
    </xf>
    <xf numFmtId="3" fontId="13" fillId="0" borderId="126" xfId="0" applyNumberFormat="1" applyFont="1" applyFill="1" applyBorder="1" applyAlignment="1">
      <alignment vertical="center"/>
    </xf>
    <xf numFmtId="0" fontId="13" fillId="0" borderId="71" xfId="0" applyFont="1" applyFill="1" applyBorder="1" applyAlignment="1">
      <alignment vertical="center" wrapText="1"/>
    </xf>
    <xf numFmtId="0" fontId="13" fillId="0" borderId="17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87" xfId="0" applyFont="1" applyFill="1" applyBorder="1" applyAlignment="1">
      <alignment horizontal="center" vertical="center" wrapText="1"/>
    </xf>
    <xf numFmtId="0" fontId="24" fillId="0" borderId="117" xfId="0" applyFont="1" applyFill="1" applyBorder="1" applyAlignment="1">
      <alignment horizontal="center" vertical="center" wrapText="1"/>
    </xf>
    <xf numFmtId="168" fontId="39" fillId="5" borderId="66" xfId="4" applyNumberFormat="1" applyFont="1" applyFill="1" applyBorder="1" applyAlignment="1">
      <alignment horizontal="right" vertical="center"/>
    </xf>
    <xf numFmtId="0" fontId="39" fillId="5" borderId="66" xfId="4" applyFont="1" applyFill="1" applyBorder="1" applyAlignment="1">
      <alignment vertical="center"/>
    </xf>
    <xf numFmtId="0" fontId="13" fillId="0" borderId="165" xfId="9" applyFont="1" applyBorder="1" applyAlignment="1">
      <alignment vertical="center" wrapText="1"/>
    </xf>
    <xf numFmtId="0" fontId="48" fillId="0" borderId="168" xfId="0" applyFont="1" applyBorder="1" applyAlignment="1">
      <alignment wrapText="1"/>
    </xf>
    <xf numFmtId="3" fontId="20" fillId="0" borderId="143" xfId="10" applyNumberFormat="1" applyFont="1" applyFill="1" applyBorder="1" applyAlignment="1">
      <alignment vertical="center"/>
    </xf>
    <xf numFmtId="3" fontId="21" fillId="2" borderId="169" xfId="5" applyNumberFormat="1" applyFont="1" applyFill="1" applyBorder="1" applyAlignment="1">
      <alignment vertical="center"/>
    </xf>
    <xf numFmtId="3" fontId="13" fillId="0" borderId="53" xfId="14" applyNumberFormat="1" applyFont="1" applyBorder="1" applyAlignment="1">
      <alignment horizontal="right" vertical="center"/>
    </xf>
    <xf numFmtId="3" fontId="13" fillId="0" borderId="151" xfId="9" applyNumberFormat="1" applyFont="1" applyBorder="1" applyAlignment="1">
      <alignment horizontal="right" vertical="center"/>
    </xf>
    <xf numFmtId="3" fontId="13" fillId="0" borderId="151" xfId="9" applyNumberFormat="1" applyFont="1" applyFill="1" applyBorder="1" applyAlignment="1">
      <alignment horizontal="right" vertical="center"/>
    </xf>
    <xf numFmtId="3" fontId="13" fillId="0" borderId="49" xfId="9" applyNumberFormat="1" applyFont="1" applyFill="1" applyBorder="1" applyAlignment="1">
      <alignment horizontal="right" vertical="center"/>
    </xf>
    <xf numFmtId="3" fontId="14" fillId="0" borderId="150" xfId="14" applyNumberFormat="1" applyFont="1" applyFill="1" applyBorder="1" applyAlignment="1">
      <alignment horizontal="center" vertical="center" wrapText="1"/>
    </xf>
    <xf numFmtId="3" fontId="14" fillId="0" borderId="143" xfId="14" applyNumberFormat="1" applyFont="1" applyFill="1" applyBorder="1" applyAlignment="1">
      <alignment horizontal="center" vertical="center" wrapText="1"/>
    </xf>
    <xf numFmtId="3" fontId="14" fillId="0" borderId="93" xfId="14" applyNumberFormat="1" applyFont="1" applyBorder="1" applyAlignment="1">
      <alignment horizontal="right" vertical="center"/>
    </xf>
    <xf numFmtId="3" fontId="14" fillId="0" borderId="202" xfId="14" applyNumberFormat="1" applyFont="1" applyBorder="1" applyAlignment="1">
      <alignment horizontal="right" vertical="center"/>
    </xf>
    <xf numFmtId="3" fontId="14" fillId="0" borderId="203" xfId="9" applyNumberFormat="1" applyFont="1" applyFill="1" applyBorder="1" applyAlignment="1">
      <alignment horizontal="right" vertical="center"/>
    </xf>
    <xf numFmtId="0" fontId="4" fillId="0" borderId="62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62" xfId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61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3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20" fillId="0" borderId="115" xfId="5" applyFont="1" applyBorder="1" applyAlignment="1">
      <alignment horizontal="center" vertical="center"/>
    </xf>
    <xf numFmtId="0" fontId="20" fillId="0" borderId="154" xfId="5" applyFont="1" applyBorder="1" applyAlignment="1">
      <alignment horizontal="center" vertical="center"/>
    </xf>
    <xf numFmtId="49" fontId="7" fillId="0" borderId="116" xfId="0" applyNumberFormat="1" applyFont="1" applyBorder="1" applyAlignment="1">
      <alignment horizontal="center" vertical="center"/>
    </xf>
    <xf numFmtId="49" fontId="7" fillId="0" borderId="111" xfId="0" applyNumberFormat="1" applyFont="1" applyBorder="1" applyAlignment="1">
      <alignment horizontal="center" vertical="center"/>
    </xf>
    <xf numFmtId="0" fontId="7" fillId="0" borderId="117" xfId="0" applyFont="1" applyBorder="1" applyAlignment="1">
      <alignment horizontal="left" vertical="center" wrapText="1"/>
    </xf>
    <xf numFmtId="0" fontId="7" fillId="0" borderId="155" xfId="0" applyFont="1" applyBorder="1" applyAlignment="1">
      <alignment horizontal="left" vertical="center" wrapText="1"/>
    </xf>
    <xf numFmtId="0" fontId="20" fillId="0" borderId="29" xfId="5" applyFont="1" applyBorder="1" applyAlignment="1">
      <alignment horizontal="center" vertical="center"/>
    </xf>
    <xf numFmtId="0" fontId="20" fillId="0" borderId="15" xfId="5" applyFont="1" applyBorder="1" applyAlignment="1">
      <alignment horizontal="center" vertical="center"/>
    </xf>
    <xf numFmtId="49" fontId="7" fillId="0" borderId="43" xfId="0" applyNumberFormat="1" applyFont="1" applyBorder="1" applyAlignment="1">
      <alignment horizontal="center" vertical="center"/>
    </xf>
    <xf numFmtId="49" fontId="7" fillId="0" borderId="42" xfId="0" applyNumberFormat="1" applyFont="1" applyBorder="1" applyAlignment="1">
      <alignment horizontal="center" vertical="center"/>
    </xf>
    <xf numFmtId="0" fontId="7" fillId="0" borderId="26" xfId="0" applyFont="1" applyBorder="1" applyAlignment="1">
      <alignment horizontal="left" vertical="center" wrapText="1"/>
    </xf>
    <xf numFmtId="0" fontId="21" fillId="0" borderId="57" xfId="5" applyFont="1" applyBorder="1" applyAlignment="1">
      <alignment horizontal="center" vertical="center"/>
    </xf>
    <xf numFmtId="0" fontId="21" fillId="0" borderId="59" xfId="5" applyFont="1" applyBorder="1" applyAlignment="1">
      <alignment horizontal="center" vertical="center"/>
    </xf>
    <xf numFmtId="0" fontId="21" fillId="0" borderId="0" xfId="5" applyFont="1" applyAlignment="1">
      <alignment horizontal="center" vertical="center" wrapText="1"/>
    </xf>
    <xf numFmtId="0" fontId="14" fillId="0" borderId="0" xfId="4" applyFont="1" applyAlignment="1">
      <alignment horizontal="center" vertical="center"/>
    </xf>
    <xf numFmtId="0" fontId="21" fillId="0" borderId="58" xfId="5" applyFont="1" applyBorder="1" applyAlignment="1">
      <alignment horizontal="center" vertical="center"/>
    </xf>
    <xf numFmtId="0" fontId="21" fillId="0" borderId="79" xfId="5" applyFont="1" applyBorder="1" applyAlignment="1">
      <alignment horizontal="center" vertical="center"/>
    </xf>
    <xf numFmtId="0" fontId="21" fillId="0" borderId="82" xfId="5" applyFont="1" applyBorder="1" applyAlignment="1">
      <alignment horizontal="center" vertical="center"/>
    </xf>
    <xf numFmtId="0" fontId="21" fillId="0" borderId="83" xfId="5" applyFont="1" applyBorder="1" applyAlignment="1">
      <alignment horizontal="center" vertical="center"/>
    </xf>
    <xf numFmtId="0" fontId="21" fillId="0" borderId="60" xfId="5" applyFont="1" applyBorder="1" applyAlignment="1">
      <alignment horizontal="center" vertical="center"/>
    </xf>
    <xf numFmtId="0" fontId="21" fillId="0" borderId="84" xfId="5" applyFont="1" applyBorder="1" applyAlignment="1">
      <alignment horizontal="center" vertical="center"/>
    </xf>
    <xf numFmtId="0" fontId="20" fillId="2" borderId="115" xfId="5" applyFont="1" applyFill="1" applyBorder="1" applyAlignment="1">
      <alignment horizontal="center" vertical="center"/>
    </xf>
    <xf numFmtId="0" fontId="20" fillId="2" borderId="122" xfId="5" applyFont="1" applyFill="1" applyBorder="1" applyAlignment="1">
      <alignment horizontal="center" vertical="center"/>
    </xf>
    <xf numFmtId="49" fontId="20" fillId="0" borderId="116" xfId="5" applyNumberFormat="1" applyFont="1" applyBorder="1" applyAlignment="1">
      <alignment horizontal="center" vertical="center"/>
    </xf>
    <xf numFmtId="49" fontId="20" fillId="0" borderId="111" xfId="5" applyNumberFormat="1" applyFont="1" applyBorder="1" applyAlignment="1">
      <alignment horizontal="center" vertical="center"/>
    </xf>
    <xf numFmtId="0" fontId="20" fillId="0" borderId="113" xfId="5" applyFont="1" applyBorder="1" applyAlignment="1">
      <alignment vertical="center" wrapText="1"/>
    </xf>
    <xf numFmtId="0" fontId="20" fillId="0" borderId="124" xfId="5" applyFont="1" applyBorder="1" applyAlignment="1">
      <alignment vertical="center" wrapText="1"/>
    </xf>
    <xf numFmtId="0" fontId="20" fillId="0" borderId="122" xfId="5" applyFont="1" applyBorder="1" applyAlignment="1">
      <alignment horizontal="center" vertical="center"/>
    </xf>
    <xf numFmtId="0" fontId="20" fillId="0" borderId="113" xfId="5" applyFont="1" applyBorder="1" applyAlignment="1">
      <alignment horizontal="left" vertical="center" wrapText="1"/>
    </xf>
    <xf numFmtId="0" fontId="20" fillId="0" borderId="124" xfId="5" applyFont="1" applyBorder="1" applyAlignment="1">
      <alignment horizontal="left" vertical="center" wrapText="1"/>
    </xf>
    <xf numFmtId="0" fontId="20" fillId="2" borderId="22" xfId="5" applyFont="1" applyFill="1" applyBorder="1" applyAlignment="1">
      <alignment horizontal="center" vertical="center"/>
    </xf>
    <xf numFmtId="49" fontId="20" fillId="0" borderId="48" xfId="5" applyNumberFormat="1" applyFont="1" applyBorder="1" applyAlignment="1">
      <alignment horizontal="center" vertical="center"/>
    </xf>
    <xf numFmtId="0" fontId="20" fillId="0" borderId="90" xfId="5" applyFont="1" applyBorder="1" applyAlignment="1">
      <alignment horizontal="left" vertical="center" wrapText="1"/>
    </xf>
    <xf numFmtId="0" fontId="7" fillId="0" borderId="113" xfId="0" applyFont="1" applyBorder="1" applyAlignment="1">
      <alignment horizontal="left" vertical="center" wrapText="1"/>
    </xf>
    <xf numFmtId="0" fontId="7" fillId="0" borderId="124" xfId="0" applyFont="1" applyBorder="1" applyAlignment="1">
      <alignment horizontal="left" vertical="center" wrapText="1"/>
    </xf>
    <xf numFmtId="0" fontId="20" fillId="0" borderId="117" xfId="5" applyFont="1" applyBorder="1" applyAlignment="1">
      <alignment horizontal="left" vertical="center" wrapText="1"/>
    </xf>
    <xf numFmtId="0" fontId="20" fillId="0" borderId="155" xfId="5" applyFont="1" applyBorder="1" applyAlignment="1">
      <alignment horizontal="left" vertical="center" wrapText="1"/>
    </xf>
    <xf numFmtId="0" fontId="20" fillId="0" borderId="115" xfId="5" applyFont="1" applyFill="1" applyBorder="1" applyAlignment="1">
      <alignment horizontal="center" vertical="center"/>
    </xf>
    <xf numFmtId="0" fontId="20" fillId="0" borderId="154" xfId="5" applyFont="1" applyFill="1" applyBorder="1" applyAlignment="1">
      <alignment horizontal="center" vertical="center"/>
    </xf>
    <xf numFmtId="49" fontId="7" fillId="0" borderId="116" xfId="0" applyNumberFormat="1" applyFont="1" applyFill="1" applyBorder="1" applyAlignment="1">
      <alignment horizontal="center" vertical="center"/>
    </xf>
    <xf numFmtId="49" fontId="7" fillId="0" borderId="111" xfId="0" applyNumberFormat="1" applyFont="1" applyFill="1" applyBorder="1" applyAlignment="1">
      <alignment horizontal="center" vertical="center"/>
    </xf>
    <xf numFmtId="0" fontId="7" fillId="0" borderId="117" xfId="0" applyFont="1" applyFill="1" applyBorder="1" applyAlignment="1">
      <alignment horizontal="left" vertical="center" wrapText="1"/>
    </xf>
    <xf numFmtId="0" fontId="7" fillId="0" borderId="155" xfId="0" applyFont="1" applyFill="1" applyBorder="1" applyAlignment="1">
      <alignment horizontal="left" vertical="center" wrapText="1"/>
    </xf>
    <xf numFmtId="0" fontId="20" fillId="0" borderId="57" xfId="5" applyFont="1" applyBorder="1" applyAlignment="1">
      <alignment horizontal="center" vertical="center"/>
    </xf>
    <xf numFmtId="0" fontId="20" fillId="0" borderId="8" xfId="5" applyFont="1" applyBorder="1" applyAlignment="1">
      <alignment horizontal="center" vertical="center"/>
    </xf>
    <xf numFmtId="0" fontId="21" fillId="0" borderId="110" xfId="5" applyFont="1" applyBorder="1" applyAlignment="1">
      <alignment horizontal="center" vertical="center"/>
    </xf>
    <xf numFmtId="0" fontId="21" fillId="0" borderId="53" xfId="5" applyFont="1" applyBorder="1" applyAlignment="1">
      <alignment horizontal="left" vertical="center" wrapText="1"/>
    </xf>
    <xf numFmtId="0" fontId="21" fillId="0" borderId="49" xfId="5" applyFont="1" applyBorder="1" applyAlignment="1">
      <alignment horizontal="left" vertical="center" wrapText="1"/>
    </xf>
    <xf numFmtId="0" fontId="21" fillId="0" borderId="124" xfId="5" applyFont="1" applyBorder="1" applyAlignment="1">
      <alignment horizontal="left" vertical="center" wrapText="1"/>
    </xf>
    <xf numFmtId="0" fontId="21" fillId="0" borderId="111" xfId="5" applyFont="1" applyBorder="1" applyAlignment="1">
      <alignment horizontal="center" vertical="center"/>
    </xf>
    <xf numFmtId="0" fontId="21" fillId="0" borderId="53" xfId="5" applyFont="1" applyBorder="1" applyAlignment="1">
      <alignment horizontal="center" vertical="center"/>
    </xf>
    <xf numFmtId="0" fontId="21" fillId="0" borderId="113" xfId="5" applyFont="1" applyBorder="1" applyAlignment="1">
      <alignment horizontal="center" vertical="center"/>
    </xf>
    <xf numFmtId="0" fontId="21" fillId="0" borderId="59" xfId="5" applyFont="1" applyBorder="1" applyAlignment="1">
      <alignment horizontal="left" vertical="center" wrapText="1"/>
    </xf>
    <xf numFmtId="0" fontId="21" fillId="0" borderId="203" xfId="5" applyFont="1" applyBorder="1" applyAlignment="1">
      <alignment horizontal="left" vertical="center" wrapText="1"/>
    </xf>
    <xf numFmtId="0" fontId="44" fillId="0" borderId="167" xfId="6" applyFont="1" applyBorder="1" applyAlignment="1">
      <alignment horizontal="left" vertical="center" wrapText="1"/>
    </xf>
    <xf numFmtId="0" fontId="44" fillId="0" borderId="111" xfId="6" applyFont="1" applyBorder="1" applyAlignment="1">
      <alignment horizontal="left" vertical="center" wrapText="1"/>
    </xf>
    <xf numFmtId="49" fontId="44" fillId="0" borderId="167" xfId="6" applyNumberFormat="1" applyFont="1" applyBorder="1" applyAlignment="1">
      <alignment horizontal="center" vertical="center"/>
    </xf>
    <xf numFmtId="49" fontId="44" fillId="0" borderId="111" xfId="6" applyNumberFormat="1" applyFont="1" applyBorder="1" applyAlignment="1">
      <alignment horizontal="center" vertical="center"/>
    </xf>
    <xf numFmtId="0" fontId="44" fillId="2" borderId="150" xfId="6" applyFont="1" applyFill="1" applyBorder="1" applyAlignment="1">
      <alignment horizontal="center" vertical="center"/>
    </xf>
    <xf numFmtId="0" fontId="44" fillId="2" borderId="154" xfId="6" applyFont="1" applyFill="1" applyBorder="1" applyAlignment="1">
      <alignment horizontal="center" vertical="center"/>
    </xf>
    <xf numFmtId="0" fontId="43" fillId="0" borderId="57" xfId="6" applyFont="1" applyBorder="1" applyAlignment="1">
      <alignment horizontal="left" vertical="center"/>
    </xf>
    <xf numFmtId="0" fontId="43" fillId="0" borderId="58" xfId="6" applyFont="1" applyBorder="1" applyAlignment="1">
      <alignment horizontal="left" vertical="center"/>
    </xf>
    <xf numFmtId="0" fontId="43" fillId="0" borderId="8" xfId="6" applyFont="1" applyBorder="1" applyAlignment="1">
      <alignment horizontal="left" vertical="center"/>
    </xf>
    <xf numFmtId="0" fontId="43" fillId="0" borderId="110" xfId="6" applyFont="1" applyBorder="1" applyAlignment="1">
      <alignment horizontal="left" vertical="center"/>
    </xf>
    <xf numFmtId="0" fontId="43" fillId="0" borderId="153" xfId="6" applyFont="1" applyBorder="1" applyAlignment="1">
      <alignment horizontal="left" vertical="center"/>
    </xf>
    <xf numFmtId="0" fontId="43" fillId="0" borderId="78" xfId="6" applyFont="1" applyBorder="1" applyAlignment="1">
      <alignment horizontal="left" vertical="center"/>
    </xf>
    <xf numFmtId="0" fontId="43" fillId="0" borderId="55" xfId="6" applyFont="1" applyBorder="1" applyAlignment="1">
      <alignment horizontal="left" vertical="center"/>
    </xf>
    <xf numFmtId="0" fontId="43" fillId="0" borderId="114" xfId="6" applyFont="1" applyBorder="1" applyAlignment="1">
      <alignment horizontal="left" vertical="center"/>
    </xf>
    <xf numFmtId="0" fontId="43" fillId="0" borderId="153" xfId="6" applyFont="1" applyBorder="1" applyAlignment="1">
      <alignment horizontal="left" vertical="center" wrapText="1"/>
    </xf>
    <xf numFmtId="0" fontId="43" fillId="0" borderId="78" xfId="6" applyFont="1" applyBorder="1" applyAlignment="1">
      <alignment horizontal="left" vertical="center" wrapText="1"/>
    </xf>
    <xf numFmtId="0" fontId="43" fillId="0" borderId="55" xfId="6" applyFont="1" applyBorder="1" applyAlignment="1">
      <alignment horizontal="left" vertical="center" wrapText="1"/>
    </xf>
    <xf numFmtId="0" fontId="43" fillId="0" borderId="114" xfId="6" applyFont="1" applyBorder="1" applyAlignment="1">
      <alignment horizontal="left" vertical="center" wrapText="1"/>
    </xf>
    <xf numFmtId="0" fontId="43" fillId="0" borderId="59" xfId="6" applyFont="1" applyBorder="1" applyAlignment="1">
      <alignment horizontal="left" vertical="center"/>
    </xf>
    <xf numFmtId="0" fontId="43" fillId="0" borderId="37" xfId="6" applyFont="1" applyBorder="1" applyAlignment="1">
      <alignment horizontal="left" vertical="center"/>
    </xf>
    <xf numFmtId="0" fontId="43" fillId="0" borderId="21" xfId="6" applyFont="1" applyBorder="1" applyAlignment="1">
      <alignment horizontal="left" vertical="center"/>
    </xf>
    <xf numFmtId="0" fontId="43" fillId="0" borderId="120" xfId="6" applyFont="1" applyBorder="1" applyAlignment="1">
      <alignment horizontal="left" vertical="center"/>
    </xf>
    <xf numFmtId="0" fontId="43" fillId="0" borderId="28" xfId="6" applyFont="1" applyBorder="1" applyAlignment="1">
      <alignment horizontal="left" vertical="center"/>
    </xf>
    <xf numFmtId="0" fontId="43" fillId="0" borderId="0" xfId="6" applyFont="1" applyAlignment="1">
      <alignment horizontal="left" vertical="center"/>
    </xf>
    <xf numFmtId="0" fontId="43" fillId="0" borderId="121" xfId="6" applyFont="1" applyBorder="1" applyAlignment="1">
      <alignment horizontal="left" vertical="center"/>
    </xf>
    <xf numFmtId="0" fontId="43" fillId="0" borderId="150" xfId="6" applyFont="1" applyBorder="1" applyAlignment="1">
      <alignment horizontal="left" vertical="center"/>
    </xf>
    <xf numFmtId="0" fontId="43" fillId="0" borderId="167" xfId="6" applyFont="1" applyBorder="1" applyAlignment="1">
      <alignment horizontal="left" vertical="center"/>
    </xf>
    <xf numFmtId="0" fontId="65" fillId="0" borderId="78" xfId="0" applyFont="1" applyBorder="1" applyAlignment="1">
      <alignment horizontal="center" wrapText="1"/>
    </xf>
    <xf numFmtId="0" fontId="65" fillId="0" borderId="123" xfId="0" applyFont="1" applyBorder="1" applyAlignment="1">
      <alignment horizontal="center" wrapText="1"/>
    </xf>
    <xf numFmtId="0" fontId="43" fillId="0" borderId="57" xfId="6" applyFont="1" applyBorder="1" applyAlignment="1">
      <alignment horizontal="center" vertical="center"/>
    </xf>
    <xf numFmtId="0" fontId="43" fillId="0" borderId="58" xfId="6" applyFont="1" applyBorder="1" applyAlignment="1">
      <alignment horizontal="center" vertical="center"/>
    </xf>
    <xf numFmtId="0" fontId="43" fillId="0" borderId="59" xfId="6" applyFont="1" applyBorder="1" applyAlignment="1">
      <alignment horizontal="center" vertical="center"/>
    </xf>
    <xf numFmtId="0" fontId="44" fillId="0" borderId="43" xfId="6" applyFont="1" applyBorder="1" applyAlignment="1">
      <alignment horizontal="left" vertical="center" wrapText="1"/>
    </xf>
    <xf numFmtId="0" fontId="43" fillId="0" borderId="53" xfId="6" applyFont="1" applyBorder="1" applyAlignment="1">
      <alignment horizontal="center" vertical="center"/>
    </xf>
    <xf numFmtId="0" fontId="43" fillId="0" borderId="150" xfId="6" applyFont="1" applyBorder="1" applyAlignment="1">
      <alignment horizontal="center" vertical="center"/>
    </xf>
    <xf numFmtId="0" fontId="43" fillId="0" borderId="167" xfId="6" applyFont="1" applyBorder="1" applyAlignment="1">
      <alignment horizontal="center" vertical="center"/>
    </xf>
    <xf numFmtId="0" fontId="43" fillId="0" borderId="153" xfId="6" applyFont="1" applyBorder="1" applyAlignment="1">
      <alignment horizontal="center" vertical="center"/>
    </xf>
    <xf numFmtId="3" fontId="43" fillId="0" borderId="60" xfId="6" applyNumberFormat="1" applyFont="1" applyBorder="1" applyAlignment="1">
      <alignment horizontal="center" vertical="center"/>
    </xf>
    <xf numFmtId="3" fontId="43" fillId="0" borderId="168" xfId="6" applyNumberFormat="1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62" xfId="6" applyFont="1" applyBorder="1" applyAlignment="1">
      <alignment horizontal="left" vertical="center"/>
    </xf>
    <xf numFmtId="0" fontId="43" fillId="0" borderId="44" xfId="6" applyFont="1" applyBorder="1" applyAlignment="1">
      <alignment horizontal="left" vertical="center"/>
    </xf>
    <xf numFmtId="0" fontId="43" fillId="0" borderId="61" xfId="6" applyFont="1" applyBorder="1" applyAlignment="1">
      <alignment horizontal="left" vertical="center"/>
    </xf>
    <xf numFmtId="0" fontId="44" fillId="2" borderId="29" xfId="6" applyFont="1" applyFill="1" applyBorder="1" applyAlignment="1">
      <alignment horizontal="center" vertical="center"/>
    </xf>
    <xf numFmtId="49" fontId="44" fillId="0" borderId="43" xfId="6" applyNumberFormat="1" applyFont="1" applyBorder="1" applyAlignment="1">
      <alignment horizontal="center" vertical="center"/>
    </xf>
    <xf numFmtId="0" fontId="43" fillId="0" borderId="60" xfId="6" applyFont="1" applyBorder="1" applyAlignment="1">
      <alignment horizontal="center" vertical="center"/>
    </xf>
    <xf numFmtId="0" fontId="43" fillId="0" borderId="168" xfId="6" applyFont="1" applyBorder="1" applyAlignment="1">
      <alignment horizontal="center" vertical="center"/>
    </xf>
    <xf numFmtId="164" fontId="21" fillId="5" borderId="163" xfId="19" applyFont="1" applyFill="1" applyBorder="1" applyAlignment="1">
      <alignment horizontal="center" vertical="center" wrapText="1"/>
    </xf>
    <xf numFmtId="0" fontId="14" fillId="0" borderId="162" xfId="0" applyFont="1" applyBorder="1" applyAlignment="1">
      <alignment horizontal="center" vertical="center" wrapText="1"/>
    </xf>
    <xf numFmtId="164" fontId="40" fillId="5" borderId="163" xfId="19" applyFont="1" applyFill="1" applyBorder="1" applyAlignment="1">
      <alignment horizontal="center" vertical="center" wrapText="1"/>
    </xf>
    <xf numFmtId="0" fontId="13" fillId="0" borderId="162" xfId="0" applyFont="1" applyBorder="1" applyAlignment="1">
      <alignment horizontal="center" vertical="center" wrapText="1"/>
    </xf>
    <xf numFmtId="3" fontId="14" fillId="0" borderId="162" xfId="0" applyNumberFormat="1" applyFont="1" applyBorder="1" applyAlignment="1">
      <alignment horizontal="center" vertical="center" wrapText="1"/>
    </xf>
    <xf numFmtId="3" fontId="14" fillId="0" borderId="110" xfId="0" applyNumberFormat="1" applyFont="1" applyBorder="1" applyAlignment="1">
      <alignment horizontal="center" vertical="center" wrapText="1"/>
    </xf>
    <xf numFmtId="3" fontId="21" fillId="5" borderId="163" xfId="19" applyNumberFormat="1" applyFont="1" applyFill="1" applyBorder="1" applyAlignment="1">
      <alignment horizontal="center" vertical="center" wrapText="1"/>
    </xf>
    <xf numFmtId="3" fontId="21" fillId="5" borderId="202" xfId="19" applyNumberFormat="1" applyFont="1" applyFill="1" applyBorder="1" applyAlignment="1">
      <alignment horizontal="center" vertical="center" wrapText="1"/>
    </xf>
    <xf numFmtId="0" fontId="24" fillId="0" borderId="162" xfId="0" applyFont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14" fillId="0" borderId="163" xfId="0" applyFont="1" applyBorder="1" applyAlignment="1">
      <alignment horizontal="center" vertical="center" wrapText="1"/>
    </xf>
    <xf numFmtId="0" fontId="13" fillId="2" borderId="162" xfId="0" applyFont="1" applyFill="1" applyBorder="1" applyAlignment="1">
      <alignment horizontal="center" vertical="center" wrapText="1"/>
    </xf>
    <xf numFmtId="164" fontId="41" fillId="5" borderId="163" xfId="19" applyFont="1" applyFill="1" applyBorder="1" applyAlignment="1">
      <alignment horizontal="center" vertical="center" wrapText="1"/>
    </xf>
    <xf numFmtId="164" fontId="59" fillId="5" borderId="163" xfId="19" applyFont="1" applyFill="1" applyBorder="1" applyAlignment="1">
      <alignment horizontal="center" vertical="center" wrapText="1"/>
    </xf>
    <xf numFmtId="164" fontId="42" fillId="5" borderId="163" xfId="19" applyFont="1" applyFill="1" applyBorder="1" applyAlignment="1">
      <alignment horizontal="center" vertical="center" wrapText="1"/>
    </xf>
    <xf numFmtId="164" fontId="21" fillId="5" borderId="57" xfId="19" applyFont="1" applyFill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14" fillId="0" borderId="117" xfId="0" applyFont="1" applyBorder="1" applyAlignment="1">
      <alignment horizontal="center" vertical="center" wrapText="1"/>
    </xf>
    <xf numFmtId="0" fontId="21" fillId="0" borderId="0" xfId="6" applyFont="1" applyAlignment="1">
      <alignment horizontal="center" vertical="center" wrapText="1"/>
    </xf>
    <xf numFmtId="0" fontId="14" fillId="0" borderId="115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116" xfId="0" applyFont="1" applyBorder="1" applyAlignment="1">
      <alignment horizontal="center"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3" fillId="0" borderId="116" xfId="0" applyFont="1" applyFill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4" fillId="0" borderId="115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/>
    </xf>
    <xf numFmtId="0" fontId="7" fillId="0" borderId="116" xfId="0" applyFont="1" applyBorder="1" applyAlignment="1">
      <alignment horizontal="center" vertical="center"/>
    </xf>
    <xf numFmtId="0" fontId="24" fillId="0" borderId="202" xfId="0" applyFont="1" applyBorder="1" applyAlignment="1">
      <alignment horizontal="center" vertical="center" wrapText="1"/>
    </xf>
    <xf numFmtId="0" fontId="7" fillId="0" borderId="110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115" xfId="0" applyBorder="1" applyAlignment="1">
      <alignment wrapText="1"/>
    </xf>
    <xf numFmtId="0" fontId="24" fillId="0" borderId="58" xfId="0" applyFont="1" applyBorder="1" applyAlignment="1">
      <alignment horizontal="center" vertical="center" wrapText="1"/>
    </xf>
    <xf numFmtId="0" fontId="0" fillId="0" borderId="116" xfId="0" applyBorder="1" applyAlignment="1">
      <alignment wrapText="1"/>
    </xf>
    <xf numFmtId="0" fontId="7" fillId="0" borderId="58" xfId="0" applyFont="1" applyFill="1" applyBorder="1" applyAlignment="1">
      <alignment horizontal="center" vertical="center"/>
    </xf>
    <xf numFmtId="0" fontId="0" fillId="0" borderId="116" xfId="0" applyFill="1" applyBorder="1"/>
    <xf numFmtId="0" fontId="24" fillId="0" borderId="0" xfId="0" applyFont="1" applyBorder="1" applyAlignment="1">
      <alignment horizontal="center"/>
    </xf>
    <xf numFmtId="0" fontId="24" fillId="0" borderId="58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05" xfId="0" applyFont="1" applyBorder="1" applyAlignment="1">
      <alignment horizontal="center" vertical="center" wrapText="1"/>
    </xf>
    <xf numFmtId="0" fontId="7" fillId="0" borderId="111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 wrapText="1"/>
    </xf>
    <xf numFmtId="0" fontId="34" fillId="0" borderId="163" xfId="0" applyFont="1" applyBorder="1" applyAlignment="1">
      <alignment horizontal="center" vertical="center" wrapText="1"/>
    </xf>
    <xf numFmtId="0" fontId="7" fillId="0" borderId="162" xfId="0" applyFont="1" applyBorder="1" applyAlignment="1">
      <alignment horizontal="center" vertical="center"/>
    </xf>
    <xf numFmtId="0" fontId="24" fillId="0" borderId="163" xfId="0" applyFont="1" applyBorder="1" applyAlignment="1">
      <alignment horizontal="center" vertical="center" wrapText="1"/>
    </xf>
    <xf numFmtId="0" fontId="24" fillId="0" borderId="162" xfId="0" applyFont="1" applyBorder="1" applyAlignment="1">
      <alignment horizontal="center" vertical="center"/>
    </xf>
    <xf numFmtId="0" fontId="24" fillId="0" borderId="110" xfId="0" applyFont="1" applyBorder="1" applyAlignment="1">
      <alignment horizontal="center" vertical="center"/>
    </xf>
    <xf numFmtId="0" fontId="34" fillId="0" borderId="115" xfId="0" applyFont="1" applyBorder="1" applyAlignment="1">
      <alignment horizontal="center" vertical="center" wrapText="1"/>
    </xf>
    <xf numFmtId="0" fontId="34" fillId="0" borderId="202" xfId="0" applyFont="1" applyBorder="1" applyAlignment="1">
      <alignment horizontal="center" vertical="center" wrapText="1"/>
    </xf>
    <xf numFmtId="0" fontId="34" fillId="0" borderId="205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110" xfId="0" applyFont="1" applyBorder="1" applyAlignment="1">
      <alignment horizontal="center" vertical="center" wrapText="1"/>
    </xf>
    <xf numFmtId="0" fontId="24" fillId="0" borderId="111" xfId="0" applyFont="1" applyBorder="1" applyAlignment="1">
      <alignment horizontal="center" vertical="center" wrapText="1"/>
    </xf>
    <xf numFmtId="0" fontId="24" fillId="0" borderId="110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7" fillId="0" borderId="202" xfId="0" applyFont="1" applyBorder="1" applyAlignment="1">
      <alignment horizontal="center" vertical="center" wrapText="1"/>
    </xf>
    <xf numFmtId="0" fontId="7" fillId="0" borderId="205" xfId="0" applyFont="1" applyBorder="1" applyAlignment="1">
      <alignment horizontal="center" vertical="center" wrapText="1"/>
    </xf>
    <xf numFmtId="0" fontId="7" fillId="0" borderId="115" xfId="0" applyFont="1" applyBorder="1" applyAlignment="1">
      <alignment horizontal="center" vertical="center" wrapText="1"/>
    </xf>
    <xf numFmtId="0" fontId="7" fillId="0" borderId="111" xfId="0" applyFont="1" applyBorder="1" applyAlignment="1">
      <alignment horizontal="center" vertical="center" wrapText="1"/>
    </xf>
    <xf numFmtId="0" fontId="7" fillId="0" borderId="116" xfId="0" applyFont="1" applyBorder="1" applyAlignment="1">
      <alignment horizontal="center" vertical="center" wrapText="1"/>
    </xf>
    <xf numFmtId="0" fontId="24" fillId="0" borderId="116" xfId="0" applyFont="1" applyBorder="1" applyAlignment="1">
      <alignment horizontal="center" vertical="center" wrapText="1"/>
    </xf>
    <xf numFmtId="0" fontId="14" fillId="0" borderId="0" xfId="9" applyFont="1" applyAlignment="1">
      <alignment horizontal="center" vertical="center" wrapText="1"/>
    </xf>
    <xf numFmtId="0" fontId="14" fillId="0" borderId="0" xfId="9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12" applyFont="1" applyAlignment="1">
      <alignment horizontal="center" vertical="center" wrapText="1"/>
    </xf>
    <xf numFmtId="0" fontId="14" fillId="0" borderId="62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1" fillId="0" borderId="66" xfId="20" applyFont="1" applyBorder="1" applyAlignment="1" applyProtection="1">
      <alignment horizontal="center" vertical="center" wrapText="1"/>
    </xf>
    <xf numFmtId="0" fontId="41" fillId="0" borderId="66" xfId="20" applyFont="1" applyBorder="1" applyAlignment="1" applyProtection="1">
      <alignment horizontal="left"/>
    </xf>
    <xf numFmtId="0" fontId="21" fillId="0" borderId="0" xfId="20" applyFont="1" applyAlignment="1" applyProtection="1">
      <alignment horizontal="center" vertical="center"/>
    </xf>
    <xf numFmtId="0" fontId="0" fillId="0" borderId="70" xfId="0" applyBorder="1"/>
    <xf numFmtId="0" fontId="21" fillId="0" borderId="68" xfId="20" applyFont="1" applyBorder="1" applyAlignment="1" applyProtection="1">
      <alignment horizontal="center" vertical="center" wrapText="1"/>
    </xf>
    <xf numFmtId="0" fontId="21" fillId="0" borderId="67" xfId="20" applyFont="1" applyBorder="1" applyAlignment="1" applyProtection="1">
      <alignment horizontal="center" vertical="center" wrapText="1"/>
    </xf>
    <xf numFmtId="3" fontId="21" fillId="0" borderId="68" xfId="20" applyNumberFormat="1" applyFont="1" applyBorder="1" applyAlignment="1" applyProtection="1">
      <alignment horizontal="center" vertical="center" wrapText="1"/>
    </xf>
    <xf numFmtId="3" fontId="21" fillId="0" borderId="67" xfId="20" applyNumberFormat="1" applyFont="1" applyBorder="1" applyAlignment="1" applyProtection="1">
      <alignment horizontal="center" vertical="center" wrapText="1"/>
    </xf>
    <xf numFmtId="0" fontId="21" fillId="0" borderId="94" xfId="20" applyFont="1" applyBorder="1" applyAlignment="1" applyProtection="1">
      <alignment horizontal="center" vertical="center" wrapText="1"/>
    </xf>
    <xf numFmtId="0" fontId="21" fillId="0" borderId="95" xfId="20" applyFont="1" applyBorder="1" applyAlignment="1" applyProtection="1">
      <alignment horizontal="center" vertical="center" wrapText="1"/>
    </xf>
    <xf numFmtId="0" fontId="21" fillId="0" borderId="96" xfId="20" applyFont="1" applyBorder="1" applyAlignment="1" applyProtection="1">
      <alignment horizontal="center" vertical="center" wrapText="1"/>
    </xf>
    <xf numFmtId="0" fontId="21" fillId="0" borderId="97" xfId="20" applyFont="1" applyBorder="1" applyAlignment="1" applyProtection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center" wrapText="1"/>
    </xf>
    <xf numFmtId="0" fontId="14" fillId="0" borderId="0" xfId="14" applyFont="1" applyAlignment="1">
      <alignment horizontal="center"/>
    </xf>
    <xf numFmtId="0" fontId="14" fillId="0" borderId="9" xfId="14" applyFont="1" applyBorder="1" applyAlignment="1">
      <alignment horizontal="center" vertical="center"/>
    </xf>
    <xf numFmtId="0" fontId="14" fillId="0" borderId="10" xfId="14" applyFont="1" applyBorder="1" applyAlignment="1">
      <alignment horizontal="center" vertical="center"/>
    </xf>
    <xf numFmtId="0" fontId="14" fillId="0" borderId="35" xfId="14" applyFont="1" applyBorder="1" applyAlignment="1">
      <alignment horizontal="center" vertical="center"/>
    </xf>
    <xf numFmtId="0" fontId="14" fillId="0" borderId="90" xfId="14" applyFont="1" applyBorder="1" applyAlignment="1">
      <alignment horizontal="center" vertical="center"/>
    </xf>
    <xf numFmtId="0" fontId="14" fillId="0" borderId="23" xfId="14" applyFont="1" applyBorder="1" applyAlignment="1">
      <alignment horizontal="center" vertical="center"/>
    </xf>
    <xf numFmtId="0" fontId="14" fillId="0" borderId="62" xfId="14" applyFont="1" applyBorder="1" applyAlignment="1">
      <alignment horizontal="center" vertical="center"/>
    </xf>
    <xf numFmtId="0" fontId="14" fillId="0" borderId="27" xfId="14" applyFont="1" applyBorder="1" applyAlignment="1">
      <alignment horizontal="center" vertical="center"/>
    </xf>
    <xf numFmtId="3" fontId="14" fillId="0" borderId="57" xfId="14" applyNumberFormat="1" applyFont="1" applyBorder="1" applyAlignment="1">
      <alignment horizontal="center" vertical="center" wrapText="1"/>
    </xf>
    <xf numFmtId="3" fontId="14" fillId="0" borderId="8" xfId="14" applyNumberFormat="1" applyFont="1" applyBorder="1" applyAlignment="1">
      <alignment horizontal="center" vertical="center" wrapText="1"/>
    </xf>
    <xf numFmtId="3" fontId="14" fillId="0" borderId="62" xfId="14" applyNumberFormat="1" applyFont="1" applyFill="1" applyBorder="1" applyAlignment="1">
      <alignment horizontal="center" vertical="center"/>
    </xf>
    <xf numFmtId="3" fontId="14" fillId="0" borderId="61" xfId="14" applyNumberFormat="1" applyFont="1" applyFill="1" applyBorder="1" applyAlignment="1">
      <alignment horizontal="center" vertical="center"/>
    </xf>
    <xf numFmtId="3" fontId="14" fillId="0" borderId="62" xfId="14" applyNumberFormat="1" applyFont="1" applyFill="1" applyBorder="1" applyAlignment="1">
      <alignment horizontal="center" vertical="center" wrapText="1"/>
    </xf>
    <xf numFmtId="3" fontId="14" fillId="0" borderId="44" xfId="14" applyNumberFormat="1" applyFont="1" applyFill="1" applyBorder="1" applyAlignment="1">
      <alignment horizontal="center" vertical="center" wrapText="1"/>
    </xf>
    <xf numFmtId="3" fontId="14" fillId="0" borderId="57" xfId="14" applyNumberFormat="1" applyFont="1" applyFill="1" applyBorder="1" applyAlignment="1">
      <alignment horizontal="center" vertical="center" wrapText="1"/>
    </xf>
    <xf numFmtId="3" fontId="14" fillId="0" borderId="59" xfId="14" applyNumberFormat="1" applyFont="1" applyFill="1" applyBorder="1" applyAlignment="1">
      <alignment horizontal="center" vertical="center" wrapText="1"/>
    </xf>
    <xf numFmtId="3" fontId="14" fillId="0" borderId="64" xfId="14" applyNumberFormat="1" applyFont="1" applyFill="1" applyBorder="1" applyAlignment="1">
      <alignment horizontal="center" vertical="center" wrapText="1"/>
    </xf>
    <xf numFmtId="3" fontId="14" fillId="0" borderId="93" xfId="14" applyNumberFormat="1" applyFont="1" applyFill="1" applyBorder="1" applyAlignment="1">
      <alignment horizontal="center" vertical="center" wrapText="1"/>
    </xf>
    <xf numFmtId="0" fontId="14" fillId="0" borderId="5" xfId="14" applyFont="1" applyBorder="1" applyAlignment="1">
      <alignment horizontal="center" vertical="center"/>
    </xf>
    <xf numFmtId="0" fontId="14" fillId="0" borderId="89" xfId="14" applyFont="1" applyBorder="1" applyAlignment="1">
      <alignment horizontal="center" vertical="center"/>
    </xf>
    <xf numFmtId="0" fontId="14" fillId="0" borderId="98" xfId="14" applyFont="1" applyBorder="1" applyAlignment="1">
      <alignment horizontal="center" vertical="center"/>
    </xf>
    <xf numFmtId="0" fontId="14" fillId="0" borderId="11" xfId="14" applyFont="1" applyBorder="1" applyAlignment="1">
      <alignment horizontal="center" vertical="center"/>
    </xf>
    <xf numFmtId="0" fontId="14" fillId="0" borderId="57" xfId="14" applyFont="1" applyBorder="1" applyAlignment="1">
      <alignment horizontal="center" vertical="center"/>
    </xf>
    <xf numFmtId="0" fontId="14" fillId="0" borderId="8" xfId="14" applyFont="1" applyBorder="1" applyAlignment="1">
      <alignment horizontal="center" vertical="center"/>
    </xf>
    <xf numFmtId="0" fontId="14" fillId="2" borderId="62" xfId="14" applyFont="1" applyFill="1" applyBorder="1" applyAlignment="1">
      <alignment horizontal="center" vertical="center"/>
    </xf>
    <xf numFmtId="0" fontId="14" fillId="2" borderId="27" xfId="14" applyFont="1" applyFill="1" applyBorder="1" applyAlignment="1">
      <alignment horizontal="center" vertical="center"/>
    </xf>
    <xf numFmtId="3" fontId="14" fillId="0" borderId="58" xfId="14" applyNumberFormat="1" applyFon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/>
    </xf>
    <xf numFmtId="3" fontId="14" fillId="0" borderId="93" xfId="14" applyNumberFormat="1" applyFont="1" applyFill="1" applyBorder="1" applyAlignment="1">
      <alignment horizontal="center" vertical="center"/>
    </xf>
    <xf numFmtId="3" fontId="14" fillId="2" borderId="62" xfId="14" applyNumberFormat="1" applyFont="1" applyFill="1" applyBorder="1" applyAlignment="1">
      <alignment horizontal="center" vertical="center" wrapText="1"/>
    </xf>
    <xf numFmtId="3" fontId="14" fillId="2" borderId="61" xfId="14" applyNumberFormat="1" applyFont="1" applyFill="1" applyBorder="1" applyAlignment="1">
      <alignment horizontal="center" vertical="center" wrapText="1"/>
    </xf>
    <xf numFmtId="3" fontId="14" fillId="2" borderId="62" xfId="14" applyNumberFormat="1" applyFont="1" applyFill="1" applyBorder="1" applyAlignment="1">
      <alignment horizontal="center" vertical="center"/>
    </xf>
    <xf numFmtId="3" fontId="14" fillId="2" borderId="61" xfId="14" applyNumberFormat="1" applyFont="1" applyFill="1" applyBorder="1" applyAlignment="1">
      <alignment horizontal="center" vertical="center"/>
    </xf>
    <xf numFmtId="3" fontId="14" fillId="2" borderId="44" xfId="14" applyNumberFormat="1" applyFont="1" applyFill="1" applyBorder="1" applyAlignment="1">
      <alignment horizontal="center" vertical="center" wrapText="1"/>
    </xf>
    <xf numFmtId="0" fontId="14" fillId="0" borderId="91" xfId="14" applyFont="1" applyBorder="1" applyAlignment="1">
      <alignment horizontal="center"/>
    </xf>
    <xf numFmtId="0" fontId="14" fillId="0" borderId="58" xfId="14" applyFont="1" applyBorder="1" applyAlignment="1">
      <alignment horizontal="center" vertical="center"/>
    </xf>
    <xf numFmtId="0" fontId="14" fillId="0" borderId="59" xfId="14" applyFont="1" applyBorder="1" applyAlignment="1">
      <alignment horizontal="center" vertical="center"/>
    </xf>
    <xf numFmtId="0" fontId="14" fillId="2" borderId="163" xfId="14" applyFont="1" applyFill="1" applyBorder="1" applyAlignment="1">
      <alignment horizontal="center" vertical="center" wrapText="1"/>
    </xf>
    <xf numFmtId="0" fontId="14" fillId="2" borderId="8" xfId="14" applyFont="1" applyFill="1" applyBorder="1" applyAlignment="1">
      <alignment horizontal="center" vertical="center" wrapText="1"/>
    </xf>
    <xf numFmtId="3" fontId="14" fillId="0" borderId="162" xfId="14" applyNumberFormat="1" applyFont="1" applyBorder="1" applyAlignment="1">
      <alignment horizontal="center" vertical="center" wrapText="1"/>
    </xf>
    <xf numFmtId="3" fontId="14" fillId="0" borderId="110" xfId="14" applyNumberFormat="1" applyFont="1" applyBorder="1" applyAlignment="1">
      <alignment horizontal="center" vertical="center" wrapText="1"/>
    </xf>
    <xf numFmtId="0" fontId="14" fillId="2" borderId="162" xfId="14" applyFont="1" applyFill="1" applyBorder="1" applyAlignment="1">
      <alignment horizontal="center" vertical="center" wrapText="1"/>
    </xf>
    <xf numFmtId="0" fontId="14" fillId="2" borderId="110" xfId="14" applyFont="1" applyFill="1" applyBorder="1" applyAlignment="1">
      <alignment horizontal="center" vertical="center" wrapText="1"/>
    </xf>
    <xf numFmtId="3" fontId="14" fillId="0" borderId="162" xfId="14" applyNumberFormat="1" applyFont="1" applyBorder="1" applyAlignment="1">
      <alignment horizontal="center" vertical="center"/>
    </xf>
    <xf numFmtId="3" fontId="14" fillId="0" borderId="140" xfId="14" applyNumberFormat="1" applyFont="1" applyBorder="1" applyAlignment="1">
      <alignment horizontal="center" vertical="center" wrapText="1"/>
    </xf>
    <xf numFmtId="3" fontId="14" fillId="0" borderId="58" xfId="14" applyNumberFormat="1" applyFont="1" applyBorder="1" applyAlignment="1">
      <alignment horizontal="center" vertical="center" wrapText="1"/>
    </xf>
    <xf numFmtId="3" fontId="14" fillId="0" borderId="45" xfId="14" applyNumberFormat="1" applyFont="1" applyBorder="1" applyAlignment="1">
      <alignment horizontal="center" vertical="center" wrapText="1"/>
    </xf>
    <xf numFmtId="3" fontId="14" fillId="0" borderId="59" xfId="14" applyNumberFormat="1" applyFont="1" applyBorder="1" applyAlignment="1">
      <alignment horizontal="center" vertical="center" wrapText="1"/>
    </xf>
    <xf numFmtId="0" fontId="14" fillId="0" borderId="57" xfId="14" applyFont="1" applyBorder="1" applyAlignment="1">
      <alignment horizontal="center" vertical="center" wrapText="1"/>
    </xf>
    <xf numFmtId="0" fontId="14" fillId="0" borderId="8" xfId="14" applyFont="1" applyBorder="1" applyAlignment="1">
      <alignment horizontal="center" vertical="center" wrapText="1"/>
    </xf>
    <xf numFmtId="3" fontId="14" fillId="0" borderId="135" xfId="14" applyNumberFormat="1" applyFont="1" applyBorder="1" applyAlignment="1">
      <alignment horizontal="center" vertical="center" wrapText="1"/>
    </xf>
    <xf numFmtId="3" fontId="14" fillId="0" borderId="1" xfId="14" applyNumberFormat="1" applyFont="1" applyBorder="1" applyAlignment="1">
      <alignment horizontal="center" vertical="center" wrapText="1"/>
    </xf>
    <xf numFmtId="0" fontId="14" fillId="0" borderId="44" xfId="14" applyFont="1" applyBorder="1" applyAlignment="1">
      <alignment horizontal="center" vertical="center" wrapText="1"/>
    </xf>
    <xf numFmtId="0" fontId="14" fillId="0" borderId="133" xfId="14" applyFont="1" applyBorder="1" applyAlignment="1">
      <alignment horizontal="center" vertical="center" wrapText="1"/>
    </xf>
    <xf numFmtId="3" fontId="14" fillId="0" borderId="45" xfId="14" applyNumberFormat="1" applyFont="1" applyBorder="1" applyAlignment="1">
      <alignment horizontal="center" vertical="center"/>
    </xf>
    <xf numFmtId="0" fontId="14" fillId="0" borderId="21" xfId="14" applyFont="1" applyBorder="1" applyAlignment="1">
      <alignment horizontal="center" vertical="center"/>
    </xf>
    <xf numFmtId="0" fontId="14" fillId="0" borderId="64" xfId="14" applyFont="1" applyBorder="1" applyAlignment="1">
      <alignment horizontal="center" vertical="center"/>
    </xf>
    <xf numFmtId="0" fontId="20" fillId="0" borderId="162" xfId="4" applyFont="1" applyBorder="1" applyAlignment="1">
      <alignment horizontal="left" vertical="center"/>
    </xf>
    <xf numFmtId="0" fontId="21" fillId="0" borderId="162" xfId="4" applyFont="1" applyBorder="1" applyAlignment="1">
      <alignment horizontal="center" vertical="center"/>
    </xf>
    <xf numFmtId="0" fontId="54" fillId="0" borderId="0" xfId="4" applyFont="1" applyAlignment="1">
      <alignment horizontal="center" vertical="center"/>
    </xf>
    <xf numFmtId="0" fontId="20" fillId="0" borderId="197" xfId="4" applyFont="1" applyFill="1" applyBorder="1" applyAlignment="1">
      <alignment vertical="center"/>
    </xf>
    <xf numFmtId="49" fontId="49" fillId="5" borderId="158" xfId="4" applyNumberFormat="1" applyFont="1" applyFill="1" applyBorder="1" applyAlignment="1">
      <alignment vertical="center" wrapText="1"/>
    </xf>
    <xf numFmtId="49" fontId="49" fillId="5" borderId="159" xfId="4" applyNumberFormat="1" applyFont="1" applyFill="1" applyBorder="1" applyAlignment="1">
      <alignment vertical="center" wrapText="1"/>
    </xf>
    <xf numFmtId="0" fontId="51" fillId="5" borderId="66" xfId="4" applyFont="1" applyFill="1" applyBorder="1" applyAlignment="1">
      <alignment horizontal="center" vertical="center" wrapText="1"/>
    </xf>
    <xf numFmtId="0" fontId="51" fillId="0" borderId="66" xfId="4" applyFont="1" applyBorder="1" applyAlignment="1">
      <alignment horizontal="center" vertical="center" wrapText="1"/>
    </xf>
    <xf numFmtId="0" fontId="49" fillId="0" borderId="196" xfId="4" applyFont="1" applyFill="1" applyBorder="1" applyAlignment="1">
      <alignment vertical="center"/>
    </xf>
    <xf numFmtId="0" fontId="49" fillId="0" borderId="197" xfId="4" applyFont="1" applyFill="1" applyBorder="1" applyAlignment="1">
      <alignment vertical="center"/>
    </xf>
    <xf numFmtId="0" fontId="20" fillId="0" borderId="160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0" fillId="0" borderId="66" xfId="4" applyFont="1" applyFill="1" applyBorder="1" applyAlignment="1">
      <alignment vertical="center"/>
    </xf>
    <xf numFmtId="0" fontId="48" fillId="0" borderId="66" xfId="4" applyFont="1" applyFill="1" applyBorder="1" applyAlignment="1">
      <alignment vertical="center" wrapText="1"/>
    </xf>
    <xf numFmtId="0" fontId="48" fillId="0" borderId="95" xfId="4" applyFont="1" applyFill="1" applyBorder="1" applyAlignment="1">
      <alignment vertical="center" wrapText="1"/>
    </xf>
    <xf numFmtId="0" fontId="48" fillId="0" borderId="161" xfId="4" applyFont="1" applyFill="1" applyBorder="1" applyAlignment="1">
      <alignment vertical="center" wrapText="1"/>
    </xf>
    <xf numFmtId="0" fontId="48" fillId="0" borderId="94" xfId="4" applyFont="1" applyFill="1" applyBorder="1" applyAlignment="1">
      <alignment vertical="center" wrapText="1"/>
    </xf>
    <xf numFmtId="0" fontId="20" fillId="0" borderId="200" xfId="4" applyFont="1" applyFill="1" applyBorder="1" applyAlignment="1">
      <alignment vertical="center"/>
    </xf>
    <xf numFmtId="3" fontId="21" fillId="0" borderId="181" xfId="4" applyNumberFormat="1" applyFont="1" applyBorder="1" applyAlignment="1">
      <alignment horizontal="center" vertical="center" wrapText="1"/>
    </xf>
    <xf numFmtId="3" fontId="21" fillId="0" borderId="182" xfId="4" applyNumberFormat="1" applyFont="1" applyBorder="1" applyAlignment="1">
      <alignment horizontal="center" vertical="center" wrapText="1"/>
    </xf>
    <xf numFmtId="3" fontId="21" fillId="0" borderId="174" xfId="4" applyNumberFormat="1" applyFont="1" applyBorder="1" applyAlignment="1">
      <alignment horizontal="center" vertical="center" wrapText="1"/>
    </xf>
    <xf numFmtId="3" fontId="21" fillId="0" borderId="175" xfId="4" applyNumberFormat="1" applyFont="1" applyBorder="1" applyAlignment="1">
      <alignment horizontal="center" vertical="center" wrapText="1"/>
    </xf>
    <xf numFmtId="0" fontId="51" fillId="0" borderId="171" xfId="4" applyFont="1" applyBorder="1" applyAlignment="1">
      <alignment horizontal="center" vertical="center" wrapText="1"/>
    </xf>
    <xf numFmtId="49" fontId="20" fillId="0" borderId="67" xfId="4" applyNumberFormat="1" applyFont="1" applyBorder="1" applyAlignment="1">
      <alignment horizontal="left" vertical="center" wrapText="1"/>
    </xf>
    <xf numFmtId="49" fontId="20" fillId="0" borderId="157" xfId="4" applyNumberFormat="1" applyFont="1" applyBorder="1" applyAlignment="1">
      <alignment horizontal="left" vertical="center" wrapText="1"/>
    </xf>
    <xf numFmtId="0" fontId="48" fillId="0" borderId="174" xfId="4" applyFont="1" applyBorder="1" applyAlignment="1">
      <alignment horizontal="center" vertical="center" wrapText="1"/>
    </xf>
    <xf numFmtId="0" fontId="48" fillId="0" borderId="175" xfId="4" applyFont="1" applyBorder="1" applyAlignment="1">
      <alignment horizontal="center" vertical="center" wrapText="1"/>
    </xf>
    <xf numFmtId="49" fontId="49" fillId="0" borderId="193" xfId="4" applyNumberFormat="1" applyFont="1" applyBorder="1" applyAlignment="1">
      <alignment horizontal="center" vertical="center"/>
    </xf>
    <xf numFmtId="49" fontId="49" fillId="0" borderId="194" xfId="4" applyNumberFormat="1" applyFont="1" applyBorder="1" applyAlignment="1">
      <alignment horizontal="center" vertical="center"/>
    </xf>
    <xf numFmtId="0" fontId="49" fillId="0" borderId="170" xfId="4" applyFont="1" applyBorder="1" applyAlignment="1">
      <alignment horizontal="center" vertical="center"/>
    </xf>
    <xf numFmtId="0" fontId="49" fillId="0" borderId="179" xfId="4" applyFont="1" applyBorder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4" fillId="0" borderId="0" xfId="17" applyFont="1" applyAlignment="1">
      <alignment horizontal="center" vertical="center" wrapText="1"/>
    </xf>
    <xf numFmtId="0" fontId="14" fillId="0" borderId="56" xfId="17" applyFont="1" applyBorder="1" applyAlignment="1">
      <alignment horizontal="center" vertical="center" wrapText="1"/>
    </xf>
    <xf numFmtId="0" fontId="14" fillId="0" borderId="128" xfId="17" applyFont="1" applyBorder="1" applyAlignment="1">
      <alignment horizontal="center" vertical="center" wrapText="1"/>
    </xf>
    <xf numFmtId="0" fontId="14" fillId="0" borderId="22" xfId="17" applyFont="1" applyBorder="1" applyAlignment="1">
      <alignment horizontal="center" vertical="center"/>
    </xf>
    <xf numFmtId="0" fontId="14" fillId="0" borderId="15" xfId="17" applyFont="1" applyBorder="1" applyAlignment="1">
      <alignment horizontal="center" vertical="center"/>
    </xf>
    <xf numFmtId="0" fontId="14" fillId="0" borderId="48" xfId="17" applyFont="1" applyBorder="1" applyAlignment="1">
      <alignment horizontal="center" vertical="center" wrapText="1"/>
    </xf>
    <xf numFmtId="0" fontId="14" fillId="0" borderId="42" xfId="17" applyFont="1" applyBorder="1" applyAlignment="1">
      <alignment horizontal="center" vertical="center" wrapText="1"/>
    </xf>
    <xf numFmtId="3" fontId="14" fillId="0" borderId="23" xfId="17" applyNumberFormat="1" applyFont="1" applyBorder="1" applyAlignment="1">
      <alignment horizontal="center" vertical="center" wrapText="1"/>
    </xf>
    <xf numFmtId="3" fontId="14" fillId="0" borderId="16" xfId="17" applyNumberFormat="1" applyFont="1" applyBorder="1" applyAlignment="1">
      <alignment horizontal="center" vertical="center" wrapText="1"/>
    </xf>
    <xf numFmtId="3" fontId="14" fillId="0" borderId="62" xfId="17" applyNumberFormat="1" applyFont="1" applyBorder="1" applyAlignment="1">
      <alignment horizontal="center" vertical="center" wrapText="1"/>
    </xf>
    <xf numFmtId="3" fontId="14" fillId="0" borderId="45" xfId="17" applyNumberFormat="1" applyFont="1" applyBorder="1" applyAlignment="1">
      <alignment horizontal="center" vertical="center" wrapText="1"/>
    </xf>
    <xf numFmtId="3" fontId="14" fillId="0" borderId="90" xfId="17" applyNumberFormat="1" applyFont="1" applyBorder="1" applyAlignment="1">
      <alignment horizontal="center" vertical="center" wrapText="1"/>
    </xf>
    <xf numFmtId="3" fontId="14" fillId="0" borderId="55" xfId="17" applyNumberFormat="1" applyFont="1" applyBorder="1" applyAlignment="1">
      <alignment horizontal="center" vertical="center" wrapText="1"/>
    </xf>
    <xf numFmtId="3" fontId="14" fillId="0" borderId="57" xfId="17" applyNumberFormat="1" applyFont="1" applyBorder="1" applyAlignment="1">
      <alignment horizontal="center" vertical="center" wrapText="1"/>
    </xf>
    <xf numFmtId="3" fontId="14" fillId="0" borderId="59" xfId="17" applyNumberFormat="1" applyFont="1" applyBorder="1" applyAlignment="1">
      <alignment horizontal="center" vertical="center" wrapText="1"/>
    </xf>
    <xf numFmtId="3" fontId="14" fillId="0" borderId="44" xfId="17" applyNumberFormat="1" applyFont="1" applyBorder="1" applyAlignment="1">
      <alignment horizontal="center" vertical="center" wrapText="1"/>
    </xf>
    <xf numFmtId="3" fontId="14" fillId="0" borderId="61" xfId="17" applyNumberFormat="1" applyFont="1" applyBorder="1" applyAlignment="1">
      <alignment horizontal="center" vertical="center" wrapText="1"/>
    </xf>
  </cellXfs>
  <cellStyles count="23">
    <cellStyle name="Excel Built-in Explanatory Text" xfId="18"/>
    <cellStyle name="Excel Built-in Normal" xfId="8"/>
    <cellStyle name="Excel Built-in Normal 2" xfId="19"/>
    <cellStyle name="Ezres 2" xfId="11"/>
    <cellStyle name="Ezres 3" xfId="21"/>
    <cellStyle name="Magyarázó szöveg" xfId="12" builtinId="53"/>
    <cellStyle name="Magyarázó szöveg 2" xfId="13"/>
    <cellStyle name="Magyarázó szöveg 2 2" xfId="20"/>
    <cellStyle name="Magyarázó szöveg 3" xfId="7"/>
    <cellStyle name="Magyarázó szöveg 4" xfId="5"/>
    <cellStyle name="Normál" xfId="0" builtinId="0"/>
    <cellStyle name="Normál 2" xfId="10"/>
    <cellStyle name="Normál 2 2" xfId="6"/>
    <cellStyle name="Normál 3" xfId="4"/>
    <cellStyle name="Normál 8" xfId="15"/>
    <cellStyle name="Normál_Beruh.felú-átadott-átvett" xfId="9"/>
    <cellStyle name="Normál_Brigitől kisebbségek_Munkafüzet1" xfId="14"/>
    <cellStyle name="Normál_Brigitől kisebbségek_Munkafüzet1 2" xfId="22"/>
    <cellStyle name="Normál_EU-s_pályázatok 20150115" xfId="17"/>
    <cellStyle name="Normál_KTGVET98" xfId="1"/>
    <cellStyle name="Normál_Munkafüzet1" xfId="3"/>
    <cellStyle name="Normál_Munkafüzet3" xfId="16"/>
    <cellStyle name="Normál_Táblák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zomborimonika\Dokumentumok\el&#337;terjeszt&#233;sek\2011\November\Koncepci&#243;\Koncepci&#243;%20sz&#246;veg%20&#233;s%20t&#225;bla\Barbara\Exceleim\Buboros%20t&#225;b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Local%20Settings\Temp\2012.%20&#233;vi%20k&#246;lts&#233;gvet&#233;si%20t&#225;bl&#225;k%202010.01.05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DOCUME~1\ZSOMBO~1\LOCALS~1\Temp\DOCUME~1\ZSOMBO~1\LOCALS~1\Temp\Barbara\10.%20mell&#233;klet%20Ic&#225;nak%20(%20cellat&#246;rl&#337;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2012.%20k&#246;lts&#233;gvet&#233;si%20t&#225;bl&#225;k%202012%2002%2006-2(K&#246;tv&#233;nyes%20t&#225;bl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sz. melléklet"/>
      <sheetName val="1.a. 1.b. melléklet"/>
      <sheetName val="2. sz. melléklet"/>
      <sheetName val="3.sz. melléklet"/>
      <sheetName val="4.A sz. melléklet"/>
      <sheetName val="4.B-C. sz. melléklet"/>
      <sheetName val="5. sz. melléklet"/>
      <sheetName val="6. sz. melléklet"/>
      <sheetName val="7. sz. melléklet"/>
      <sheetName val="8. sz. melléklet"/>
      <sheetName val="9. sz. melléklet"/>
      <sheetName val="10. sz. melléklet"/>
      <sheetName val="10-a.sz. melléklet"/>
      <sheetName val="11. sz. melléklet"/>
      <sheetName val="12. sz. melléklet"/>
      <sheetName val="13. sz. melléklet"/>
      <sheetName val="14. sz. melléklet"/>
      <sheetName val="15. sz. melléklet"/>
      <sheetName val="16.sz. melléklet"/>
      <sheetName val="17.a. 17.b. sz. melléklet"/>
      <sheetName val="18."/>
      <sheetName val="19."/>
      <sheetName val="1_sz__melléklet"/>
      <sheetName val="1_a__1_b__melléklet"/>
      <sheetName val="2__sz__melléklet"/>
      <sheetName val="3_sz__melléklet"/>
      <sheetName val="4_A_sz__melléklet"/>
      <sheetName val="4_B-C__sz__melléklet"/>
      <sheetName val="5__sz__melléklet"/>
      <sheetName val="6__sz__melléklet"/>
      <sheetName val="7__sz__melléklet"/>
      <sheetName val="8__sz__melléklet"/>
      <sheetName val="9__sz__melléklet"/>
      <sheetName val="10__sz__melléklet"/>
      <sheetName val="10-a_sz__melléklet"/>
      <sheetName val="11__sz__melléklet"/>
      <sheetName val="12__sz__melléklet"/>
      <sheetName val="13__sz__melléklet"/>
      <sheetName val="14__sz__melléklet"/>
      <sheetName val="15__sz__melléklet"/>
      <sheetName val="16_sz__melléklet"/>
      <sheetName val="17_a__17_b__sz__melléklet"/>
      <sheetName val="18_"/>
      <sheetName val="1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"/>
  <sheetViews>
    <sheetView tabSelected="1" view="pageLayout" zoomScaleNormal="66" workbookViewId="0">
      <selection activeCell="C47" sqref="C47"/>
    </sheetView>
  </sheetViews>
  <sheetFormatPr defaultRowHeight="15"/>
  <cols>
    <col min="1" max="1" width="68.42578125" style="1" bestFit="1" customWidth="1"/>
    <col min="2" max="3" width="16.140625" style="1" customWidth="1"/>
    <col min="4" max="4" width="5.140625" style="1" customWidth="1"/>
    <col min="5" max="5" width="59.7109375" style="1" bestFit="1" customWidth="1"/>
    <col min="6" max="7" width="16.140625" style="1" customWidth="1"/>
    <col min="8" max="16384" width="9.140625" style="1"/>
  </cols>
  <sheetData>
    <row r="1" spans="1:7">
      <c r="A1" s="1504" t="s">
        <v>937</v>
      </c>
      <c r="B1" s="1504"/>
      <c r="C1" s="1504"/>
      <c r="D1" s="1504"/>
      <c r="E1" s="1504"/>
      <c r="F1" s="1504"/>
      <c r="G1" s="1504"/>
    </row>
    <row r="2" spans="1:7" ht="15.75" thickBot="1">
      <c r="A2" s="2"/>
      <c r="B2" s="3"/>
      <c r="C2" s="3"/>
      <c r="D2" s="3"/>
      <c r="E2" s="3"/>
      <c r="F2" s="3"/>
      <c r="G2" s="3"/>
    </row>
    <row r="3" spans="1:7">
      <c r="A3" s="1498" t="s">
        <v>0</v>
      </c>
      <c r="B3" s="1499"/>
      <c r="C3" s="1500"/>
      <c r="D3" s="238"/>
      <c r="E3" s="1501" t="s">
        <v>1</v>
      </c>
      <c r="F3" s="1502"/>
      <c r="G3" s="1503"/>
    </row>
    <row r="4" spans="1:7" ht="15.75" thickBot="1">
      <c r="A4" s="141" t="s">
        <v>2</v>
      </c>
      <c r="B4" s="615" t="s">
        <v>3</v>
      </c>
      <c r="C4" s="1000" t="s">
        <v>910</v>
      </c>
      <c r="D4" s="232"/>
      <c r="E4" s="141" t="s">
        <v>2</v>
      </c>
      <c r="F4" s="615" t="s">
        <v>4</v>
      </c>
      <c r="G4" s="1000" t="s">
        <v>910</v>
      </c>
    </row>
    <row r="5" spans="1:7">
      <c r="A5" s="146" t="s">
        <v>5</v>
      </c>
      <c r="B5" s="616">
        <f>'3. melléklet'!H5</f>
        <v>1349779.419</v>
      </c>
      <c r="C5" s="604">
        <f>'3. melléklet'!I5</f>
        <v>1435306</v>
      </c>
      <c r="D5" s="233"/>
      <c r="E5" s="627" t="s">
        <v>6</v>
      </c>
      <c r="F5" s="616">
        <f>'4. melléklet'!J6</f>
        <v>1852786</v>
      </c>
      <c r="G5" s="604">
        <f>'4. melléklet'!K6</f>
        <v>1877459</v>
      </c>
    </row>
    <row r="6" spans="1:7">
      <c r="A6" s="147"/>
      <c r="B6" s="466"/>
      <c r="C6" s="605"/>
      <c r="D6" s="233"/>
      <c r="E6" s="628"/>
      <c r="F6" s="466"/>
      <c r="G6" s="605"/>
    </row>
    <row r="7" spans="1:7">
      <c r="A7" s="148" t="s">
        <v>7</v>
      </c>
      <c r="B7" s="466">
        <f>SUM(B8:B9)</f>
        <v>404378</v>
      </c>
      <c r="C7" s="605">
        <f>SUM(C8:C9)</f>
        <v>718395</v>
      </c>
      <c r="D7" s="233"/>
      <c r="E7" s="565" t="s">
        <v>9</v>
      </c>
      <c r="F7" s="466">
        <f>'4. melléklet'!J7</f>
        <v>342937</v>
      </c>
      <c r="G7" s="605">
        <f>'4. melléklet'!K7</f>
        <v>349483</v>
      </c>
    </row>
    <row r="8" spans="1:7">
      <c r="A8" s="149" t="s">
        <v>320</v>
      </c>
      <c r="B8" s="617">
        <f>'3. melléklet'!H9</f>
        <v>0</v>
      </c>
      <c r="C8" s="606">
        <f>'3. melléklet'!I9</f>
        <v>31719</v>
      </c>
      <c r="D8" s="234"/>
      <c r="E8" s="567"/>
      <c r="F8" s="617"/>
      <c r="G8" s="606"/>
    </row>
    <row r="9" spans="1:7">
      <c r="A9" s="150" t="s">
        <v>8</v>
      </c>
      <c r="B9" s="617">
        <f>'3. melléklet'!H10</f>
        <v>404378</v>
      </c>
      <c r="C9" s="606">
        <f>'3. melléklet'!I10</f>
        <v>686676</v>
      </c>
      <c r="D9" s="234"/>
      <c r="E9" s="565" t="s">
        <v>12</v>
      </c>
      <c r="F9" s="466">
        <f>'4. melléklet'!J8</f>
        <v>2410608</v>
      </c>
      <c r="G9" s="605">
        <f>'4. melléklet'!K8</f>
        <v>2963170</v>
      </c>
    </row>
    <row r="10" spans="1:7">
      <c r="A10" s="150"/>
      <c r="B10" s="617"/>
      <c r="C10" s="606"/>
      <c r="D10" s="234"/>
      <c r="E10" s="565"/>
      <c r="F10" s="466"/>
      <c r="G10" s="605"/>
    </row>
    <row r="11" spans="1:7">
      <c r="A11" s="151" t="s">
        <v>10</v>
      </c>
      <c r="B11" s="466">
        <f>B12</f>
        <v>113219</v>
      </c>
      <c r="C11" s="605">
        <f>C12</f>
        <v>761122</v>
      </c>
      <c r="D11" s="233"/>
      <c r="E11" s="565" t="s">
        <v>14</v>
      </c>
      <c r="F11" s="466">
        <f>'4. melléklet'!J9</f>
        <v>64850</v>
      </c>
      <c r="G11" s="605">
        <f>'4. melléklet'!K9</f>
        <v>63350</v>
      </c>
    </row>
    <row r="12" spans="1:7">
      <c r="A12" s="150" t="s">
        <v>8</v>
      </c>
      <c r="B12" s="617">
        <f>'3. melléklet'!H12</f>
        <v>113219</v>
      </c>
      <c r="C12" s="606">
        <f>'3. melléklet'!I12</f>
        <v>761122</v>
      </c>
      <c r="D12" s="234"/>
      <c r="E12" s="565"/>
      <c r="F12" s="466"/>
      <c r="G12" s="605"/>
    </row>
    <row r="13" spans="1:7">
      <c r="A13" s="151"/>
      <c r="B13" s="617"/>
      <c r="C13" s="606"/>
      <c r="D13" s="234"/>
      <c r="E13" s="565" t="s">
        <v>16</v>
      </c>
      <c r="F13" s="466">
        <f>SUM(F14:F18)</f>
        <v>1323721</v>
      </c>
      <c r="G13" s="605">
        <f>SUM(G14:G18)</f>
        <v>1403371</v>
      </c>
    </row>
    <row r="14" spans="1:7">
      <c r="A14" s="147" t="s">
        <v>11</v>
      </c>
      <c r="B14" s="466">
        <f>SUM(B15:B19)</f>
        <v>2350000</v>
      </c>
      <c r="C14" s="605">
        <f>SUM(C15:C19)</f>
        <v>2266294</v>
      </c>
      <c r="D14" s="233"/>
      <c r="E14" s="567" t="s">
        <v>17</v>
      </c>
      <c r="F14" s="617">
        <f>'4. melléklet'!J11</f>
        <v>0</v>
      </c>
      <c r="G14" s="606">
        <f>'4. melléklet'!K11</f>
        <v>23652</v>
      </c>
    </row>
    <row r="15" spans="1:7">
      <c r="A15" s="150" t="s">
        <v>13</v>
      </c>
      <c r="B15" s="617">
        <f>'3. melléklet'!H14</f>
        <v>530000</v>
      </c>
      <c r="C15" s="606">
        <f>'3. melléklet'!I14</f>
        <v>530000</v>
      </c>
      <c r="D15" s="234"/>
      <c r="E15" s="567" t="s">
        <v>18</v>
      </c>
      <c r="F15" s="617">
        <f>'4. melléklet'!J12</f>
        <v>18000</v>
      </c>
      <c r="G15" s="606">
        <f>'4. melléklet'!K12</f>
        <v>18000</v>
      </c>
    </row>
    <row r="16" spans="1:7">
      <c r="A16" s="150" t="s">
        <v>75</v>
      </c>
      <c r="B16" s="617">
        <f>'3. melléklet'!H17</f>
        <v>1815000</v>
      </c>
      <c r="C16" s="606">
        <f>'3. melléklet'!I17</f>
        <v>1731202</v>
      </c>
      <c r="D16" s="234"/>
      <c r="E16" s="567" t="s">
        <v>19</v>
      </c>
      <c r="F16" s="617">
        <f>'4. melléklet'!J13</f>
        <v>20000</v>
      </c>
      <c r="G16" s="606">
        <f>'4. melléklet'!K13</f>
        <v>20000</v>
      </c>
    </row>
    <row r="17" spans="1:7">
      <c r="A17" s="149" t="s">
        <v>15</v>
      </c>
      <c r="B17" s="617">
        <f>'3. melléklet'!H21</f>
        <v>3000</v>
      </c>
      <c r="C17" s="606">
        <f>'3. melléklet'!I21</f>
        <v>3000</v>
      </c>
      <c r="D17" s="234"/>
      <c r="E17" s="567" t="s">
        <v>21</v>
      </c>
      <c r="F17" s="617">
        <f>'4. melléklet'!J14</f>
        <v>1182077</v>
      </c>
      <c r="G17" s="606">
        <f>'4. melléklet'!K14</f>
        <v>1203141</v>
      </c>
    </row>
    <row r="18" spans="1:7">
      <c r="A18" s="149" t="s">
        <v>321</v>
      </c>
      <c r="B18" s="617">
        <f>'3. melléklet'!H22</f>
        <v>1500</v>
      </c>
      <c r="C18" s="606">
        <f>'3. melléklet'!I22</f>
        <v>1592</v>
      </c>
      <c r="D18" s="234"/>
      <c r="E18" s="567" t="s">
        <v>23</v>
      </c>
      <c r="F18" s="617">
        <f>SUM(F19:F21)</f>
        <v>103644</v>
      </c>
      <c r="G18" s="606">
        <f>SUM(G19:G21)</f>
        <v>138578</v>
      </c>
    </row>
    <row r="19" spans="1:7">
      <c r="A19" s="149" t="s">
        <v>84</v>
      </c>
      <c r="B19" s="617">
        <f>'3. melléklet'!H23</f>
        <v>500</v>
      </c>
      <c r="C19" s="606">
        <f>'3. melléklet'!I23</f>
        <v>500</v>
      </c>
      <c r="D19" s="234"/>
      <c r="E19" s="568" t="s">
        <v>25</v>
      </c>
      <c r="F19" s="629">
        <f>'4. melléklet'!J16</f>
        <v>30000</v>
      </c>
      <c r="G19" s="626">
        <f>'4. melléklet'!K16</f>
        <v>36643</v>
      </c>
    </row>
    <row r="20" spans="1:7">
      <c r="A20" s="147"/>
      <c r="B20" s="466"/>
      <c r="C20" s="605"/>
      <c r="D20" s="233"/>
      <c r="E20" s="630" t="s">
        <v>906</v>
      </c>
      <c r="F20" s="629">
        <f>'4. melléklet'!J17</f>
        <v>0</v>
      </c>
      <c r="G20" s="626">
        <f>'4. melléklet'!K17</f>
        <v>16623</v>
      </c>
    </row>
    <row r="21" spans="1:7" ht="15" customHeight="1">
      <c r="A21" s="147" t="s">
        <v>20</v>
      </c>
      <c r="B21" s="466">
        <f>SUM(B22:B29)</f>
        <v>2371771</v>
      </c>
      <c r="C21" s="605">
        <f>SUM(C22:C29)</f>
        <v>2540381</v>
      </c>
      <c r="D21" s="233"/>
      <c r="E21" s="568" t="s">
        <v>87</v>
      </c>
      <c r="F21" s="629">
        <f>'4. melléklet'!J18</f>
        <v>73644</v>
      </c>
      <c r="G21" s="626">
        <f>'4. melléklet'!K18</f>
        <v>85312</v>
      </c>
    </row>
    <row r="22" spans="1:7" ht="30">
      <c r="A22" s="152" t="s">
        <v>22</v>
      </c>
      <c r="B22" s="617">
        <f>'3. melléklet'!H25</f>
        <v>1402614</v>
      </c>
      <c r="C22" s="606">
        <f>'3. melléklet'!I25</f>
        <v>1370994</v>
      </c>
      <c r="D22" s="234"/>
      <c r="E22" s="628"/>
      <c r="F22" s="617"/>
      <c r="G22" s="606"/>
    </row>
    <row r="23" spans="1:7">
      <c r="A23" s="150" t="s">
        <v>24</v>
      </c>
      <c r="B23" s="617">
        <f>'3. melléklet'!H26</f>
        <v>255073</v>
      </c>
      <c r="C23" s="606">
        <f>'3. melléklet'!I26</f>
        <v>412553</v>
      </c>
      <c r="D23" s="234"/>
      <c r="E23" s="565" t="s">
        <v>30</v>
      </c>
      <c r="F23" s="466">
        <f>'4. melléklet'!J19</f>
        <v>2196341</v>
      </c>
      <c r="G23" s="605">
        <f>'4. melléklet'!K19</f>
        <v>3074856</v>
      </c>
    </row>
    <row r="24" spans="1:7">
      <c r="A24" s="150" t="s">
        <v>26</v>
      </c>
      <c r="B24" s="617">
        <f>'3. melléklet'!H27</f>
        <v>28516</v>
      </c>
      <c r="C24" s="606">
        <f>'3. melléklet'!I27</f>
        <v>28746</v>
      </c>
      <c r="D24" s="234"/>
      <c r="E24" s="565"/>
      <c r="F24" s="617"/>
      <c r="G24" s="606"/>
    </row>
    <row r="25" spans="1:7">
      <c r="A25" s="150" t="s">
        <v>27</v>
      </c>
      <c r="B25" s="617">
        <f>'3. melléklet'!H28</f>
        <v>88191</v>
      </c>
      <c r="C25" s="606">
        <f>'3. melléklet'!I28</f>
        <v>88191</v>
      </c>
      <c r="D25" s="234"/>
      <c r="E25" s="565" t="s">
        <v>31</v>
      </c>
      <c r="F25" s="466">
        <f>'4. melléklet'!J20</f>
        <v>602340</v>
      </c>
      <c r="G25" s="605">
        <f>'4. melléklet'!K20</f>
        <v>450116</v>
      </c>
    </row>
    <row r="26" spans="1:7">
      <c r="A26" s="150" t="s">
        <v>28</v>
      </c>
      <c r="B26" s="617">
        <f>'3. melléklet'!H29</f>
        <v>100617</v>
      </c>
      <c r="C26" s="606">
        <f>'3. melléklet'!I29</f>
        <v>100617</v>
      </c>
      <c r="D26" s="234"/>
      <c r="E26" s="565"/>
      <c r="F26" s="466"/>
      <c r="G26" s="605"/>
    </row>
    <row r="27" spans="1:7">
      <c r="A27" s="150" t="s">
        <v>29</v>
      </c>
      <c r="B27" s="617">
        <f>'3. melléklet'!H30</f>
        <v>429193</v>
      </c>
      <c r="C27" s="606">
        <f>'3. melléklet'!I30</f>
        <v>471713</v>
      </c>
      <c r="D27" s="234"/>
      <c r="E27" s="565" t="s">
        <v>34</v>
      </c>
      <c r="F27" s="466">
        <f>SUM(F28:F30)</f>
        <v>25100</v>
      </c>
      <c r="G27" s="605">
        <f>SUM(G28:G30)</f>
        <v>27861</v>
      </c>
    </row>
    <row r="28" spans="1:7">
      <c r="A28" s="153" t="s">
        <v>322</v>
      </c>
      <c r="B28" s="617">
        <f>'3. melléklet'!H31</f>
        <v>14811</v>
      </c>
      <c r="C28" s="606">
        <f>'3. melléklet'!I31</f>
        <v>14811</v>
      </c>
      <c r="D28" s="234"/>
      <c r="E28" s="567" t="s">
        <v>19</v>
      </c>
      <c r="F28" s="617">
        <f>'4. melléklet'!J22</f>
        <v>1200</v>
      </c>
      <c r="G28" s="606">
        <f>'4. melléklet'!K22</f>
        <v>1200</v>
      </c>
    </row>
    <row r="29" spans="1:7">
      <c r="A29" s="153" t="s">
        <v>806</v>
      </c>
      <c r="B29" s="617">
        <f>'3. melléklet'!H32</f>
        <v>52756</v>
      </c>
      <c r="C29" s="606">
        <f>'3. melléklet'!I32</f>
        <v>52756</v>
      </c>
      <c r="D29" s="234"/>
      <c r="E29" s="567" t="s">
        <v>36</v>
      </c>
      <c r="F29" s="617">
        <f>'4. melléklet'!J23</f>
        <v>13900</v>
      </c>
      <c r="G29" s="606">
        <f>'4. melléklet'!K23</f>
        <v>16661</v>
      </c>
    </row>
    <row r="30" spans="1:7">
      <c r="A30" s="153"/>
      <c r="B30" s="617"/>
      <c r="C30" s="606"/>
      <c r="D30" s="234"/>
      <c r="E30" s="567" t="s">
        <v>37</v>
      </c>
      <c r="F30" s="617">
        <f>SUM(F31:F32)</f>
        <v>10000</v>
      </c>
      <c r="G30" s="606">
        <f>SUM(G31:G32)</f>
        <v>10000</v>
      </c>
    </row>
    <row r="31" spans="1:7">
      <c r="A31" s="147" t="s">
        <v>32</v>
      </c>
      <c r="B31" s="466">
        <f>SUM(B32:B33)</f>
        <v>300</v>
      </c>
      <c r="C31" s="605">
        <f>SUM(C32:C33)</f>
        <v>19300</v>
      </c>
      <c r="D31" s="233"/>
      <c r="E31" s="568" t="s">
        <v>39</v>
      </c>
      <c r="F31" s="629">
        <f>'4. melléklet'!J25</f>
        <v>10000</v>
      </c>
      <c r="G31" s="626">
        <f>'4. melléklet'!K25</f>
        <v>10000</v>
      </c>
    </row>
    <row r="32" spans="1:7">
      <c r="A32" s="150" t="s">
        <v>33</v>
      </c>
      <c r="B32" s="617">
        <f>'3. melléklet'!H34</f>
        <v>300</v>
      </c>
      <c r="C32" s="606">
        <f>'3. melléklet'!I34</f>
        <v>19300</v>
      </c>
      <c r="D32" s="234"/>
      <c r="E32" s="568" t="s">
        <v>532</v>
      </c>
      <c r="F32" s="629">
        <f>'4. melléklet'!J26</f>
        <v>0</v>
      </c>
      <c r="G32" s="626">
        <f>'4. melléklet'!K26</f>
        <v>0</v>
      </c>
    </row>
    <row r="33" spans="1:7">
      <c r="A33" s="150" t="s">
        <v>323</v>
      </c>
      <c r="B33" s="617">
        <f>'3. melléklet'!H35</f>
        <v>0</v>
      </c>
      <c r="C33" s="606">
        <f>'3. melléklet'!I35</f>
        <v>0</v>
      </c>
      <c r="D33" s="234"/>
      <c r="E33" s="568"/>
      <c r="F33" s="617"/>
      <c r="G33" s="606"/>
    </row>
    <row r="34" spans="1:7">
      <c r="A34" s="150"/>
      <c r="B34" s="617"/>
      <c r="C34" s="606"/>
      <c r="D34" s="234"/>
      <c r="E34" s="568"/>
      <c r="F34" s="617"/>
      <c r="G34" s="606"/>
    </row>
    <row r="35" spans="1:7">
      <c r="A35" s="147" t="s">
        <v>35</v>
      </c>
      <c r="B35" s="466">
        <f>SUM(B36:B37)</f>
        <v>77549</v>
      </c>
      <c r="C35" s="605">
        <f>SUM(C36:C37)</f>
        <v>110984</v>
      </c>
      <c r="D35" s="233"/>
      <c r="E35" s="568"/>
      <c r="F35" s="617"/>
      <c r="G35" s="606"/>
    </row>
    <row r="36" spans="1:7">
      <c r="A36" s="150" t="s">
        <v>19</v>
      </c>
      <c r="B36" s="617">
        <f>'3. melléklet'!H37</f>
        <v>77549</v>
      </c>
      <c r="C36" s="606">
        <f>'3. melléklet'!I37</f>
        <v>77549</v>
      </c>
      <c r="D36" s="234"/>
      <c r="E36" s="568"/>
      <c r="F36" s="617"/>
      <c r="G36" s="606"/>
    </row>
    <row r="37" spans="1:7">
      <c r="A37" s="150" t="s">
        <v>38</v>
      </c>
      <c r="B37" s="617">
        <f>'3. melléklet'!H38</f>
        <v>0</v>
      </c>
      <c r="C37" s="606">
        <f>'3. melléklet'!I38</f>
        <v>33435</v>
      </c>
      <c r="D37" s="234"/>
      <c r="E37" s="568"/>
      <c r="F37" s="617"/>
      <c r="G37" s="606"/>
    </row>
    <row r="38" spans="1:7">
      <c r="A38" s="147"/>
      <c r="B38" s="617"/>
      <c r="C38" s="606"/>
      <c r="D38" s="234"/>
      <c r="E38" s="568"/>
      <c r="F38" s="617"/>
      <c r="G38" s="606"/>
    </row>
    <row r="39" spans="1:7">
      <c r="A39" s="148" t="s">
        <v>40</v>
      </c>
      <c r="B39" s="466">
        <f>SUM(B40:B41)</f>
        <v>610</v>
      </c>
      <c r="C39" s="605">
        <f>SUM(C40:C41)</f>
        <v>194306</v>
      </c>
      <c r="D39" s="233"/>
      <c r="E39" s="568"/>
      <c r="F39" s="617"/>
      <c r="G39" s="606"/>
    </row>
    <row r="40" spans="1:7">
      <c r="A40" s="150" t="s">
        <v>19</v>
      </c>
      <c r="B40" s="617">
        <f>'3. melléklet'!H40</f>
        <v>610</v>
      </c>
      <c r="C40" s="606">
        <f>'3. melléklet'!I40</f>
        <v>610</v>
      </c>
      <c r="D40" s="234"/>
      <c r="E40" s="568"/>
      <c r="F40" s="629"/>
      <c r="G40" s="626"/>
    </row>
    <row r="41" spans="1:7">
      <c r="A41" s="150" t="s">
        <v>38</v>
      </c>
      <c r="B41" s="617">
        <f>'3. melléklet'!H41</f>
        <v>0</v>
      </c>
      <c r="C41" s="606">
        <f>'3. melléklet'!I41</f>
        <v>193696</v>
      </c>
      <c r="D41" s="234"/>
      <c r="E41" s="568"/>
      <c r="F41" s="466"/>
      <c r="G41" s="605"/>
    </row>
    <row r="42" spans="1:7" ht="15.75" thickBot="1">
      <c r="A42" s="243"/>
      <c r="B42" s="618"/>
      <c r="C42" s="607"/>
      <c r="D42" s="234"/>
      <c r="E42" s="631"/>
      <c r="F42" s="621"/>
      <c r="G42" s="610"/>
    </row>
    <row r="43" spans="1:7" ht="15.75" thickBot="1">
      <c r="A43" s="142" t="s">
        <v>48</v>
      </c>
      <c r="B43" s="619">
        <f>B5+B6+B7+B11+B14+B21+B31+B35+B39</f>
        <v>6667606.4189999998</v>
      </c>
      <c r="C43" s="608">
        <f>C5+C6+C7+C11+C14+C21+C31+C35+C39</f>
        <v>8046088</v>
      </c>
      <c r="D43" s="233"/>
      <c r="E43" s="144" t="s">
        <v>49</v>
      </c>
      <c r="F43" s="619">
        <f>F5+F7+F9+F11+F13+F23+F25+F27</f>
        <v>8818683</v>
      </c>
      <c r="G43" s="608">
        <f>G5+G7+G9+G11+G13+G23+G25+G27</f>
        <v>10209666</v>
      </c>
    </row>
    <row r="44" spans="1:7">
      <c r="A44" s="154"/>
      <c r="B44" s="620"/>
      <c r="C44" s="609"/>
      <c r="D44" s="234"/>
      <c r="E44" s="627"/>
      <c r="F44" s="616"/>
      <c r="G44" s="604"/>
    </row>
    <row r="45" spans="1:7">
      <c r="A45" s="148" t="s">
        <v>537</v>
      </c>
      <c r="B45" s="466">
        <f>B43-F43</f>
        <v>-2151076.5810000002</v>
      </c>
      <c r="C45" s="605">
        <f>C43-G43</f>
        <v>-2163578</v>
      </c>
      <c r="D45" s="233"/>
      <c r="E45" s="565"/>
      <c r="F45" s="466"/>
      <c r="G45" s="605"/>
    </row>
    <row r="46" spans="1:7">
      <c r="A46" s="148"/>
      <c r="B46" s="466"/>
      <c r="C46" s="605"/>
      <c r="D46" s="233"/>
      <c r="E46" s="565"/>
      <c r="F46" s="466"/>
      <c r="G46" s="605"/>
    </row>
    <row r="47" spans="1:7">
      <c r="A47" s="148" t="s">
        <v>746</v>
      </c>
      <c r="B47" s="466">
        <f>'3. melléklet'!H43</f>
        <v>328519</v>
      </c>
      <c r="C47" s="605">
        <f>'3. melléklet'!I43</f>
        <v>328519</v>
      </c>
      <c r="D47" s="233"/>
      <c r="E47" s="565" t="s">
        <v>41</v>
      </c>
      <c r="F47" s="466">
        <f>'4. melléklet'!J28</f>
        <v>106549</v>
      </c>
      <c r="G47" s="605">
        <f>'4. melléklet'!K28</f>
        <v>106569</v>
      </c>
    </row>
    <row r="48" spans="1:7">
      <c r="A48" s="147" t="s">
        <v>798</v>
      </c>
      <c r="B48" s="466">
        <f>'3. melléklet'!H44</f>
        <v>2000000</v>
      </c>
      <c r="C48" s="605">
        <f>'3. melléklet'!I44</f>
        <v>2000000</v>
      </c>
      <c r="D48" s="233"/>
      <c r="E48" s="565" t="s">
        <v>740</v>
      </c>
      <c r="F48" s="466">
        <f>'4. melléklet'!J29</f>
        <v>2000000</v>
      </c>
      <c r="G48" s="605">
        <f>'4. melléklet'!K29</f>
        <v>2000000</v>
      </c>
    </row>
    <row r="49" spans="1:7">
      <c r="A49" s="147" t="s">
        <v>82</v>
      </c>
      <c r="B49" s="466">
        <f>'3. melléklet'!H45</f>
        <v>60000</v>
      </c>
      <c r="C49" s="605">
        <f>'3. melléklet'!I45</f>
        <v>60000</v>
      </c>
      <c r="D49" s="233"/>
      <c r="E49" s="565" t="s">
        <v>93</v>
      </c>
      <c r="F49" s="466">
        <f>'4. melléklet'!J30</f>
        <v>60000</v>
      </c>
      <c r="G49" s="605">
        <f>'4. melléklet'!K30</f>
        <v>60000</v>
      </c>
    </row>
    <row r="50" spans="1:7" ht="15" customHeight="1">
      <c r="A50" s="147" t="s">
        <v>319</v>
      </c>
      <c r="B50" s="466">
        <f>'3. melléklet'!H46</f>
        <v>1929107</v>
      </c>
      <c r="C50" s="605">
        <f>'3. melléklet'!I46</f>
        <v>1941628</v>
      </c>
      <c r="D50" s="233"/>
      <c r="E50" s="565"/>
      <c r="F50" s="466"/>
      <c r="G50" s="605"/>
    </row>
    <row r="51" spans="1:7">
      <c r="A51" s="155" t="s">
        <v>43</v>
      </c>
      <c r="B51" s="466">
        <f>'3. melléklet'!H47</f>
        <v>2377271</v>
      </c>
      <c r="C51" s="605">
        <f>'3. melléklet'!I47</f>
        <v>2311964</v>
      </c>
      <c r="D51" s="233"/>
      <c r="E51" s="565" t="s">
        <v>44</v>
      </c>
      <c r="F51" s="466">
        <f>'4. melléklet'!J31</f>
        <v>2377271</v>
      </c>
      <c r="G51" s="605">
        <f>'4. melléklet'!K31</f>
        <v>2311964</v>
      </c>
    </row>
    <row r="52" spans="1:7" ht="15.75" thickBot="1">
      <c r="A52" s="244"/>
      <c r="B52" s="621"/>
      <c r="C52" s="610"/>
      <c r="D52" s="233"/>
      <c r="E52" s="631"/>
      <c r="F52" s="621"/>
      <c r="G52" s="610"/>
    </row>
    <row r="53" spans="1:7" ht="15.75" thickBot="1">
      <c r="A53" s="143" t="s">
        <v>47</v>
      </c>
      <c r="B53" s="619">
        <f>SUM(B47:B51)</f>
        <v>6694897</v>
      </c>
      <c r="C53" s="608">
        <f>SUM(C47:C51)</f>
        <v>6642111</v>
      </c>
      <c r="D53" s="233"/>
      <c r="E53" s="144" t="s">
        <v>50</v>
      </c>
      <c r="F53" s="619">
        <f>SUM(F47:F51)</f>
        <v>4543820</v>
      </c>
      <c r="G53" s="608">
        <f>SUM(G47:G51)</f>
        <v>4478533</v>
      </c>
    </row>
    <row r="54" spans="1:7" ht="15.75" thickBot="1">
      <c r="A54" s="156"/>
      <c r="B54" s="622"/>
      <c r="C54" s="611"/>
      <c r="D54" s="234"/>
      <c r="E54" s="240"/>
      <c r="F54" s="622"/>
      <c r="G54" s="611"/>
    </row>
    <row r="55" spans="1:7" ht="15.75" thickBot="1">
      <c r="A55" s="144" t="s">
        <v>45</v>
      </c>
      <c r="B55" s="619">
        <f>B43+B53</f>
        <v>13362503.419</v>
      </c>
      <c r="C55" s="608">
        <f>C43+C53</f>
        <v>14688199</v>
      </c>
      <c r="D55" s="233"/>
      <c r="E55" s="241" t="s">
        <v>46</v>
      </c>
      <c r="F55" s="619">
        <f>F43+F53</f>
        <v>13362503</v>
      </c>
      <c r="G55" s="608">
        <f>G43+G53</f>
        <v>14688199</v>
      </c>
    </row>
    <row r="56" spans="1:7" ht="15.75" thickBot="1">
      <c r="A56" s="157"/>
      <c r="B56" s="623"/>
      <c r="C56" s="612"/>
      <c r="D56" s="235"/>
      <c r="E56" s="157"/>
      <c r="F56" s="623"/>
      <c r="G56" s="612"/>
    </row>
    <row r="57" spans="1:7">
      <c r="A57" s="242" t="s">
        <v>534</v>
      </c>
      <c r="B57" s="624">
        <f>-B51</f>
        <v>-2377271</v>
      </c>
      <c r="C57" s="613">
        <f>-C51</f>
        <v>-2311964</v>
      </c>
      <c r="D57" s="236"/>
      <c r="E57" s="242" t="s">
        <v>534</v>
      </c>
      <c r="F57" s="624">
        <f>-F51</f>
        <v>-2377271</v>
      </c>
      <c r="G57" s="613">
        <f>-G51</f>
        <v>-2311964</v>
      </c>
    </row>
    <row r="58" spans="1:7" s="117" customFormat="1" ht="29.25" thickBot="1">
      <c r="A58" s="145" t="s">
        <v>533</v>
      </c>
      <c r="B58" s="625">
        <f>B55+B57</f>
        <v>10985232.419</v>
      </c>
      <c r="C58" s="614">
        <f>C55+C57</f>
        <v>12376235</v>
      </c>
      <c r="D58" s="237"/>
      <c r="E58" s="145" t="s">
        <v>535</v>
      </c>
      <c r="F58" s="625">
        <f>F55+F57</f>
        <v>10985232</v>
      </c>
      <c r="G58" s="614">
        <f>G55+G57</f>
        <v>12376235</v>
      </c>
    </row>
    <row r="59" spans="1:7" s="117" customFormat="1">
      <c r="A59" s="1"/>
      <c r="B59" s="127"/>
      <c r="C59" s="127"/>
      <c r="D59" s="127"/>
      <c r="E59" s="126"/>
      <c r="F59" s="127"/>
      <c r="G59" s="127"/>
    </row>
    <row r="60" spans="1:7">
      <c r="B60" s="231"/>
      <c r="C60" s="231"/>
      <c r="D60" s="231"/>
    </row>
    <row r="61" spans="1:7">
      <c r="B61" s="231"/>
      <c r="C61" s="231"/>
      <c r="D61" s="231"/>
    </row>
  </sheetData>
  <mergeCells count="3">
    <mergeCell ref="A3:C3"/>
    <mergeCell ref="E3:G3"/>
    <mergeCell ref="A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 xml:space="preserve">&amp;L&amp;"Times New Roman,Normál"1. melléklet a   17 /2020. (VII.9.) önkormányzati rendelethez
</oddHeader>
    <oddFooter>&amp;L24/2019.(XII.19.)önk.rend. Hatályos:2020.01.01.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"/>
  <sheetViews>
    <sheetView view="pageLayout" zoomScaleNormal="98" workbookViewId="0">
      <selection activeCell="A22" sqref="A22:XFD22"/>
    </sheetView>
  </sheetViews>
  <sheetFormatPr defaultRowHeight="15"/>
  <cols>
    <col min="1" max="1" width="77.140625" style="21" customWidth="1"/>
    <col min="2" max="3" width="12.85546875" style="21" customWidth="1"/>
    <col min="4" max="4" width="9.140625" style="193"/>
    <col min="5" max="5" width="9.7109375" style="193" customWidth="1"/>
    <col min="6" max="8" width="9.140625" style="193"/>
    <col min="9" max="14" width="9.140625" style="1413"/>
    <col min="15" max="15" width="9.140625" style="197"/>
    <col min="16" max="16384" width="9.140625" style="21"/>
  </cols>
  <sheetData>
    <row r="1" spans="1:15">
      <c r="A1" s="1690" t="s">
        <v>964</v>
      </c>
      <c r="B1" s="1690"/>
      <c r="C1" s="1690"/>
    </row>
    <row r="2" spans="1:15" ht="17.25" customHeight="1" thickBot="1">
      <c r="A2" s="40"/>
    </row>
    <row r="3" spans="1:15" s="44" customFormat="1" ht="29.25" thickBot="1">
      <c r="A3" s="159" t="s">
        <v>2</v>
      </c>
      <c r="B3" s="159" t="s">
        <v>3</v>
      </c>
      <c r="C3" s="1332" t="s">
        <v>910</v>
      </c>
      <c r="D3" s="1416"/>
      <c r="E3" s="1416"/>
      <c r="F3" s="1416"/>
      <c r="G3" s="1416"/>
      <c r="H3" s="1416"/>
      <c r="I3" s="1417"/>
      <c r="J3" s="1417"/>
      <c r="K3" s="1417"/>
      <c r="L3" s="1417"/>
      <c r="M3" s="1417"/>
      <c r="N3" s="1417"/>
      <c r="O3" s="1418"/>
    </row>
    <row r="4" spans="1:15" ht="15.75" thickBot="1">
      <c r="A4" s="160" t="s">
        <v>66</v>
      </c>
      <c r="B4" s="421">
        <f>B6+B9</f>
        <v>544052</v>
      </c>
      <c r="C4" s="422">
        <f>C6+C9</f>
        <v>423451</v>
      </c>
    </row>
    <row r="5" spans="1:15">
      <c r="A5" s="781"/>
      <c r="B5" s="778"/>
      <c r="C5" s="423"/>
    </row>
    <row r="6" spans="1:15">
      <c r="A6" s="646" t="s">
        <v>151</v>
      </c>
      <c r="B6" s="779">
        <f>SUM(B7:B7)</f>
        <v>136646</v>
      </c>
      <c r="C6" s="424">
        <f>SUM(C7:C7)</f>
        <v>138102</v>
      </c>
    </row>
    <row r="7" spans="1:15">
      <c r="A7" s="656" t="s">
        <v>442</v>
      </c>
      <c r="B7" s="735">
        <v>136646</v>
      </c>
      <c r="C7" s="418">
        <v>138102</v>
      </c>
      <c r="K7" s="635"/>
      <c r="L7" s="635"/>
      <c r="M7" s="193"/>
    </row>
    <row r="8" spans="1:15">
      <c r="A8" s="646"/>
      <c r="B8" s="779"/>
      <c r="C8" s="424"/>
      <c r="K8" s="193"/>
      <c r="L8" s="193"/>
      <c r="M8" s="193"/>
    </row>
    <row r="9" spans="1:15" ht="13.5" customHeight="1">
      <c r="A9" s="654" t="s">
        <v>574</v>
      </c>
      <c r="B9" s="779">
        <f>SUM(B10:B40)</f>
        <v>407406</v>
      </c>
      <c r="C9" s="424">
        <f>SUM(C10:C40)</f>
        <v>285349</v>
      </c>
      <c r="K9" s="193"/>
      <c r="L9" s="193"/>
      <c r="M9" s="193"/>
    </row>
    <row r="10" spans="1:15">
      <c r="A10" s="656" t="s">
        <v>576</v>
      </c>
      <c r="B10" s="753">
        <v>6000</v>
      </c>
      <c r="C10" s="417">
        <v>0</v>
      </c>
      <c r="K10" s="635"/>
      <c r="L10" s="193"/>
      <c r="M10" s="193"/>
    </row>
    <row r="11" spans="1:15">
      <c r="A11" s="656" t="s">
        <v>597</v>
      </c>
      <c r="B11" s="735">
        <v>700</v>
      </c>
      <c r="C11" s="418">
        <v>150</v>
      </c>
      <c r="K11" s="635"/>
      <c r="L11" s="193"/>
      <c r="M11" s="193"/>
    </row>
    <row r="12" spans="1:15">
      <c r="A12" s="656" t="s">
        <v>797</v>
      </c>
      <c r="B12" s="735">
        <v>2000</v>
      </c>
      <c r="C12" s="418">
        <v>8350</v>
      </c>
      <c r="K12" s="635"/>
      <c r="L12" s="193"/>
      <c r="M12" s="193"/>
    </row>
    <row r="13" spans="1:15">
      <c r="A13" s="656" t="s">
        <v>680</v>
      </c>
      <c r="B13" s="735">
        <v>7500</v>
      </c>
      <c r="C13" s="418">
        <v>19662</v>
      </c>
      <c r="K13" s="635"/>
      <c r="L13" s="635"/>
      <c r="M13" s="193"/>
    </row>
    <row r="14" spans="1:15">
      <c r="A14" s="656" t="s">
        <v>681</v>
      </c>
      <c r="B14" s="735">
        <v>7000</v>
      </c>
      <c r="C14" s="418">
        <v>7000</v>
      </c>
      <c r="K14" s="193"/>
      <c r="L14" s="193"/>
      <c r="M14" s="193"/>
    </row>
    <row r="15" spans="1:15">
      <c r="A15" s="656" t="s">
        <v>688</v>
      </c>
      <c r="B15" s="753">
        <v>17545</v>
      </c>
      <c r="C15" s="417">
        <v>17545</v>
      </c>
      <c r="K15" s="193"/>
      <c r="L15" s="193"/>
      <c r="M15" s="193"/>
    </row>
    <row r="16" spans="1:15">
      <c r="A16" s="656" t="s">
        <v>690</v>
      </c>
      <c r="B16" s="735">
        <v>2000</v>
      </c>
      <c r="C16" s="418">
        <v>2000</v>
      </c>
      <c r="K16" s="193"/>
      <c r="L16" s="193"/>
      <c r="M16" s="193"/>
    </row>
    <row r="17" spans="1:13">
      <c r="A17" s="656" t="s">
        <v>699</v>
      </c>
      <c r="B17" s="735">
        <v>80000</v>
      </c>
      <c r="C17" s="418">
        <v>0</v>
      </c>
      <c r="K17" s="193"/>
      <c r="L17" s="193"/>
      <c r="M17" s="193"/>
    </row>
    <row r="18" spans="1:13">
      <c r="A18" s="656" t="s">
        <v>693</v>
      </c>
      <c r="B18" s="735">
        <v>35000</v>
      </c>
      <c r="C18" s="418">
        <v>35000</v>
      </c>
      <c r="K18" s="193"/>
      <c r="L18" s="193"/>
      <c r="M18" s="193"/>
    </row>
    <row r="19" spans="1:13" ht="30">
      <c r="A19" s="656" t="s">
        <v>694</v>
      </c>
      <c r="B19" s="735">
        <v>20000</v>
      </c>
      <c r="C19" s="418">
        <v>20000</v>
      </c>
      <c r="K19" s="193"/>
      <c r="L19" s="193"/>
      <c r="M19" s="193"/>
    </row>
    <row r="20" spans="1:13" ht="30">
      <c r="A20" s="656" t="s">
        <v>734</v>
      </c>
      <c r="B20" s="735">
        <v>5000</v>
      </c>
      <c r="C20" s="418">
        <v>5000</v>
      </c>
      <c r="K20" s="193"/>
      <c r="L20" s="193"/>
      <c r="M20" s="193"/>
    </row>
    <row r="21" spans="1:13">
      <c r="A21" s="656" t="s">
        <v>697</v>
      </c>
      <c r="B21" s="735">
        <v>8000</v>
      </c>
      <c r="C21" s="418">
        <v>0</v>
      </c>
      <c r="K21" s="193"/>
      <c r="L21" s="193"/>
      <c r="M21" s="193"/>
    </row>
    <row r="22" spans="1:13">
      <c r="A22" s="1485" t="s">
        <v>979</v>
      </c>
      <c r="B22" s="735"/>
      <c r="C22" s="726">
        <v>8000</v>
      </c>
      <c r="K22" s="193"/>
      <c r="L22" s="193"/>
      <c r="M22" s="193"/>
    </row>
    <row r="23" spans="1:13">
      <c r="A23" s="656" t="s">
        <v>696</v>
      </c>
      <c r="B23" s="735">
        <v>5000</v>
      </c>
      <c r="C23" s="418">
        <v>0</v>
      </c>
      <c r="K23" s="635"/>
      <c r="L23" s="193"/>
      <c r="M23" s="193"/>
    </row>
    <row r="24" spans="1:13">
      <c r="A24" s="656" t="s">
        <v>698</v>
      </c>
      <c r="B24" s="735">
        <f>12000+101040</f>
        <v>113040</v>
      </c>
      <c r="C24" s="418">
        <v>0</v>
      </c>
      <c r="K24" s="635"/>
      <c r="L24" s="635"/>
      <c r="M24" s="193"/>
    </row>
    <row r="25" spans="1:13">
      <c r="A25" s="656" t="s">
        <v>706</v>
      </c>
      <c r="B25" s="735">
        <v>6000</v>
      </c>
      <c r="C25" s="418">
        <v>6000</v>
      </c>
      <c r="K25" s="193"/>
      <c r="L25" s="193"/>
      <c r="M25" s="193"/>
    </row>
    <row r="26" spans="1:13">
      <c r="A26" s="782" t="s">
        <v>707</v>
      </c>
      <c r="B26" s="735">
        <v>14000</v>
      </c>
      <c r="C26" s="418">
        <v>14000</v>
      </c>
      <c r="K26" s="193"/>
      <c r="L26" s="193"/>
      <c r="M26" s="193"/>
    </row>
    <row r="27" spans="1:13">
      <c r="A27" s="782" t="s">
        <v>708</v>
      </c>
      <c r="B27" s="735">
        <v>2000</v>
      </c>
      <c r="C27" s="418">
        <v>2000</v>
      </c>
      <c r="K27" s="193"/>
      <c r="L27" s="193"/>
      <c r="M27" s="193"/>
    </row>
    <row r="28" spans="1:13">
      <c r="A28" s="656" t="s">
        <v>709</v>
      </c>
      <c r="B28" s="735">
        <v>9771</v>
      </c>
      <c r="C28" s="418">
        <v>9771</v>
      </c>
      <c r="K28" s="193"/>
      <c r="L28" s="193"/>
      <c r="M28" s="193"/>
    </row>
    <row r="29" spans="1:13">
      <c r="A29" s="656" t="s">
        <v>711</v>
      </c>
      <c r="B29" s="671">
        <v>3500</v>
      </c>
      <c r="C29" s="419">
        <v>3500</v>
      </c>
      <c r="K29" s="193"/>
      <c r="L29" s="193"/>
      <c r="M29" s="193"/>
    </row>
    <row r="30" spans="1:13">
      <c r="A30" s="656" t="s">
        <v>712</v>
      </c>
      <c r="B30" s="671">
        <v>5000</v>
      </c>
      <c r="C30" s="419">
        <v>5000</v>
      </c>
      <c r="K30" s="193"/>
      <c r="L30" s="193"/>
      <c r="M30" s="193"/>
    </row>
    <row r="31" spans="1:13">
      <c r="A31" s="783" t="s">
        <v>713</v>
      </c>
      <c r="B31" s="671">
        <v>14000</v>
      </c>
      <c r="C31" s="419">
        <v>14000</v>
      </c>
      <c r="K31" s="193"/>
      <c r="L31" s="193"/>
      <c r="M31" s="193"/>
    </row>
    <row r="32" spans="1:13">
      <c r="A32" s="783" t="s">
        <v>735</v>
      </c>
      <c r="B32" s="671">
        <v>5000</v>
      </c>
      <c r="C32" s="419">
        <v>5000</v>
      </c>
      <c r="K32" s="193"/>
      <c r="L32" s="193"/>
      <c r="M32" s="193"/>
    </row>
    <row r="33" spans="1:15">
      <c r="A33" s="656" t="s">
        <v>717</v>
      </c>
      <c r="B33" s="671">
        <v>2500</v>
      </c>
      <c r="C33" s="419">
        <v>2500</v>
      </c>
      <c r="K33" s="193"/>
      <c r="L33" s="193"/>
      <c r="M33" s="193"/>
    </row>
    <row r="34" spans="1:15" ht="15.75">
      <c r="A34" s="652" t="s">
        <v>738</v>
      </c>
      <c r="B34" s="671">
        <v>7500</v>
      </c>
      <c r="C34" s="419">
        <v>22000</v>
      </c>
      <c r="K34" s="635"/>
      <c r="L34" s="193"/>
      <c r="M34" s="193"/>
    </row>
    <row r="35" spans="1:15" ht="15.75">
      <c r="A35" s="652" t="s">
        <v>733</v>
      </c>
      <c r="B35" s="671">
        <v>6350</v>
      </c>
      <c r="C35" s="419">
        <v>0</v>
      </c>
      <c r="K35" s="635"/>
      <c r="L35" s="193"/>
      <c r="M35" s="193"/>
    </row>
    <row r="36" spans="1:15" ht="15.75">
      <c r="A36" s="652" t="s">
        <v>736</v>
      </c>
      <c r="B36" s="671">
        <v>12000</v>
      </c>
      <c r="C36" s="419">
        <v>12000</v>
      </c>
      <c r="K36" s="193"/>
      <c r="L36" s="193"/>
      <c r="M36" s="193"/>
    </row>
    <row r="37" spans="1:15">
      <c r="A37" s="784" t="s">
        <v>502</v>
      </c>
      <c r="B37" s="671"/>
      <c r="C37" s="665">
        <v>55033</v>
      </c>
      <c r="K37" s="635"/>
      <c r="L37" s="635"/>
      <c r="M37" s="635"/>
      <c r="N37" s="635"/>
    </row>
    <row r="38" spans="1:15" ht="15.75">
      <c r="A38" s="652" t="s">
        <v>818</v>
      </c>
      <c r="B38" s="671"/>
      <c r="C38" s="665">
        <v>838</v>
      </c>
      <c r="K38" s="635"/>
      <c r="L38" s="193"/>
      <c r="M38" s="193"/>
    </row>
    <row r="39" spans="1:15" ht="15.75">
      <c r="A39" s="652" t="s">
        <v>737</v>
      </c>
      <c r="B39" s="671">
        <v>11000</v>
      </c>
      <c r="C39" s="419">
        <v>11000</v>
      </c>
      <c r="K39" s="193"/>
      <c r="L39" s="193"/>
      <c r="M39" s="193"/>
    </row>
    <row r="40" spans="1:15" ht="15.75" thickBot="1">
      <c r="A40" s="785"/>
      <c r="B40" s="780"/>
      <c r="C40" s="420"/>
      <c r="K40" s="193"/>
      <c r="L40" s="193"/>
      <c r="M40" s="193"/>
    </row>
    <row r="41" spans="1:15" ht="15.75" thickBot="1">
      <c r="A41" s="160" t="s">
        <v>67</v>
      </c>
      <c r="B41" s="772">
        <f>SUM(B42:B43)</f>
        <v>1927</v>
      </c>
      <c r="C41" s="773">
        <f>SUM(C42:C43)</f>
        <v>1927</v>
      </c>
    </row>
    <row r="42" spans="1:15">
      <c r="A42" s="269" t="s">
        <v>585</v>
      </c>
      <c r="B42" s="774">
        <v>699</v>
      </c>
      <c r="C42" s="431">
        <v>699</v>
      </c>
    </row>
    <row r="43" spans="1:15">
      <c r="A43" s="269" t="s">
        <v>586</v>
      </c>
      <c r="B43" s="775">
        <v>1228</v>
      </c>
      <c r="C43" s="726">
        <v>1228</v>
      </c>
    </row>
    <row r="44" spans="1:15" ht="15.75" thickBot="1">
      <c r="A44" s="428"/>
      <c r="B44" s="776"/>
      <c r="C44" s="420"/>
    </row>
    <row r="45" spans="1:15" ht="15.75" thickBot="1">
      <c r="A45" s="777" t="s">
        <v>153</v>
      </c>
      <c r="B45" s="746">
        <f>B56+B59+B63+B66+B70+B73+B81+B47+B53</f>
        <v>54261</v>
      </c>
      <c r="C45" s="746">
        <f>C47+C50+C53+C56+C59+C63+C66+C70+C73+C81</f>
        <v>24738</v>
      </c>
    </row>
    <row r="46" spans="1:15">
      <c r="A46" s="222"/>
      <c r="B46" s="425"/>
      <c r="C46" s="426"/>
    </row>
    <row r="47" spans="1:15" s="92" customFormat="1">
      <c r="A47" s="267" t="s">
        <v>747</v>
      </c>
      <c r="B47" s="719">
        <f>SUM(B48:B48)</f>
        <v>3401</v>
      </c>
      <c r="C47" s="723">
        <f>SUM(C48:C48)</f>
        <v>479</v>
      </c>
      <c r="D47" s="1414"/>
      <c r="E47" s="1414"/>
      <c r="F47" s="1414"/>
      <c r="G47" s="1414"/>
      <c r="H47" s="1415"/>
      <c r="I47" s="1415"/>
      <c r="J47" s="1415"/>
      <c r="K47" s="1415"/>
      <c r="L47" s="1415"/>
      <c r="M47" s="1415"/>
      <c r="N47" s="1415"/>
      <c r="O47" s="1415"/>
    </row>
    <row r="48" spans="1:15" ht="15.75">
      <c r="A48" s="761" t="s">
        <v>748</v>
      </c>
      <c r="B48" s="725">
        <v>3401</v>
      </c>
      <c r="C48" s="726">
        <v>479</v>
      </c>
      <c r="H48" s="197"/>
      <c r="I48" s="197"/>
      <c r="J48" s="197"/>
      <c r="K48" s="197"/>
      <c r="L48" s="197"/>
      <c r="M48" s="197"/>
      <c r="N48" s="197"/>
    </row>
    <row r="49" spans="1:14">
      <c r="A49" s="268"/>
      <c r="B49" s="725"/>
      <c r="C49" s="726"/>
      <c r="H49" s="197"/>
      <c r="I49" s="197"/>
      <c r="J49" s="197"/>
      <c r="K49" s="197"/>
      <c r="L49" s="197"/>
      <c r="M49" s="197"/>
      <c r="N49" s="197"/>
    </row>
    <row r="50" spans="1:14">
      <c r="A50" s="267" t="s">
        <v>133</v>
      </c>
      <c r="B50" s="719">
        <f>SUM(B51:B51)</f>
        <v>2100</v>
      </c>
      <c r="C50" s="723">
        <f>SUM(C51:C51)</f>
        <v>2100</v>
      </c>
      <c r="H50" s="197"/>
      <c r="I50" s="197"/>
      <c r="J50" s="197"/>
      <c r="K50" s="197"/>
      <c r="L50" s="197"/>
      <c r="M50" s="197"/>
      <c r="N50" s="197"/>
    </row>
    <row r="51" spans="1:14" ht="15.75">
      <c r="A51" s="724" t="s">
        <v>749</v>
      </c>
      <c r="B51" s="725">
        <v>2100</v>
      </c>
      <c r="C51" s="726">
        <v>2100</v>
      </c>
      <c r="H51" s="197"/>
      <c r="I51" s="197"/>
      <c r="J51" s="197"/>
      <c r="K51" s="197"/>
      <c r="L51" s="197"/>
      <c r="M51" s="197"/>
      <c r="N51" s="197"/>
    </row>
    <row r="52" spans="1:14">
      <c r="A52" s="269"/>
      <c r="B52" s="725"/>
      <c r="C52" s="726"/>
      <c r="H52" s="197"/>
      <c r="I52" s="197"/>
      <c r="J52" s="197"/>
      <c r="K52" s="197"/>
      <c r="L52" s="197"/>
      <c r="M52" s="197"/>
      <c r="N52" s="197"/>
    </row>
    <row r="53" spans="1:14">
      <c r="A53" s="267" t="s">
        <v>129</v>
      </c>
      <c r="B53" s="719">
        <f>SUM(B54:B54)</f>
        <v>0</v>
      </c>
      <c r="C53" s="723">
        <f>SUM(C54:C54)</f>
        <v>0</v>
      </c>
      <c r="H53" s="197"/>
      <c r="I53" s="197"/>
      <c r="J53" s="197"/>
      <c r="K53" s="197"/>
      <c r="L53" s="197"/>
      <c r="M53" s="197"/>
      <c r="N53" s="197"/>
    </row>
    <row r="54" spans="1:14" ht="15.75">
      <c r="A54" s="724"/>
      <c r="B54" s="725"/>
      <c r="C54" s="726"/>
      <c r="H54" s="197"/>
      <c r="I54" s="197"/>
      <c r="J54" s="197"/>
      <c r="K54" s="197"/>
      <c r="L54" s="197"/>
      <c r="M54" s="197"/>
      <c r="N54" s="197"/>
    </row>
    <row r="55" spans="1:14">
      <c r="A55" s="269"/>
      <c r="B55" s="725"/>
      <c r="C55" s="726"/>
      <c r="H55" s="197"/>
      <c r="I55" s="197"/>
      <c r="J55" s="197"/>
      <c r="K55" s="197"/>
      <c r="L55" s="197"/>
      <c r="M55" s="197"/>
      <c r="N55" s="197"/>
    </row>
    <row r="56" spans="1:14">
      <c r="A56" s="267" t="s">
        <v>132</v>
      </c>
      <c r="B56" s="719">
        <f>SUM(B57:B58)</f>
        <v>5000</v>
      </c>
      <c r="C56" s="723">
        <f>SUM(C57:C58)</f>
        <v>3000</v>
      </c>
      <c r="H56" s="197"/>
      <c r="I56" s="197"/>
      <c r="J56" s="197"/>
      <c r="K56" s="197"/>
      <c r="L56" s="197"/>
      <c r="M56" s="197"/>
      <c r="N56" s="197"/>
    </row>
    <row r="57" spans="1:14" ht="15.75">
      <c r="A57" s="724" t="s">
        <v>750</v>
      </c>
      <c r="B57" s="725">
        <v>5000</v>
      </c>
      <c r="C57" s="726">
        <v>3000</v>
      </c>
      <c r="H57" s="197"/>
      <c r="I57" s="197"/>
      <c r="J57" s="197"/>
      <c r="K57" s="197"/>
      <c r="L57" s="197"/>
      <c r="M57" s="197"/>
      <c r="N57" s="197"/>
    </row>
    <row r="58" spans="1:14">
      <c r="A58" s="268"/>
      <c r="B58" s="725"/>
      <c r="C58" s="726"/>
      <c r="H58" s="197"/>
      <c r="I58" s="197"/>
      <c r="J58" s="197"/>
      <c r="K58" s="197"/>
      <c r="L58" s="197"/>
      <c r="M58" s="197"/>
      <c r="N58" s="197"/>
    </row>
    <row r="59" spans="1:14">
      <c r="A59" s="267" t="s">
        <v>130</v>
      </c>
      <c r="B59" s="719">
        <f>SUM(B60:B62)</f>
        <v>3600</v>
      </c>
      <c r="C59" s="723">
        <f>SUM(C60:C62)</f>
        <v>3277</v>
      </c>
      <c r="H59" s="197"/>
      <c r="I59" s="197"/>
      <c r="J59" s="197"/>
      <c r="K59" s="197"/>
      <c r="L59" s="197"/>
      <c r="M59" s="197"/>
      <c r="N59" s="197"/>
    </row>
    <row r="60" spans="1:14" ht="15.75">
      <c r="A60" s="724" t="s">
        <v>751</v>
      </c>
      <c r="B60" s="762">
        <v>3000</v>
      </c>
      <c r="C60" s="763">
        <v>3277</v>
      </c>
      <c r="H60" s="197"/>
      <c r="I60" s="197"/>
      <c r="J60" s="197"/>
      <c r="K60" s="197"/>
      <c r="L60" s="197"/>
      <c r="M60" s="197"/>
      <c r="N60" s="197"/>
    </row>
    <row r="61" spans="1:14" ht="15.75">
      <c r="A61" s="724" t="s">
        <v>752</v>
      </c>
      <c r="B61" s="762">
        <v>600</v>
      </c>
      <c r="C61" s="763">
        <v>0</v>
      </c>
      <c r="H61" s="197"/>
      <c r="I61" s="197"/>
      <c r="J61" s="197"/>
      <c r="K61" s="197"/>
      <c r="L61" s="197"/>
      <c r="M61" s="197"/>
      <c r="N61" s="197"/>
    </row>
    <row r="62" spans="1:14" ht="15.75">
      <c r="A62" s="761"/>
      <c r="B62" s="764"/>
      <c r="C62" s="765"/>
      <c r="H62" s="197"/>
      <c r="I62" s="197"/>
      <c r="J62" s="197"/>
      <c r="K62" s="197"/>
      <c r="L62" s="197"/>
      <c r="M62" s="197"/>
      <c r="N62" s="197"/>
    </row>
    <row r="63" spans="1:14">
      <c r="A63" s="267" t="s">
        <v>753</v>
      </c>
      <c r="B63" s="719">
        <f>SUM(B64:B65)</f>
        <v>2000</v>
      </c>
      <c r="C63" s="723">
        <f>SUM(C64:C65)</f>
        <v>1622</v>
      </c>
      <c r="H63" s="197"/>
      <c r="I63" s="197"/>
      <c r="J63" s="197"/>
      <c r="K63" s="197"/>
      <c r="L63" s="197"/>
      <c r="M63" s="197"/>
      <c r="N63" s="197"/>
    </row>
    <row r="64" spans="1:14" ht="15.75">
      <c r="A64" s="761" t="s">
        <v>754</v>
      </c>
      <c r="B64" s="764">
        <v>2000</v>
      </c>
      <c r="C64" s="765">
        <v>1622</v>
      </c>
      <c r="H64" s="197"/>
      <c r="I64" s="197"/>
      <c r="J64" s="197"/>
      <c r="K64" s="197"/>
      <c r="L64" s="197"/>
      <c r="M64" s="197"/>
      <c r="N64" s="197"/>
    </row>
    <row r="65" spans="1:14">
      <c r="A65" s="269"/>
      <c r="B65" s="725"/>
      <c r="C65" s="726"/>
      <c r="H65" s="197"/>
      <c r="I65" s="197"/>
      <c r="J65" s="197"/>
      <c r="K65" s="197"/>
      <c r="L65" s="197"/>
      <c r="M65" s="197"/>
      <c r="N65" s="197"/>
    </row>
    <row r="66" spans="1:14">
      <c r="A66" s="267" t="s">
        <v>131</v>
      </c>
      <c r="B66" s="719">
        <f>SUM(B67:B69)</f>
        <v>14000</v>
      </c>
      <c r="C66" s="723">
        <f>SUM(C67:C69)</f>
        <v>100</v>
      </c>
      <c r="H66" s="197"/>
      <c r="I66" s="197"/>
      <c r="J66" s="197"/>
      <c r="K66" s="197"/>
      <c r="L66" s="197"/>
      <c r="M66" s="197"/>
      <c r="N66" s="197"/>
    </row>
    <row r="67" spans="1:14" ht="15.75">
      <c r="A67" s="761" t="s">
        <v>755</v>
      </c>
      <c r="B67" s="766">
        <v>2000</v>
      </c>
      <c r="C67" s="767">
        <v>0</v>
      </c>
      <c r="H67" s="197"/>
      <c r="I67" s="197"/>
      <c r="J67" s="197"/>
      <c r="K67" s="197"/>
      <c r="L67" s="197"/>
      <c r="M67" s="197"/>
      <c r="N67" s="197"/>
    </row>
    <row r="68" spans="1:14" ht="15.75">
      <c r="A68" s="768" t="s">
        <v>756</v>
      </c>
      <c r="B68" s="766">
        <v>12000</v>
      </c>
      <c r="C68" s="767">
        <v>100</v>
      </c>
      <c r="H68" s="197"/>
      <c r="I68" s="197"/>
      <c r="J68" s="197"/>
      <c r="K68" s="197"/>
      <c r="L68" s="197"/>
      <c r="M68" s="197"/>
      <c r="N68" s="197"/>
    </row>
    <row r="69" spans="1:14">
      <c r="A69" s="269"/>
      <c r="B69" s="725"/>
      <c r="C69" s="726"/>
      <c r="H69" s="197"/>
      <c r="I69" s="197"/>
      <c r="J69" s="197"/>
      <c r="K69" s="197"/>
      <c r="L69" s="197"/>
      <c r="M69" s="197"/>
      <c r="N69" s="197"/>
    </row>
    <row r="70" spans="1:14">
      <c r="A70" s="267" t="s">
        <v>135</v>
      </c>
      <c r="B70" s="719">
        <f>SUM(B71:B71)</f>
        <v>2260</v>
      </c>
      <c r="C70" s="723">
        <f>SUM(C71:C71)</f>
        <v>1160</v>
      </c>
      <c r="H70" s="197"/>
      <c r="I70" s="197"/>
      <c r="J70" s="197"/>
      <c r="K70" s="197"/>
      <c r="L70" s="197"/>
      <c r="M70" s="197"/>
      <c r="N70" s="197"/>
    </row>
    <row r="71" spans="1:14" ht="15.75">
      <c r="A71" s="769" t="s">
        <v>757</v>
      </c>
      <c r="B71" s="766">
        <v>2260</v>
      </c>
      <c r="C71" s="767">
        <v>1160</v>
      </c>
      <c r="H71" s="197"/>
      <c r="I71" s="197"/>
      <c r="J71" s="197"/>
      <c r="K71" s="197"/>
      <c r="L71" s="197"/>
      <c r="M71" s="197"/>
      <c r="N71" s="197"/>
    </row>
    <row r="72" spans="1:14">
      <c r="A72" s="770"/>
      <c r="B72" s="725"/>
      <c r="C72" s="726"/>
      <c r="H72" s="197"/>
      <c r="I72" s="197"/>
      <c r="J72" s="197"/>
      <c r="K72" s="197"/>
      <c r="L72" s="197"/>
      <c r="M72" s="197"/>
      <c r="N72" s="197"/>
    </row>
    <row r="73" spans="1:14">
      <c r="A73" s="267" t="s">
        <v>146</v>
      </c>
      <c r="B73" s="719">
        <f>SUM(B74:B79)</f>
        <v>24000</v>
      </c>
      <c r="C73" s="723">
        <f>SUM(C74:C79)</f>
        <v>13000</v>
      </c>
      <c r="H73" s="197"/>
      <c r="I73" s="197"/>
      <c r="J73" s="197"/>
      <c r="K73" s="197"/>
      <c r="L73" s="197"/>
      <c r="M73" s="197"/>
      <c r="N73" s="197"/>
    </row>
    <row r="74" spans="1:14" ht="31.5">
      <c r="A74" s="771" t="s">
        <v>758</v>
      </c>
      <c r="B74" s="729">
        <v>2000</v>
      </c>
      <c r="C74" s="730">
        <v>1000</v>
      </c>
      <c r="H74" s="197"/>
      <c r="I74" s="197"/>
      <c r="J74" s="197"/>
      <c r="K74" s="197"/>
      <c r="L74" s="197"/>
      <c r="M74" s="197"/>
      <c r="N74" s="197"/>
    </row>
    <row r="75" spans="1:14" ht="15.75">
      <c r="A75" s="771" t="s">
        <v>759</v>
      </c>
      <c r="B75" s="729">
        <v>1000</v>
      </c>
      <c r="C75" s="730">
        <v>0</v>
      </c>
      <c r="H75" s="197"/>
      <c r="I75" s="197"/>
      <c r="J75" s="197"/>
      <c r="K75" s="197"/>
      <c r="L75" s="197"/>
      <c r="M75" s="197"/>
      <c r="N75" s="197"/>
    </row>
    <row r="76" spans="1:14" ht="15.75">
      <c r="A76" s="771" t="s">
        <v>760</v>
      </c>
      <c r="B76" s="729">
        <v>5000</v>
      </c>
      <c r="C76" s="730">
        <v>0</v>
      </c>
      <c r="H76" s="197"/>
      <c r="I76" s="197"/>
      <c r="J76" s="197"/>
      <c r="K76" s="197"/>
      <c r="L76" s="197"/>
      <c r="M76" s="197"/>
      <c r="N76" s="197"/>
    </row>
    <row r="77" spans="1:14" ht="31.5">
      <c r="A77" s="771" t="s">
        <v>761</v>
      </c>
      <c r="B77" s="729">
        <v>7000</v>
      </c>
      <c r="C77" s="730">
        <v>7000</v>
      </c>
      <c r="H77" s="197"/>
      <c r="I77" s="197"/>
      <c r="J77" s="197"/>
      <c r="K77" s="197"/>
      <c r="L77" s="197"/>
      <c r="M77" s="197"/>
      <c r="N77" s="197"/>
    </row>
    <row r="78" spans="1:14" ht="31.5">
      <c r="A78" s="771" t="s">
        <v>762</v>
      </c>
      <c r="B78" s="729">
        <v>5000</v>
      </c>
      <c r="C78" s="730">
        <v>5000</v>
      </c>
      <c r="H78" s="197"/>
      <c r="I78" s="197"/>
      <c r="J78" s="197"/>
      <c r="K78" s="197"/>
      <c r="L78" s="197"/>
      <c r="M78" s="197"/>
      <c r="N78" s="197"/>
    </row>
    <row r="79" spans="1:14" ht="15.75">
      <c r="A79" s="771" t="s">
        <v>763</v>
      </c>
      <c r="B79" s="729">
        <v>4000</v>
      </c>
      <c r="C79" s="730">
        <v>0</v>
      </c>
      <c r="H79" s="197"/>
      <c r="I79" s="197"/>
      <c r="J79" s="197"/>
      <c r="K79" s="197"/>
      <c r="L79" s="197"/>
      <c r="M79" s="197"/>
      <c r="N79" s="197"/>
    </row>
    <row r="80" spans="1:14" ht="15.75">
      <c r="A80" s="268"/>
      <c r="B80" s="729"/>
      <c r="C80" s="730"/>
      <c r="H80" s="197"/>
      <c r="I80" s="197"/>
      <c r="J80" s="197"/>
      <c r="K80" s="197"/>
      <c r="L80" s="197"/>
      <c r="M80" s="197"/>
      <c r="N80" s="197"/>
    </row>
    <row r="81" spans="1:14">
      <c r="A81" s="267" t="s">
        <v>147</v>
      </c>
      <c r="B81" s="719">
        <f>SUM(B82:B82)</f>
        <v>0</v>
      </c>
      <c r="C81" s="723">
        <f>SUM(C82:C82)</f>
        <v>0</v>
      </c>
      <c r="H81" s="197"/>
      <c r="I81" s="197"/>
      <c r="J81" s="197"/>
      <c r="K81" s="197"/>
      <c r="L81" s="197"/>
      <c r="M81" s="197"/>
      <c r="N81" s="197"/>
    </row>
    <row r="82" spans="1:14">
      <c r="A82" s="269"/>
      <c r="B82" s="725"/>
      <c r="C82" s="726"/>
      <c r="H82" s="197"/>
      <c r="I82" s="197"/>
      <c r="J82" s="197"/>
      <c r="K82" s="197"/>
      <c r="L82" s="197"/>
      <c r="M82" s="197"/>
      <c r="N82" s="197"/>
    </row>
    <row r="83" spans="1:14" ht="15.75" thickBot="1">
      <c r="A83" s="270"/>
      <c r="B83" s="416"/>
      <c r="C83" s="427"/>
    </row>
    <row r="84" spans="1:14" ht="15.75" thickBot="1">
      <c r="A84" s="160" t="s">
        <v>61</v>
      </c>
      <c r="B84" s="422">
        <f>B45+B41+B4</f>
        <v>600240</v>
      </c>
      <c r="C84" s="422">
        <f>C45+C41+C4</f>
        <v>450116</v>
      </c>
    </row>
    <row r="87" spans="1:14">
      <c r="A87" s="128"/>
    </row>
    <row r="88" spans="1:14">
      <c r="A88" s="128"/>
    </row>
  </sheetData>
  <mergeCells count="1">
    <mergeCell ref="A1:C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fitToHeight="2" orientation="portrait" r:id="rId1"/>
  <headerFooter>
    <oddHeader>&amp;L&amp;"Times New Roman,Normál"&amp;8 8. melléklet a   17 /2020. (VII.9.)  önkormányzati rendelethez</oddHeader>
    <oddFooter>&amp;L&amp;7 24/2019.(XII.19.)önk.rend. Hatályos:2020.01.01.</oddFooter>
  </headerFooter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3"/>
  <sheetViews>
    <sheetView view="pageLayout" zoomScaleNormal="100" workbookViewId="0">
      <selection activeCell="A6" sqref="A6"/>
    </sheetView>
  </sheetViews>
  <sheetFormatPr defaultRowHeight="15"/>
  <cols>
    <col min="1" max="1" width="85.5703125" style="21" bestFit="1" customWidth="1"/>
    <col min="2" max="3" width="14.42578125" style="21" customWidth="1"/>
    <col min="4" max="8" width="9.140625" style="137"/>
    <col min="9" max="16384" width="9.140625" style="38"/>
  </cols>
  <sheetData>
    <row r="2" spans="1:8" ht="31.5" customHeight="1">
      <c r="A2" s="1691" t="s">
        <v>958</v>
      </c>
      <c r="B2" s="1691"/>
      <c r="C2" s="1691"/>
    </row>
    <row r="3" spans="1:8" ht="15.75" thickBot="1"/>
    <row r="4" spans="1:8" s="46" customFormat="1" ht="15.75" thickBot="1">
      <c r="A4" s="163" t="s">
        <v>2</v>
      </c>
      <c r="B4" s="408" t="s">
        <v>3</v>
      </c>
      <c r="C4" s="1313" t="s">
        <v>910</v>
      </c>
      <c r="D4" s="119"/>
      <c r="E4" s="119"/>
      <c r="F4" s="119"/>
      <c r="G4" s="119"/>
      <c r="H4" s="119"/>
    </row>
    <row r="5" spans="1:8">
      <c r="A5" s="221" t="s">
        <v>154</v>
      </c>
      <c r="B5" s="409">
        <v>300</v>
      </c>
      <c r="C5" s="401">
        <v>300</v>
      </c>
    </row>
    <row r="6" spans="1:8">
      <c r="A6" s="164" t="s">
        <v>600</v>
      </c>
      <c r="B6" s="410">
        <v>12000</v>
      </c>
      <c r="C6" s="402">
        <v>12000</v>
      </c>
    </row>
    <row r="7" spans="1:8" ht="30">
      <c r="A7" s="161" t="s">
        <v>550</v>
      </c>
      <c r="B7" s="410">
        <v>150</v>
      </c>
      <c r="C7" s="402">
        <v>150</v>
      </c>
    </row>
    <row r="8" spans="1:8">
      <c r="A8" s="161" t="s">
        <v>155</v>
      </c>
      <c r="B8" s="410">
        <v>2500</v>
      </c>
      <c r="C8" s="402">
        <v>2500</v>
      </c>
    </row>
    <row r="9" spans="1:8">
      <c r="A9" s="161" t="s">
        <v>156</v>
      </c>
      <c r="B9" s="410">
        <v>3400</v>
      </c>
      <c r="C9" s="402">
        <v>3400</v>
      </c>
    </row>
    <row r="10" spans="1:8" s="192" customFormat="1">
      <c r="A10" s="190" t="s">
        <v>157</v>
      </c>
      <c r="B10" s="411">
        <v>10000</v>
      </c>
      <c r="C10" s="403">
        <v>10000</v>
      </c>
      <c r="D10" s="191"/>
      <c r="E10" s="191"/>
      <c r="F10" s="191"/>
      <c r="G10" s="191"/>
      <c r="H10" s="191"/>
    </row>
    <row r="11" spans="1:8">
      <c r="A11" s="161" t="s">
        <v>158</v>
      </c>
      <c r="B11" s="410">
        <v>1500</v>
      </c>
      <c r="C11" s="402">
        <v>0</v>
      </c>
    </row>
    <row r="12" spans="1:8">
      <c r="A12" s="161" t="s">
        <v>452</v>
      </c>
      <c r="B12" s="410">
        <v>3000</v>
      </c>
      <c r="C12" s="402">
        <v>3000</v>
      </c>
    </row>
    <row r="13" spans="1:8">
      <c r="A13" s="165" t="s">
        <v>159</v>
      </c>
      <c r="B13" s="412">
        <f>SUM(B5:B12)</f>
        <v>32850</v>
      </c>
      <c r="C13" s="404">
        <f>SUM(C5:C12)</f>
        <v>31350</v>
      </c>
    </row>
    <row r="14" spans="1:8">
      <c r="A14" s="166"/>
      <c r="B14" s="413"/>
      <c r="C14" s="405"/>
    </row>
    <row r="15" spans="1:8">
      <c r="A15" s="161" t="s">
        <v>160</v>
      </c>
      <c r="B15" s="410">
        <v>2000</v>
      </c>
      <c r="C15" s="402">
        <v>2000</v>
      </c>
    </row>
    <row r="16" spans="1:8" s="22" customFormat="1">
      <c r="A16" s="161" t="s">
        <v>599</v>
      </c>
      <c r="B16" s="410">
        <v>30000</v>
      </c>
      <c r="C16" s="402">
        <v>30000</v>
      </c>
      <c r="D16" s="138"/>
      <c r="E16" s="138"/>
      <c r="F16" s="138"/>
      <c r="G16" s="138"/>
      <c r="H16" s="138"/>
    </row>
    <row r="17" spans="1:8">
      <c r="A17" s="165" t="s">
        <v>161</v>
      </c>
      <c r="B17" s="412">
        <f>SUM(B15:B16)</f>
        <v>32000</v>
      </c>
      <c r="C17" s="404">
        <f>SUM(C15:C16)</f>
        <v>32000</v>
      </c>
    </row>
    <row r="18" spans="1:8" ht="15.75" thickBot="1">
      <c r="A18" s="219"/>
      <c r="B18" s="414"/>
      <c r="C18" s="406"/>
    </row>
    <row r="19" spans="1:8" ht="15.75" thickBot="1">
      <c r="A19" s="167" t="s">
        <v>162</v>
      </c>
      <c r="B19" s="415">
        <f>B13+B17</f>
        <v>64850</v>
      </c>
      <c r="C19" s="407">
        <f>C13+C17</f>
        <v>63350</v>
      </c>
    </row>
    <row r="20" spans="1:8" ht="15.75" customHeight="1">
      <c r="A20" s="50"/>
      <c r="B20" s="47"/>
      <c r="C20" s="47"/>
    </row>
    <row r="21" spans="1:8" s="22" customFormat="1" ht="14.25">
      <c r="A21" s="48"/>
      <c r="B21" s="49"/>
      <c r="C21" s="49"/>
      <c r="D21" s="138"/>
      <c r="E21" s="138"/>
      <c r="F21" s="138"/>
      <c r="G21" s="138"/>
      <c r="H21" s="138"/>
    </row>
    <row r="22" spans="1:8">
      <c r="A22" s="128"/>
    </row>
    <row r="23" spans="1:8" s="22" customFormat="1" ht="14.25">
      <c r="A23" s="128"/>
      <c r="D23" s="138"/>
      <c r="E23" s="138"/>
      <c r="F23" s="138"/>
      <c r="G23" s="138"/>
      <c r="H23" s="138"/>
    </row>
  </sheetData>
  <mergeCells count="1">
    <mergeCell ref="A2:C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&amp;L&amp;"Times New Roman,Normál"&amp;8 9. melléklet a 17 /2020. (VII.9.) önkormányzati rendelethez</oddHeader>
    <oddFooter>&amp;L24/2019.(XII.19.)önk.rend. Hatályos:2020.01.01.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5688"/>
  <sheetViews>
    <sheetView view="pageLayout" zoomScale="70" zoomScaleNormal="100" zoomScalePageLayoutView="70" workbookViewId="0">
      <selection activeCell="K12" sqref="K12"/>
    </sheetView>
  </sheetViews>
  <sheetFormatPr defaultRowHeight="15" zeroHeight="1"/>
  <cols>
    <col min="1" max="1" width="109" style="40" customWidth="1"/>
    <col min="2" max="2" width="14.42578125" style="56" customWidth="1"/>
    <col min="3" max="3" width="14.140625" style="56" customWidth="1"/>
    <col min="4" max="10" width="9.140625" style="132"/>
    <col min="11" max="13" width="9.140625" style="56"/>
    <col min="14" max="16384" width="9.140625" style="51"/>
  </cols>
  <sheetData>
    <row r="1" spans="1:13" ht="60" customHeight="1">
      <c r="A1" s="1692" t="s">
        <v>807</v>
      </c>
      <c r="B1" s="1692"/>
      <c r="C1" s="1692"/>
    </row>
    <row r="2" spans="1:13" ht="15" customHeight="1" thickBot="1">
      <c r="A2" s="52"/>
      <c r="B2" s="52"/>
      <c r="C2" s="52"/>
    </row>
    <row r="3" spans="1:13" s="53" customFormat="1" ht="13.5" customHeight="1" thickBot="1">
      <c r="A3" s="174" t="s">
        <v>2</v>
      </c>
      <c r="B3" s="175" t="s">
        <v>3</v>
      </c>
      <c r="C3" s="1314" t="s">
        <v>910</v>
      </c>
      <c r="D3" s="71"/>
      <c r="E3" s="71"/>
      <c r="F3" s="71"/>
      <c r="G3" s="71"/>
      <c r="H3" s="71"/>
      <c r="I3" s="71"/>
      <c r="J3" s="71"/>
      <c r="K3" s="672"/>
      <c r="L3" s="672"/>
      <c r="M3" s="672"/>
    </row>
    <row r="4" spans="1:13" ht="17.25" customHeight="1">
      <c r="A4" s="684" t="s">
        <v>163</v>
      </c>
      <c r="B4" s="693"/>
      <c r="C4" s="391"/>
    </row>
    <row r="5" spans="1:13">
      <c r="A5" s="698"/>
      <c r="B5" s="692"/>
      <c r="C5" s="392"/>
    </row>
    <row r="6" spans="1:13" s="58" customFormat="1" ht="12" customHeight="1">
      <c r="A6" s="699" t="s">
        <v>164</v>
      </c>
      <c r="B6" s="694">
        <f>SUM(B7:B8)</f>
        <v>466736</v>
      </c>
      <c r="C6" s="393">
        <f>SUM(C7:C9)</f>
        <v>506395</v>
      </c>
      <c r="D6" s="133"/>
      <c r="E6" s="133"/>
      <c r="F6" s="133"/>
      <c r="G6" s="133"/>
      <c r="H6" s="133"/>
      <c r="I6" s="133"/>
      <c r="J6" s="133"/>
      <c r="K6" s="673"/>
      <c r="L6" s="673"/>
      <c r="M6" s="673"/>
    </row>
    <row r="7" spans="1:13" s="54" customFormat="1">
      <c r="A7" s="698" t="s">
        <v>455</v>
      </c>
      <c r="B7" s="692">
        <v>464736</v>
      </c>
      <c r="C7" s="392">
        <v>502895</v>
      </c>
      <c r="D7" s="134"/>
      <c r="E7" s="134"/>
      <c r="F7" s="134"/>
      <c r="G7" s="134"/>
      <c r="H7" s="134"/>
      <c r="I7" s="677"/>
      <c r="J7" s="677"/>
      <c r="K7" s="677"/>
      <c r="L7" s="677"/>
      <c r="M7" s="674"/>
    </row>
    <row r="8" spans="1:13" s="54" customFormat="1">
      <c r="A8" s="698" t="s">
        <v>456</v>
      </c>
      <c r="B8" s="692">
        <v>2000</v>
      </c>
      <c r="C8" s="392">
        <v>2000</v>
      </c>
      <c r="D8" s="134"/>
      <c r="E8" s="134"/>
      <c r="F8" s="134"/>
      <c r="G8" s="134"/>
      <c r="H8" s="134"/>
      <c r="I8" s="134"/>
      <c r="J8" s="134"/>
      <c r="K8" s="134"/>
      <c r="L8" s="134"/>
      <c r="M8" s="674"/>
    </row>
    <row r="9" spans="1:13" s="54" customFormat="1" ht="15.75">
      <c r="A9" s="700" t="s">
        <v>841</v>
      </c>
      <c r="B9" s="692"/>
      <c r="C9" s="691">
        <v>1500</v>
      </c>
      <c r="D9" s="134"/>
      <c r="E9" s="134"/>
      <c r="F9" s="134"/>
      <c r="G9" s="134"/>
      <c r="H9" s="134"/>
      <c r="I9" s="677"/>
      <c r="J9" s="134"/>
      <c r="K9" s="134"/>
      <c r="L9" s="134"/>
      <c r="M9" s="674"/>
    </row>
    <row r="10" spans="1:13" ht="12.75" customHeight="1">
      <c r="A10" s="698"/>
      <c r="B10" s="692"/>
      <c r="C10" s="392"/>
      <c r="K10" s="132"/>
      <c r="L10" s="132"/>
    </row>
    <row r="11" spans="1:13" s="58" customFormat="1" ht="12.75" customHeight="1">
      <c r="A11" s="699" t="s">
        <v>165</v>
      </c>
      <c r="B11" s="694">
        <f>SUM(B12:B38)</f>
        <v>715341</v>
      </c>
      <c r="C11" s="393">
        <f>SUM(C12:C42)</f>
        <v>696746</v>
      </c>
      <c r="D11" s="133"/>
      <c r="E11" s="133"/>
      <c r="F11" s="133"/>
      <c r="G11" s="133"/>
      <c r="H11" s="133"/>
      <c r="I11" s="133"/>
      <c r="J11" s="133"/>
      <c r="K11" s="133"/>
      <c r="L11" s="133"/>
      <c r="M11" s="673"/>
    </row>
    <row r="12" spans="1:13" ht="15.75" customHeight="1">
      <c r="A12" s="701" t="s">
        <v>676</v>
      </c>
      <c r="B12" s="695">
        <v>21088</v>
      </c>
      <c r="C12" s="394">
        <v>21088</v>
      </c>
      <c r="K12" s="132"/>
      <c r="L12" s="132"/>
    </row>
    <row r="13" spans="1:13" ht="15.75" customHeight="1">
      <c r="A13" s="698" t="s">
        <v>677</v>
      </c>
      <c r="B13" s="695">
        <v>10310</v>
      </c>
      <c r="C13" s="394">
        <v>10310</v>
      </c>
      <c r="K13" s="132"/>
      <c r="L13" s="132"/>
    </row>
    <row r="14" spans="1:13" ht="16.5" customHeight="1">
      <c r="A14" s="698" t="s">
        <v>469</v>
      </c>
      <c r="B14" s="695">
        <v>261336</v>
      </c>
      <c r="C14" s="394">
        <v>261336</v>
      </c>
      <c r="K14" s="132"/>
      <c r="L14" s="132"/>
    </row>
    <row r="15" spans="1:13" ht="15" customHeight="1">
      <c r="A15" s="698" t="s">
        <v>471</v>
      </c>
      <c r="B15" s="692">
        <v>165370</v>
      </c>
      <c r="C15" s="392">
        <v>165370</v>
      </c>
      <c r="K15" s="132"/>
      <c r="L15" s="132"/>
    </row>
    <row r="16" spans="1:13">
      <c r="A16" s="649" t="s">
        <v>470</v>
      </c>
      <c r="B16" s="692">
        <v>47042</v>
      </c>
      <c r="C16" s="392">
        <v>47042</v>
      </c>
      <c r="K16" s="132"/>
      <c r="L16" s="132"/>
    </row>
    <row r="17" spans="1:28">
      <c r="A17" s="701" t="s">
        <v>457</v>
      </c>
      <c r="B17" s="692">
        <v>64000</v>
      </c>
      <c r="C17" s="392">
        <v>64000</v>
      </c>
      <c r="K17" s="132"/>
      <c r="L17" s="132"/>
    </row>
    <row r="18" spans="1:28">
      <c r="A18" s="701" t="s">
        <v>480</v>
      </c>
      <c r="B18" s="692">
        <v>45000</v>
      </c>
      <c r="C18" s="392">
        <v>22500</v>
      </c>
      <c r="I18" s="676"/>
      <c r="K18" s="132"/>
      <c r="L18" s="132"/>
    </row>
    <row r="19" spans="1:28" s="55" customFormat="1">
      <c r="A19" s="701" t="s">
        <v>166</v>
      </c>
      <c r="B19" s="692">
        <v>4000</v>
      </c>
      <c r="C19" s="392">
        <v>4000</v>
      </c>
      <c r="D19" s="132"/>
      <c r="E19" s="132"/>
      <c r="F19" s="132"/>
      <c r="G19" s="132"/>
      <c r="H19" s="132"/>
      <c r="I19" s="132"/>
      <c r="J19" s="132"/>
      <c r="K19" s="132"/>
      <c r="L19" s="132"/>
      <c r="M19" s="56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>
      <c r="A20" s="698" t="s">
        <v>458</v>
      </c>
      <c r="B20" s="692">
        <v>1375</v>
      </c>
      <c r="C20" s="392">
        <v>1375</v>
      </c>
      <c r="K20" s="132"/>
      <c r="L20" s="132"/>
    </row>
    <row r="21" spans="1:28">
      <c r="A21" s="698" t="s">
        <v>459</v>
      </c>
      <c r="B21" s="692">
        <v>35000</v>
      </c>
      <c r="C21" s="392">
        <v>37155</v>
      </c>
      <c r="I21" s="676"/>
      <c r="K21" s="132"/>
      <c r="L21" s="132"/>
    </row>
    <row r="22" spans="1:28">
      <c r="A22" s="698" t="s">
        <v>472</v>
      </c>
      <c r="B22" s="692">
        <v>25000</v>
      </c>
      <c r="C22" s="392">
        <v>25000</v>
      </c>
      <c r="K22" s="132"/>
      <c r="L22" s="132"/>
    </row>
    <row r="23" spans="1:28">
      <c r="A23" s="698" t="s">
        <v>460</v>
      </c>
      <c r="B23" s="692">
        <v>1500</v>
      </c>
      <c r="C23" s="392">
        <v>1500</v>
      </c>
      <c r="K23" s="132"/>
      <c r="L23" s="132"/>
    </row>
    <row r="24" spans="1:28">
      <c r="A24" s="698" t="s">
        <v>686</v>
      </c>
      <c r="B24" s="692">
        <v>6000</v>
      </c>
      <c r="C24" s="392">
        <v>6000</v>
      </c>
      <c r="K24" s="132"/>
      <c r="L24" s="132"/>
    </row>
    <row r="25" spans="1:28">
      <c r="A25" s="698" t="s">
        <v>835</v>
      </c>
      <c r="B25" s="692">
        <v>1000</v>
      </c>
      <c r="C25" s="392">
        <v>1500</v>
      </c>
      <c r="I25" s="676"/>
      <c r="K25" s="132"/>
      <c r="L25" s="132"/>
    </row>
    <row r="26" spans="1:28">
      <c r="A26" s="698" t="s">
        <v>461</v>
      </c>
      <c r="B26" s="692">
        <v>5500</v>
      </c>
      <c r="C26" s="392">
        <v>5500</v>
      </c>
      <c r="K26" s="132"/>
      <c r="L26" s="132"/>
    </row>
    <row r="27" spans="1:28">
      <c r="A27" s="698" t="s">
        <v>474</v>
      </c>
      <c r="B27" s="692">
        <v>3000</v>
      </c>
      <c r="C27" s="392">
        <v>3000</v>
      </c>
      <c r="K27" s="132"/>
      <c r="L27" s="132"/>
    </row>
    <row r="28" spans="1:28">
      <c r="A28" s="698" t="s">
        <v>462</v>
      </c>
      <c r="B28" s="692">
        <v>1000</v>
      </c>
      <c r="C28" s="392">
        <v>1000</v>
      </c>
      <c r="K28" s="132"/>
      <c r="L28" s="132"/>
    </row>
    <row r="29" spans="1:28">
      <c r="A29" s="698" t="s">
        <v>324</v>
      </c>
      <c r="B29" s="692">
        <v>3000</v>
      </c>
      <c r="C29" s="392">
        <v>0</v>
      </c>
      <c r="I29" s="676"/>
      <c r="K29" s="132"/>
      <c r="L29" s="132"/>
    </row>
    <row r="30" spans="1:28">
      <c r="A30" s="698" t="s">
        <v>463</v>
      </c>
      <c r="B30" s="692">
        <v>5500</v>
      </c>
      <c r="C30" s="392">
        <v>0</v>
      </c>
      <c r="I30" s="676"/>
      <c r="K30" s="132"/>
      <c r="L30" s="132"/>
    </row>
    <row r="31" spans="1:28">
      <c r="A31" s="698" t="s">
        <v>477</v>
      </c>
      <c r="B31" s="692">
        <v>4500</v>
      </c>
      <c r="C31" s="392">
        <v>4500</v>
      </c>
      <c r="K31" s="132"/>
      <c r="L31" s="132"/>
    </row>
    <row r="32" spans="1:28">
      <c r="A32" s="698" t="s">
        <v>478</v>
      </c>
      <c r="B32" s="692">
        <v>500</v>
      </c>
      <c r="C32" s="392">
        <v>500</v>
      </c>
      <c r="K32" s="132"/>
      <c r="L32" s="132"/>
    </row>
    <row r="33" spans="1:13">
      <c r="A33" s="698" t="s">
        <v>475</v>
      </c>
      <c r="B33" s="692">
        <v>1000</v>
      </c>
      <c r="C33" s="392">
        <v>1000</v>
      </c>
      <c r="K33" s="132"/>
      <c r="L33" s="132"/>
    </row>
    <row r="34" spans="1:13">
      <c r="A34" s="698" t="s">
        <v>730</v>
      </c>
      <c r="B34" s="692">
        <v>500</v>
      </c>
      <c r="C34" s="392">
        <v>500</v>
      </c>
      <c r="K34" s="132"/>
      <c r="L34" s="132"/>
    </row>
    <row r="35" spans="1:13">
      <c r="A35" s="649" t="s">
        <v>476</v>
      </c>
      <c r="B35" s="692">
        <v>100</v>
      </c>
      <c r="C35" s="392">
        <v>100</v>
      </c>
      <c r="K35" s="132"/>
      <c r="L35" s="132"/>
    </row>
    <row r="36" spans="1:13">
      <c r="A36" s="649" t="s">
        <v>464</v>
      </c>
      <c r="B36" s="692">
        <v>220</v>
      </c>
      <c r="C36" s="392">
        <v>220</v>
      </c>
      <c r="K36" s="132"/>
      <c r="L36" s="132"/>
    </row>
    <row r="37" spans="1:13">
      <c r="A37" s="649" t="s">
        <v>465</v>
      </c>
      <c r="B37" s="692">
        <v>500</v>
      </c>
      <c r="C37" s="392">
        <v>500</v>
      </c>
      <c r="K37" s="132"/>
      <c r="L37" s="132"/>
    </row>
    <row r="38" spans="1:13">
      <c r="A38" s="649" t="s">
        <v>479</v>
      </c>
      <c r="B38" s="692">
        <v>2000</v>
      </c>
      <c r="C38" s="392">
        <v>2000</v>
      </c>
      <c r="K38" s="132"/>
      <c r="L38" s="132"/>
    </row>
    <row r="39" spans="1:13">
      <c r="A39" s="649" t="s">
        <v>836</v>
      </c>
      <c r="B39" s="692"/>
      <c r="C39" s="691">
        <v>1500</v>
      </c>
      <c r="I39" s="676"/>
      <c r="K39" s="132"/>
      <c r="L39" s="132"/>
    </row>
    <row r="40" spans="1:13" ht="15.75">
      <c r="A40" s="653" t="s">
        <v>837</v>
      </c>
      <c r="B40" s="692"/>
      <c r="C40" s="691">
        <v>1000</v>
      </c>
      <c r="I40" s="676"/>
      <c r="K40" s="132"/>
      <c r="L40" s="132"/>
    </row>
    <row r="41" spans="1:13" ht="15.75">
      <c r="A41" s="653" t="s">
        <v>838</v>
      </c>
      <c r="B41" s="692"/>
      <c r="C41" s="691">
        <v>2000</v>
      </c>
      <c r="I41" s="676"/>
      <c r="K41" s="132"/>
      <c r="L41" s="132"/>
    </row>
    <row r="42" spans="1:13" ht="31.5">
      <c r="A42" s="661" t="s">
        <v>839</v>
      </c>
      <c r="B42" s="692"/>
      <c r="C42" s="691">
        <v>5250</v>
      </c>
      <c r="I42" s="676"/>
      <c r="K42" s="132"/>
      <c r="L42" s="132"/>
    </row>
    <row r="43" spans="1:13">
      <c r="A43" s="698"/>
      <c r="B43" s="692"/>
      <c r="C43" s="392"/>
      <c r="K43" s="132"/>
      <c r="L43" s="132"/>
    </row>
    <row r="44" spans="1:13" ht="13.5" customHeight="1">
      <c r="A44" s="688" t="s">
        <v>178</v>
      </c>
      <c r="B44" s="696">
        <f>B6+B11</f>
        <v>1182077</v>
      </c>
      <c r="C44" s="395">
        <f>C6+C11</f>
        <v>1203141</v>
      </c>
      <c r="K44" s="132"/>
      <c r="L44" s="132"/>
    </row>
    <row r="45" spans="1:13" ht="15" customHeight="1">
      <c r="A45" s="698"/>
      <c r="B45" s="692"/>
      <c r="C45" s="392"/>
      <c r="K45" s="132"/>
      <c r="L45" s="132"/>
    </row>
    <row r="46" spans="1:13" s="58" customFormat="1">
      <c r="A46" s="699" t="s">
        <v>167</v>
      </c>
      <c r="B46" s="694">
        <f>SUM(B47:B47)</f>
        <v>20000</v>
      </c>
      <c r="C46" s="393">
        <f>SUM(C47:C47)</f>
        <v>20000</v>
      </c>
      <c r="D46" s="133"/>
      <c r="E46" s="133"/>
      <c r="F46" s="133"/>
      <c r="G46" s="133"/>
      <c r="H46" s="133"/>
      <c r="I46" s="133"/>
      <c r="J46" s="133"/>
      <c r="K46" s="133"/>
      <c r="L46" s="133"/>
      <c r="M46" s="673"/>
    </row>
    <row r="47" spans="1:13">
      <c r="A47" s="698" t="s">
        <v>473</v>
      </c>
      <c r="B47" s="692">
        <v>20000</v>
      </c>
      <c r="C47" s="392">
        <v>20000</v>
      </c>
      <c r="K47" s="132"/>
      <c r="L47" s="132"/>
    </row>
    <row r="48" spans="1:13">
      <c r="A48" s="698"/>
      <c r="B48" s="692"/>
      <c r="C48" s="392"/>
      <c r="K48" s="132"/>
      <c r="L48" s="132"/>
    </row>
    <row r="49" spans="1:12">
      <c r="A49" s="688" t="s">
        <v>170</v>
      </c>
      <c r="B49" s="696">
        <f>B46</f>
        <v>20000</v>
      </c>
      <c r="C49" s="395">
        <f>C46</f>
        <v>20000</v>
      </c>
      <c r="K49" s="132"/>
      <c r="L49" s="132"/>
    </row>
    <row r="50" spans="1:12">
      <c r="A50" s="698"/>
      <c r="B50" s="692"/>
      <c r="C50" s="392"/>
      <c r="K50" s="132"/>
      <c r="L50" s="132"/>
    </row>
    <row r="51" spans="1:12">
      <c r="A51" s="688" t="s">
        <v>171</v>
      </c>
      <c r="B51" s="696">
        <f>B44+B49</f>
        <v>1202077</v>
      </c>
      <c r="C51" s="395">
        <f>C44+C49</f>
        <v>1223141</v>
      </c>
      <c r="K51" s="132"/>
      <c r="L51" s="132"/>
    </row>
    <row r="52" spans="1:12">
      <c r="A52" s="698"/>
      <c r="B52" s="692"/>
      <c r="C52" s="392"/>
      <c r="K52" s="132"/>
      <c r="L52" s="132"/>
    </row>
    <row r="53" spans="1:12">
      <c r="A53" s="699" t="s">
        <v>325</v>
      </c>
      <c r="B53" s="694">
        <f>SUM(B54:B55)</f>
        <v>7300</v>
      </c>
      <c r="C53" s="393">
        <f>SUM(C54:C56)</f>
        <v>561</v>
      </c>
      <c r="K53" s="132"/>
      <c r="L53" s="132"/>
    </row>
    <row r="54" spans="1:12">
      <c r="A54" s="698" t="s">
        <v>468</v>
      </c>
      <c r="B54" s="692">
        <v>7000</v>
      </c>
      <c r="C54" s="392">
        <v>0</v>
      </c>
      <c r="I54" s="676"/>
      <c r="K54" s="132"/>
      <c r="L54" s="132"/>
    </row>
    <row r="55" spans="1:12">
      <c r="A55" s="698" t="s">
        <v>466</v>
      </c>
      <c r="B55" s="692">
        <v>300</v>
      </c>
      <c r="C55" s="392">
        <v>300</v>
      </c>
      <c r="K55" s="132"/>
      <c r="L55" s="132"/>
    </row>
    <row r="56" spans="1:12">
      <c r="A56" s="698" t="s">
        <v>840</v>
      </c>
      <c r="B56" s="692"/>
      <c r="C56" s="691">
        <v>261</v>
      </c>
      <c r="I56" s="676"/>
      <c r="K56" s="132"/>
      <c r="L56" s="132"/>
    </row>
    <row r="57" spans="1:12">
      <c r="A57" s="698"/>
      <c r="B57" s="692"/>
      <c r="C57" s="392"/>
      <c r="K57" s="132"/>
      <c r="L57" s="132"/>
    </row>
    <row r="58" spans="1:12">
      <c r="A58" s="699" t="s">
        <v>570</v>
      </c>
      <c r="B58" s="694">
        <f>SUM(B59:B59)</f>
        <v>6600</v>
      </c>
      <c r="C58" s="393">
        <f>SUM(C59:C61)</f>
        <v>16100</v>
      </c>
      <c r="K58" s="132"/>
      <c r="L58" s="132"/>
    </row>
    <row r="59" spans="1:12">
      <c r="A59" s="698" t="s">
        <v>716</v>
      </c>
      <c r="B59" s="692">
        <v>6600</v>
      </c>
      <c r="C59" s="392">
        <v>6600</v>
      </c>
      <c r="K59" s="132"/>
      <c r="L59" s="132"/>
    </row>
    <row r="60" spans="1:12">
      <c r="A60" s="698" t="s">
        <v>842</v>
      </c>
      <c r="B60" s="692"/>
      <c r="C60" s="691">
        <v>2500</v>
      </c>
      <c r="I60" s="676"/>
      <c r="K60" s="132"/>
      <c r="L60" s="132"/>
    </row>
    <row r="61" spans="1:12">
      <c r="A61" s="698" t="s">
        <v>468</v>
      </c>
      <c r="B61" s="692"/>
      <c r="C61" s="691">
        <v>7000</v>
      </c>
      <c r="I61" s="676"/>
      <c r="K61" s="132"/>
      <c r="L61" s="132"/>
    </row>
    <row r="62" spans="1:12">
      <c r="A62" s="698"/>
      <c r="B62" s="692"/>
      <c r="C62" s="392"/>
      <c r="K62" s="132"/>
      <c r="L62" s="132"/>
    </row>
    <row r="63" spans="1:12" ht="13.5" customHeight="1">
      <c r="A63" s="688" t="s">
        <v>179</v>
      </c>
      <c r="B63" s="696">
        <f>B53+B58</f>
        <v>13900</v>
      </c>
      <c r="C63" s="395">
        <f>C53+C58</f>
        <v>16661</v>
      </c>
      <c r="K63" s="132"/>
      <c r="L63" s="132"/>
    </row>
    <row r="64" spans="1:12">
      <c r="A64" s="698"/>
      <c r="B64" s="692"/>
      <c r="C64" s="392"/>
      <c r="K64" s="132"/>
      <c r="L64" s="132"/>
    </row>
    <row r="65" spans="1:13" s="58" customFormat="1" ht="15.75" customHeight="1">
      <c r="A65" s="699" t="s">
        <v>169</v>
      </c>
      <c r="B65" s="694">
        <f>B66</f>
        <v>0</v>
      </c>
      <c r="C65" s="393">
        <f>C66</f>
        <v>0</v>
      </c>
      <c r="D65" s="133"/>
      <c r="E65" s="133"/>
      <c r="F65" s="133"/>
      <c r="G65" s="133"/>
      <c r="H65" s="133"/>
      <c r="I65" s="133"/>
      <c r="J65" s="133"/>
      <c r="K65" s="133"/>
      <c r="L65" s="133"/>
      <c r="M65" s="673"/>
    </row>
    <row r="66" spans="1:13">
      <c r="A66" s="701"/>
      <c r="B66" s="692"/>
      <c r="C66" s="392"/>
      <c r="K66" s="132"/>
      <c r="L66" s="132"/>
    </row>
    <row r="67" spans="1:13" ht="13.5" customHeight="1">
      <c r="A67" s="688" t="s">
        <v>179</v>
      </c>
      <c r="B67" s="696">
        <f>B65</f>
        <v>0</v>
      </c>
      <c r="C67" s="395">
        <f>C65</f>
        <v>0</v>
      </c>
      <c r="K67" s="132"/>
      <c r="L67" s="132"/>
    </row>
    <row r="68" spans="1:13" s="54" customFormat="1">
      <c r="A68" s="698"/>
      <c r="B68" s="692"/>
      <c r="C68" s="392"/>
      <c r="D68" s="134"/>
      <c r="E68" s="134"/>
      <c r="F68" s="134"/>
      <c r="G68" s="134"/>
      <c r="H68" s="134"/>
      <c r="I68" s="134"/>
      <c r="J68" s="134"/>
      <c r="K68" s="134"/>
      <c r="L68" s="134"/>
      <c r="M68" s="674"/>
    </row>
    <row r="69" spans="1:13" s="54" customFormat="1" ht="28.5">
      <c r="A69" s="688" t="s">
        <v>172</v>
      </c>
      <c r="B69" s="696">
        <f>B63+B67</f>
        <v>13900</v>
      </c>
      <c r="C69" s="395">
        <f>C63+C67</f>
        <v>16661</v>
      </c>
      <c r="D69" s="134"/>
      <c r="E69" s="134"/>
      <c r="F69" s="134"/>
      <c r="G69" s="134"/>
      <c r="H69" s="134"/>
      <c r="I69" s="134"/>
      <c r="J69" s="134"/>
      <c r="K69" s="134"/>
      <c r="L69" s="134"/>
      <c r="M69" s="674"/>
    </row>
    <row r="70" spans="1:13" s="54" customFormat="1" thickBot="1">
      <c r="A70" s="702"/>
      <c r="B70" s="697"/>
      <c r="C70" s="396"/>
      <c r="D70" s="134"/>
      <c r="E70" s="134"/>
      <c r="F70" s="134"/>
      <c r="G70" s="134"/>
      <c r="H70" s="134"/>
      <c r="I70" s="134"/>
      <c r="J70" s="134"/>
      <c r="K70" s="134"/>
      <c r="L70" s="134"/>
      <c r="M70" s="674"/>
    </row>
    <row r="71" spans="1:13" s="54" customFormat="1" thickBot="1">
      <c r="A71" s="172" t="s">
        <v>311</v>
      </c>
      <c r="B71" s="176">
        <f>B51+B69</f>
        <v>1215977</v>
      </c>
      <c r="C71" s="397">
        <f>C51+C69</f>
        <v>1239802</v>
      </c>
      <c r="D71" s="134"/>
      <c r="E71" s="134"/>
      <c r="F71" s="134"/>
      <c r="G71" s="134"/>
      <c r="H71" s="134"/>
      <c r="I71" s="134"/>
      <c r="J71" s="134"/>
      <c r="K71" s="674"/>
      <c r="L71" s="674"/>
      <c r="M71" s="674"/>
    </row>
    <row r="72" spans="1:13">
      <c r="A72" s="168"/>
      <c r="B72" s="388"/>
      <c r="C72" s="398"/>
    </row>
    <row r="73" spans="1:13">
      <c r="A73" s="171" t="s">
        <v>168</v>
      </c>
      <c r="B73" s="389"/>
      <c r="C73" s="399"/>
    </row>
    <row r="74" spans="1:13">
      <c r="A74" s="171"/>
      <c r="B74" s="389"/>
      <c r="C74" s="399"/>
    </row>
    <row r="75" spans="1:13" s="58" customFormat="1">
      <c r="A75" s="170" t="s">
        <v>169</v>
      </c>
      <c r="B75" s="387">
        <f>B76</f>
        <v>1200</v>
      </c>
      <c r="C75" s="393">
        <f>C76</f>
        <v>1200</v>
      </c>
      <c r="D75" s="133"/>
      <c r="E75" s="133"/>
      <c r="F75" s="133"/>
      <c r="G75" s="133"/>
      <c r="H75" s="133"/>
      <c r="I75" s="133"/>
      <c r="J75" s="133"/>
      <c r="K75" s="673"/>
      <c r="L75" s="673"/>
      <c r="M75" s="673"/>
    </row>
    <row r="76" spans="1:13">
      <c r="A76" s="169" t="s">
        <v>467</v>
      </c>
      <c r="B76" s="386">
        <v>1200</v>
      </c>
      <c r="C76" s="392">
        <v>1200</v>
      </c>
    </row>
    <row r="77" spans="1:13" ht="14.25" customHeight="1" thickBot="1">
      <c r="A77" s="173"/>
      <c r="B77" s="390"/>
      <c r="C77" s="400"/>
    </row>
    <row r="78" spans="1:13" ht="15.75" thickBot="1">
      <c r="A78" s="172" t="s">
        <v>312</v>
      </c>
      <c r="B78" s="176">
        <f>B75</f>
        <v>1200</v>
      </c>
      <c r="C78" s="397">
        <f>C75</f>
        <v>1200</v>
      </c>
    </row>
    <row r="79" spans="1:13">
      <c r="A79" s="130"/>
      <c r="B79" s="131"/>
      <c r="C79" s="131"/>
    </row>
    <row r="80" spans="1:13">
      <c r="A80" s="128"/>
      <c r="B80" s="131"/>
      <c r="C80" s="131"/>
    </row>
    <row r="81" spans="1:13">
      <c r="A81" s="128"/>
    </row>
    <row r="82" spans="1:13"/>
    <row r="83" spans="1:13"/>
    <row r="84" spans="1:13"/>
    <row r="85" spans="1:13"/>
    <row r="86" spans="1:13"/>
    <row r="87" spans="1:13"/>
    <row r="88" spans="1:13"/>
    <row r="89" spans="1:13"/>
    <row r="90" spans="1:13" s="57" customFormat="1">
      <c r="D90" s="135"/>
      <c r="E90" s="135"/>
      <c r="F90" s="135"/>
      <c r="G90" s="135"/>
      <c r="H90" s="135"/>
      <c r="I90" s="135"/>
      <c r="J90" s="135"/>
      <c r="K90" s="675"/>
      <c r="L90" s="675"/>
      <c r="M90" s="675"/>
    </row>
    <row r="91" spans="1:13" s="54" customFormat="1" ht="14.25">
      <c r="D91" s="134"/>
      <c r="E91" s="134"/>
      <c r="F91" s="134"/>
      <c r="G91" s="134"/>
      <c r="H91" s="134"/>
      <c r="I91" s="134"/>
      <c r="J91" s="134"/>
      <c r="K91" s="674"/>
      <c r="L91" s="674"/>
      <c r="M91" s="674"/>
    </row>
    <row r="92" spans="1:13" s="54" customFormat="1" ht="14.25">
      <c r="D92" s="134"/>
      <c r="E92" s="134"/>
      <c r="F92" s="134"/>
      <c r="G92" s="134"/>
      <c r="H92" s="134"/>
      <c r="I92" s="134"/>
      <c r="J92" s="134"/>
      <c r="K92" s="674"/>
      <c r="L92" s="674"/>
      <c r="M92" s="674"/>
    </row>
    <row r="93" spans="1:13">
      <c r="A93" s="51"/>
      <c r="B93" s="51"/>
      <c r="C93" s="51"/>
    </row>
    <row r="94" spans="1:13" s="54" customFormat="1" ht="14.25">
      <c r="D94" s="134"/>
      <c r="E94" s="134"/>
      <c r="F94" s="134"/>
      <c r="G94" s="134"/>
      <c r="H94" s="134"/>
      <c r="I94" s="134"/>
      <c r="J94" s="134"/>
      <c r="K94" s="674"/>
      <c r="L94" s="674"/>
      <c r="M94" s="674"/>
    </row>
    <row r="95" spans="1:13" s="54" customFormat="1" ht="33.75" customHeight="1">
      <c r="D95" s="134"/>
      <c r="E95" s="134"/>
      <c r="F95" s="134"/>
      <c r="G95" s="134"/>
      <c r="H95" s="134"/>
      <c r="I95" s="134"/>
      <c r="J95" s="134"/>
      <c r="K95" s="674"/>
      <c r="L95" s="674"/>
      <c r="M95" s="674"/>
    </row>
    <row r="96" spans="1:13" s="54" customFormat="1" ht="36.75" customHeight="1">
      <c r="D96" s="134"/>
      <c r="E96" s="134"/>
      <c r="F96" s="134"/>
      <c r="G96" s="134"/>
      <c r="H96" s="134"/>
      <c r="I96" s="134"/>
      <c r="J96" s="134"/>
      <c r="K96" s="674"/>
      <c r="L96" s="674"/>
      <c r="M96" s="674"/>
    </row>
    <row r="97" ht="15.75" customHeight="1"/>
    <row r="98"/>
    <row r="99"/>
    <row r="100"/>
    <row r="101"/>
    <row r="102"/>
    <row r="103" ht="30.75" customHeight="1"/>
    <row r="104" ht="30.75" hidden="1" customHeight="1"/>
    <row r="105" ht="10.5" hidden="1" customHeight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</sheetData>
  <mergeCells count="1">
    <mergeCell ref="A1:C1"/>
  </mergeCells>
  <pageMargins left="0.70866141732283472" right="0.28000000000000003" top="0.74803149606299213" bottom="0.74803149606299213" header="0.31496062992125984" footer="0.31496062992125984"/>
  <pageSetup paperSize="9" scale="61" orientation="portrait" r:id="rId1"/>
  <headerFooter>
    <oddHeader>&amp;L&amp;"Times New Roman,Normál"&amp;8 10. melléklet a 17 /2020. (VII.9.) önkormányzati rendelethez</oddHeader>
    <oddFooter>&amp;L24/2019.(XII.19.)önk.rend. Hatályos:2020.01.01.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0"/>
  <sheetViews>
    <sheetView view="pageLayout" zoomScale="90" zoomScaleNormal="100" zoomScalePageLayoutView="90" workbookViewId="0">
      <selection activeCell="I24" sqref="I24"/>
    </sheetView>
  </sheetViews>
  <sheetFormatPr defaultRowHeight="15"/>
  <cols>
    <col min="1" max="1" width="89.85546875" style="40" customWidth="1"/>
    <col min="2" max="3" width="14.5703125" style="56" customWidth="1"/>
    <col min="4" max="8" width="9.140625" style="132"/>
    <col min="9" max="13" width="9.140625" style="56"/>
    <col min="14" max="16384" width="9.140625" style="51"/>
  </cols>
  <sheetData>
    <row r="1" spans="1:13" ht="15" customHeight="1">
      <c r="A1" s="1691" t="s">
        <v>959</v>
      </c>
      <c r="B1" s="1691"/>
      <c r="C1" s="1691"/>
    </row>
    <row r="2" spans="1:13">
      <c r="A2" s="1691"/>
      <c r="B2" s="1691"/>
      <c r="C2" s="1691"/>
    </row>
    <row r="3" spans="1:13" ht="15.75" thickBot="1">
      <c r="A3" s="59"/>
      <c r="B3" s="59"/>
      <c r="C3" s="295"/>
    </row>
    <row r="4" spans="1:13" s="53" customFormat="1" ht="15.75" thickBot="1">
      <c r="A4" s="682" t="s">
        <v>2</v>
      </c>
      <c r="B4" s="218" t="s">
        <v>3</v>
      </c>
      <c r="C4" s="1315" t="s">
        <v>910</v>
      </c>
      <c r="D4" s="71"/>
      <c r="E4" s="71"/>
      <c r="F4" s="71"/>
      <c r="G4" s="71"/>
      <c r="H4" s="71"/>
      <c r="I4" s="672"/>
      <c r="J4" s="672"/>
      <c r="K4" s="672"/>
      <c r="L4" s="672"/>
      <c r="M4" s="672"/>
    </row>
    <row r="5" spans="1:13">
      <c r="A5" s="684" t="s">
        <v>163</v>
      </c>
      <c r="B5" s="678"/>
      <c r="C5" s="226"/>
    </row>
    <row r="6" spans="1:13">
      <c r="A6" s="649"/>
      <c r="B6" s="679"/>
      <c r="C6" s="299"/>
    </row>
    <row r="7" spans="1:13">
      <c r="A7" s="685" t="s">
        <v>320</v>
      </c>
      <c r="B7" s="679"/>
      <c r="C7" s="667">
        <f>SUM(C8:C9)</f>
        <v>31719</v>
      </c>
    </row>
    <row r="8" spans="1:13">
      <c r="A8" s="649" t="s">
        <v>821</v>
      </c>
      <c r="B8" s="679"/>
      <c r="C8" s="666">
        <v>23652</v>
      </c>
      <c r="I8" s="676"/>
      <c r="J8" s="132"/>
      <c r="K8" s="132"/>
      <c r="L8" s="132"/>
    </row>
    <row r="9" spans="1:13">
      <c r="A9" s="649" t="s">
        <v>826</v>
      </c>
      <c r="B9" s="679"/>
      <c r="C9" s="666">
        <v>8067</v>
      </c>
      <c r="I9" s="676"/>
      <c r="J9" s="132"/>
      <c r="K9" s="132"/>
      <c r="L9" s="132"/>
    </row>
    <row r="10" spans="1:13">
      <c r="A10" s="649"/>
      <c r="B10" s="679"/>
      <c r="C10" s="666"/>
      <c r="I10" s="132"/>
      <c r="J10" s="132"/>
      <c r="K10" s="132"/>
      <c r="L10" s="132"/>
    </row>
    <row r="11" spans="1:13">
      <c r="A11" s="649"/>
      <c r="B11" s="679"/>
      <c r="C11" s="666"/>
      <c r="I11" s="132"/>
      <c r="J11" s="132"/>
      <c r="K11" s="132"/>
      <c r="L11" s="132"/>
    </row>
    <row r="12" spans="1:13" s="58" customFormat="1">
      <c r="A12" s="685" t="s">
        <v>173</v>
      </c>
      <c r="B12" s="680">
        <f>SUM(B13:B23)</f>
        <v>227393</v>
      </c>
      <c r="C12" s="374">
        <f>SUM(C13:C27)</f>
        <v>495020</v>
      </c>
      <c r="D12" s="133"/>
      <c r="E12" s="133"/>
      <c r="F12" s="133"/>
      <c r="G12" s="133"/>
      <c r="H12" s="133"/>
      <c r="I12" s="133"/>
      <c r="J12" s="133"/>
      <c r="K12" s="133"/>
      <c r="L12" s="133"/>
      <c r="M12" s="673"/>
    </row>
    <row r="13" spans="1:13" s="54" customFormat="1">
      <c r="A13" s="649" t="s">
        <v>481</v>
      </c>
      <c r="B13" s="679">
        <v>34211</v>
      </c>
      <c r="C13" s="299">
        <v>34211</v>
      </c>
      <c r="D13" s="134"/>
      <c r="E13" s="134"/>
      <c r="F13" s="134"/>
      <c r="G13" s="134"/>
      <c r="H13" s="134"/>
      <c r="I13" s="134"/>
      <c r="J13" s="134"/>
      <c r="K13" s="134"/>
      <c r="L13" s="134"/>
      <c r="M13" s="674"/>
    </row>
    <row r="14" spans="1:13" s="54" customFormat="1">
      <c r="A14" s="649" t="s">
        <v>483</v>
      </c>
      <c r="B14" s="679">
        <v>46500</v>
      </c>
      <c r="C14" s="299">
        <v>46500</v>
      </c>
      <c r="D14" s="134"/>
      <c r="E14" s="134"/>
      <c r="F14" s="134"/>
      <c r="G14" s="134"/>
      <c r="H14" s="134"/>
      <c r="I14" s="134"/>
      <c r="J14" s="134"/>
      <c r="K14" s="134"/>
      <c r="L14" s="134"/>
      <c r="M14" s="674"/>
    </row>
    <row r="15" spans="1:13" s="54" customFormat="1">
      <c r="A15" s="649" t="s">
        <v>491</v>
      </c>
      <c r="B15" s="679">
        <v>23371</v>
      </c>
      <c r="C15" s="299">
        <v>29545</v>
      </c>
      <c r="D15" s="134"/>
      <c r="E15" s="134"/>
      <c r="F15" s="134"/>
      <c r="G15" s="134"/>
      <c r="H15" s="134"/>
      <c r="I15" s="677"/>
      <c r="J15" s="134"/>
      <c r="K15" s="134"/>
      <c r="L15" s="134"/>
      <c r="M15" s="674"/>
    </row>
    <row r="16" spans="1:13" s="54" customFormat="1" ht="30">
      <c r="A16" s="649" t="s">
        <v>488</v>
      </c>
      <c r="B16" s="679">
        <v>11345</v>
      </c>
      <c r="C16" s="299">
        <v>0</v>
      </c>
      <c r="D16" s="134"/>
      <c r="E16" s="134"/>
      <c r="F16" s="134"/>
      <c r="G16" s="134"/>
      <c r="H16" s="134"/>
      <c r="I16" s="677"/>
      <c r="J16" s="134"/>
      <c r="K16" s="134"/>
      <c r="L16" s="134"/>
      <c r="M16" s="674"/>
    </row>
    <row r="17" spans="1:13" s="54" customFormat="1" ht="14.25" customHeight="1">
      <c r="A17" s="649" t="s">
        <v>442</v>
      </c>
      <c r="B17" s="679">
        <v>10399</v>
      </c>
      <c r="C17" s="299">
        <v>10399</v>
      </c>
      <c r="D17" s="134"/>
      <c r="E17" s="134"/>
      <c r="F17" s="134"/>
      <c r="G17" s="134"/>
      <c r="H17" s="134"/>
      <c r="I17" s="134"/>
      <c r="J17" s="134"/>
      <c r="K17" s="134"/>
      <c r="L17" s="134"/>
      <c r="M17" s="674"/>
    </row>
    <row r="18" spans="1:13" s="54" customFormat="1" ht="14.25" customHeight="1">
      <c r="A18" s="686" t="s">
        <v>559</v>
      </c>
      <c r="B18" s="679">
        <v>74274</v>
      </c>
      <c r="C18" s="299">
        <v>229689</v>
      </c>
      <c r="D18" s="134"/>
      <c r="E18" s="134"/>
      <c r="F18" s="134"/>
      <c r="G18" s="134"/>
      <c r="H18" s="134"/>
      <c r="I18" s="677"/>
      <c r="J18" s="677"/>
      <c r="K18" s="677"/>
      <c r="L18" s="677"/>
      <c r="M18" s="674"/>
    </row>
    <row r="19" spans="1:13" s="54" customFormat="1" ht="30">
      <c r="A19" s="649" t="s">
        <v>486</v>
      </c>
      <c r="B19" s="679">
        <v>6050</v>
      </c>
      <c r="C19" s="299">
        <v>0</v>
      </c>
      <c r="D19" s="134"/>
      <c r="E19" s="134"/>
      <c r="F19" s="134"/>
      <c r="G19" s="134"/>
      <c r="H19" s="134"/>
      <c r="I19" s="677"/>
      <c r="J19" s="134"/>
      <c r="K19" s="134"/>
      <c r="L19" s="134"/>
      <c r="M19" s="674"/>
    </row>
    <row r="20" spans="1:13" s="54" customFormat="1" ht="30">
      <c r="A20" s="687" t="s">
        <v>687</v>
      </c>
      <c r="B20" s="679">
        <v>2640</v>
      </c>
      <c r="C20" s="299">
        <v>2640</v>
      </c>
      <c r="D20" s="134"/>
      <c r="E20" s="134"/>
      <c r="F20" s="134"/>
      <c r="G20" s="134"/>
      <c r="H20" s="134"/>
      <c r="I20" s="134"/>
      <c r="J20" s="134"/>
      <c r="K20" s="134"/>
      <c r="L20" s="134"/>
      <c r="M20" s="674"/>
    </row>
    <row r="21" spans="1:13" s="54" customFormat="1">
      <c r="A21" s="687" t="s">
        <v>419</v>
      </c>
      <c r="B21" s="679">
        <v>984</v>
      </c>
      <c r="C21" s="299">
        <v>0</v>
      </c>
      <c r="D21" s="134"/>
      <c r="E21" s="134"/>
      <c r="F21" s="134"/>
      <c r="G21" s="134"/>
      <c r="H21" s="134"/>
      <c r="I21" s="677"/>
      <c r="J21" s="134"/>
      <c r="K21" s="134"/>
      <c r="L21" s="134"/>
      <c r="M21" s="674"/>
    </row>
    <row r="22" spans="1:13" s="54" customFormat="1">
      <c r="A22" s="687" t="s">
        <v>420</v>
      </c>
      <c r="B22" s="679">
        <v>15838</v>
      </c>
      <c r="C22" s="299">
        <v>18922</v>
      </c>
      <c r="D22" s="134"/>
      <c r="E22" s="134"/>
      <c r="F22" s="134"/>
      <c r="G22" s="134"/>
      <c r="H22" s="134"/>
      <c r="I22" s="677"/>
      <c r="J22" s="677"/>
      <c r="K22" s="134"/>
      <c r="L22" s="134"/>
      <c r="M22" s="674"/>
    </row>
    <row r="23" spans="1:13" s="54" customFormat="1">
      <c r="A23" s="649" t="s">
        <v>421</v>
      </c>
      <c r="B23" s="679">
        <v>1781</v>
      </c>
      <c r="C23" s="299">
        <v>13728</v>
      </c>
      <c r="D23" s="134"/>
      <c r="E23" s="134"/>
      <c r="F23" s="134"/>
      <c r="G23" s="134"/>
      <c r="H23" s="134"/>
      <c r="I23" s="677"/>
      <c r="J23" s="134"/>
      <c r="K23" s="134"/>
      <c r="L23" s="134"/>
      <c r="M23" s="674"/>
    </row>
    <row r="24" spans="1:13" s="54" customFormat="1" ht="30">
      <c r="A24" s="649" t="s">
        <v>822</v>
      </c>
      <c r="B24" s="679"/>
      <c r="C24" s="666">
        <v>500</v>
      </c>
      <c r="D24" s="134"/>
      <c r="E24" s="134"/>
      <c r="F24" s="134"/>
      <c r="G24" s="134"/>
      <c r="H24" s="134"/>
      <c r="I24" s="677"/>
      <c r="J24" s="134"/>
      <c r="K24" s="134"/>
      <c r="L24" s="134"/>
      <c r="M24" s="674"/>
    </row>
    <row r="25" spans="1:13" s="54" customFormat="1" ht="15.75">
      <c r="A25" s="653" t="s">
        <v>833</v>
      </c>
      <c r="B25" s="679"/>
      <c r="C25" s="666">
        <v>35495</v>
      </c>
      <c r="D25" s="134"/>
      <c r="E25" s="134"/>
      <c r="F25" s="134"/>
      <c r="G25" s="134"/>
      <c r="H25" s="134"/>
      <c r="I25" s="677"/>
      <c r="J25" s="134"/>
      <c r="K25" s="134"/>
      <c r="L25" s="134"/>
      <c r="M25" s="674"/>
    </row>
    <row r="26" spans="1:13" s="54" customFormat="1" ht="15.75">
      <c r="A26" s="653" t="s">
        <v>834</v>
      </c>
      <c r="B26" s="679"/>
      <c r="C26" s="666">
        <v>73041</v>
      </c>
      <c r="D26" s="134"/>
      <c r="E26" s="134"/>
      <c r="F26" s="134"/>
      <c r="G26" s="134"/>
      <c r="H26" s="134"/>
      <c r="I26" s="677"/>
      <c r="J26" s="134"/>
      <c r="K26" s="134"/>
      <c r="L26" s="134"/>
      <c r="M26" s="674"/>
    </row>
    <row r="27" spans="1:13" s="54" customFormat="1" ht="15.75">
      <c r="A27" s="652" t="s">
        <v>827</v>
      </c>
      <c r="B27" s="679"/>
      <c r="C27" s="666">
        <v>350</v>
      </c>
      <c r="D27" s="134"/>
      <c r="E27" s="134"/>
      <c r="F27" s="134"/>
      <c r="G27" s="134"/>
      <c r="H27" s="134"/>
      <c r="I27" s="134"/>
      <c r="J27" s="134"/>
      <c r="K27" s="134"/>
      <c r="L27" s="134"/>
      <c r="M27" s="674"/>
    </row>
    <row r="28" spans="1:13" s="54" customFormat="1">
      <c r="A28" s="649"/>
      <c r="B28" s="679"/>
      <c r="C28" s="666"/>
      <c r="D28" s="134"/>
      <c r="E28" s="134"/>
      <c r="F28" s="134"/>
      <c r="G28" s="134"/>
      <c r="H28" s="134"/>
      <c r="I28" s="134"/>
      <c r="J28" s="134"/>
      <c r="K28" s="134"/>
      <c r="L28" s="134"/>
      <c r="M28" s="674"/>
    </row>
    <row r="29" spans="1:13" s="54" customFormat="1">
      <c r="A29" s="685" t="s">
        <v>823</v>
      </c>
      <c r="B29" s="679"/>
      <c r="C29" s="667">
        <f>SUM(C30:C36)</f>
        <v>33435</v>
      </c>
      <c r="D29" s="134"/>
      <c r="E29" s="134"/>
      <c r="F29" s="134"/>
      <c r="G29" s="134"/>
      <c r="H29" s="134"/>
      <c r="I29" s="134"/>
      <c r="J29" s="134"/>
      <c r="K29" s="134"/>
      <c r="L29" s="134"/>
      <c r="M29" s="674"/>
    </row>
    <row r="30" spans="1:13" s="54" customFormat="1" ht="30">
      <c r="A30" s="649" t="s">
        <v>824</v>
      </c>
      <c r="B30" s="679"/>
      <c r="C30" s="666">
        <v>13280</v>
      </c>
      <c r="D30" s="134"/>
      <c r="E30" s="134"/>
      <c r="F30" s="134"/>
      <c r="G30" s="134"/>
      <c r="H30" s="134"/>
      <c r="I30" s="677"/>
      <c r="J30" s="134"/>
      <c r="K30" s="134"/>
      <c r="L30" s="134"/>
      <c r="M30" s="674"/>
    </row>
    <row r="31" spans="1:13" s="54" customFormat="1">
      <c r="A31" s="649" t="s">
        <v>825</v>
      </c>
      <c r="B31" s="679"/>
      <c r="C31" s="666">
        <v>900</v>
      </c>
      <c r="D31" s="134"/>
      <c r="E31" s="134"/>
      <c r="F31" s="134"/>
      <c r="G31" s="134"/>
      <c r="H31" s="134"/>
      <c r="I31" s="677"/>
      <c r="J31" s="134"/>
      <c r="K31" s="134"/>
      <c r="L31" s="134"/>
      <c r="M31" s="674"/>
    </row>
    <row r="32" spans="1:13" s="54" customFormat="1">
      <c r="A32" s="649" t="s">
        <v>828</v>
      </c>
      <c r="B32" s="679"/>
      <c r="C32" s="666">
        <v>4800</v>
      </c>
      <c r="D32" s="134"/>
      <c r="E32" s="134"/>
      <c r="F32" s="134"/>
      <c r="G32" s="134"/>
      <c r="H32" s="134"/>
      <c r="I32" s="677"/>
      <c r="J32" s="134"/>
      <c r="K32" s="134"/>
      <c r="L32" s="134"/>
      <c r="M32" s="674"/>
    </row>
    <row r="33" spans="1:13" s="54" customFormat="1" ht="30">
      <c r="A33" s="649" t="s">
        <v>486</v>
      </c>
      <c r="B33" s="679"/>
      <c r="C33" s="666">
        <v>8431</v>
      </c>
      <c r="D33" s="134"/>
      <c r="E33" s="134"/>
      <c r="F33" s="134"/>
      <c r="G33" s="134"/>
      <c r="H33" s="134"/>
      <c r="I33" s="677"/>
      <c r="J33" s="677"/>
      <c r="K33" s="134"/>
      <c r="L33" s="134"/>
      <c r="M33" s="674"/>
    </row>
    <row r="34" spans="1:13" s="54" customFormat="1">
      <c r="A34" s="649" t="s">
        <v>831</v>
      </c>
      <c r="B34" s="679"/>
      <c r="C34" s="666">
        <v>762</v>
      </c>
      <c r="D34" s="134"/>
      <c r="E34" s="134"/>
      <c r="F34" s="134"/>
      <c r="G34" s="134"/>
      <c r="H34" s="134"/>
      <c r="I34" s="677"/>
      <c r="J34" s="134"/>
      <c r="K34" s="134"/>
      <c r="L34" s="134"/>
      <c r="M34" s="674"/>
    </row>
    <row r="35" spans="1:13" s="54" customFormat="1" ht="31.5">
      <c r="A35" s="663" t="s">
        <v>487</v>
      </c>
      <c r="B35" s="679"/>
      <c r="C35" s="666">
        <v>2622</v>
      </c>
      <c r="D35" s="134"/>
      <c r="E35" s="134"/>
      <c r="F35" s="134"/>
      <c r="G35" s="134"/>
      <c r="H35" s="134"/>
      <c r="I35" s="677"/>
      <c r="J35" s="134"/>
      <c r="K35" s="134"/>
      <c r="L35" s="134"/>
      <c r="M35" s="674"/>
    </row>
    <row r="36" spans="1:13" s="54" customFormat="1" ht="30">
      <c r="A36" s="649" t="s">
        <v>687</v>
      </c>
      <c r="B36" s="679"/>
      <c r="C36" s="666">
        <v>2640</v>
      </c>
      <c r="D36" s="134"/>
      <c r="E36" s="134"/>
      <c r="F36" s="134"/>
      <c r="G36" s="134"/>
      <c r="H36" s="134"/>
      <c r="I36" s="677"/>
      <c r="J36" s="134"/>
      <c r="K36" s="134"/>
      <c r="L36" s="134"/>
      <c r="M36" s="674"/>
    </row>
    <row r="37" spans="1:13" s="54" customFormat="1">
      <c r="A37" s="649"/>
      <c r="B37" s="679"/>
      <c r="C37" s="299"/>
      <c r="D37" s="134"/>
      <c r="E37" s="134"/>
      <c r="F37" s="134"/>
      <c r="G37" s="134"/>
      <c r="H37" s="134"/>
      <c r="I37" s="134"/>
      <c r="J37" s="134"/>
      <c r="K37" s="134"/>
      <c r="L37" s="134"/>
      <c r="M37" s="674"/>
    </row>
    <row r="38" spans="1:13" s="54" customFormat="1" ht="14.25">
      <c r="A38" s="688" t="s">
        <v>178</v>
      </c>
      <c r="B38" s="681">
        <f>B12</f>
        <v>227393</v>
      </c>
      <c r="C38" s="272">
        <f>C29+C12+C7</f>
        <v>560174</v>
      </c>
      <c r="D38" s="134"/>
      <c r="E38" s="134"/>
      <c r="F38" s="134"/>
      <c r="G38" s="134"/>
      <c r="H38" s="134"/>
      <c r="I38" s="134"/>
      <c r="J38" s="134"/>
      <c r="K38" s="134"/>
      <c r="L38" s="134"/>
      <c r="M38" s="674"/>
    </row>
    <row r="39" spans="1:13" s="54" customFormat="1">
      <c r="A39" s="649"/>
      <c r="B39" s="679"/>
      <c r="C39" s="299"/>
      <c r="D39" s="134"/>
      <c r="E39" s="134"/>
      <c r="F39" s="134"/>
      <c r="G39" s="134"/>
      <c r="H39" s="134"/>
      <c r="I39" s="134"/>
      <c r="J39" s="134"/>
      <c r="K39" s="134"/>
      <c r="L39" s="134"/>
      <c r="M39" s="674"/>
    </row>
    <row r="40" spans="1:13" s="57" customFormat="1">
      <c r="A40" s="685" t="s">
        <v>174</v>
      </c>
      <c r="B40" s="680">
        <f>SUM(B41:B44)</f>
        <v>77549</v>
      </c>
      <c r="C40" s="374">
        <f>SUM(C41:C44)</f>
        <v>77549</v>
      </c>
      <c r="D40" s="135"/>
      <c r="E40" s="135"/>
      <c r="F40" s="135"/>
      <c r="G40" s="135"/>
      <c r="H40" s="135"/>
      <c r="I40" s="135"/>
      <c r="J40" s="135"/>
      <c r="K40" s="135"/>
      <c r="L40" s="135"/>
      <c r="M40" s="675"/>
    </row>
    <row r="41" spans="1:13" s="54" customFormat="1">
      <c r="A41" s="649" t="s">
        <v>719</v>
      </c>
      <c r="B41" s="679">
        <f>20000+8174+10000</f>
        <v>38174</v>
      </c>
      <c r="C41" s="299">
        <v>38174</v>
      </c>
      <c r="D41" s="134"/>
      <c r="E41" s="134"/>
      <c r="F41" s="134"/>
      <c r="G41" s="134"/>
      <c r="H41" s="134"/>
      <c r="I41" s="134"/>
      <c r="J41" s="134"/>
      <c r="K41" s="134"/>
      <c r="L41" s="134"/>
      <c r="M41" s="674"/>
    </row>
    <row r="42" spans="1:13" s="54" customFormat="1">
      <c r="A42" s="649" t="s">
        <v>584</v>
      </c>
      <c r="B42" s="679">
        <v>10256</v>
      </c>
      <c r="C42" s="299">
        <v>10256</v>
      </c>
      <c r="D42" s="134"/>
      <c r="E42" s="134"/>
      <c r="F42" s="134"/>
      <c r="G42" s="134"/>
      <c r="H42" s="134"/>
      <c r="I42" s="134"/>
      <c r="J42" s="134"/>
      <c r="K42" s="134"/>
      <c r="L42" s="134"/>
      <c r="M42" s="674"/>
    </row>
    <row r="43" spans="1:13" s="54" customFormat="1">
      <c r="A43" s="689" t="s">
        <v>724</v>
      </c>
      <c r="B43" s="679">
        <v>24589</v>
      </c>
      <c r="C43" s="299">
        <v>24589</v>
      </c>
      <c r="D43" s="134"/>
      <c r="E43" s="134"/>
      <c r="F43" s="134"/>
      <c r="G43" s="134"/>
      <c r="H43" s="134"/>
      <c r="I43" s="134"/>
      <c r="J43" s="134"/>
      <c r="K43" s="134"/>
      <c r="L43" s="134"/>
      <c r="M43" s="674"/>
    </row>
    <row r="44" spans="1:13" s="54" customFormat="1">
      <c r="A44" s="689" t="s">
        <v>725</v>
      </c>
      <c r="B44" s="679">
        <v>4530</v>
      </c>
      <c r="C44" s="299">
        <v>4530</v>
      </c>
      <c r="D44" s="134"/>
      <c r="E44" s="134"/>
      <c r="F44" s="134"/>
      <c r="G44" s="134"/>
      <c r="H44" s="134"/>
      <c r="I44" s="134"/>
      <c r="J44" s="134"/>
      <c r="K44" s="134"/>
      <c r="L44" s="134"/>
      <c r="M44" s="674"/>
    </row>
    <row r="45" spans="1:13" s="54" customFormat="1">
      <c r="A45" s="649"/>
      <c r="B45" s="679"/>
      <c r="C45" s="299"/>
      <c r="D45" s="134"/>
      <c r="E45" s="134"/>
      <c r="F45" s="134"/>
      <c r="G45" s="134"/>
      <c r="H45" s="134"/>
      <c r="I45" s="134"/>
      <c r="J45" s="134"/>
      <c r="K45" s="134"/>
      <c r="L45" s="134"/>
      <c r="M45" s="674"/>
    </row>
    <row r="46" spans="1:13" s="54" customFormat="1" ht="14.25">
      <c r="A46" s="688" t="s">
        <v>177</v>
      </c>
      <c r="B46" s="681">
        <f>B40</f>
        <v>77549</v>
      </c>
      <c r="C46" s="272">
        <f>C40</f>
        <v>77549</v>
      </c>
      <c r="D46" s="134"/>
      <c r="E46" s="134"/>
      <c r="F46" s="134"/>
      <c r="G46" s="134"/>
      <c r="H46" s="134"/>
      <c r="I46" s="134"/>
      <c r="J46" s="134"/>
      <c r="K46" s="134"/>
      <c r="L46" s="134"/>
      <c r="M46" s="674"/>
    </row>
    <row r="47" spans="1:13" s="54" customFormat="1">
      <c r="A47" s="649"/>
      <c r="B47" s="679"/>
      <c r="C47" s="299"/>
      <c r="D47" s="134"/>
      <c r="E47" s="134"/>
      <c r="F47" s="134"/>
      <c r="G47" s="134"/>
      <c r="H47" s="134"/>
      <c r="I47" s="134"/>
      <c r="J47" s="134"/>
      <c r="K47" s="134"/>
      <c r="L47" s="134"/>
      <c r="M47" s="674"/>
    </row>
    <row r="48" spans="1:13" s="54" customFormat="1" ht="28.5">
      <c r="A48" s="688" t="s">
        <v>171</v>
      </c>
      <c r="B48" s="681">
        <f>B38+B46</f>
        <v>304942</v>
      </c>
      <c r="C48" s="272">
        <f>C38+C46</f>
        <v>637723</v>
      </c>
      <c r="D48" s="134"/>
      <c r="E48" s="134"/>
      <c r="F48" s="134"/>
      <c r="G48" s="134"/>
      <c r="H48" s="134"/>
      <c r="I48" s="134"/>
      <c r="J48" s="134"/>
      <c r="K48" s="134"/>
      <c r="L48" s="134"/>
      <c r="M48" s="674"/>
    </row>
    <row r="49" spans="1:13" s="54" customFormat="1">
      <c r="A49" s="649"/>
      <c r="B49" s="679"/>
      <c r="C49" s="299"/>
      <c r="D49" s="134"/>
      <c r="E49" s="134"/>
      <c r="F49" s="134"/>
      <c r="G49" s="134"/>
      <c r="H49" s="134"/>
      <c r="I49" s="134"/>
      <c r="J49" s="134"/>
      <c r="K49" s="134"/>
      <c r="L49" s="134"/>
      <c r="M49" s="674"/>
    </row>
    <row r="50" spans="1:13" s="57" customFormat="1">
      <c r="A50" s="685" t="s">
        <v>175</v>
      </c>
      <c r="B50" s="680">
        <f>SUM(B51:B67)</f>
        <v>113219</v>
      </c>
      <c r="C50" s="374">
        <f>SUM(C51:C60)</f>
        <v>761122</v>
      </c>
      <c r="D50" s="135"/>
      <c r="E50" s="135"/>
      <c r="F50" s="135"/>
      <c r="G50" s="135"/>
      <c r="H50" s="135"/>
      <c r="I50" s="135"/>
      <c r="J50" s="135"/>
      <c r="K50" s="135"/>
      <c r="L50" s="135"/>
      <c r="M50" s="675"/>
    </row>
    <row r="51" spans="1:13" s="54" customFormat="1" ht="30">
      <c r="A51" s="649" t="s">
        <v>486</v>
      </c>
      <c r="B51" s="679">
        <v>8270</v>
      </c>
      <c r="C51" s="299">
        <v>0</v>
      </c>
      <c r="D51" s="134"/>
      <c r="E51" s="134"/>
      <c r="F51" s="134"/>
      <c r="G51" s="134"/>
      <c r="H51" s="134"/>
      <c r="I51" s="677"/>
      <c r="J51" s="134"/>
      <c r="K51" s="134"/>
      <c r="L51" s="134"/>
      <c r="M51" s="674"/>
    </row>
    <row r="52" spans="1:13" s="54" customFormat="1" ht="30">
      <c r="A52" s="649" t="s">
        <v>687</v>
      </c>
      <c r="B52" s="679">
        <v>103129</v>
      </c>
      <c r="C52" s="299">
        <v>8996</v>
      </c>
      <c r="D52" s="134"/>
      <c r="E52" s="134"/>
      <c r="F52" s="134"/>
      <c r="G52" s="134"/>
      <c r="H52" s="134"/>
      <c r="I52" s="677"/>
      <c r="J52" s="134"/>
      <c r="K52" s="134"/>
      <c r="L52" s="134"/>
      <c r="M52" s="674"/>
    </row>
    <row r="53" spans="1:13" s="54" customFormat="1" ht="31.5">
      <c r="A53" s="661" t="s">
        <v>819</v>
      </c>
      <c r="B53" s="679"/>
      <c r="C53" s="666">
        <v>33542</v>
      </c>
      <c r="D53" s="134"/>
      <c r="E53" s="134"/>
      <c r="F53" s="134"/>
      <c r="G53" s="134"/>
      <c r="H53" s="134"/>
      <c r="I53" s="677"/>
      <c r="J53" s="134"/>
      <c r="K53" s="134"/>
      <c r="L53" s="134"/>
      <c r="M53" s="674"/>
    </row>
    <row r="54" spans="1:13" s="54" customFormat="1" ht="47.25">
      <c r="A54" s="661" t="s">
        <v>820</v>
      </c>
      <c r="B54" s="679"/>
      <c r="C54" s="666">
        <v>103250</v>
      </c>
      <c r="D54" s="134"/>
      <c r="E54" s="134"/>
      <c r="F54" s="134"/>
      <c r="G54" s="134"/>
      <c r="H54" s="134"/>
      <c r="I54" s="677"/>
      <c r="J54" s="134"/>
      <c r="K54" s="134"/>
      <c r="L54" s="134"/>
      <c r="M54" s="674"/>
    </row>
    <row r="55" spans="1:13" s="54" customFormat="1">
      <c r="A55" s="649" t="s">
        <v>421</v>
      </c>
      <c r="B55" s="679">
        <v>1820</v>
      </c>
      <c r="C55" s="299">
        <v>3748</v>
      </c>
      <c r="D55" s="134"/>
      <c r="E55" s="134"/>
      <c r="F55" s="134"/>
      <c r="G55" s="134"/>
      <c r="H55" s="134"/>
      <c r="I55" s="677"/>
      <c r="J55" s="134"/>
      <c r="K55" s="134"/>
      <c r="L55" s="134"/>
      <c r="M55" s="674"/>
    </row>
    <row r="56" spans="1:13" s="54" customFormat="1" ht="15.75">
      <c r="A56" s="652" t="s">
        <v>830</v>
      </c>
      <c r="B56" s="679"/>
      <c r="C56" s="666">
        <v>104463</v>
      </c>
      <c r="D56" s="134"/>
      <c r="E56" s="134"/>
      <c r="F56" s="134"/>
      <c r="G56" s="134"/>
      <c r="H56" s="134"/>
      <c r="I56" s="677"/>
      <c r="J56" s="677"/>
      <c r="K56" s="134"/>
      <c r="L56" s="134"/>
      <c r="M56" s="674"/>
    </row>
    <row r="57" spans="1:13" s="54" customFormat="1" ht="15.75">
      <c r="A57" s="652" t="s">
        <v>832</v>
      </c>
      <c r="B57" s="679"/>
      <c r="C57" s="666">
        <v>1251</v>
      </c>
      <c r="D57" s="134"/>
      <c r="E57" s="134"/>
      <c r="F57" s="134"/>
      <c r="G57" s="134"/>
      <c r="H57" s="134"/>
      <c r="I57" s="677"/>
      <c r="J57" s="677"/>
      <c r="K57" s="134"/>
      <c r="L57" s="134"/>
      <c r="M57" s="674"/>
    </row>
    <row r="58" spans="1:13" s="54" customFormat="1" ht="15.75">
      <c r="A58" s="652" t="s">
        <v>422</v>
      </c>
      <c r="B58" s="679"/>
      <c r="C58" s="666">
        <v>3000</v>
      </c>
      <c r="D58" s="134"/>
      <c r="E58" s="134"/>
      <c r="F58" s="134"/>
      <c r="G58" s="134"/>
      <c r="H58" s="134"/>
      <c r="I58" s="677"/>
      <c r="J58" s="134"/>
      <c r="K58" s="134"/>
      <c r="L58" s="134"/>
      <c r="M58" s="674"/>
    </row>
    <row r="59" spans="1:13" s="54" customFormat="1" ht="15.75">
      <c r="A59" s="653" t="s">
        <v>833</v>
      </c>
      <c r="B59" s="679"/>
      <c r="C59" s="666">
        <v>234915</v>
      </c>
      <c r="D59" s="134"/>
      <c r="E59" s="134"/>
      <c r="F59" s="134"/>
      <c r="G59" s="134"/>
      <c r="H59" s="134"/>
      <c r="I59" s="677"/>
      <c r="J59" s="134"/>
      <c r="K59" s="134"/>
      <c r="L59" s="134"/>
      <c r="M59" s="674"/>
    </row>
    <row r="60" spans="1:13" s="54" customFormat="1" ht="15.75">
      <c r="A60" s="653" t="s">
        <v>834</v>
      </c>
      <c r="B60" s="679"/>
      <c r="C60" s="666">
        <v>267957</v>
      </c>
      <c r="D60" s="134"/>
      <c r="E60" s="134"/>
      <c r="F60" s="134"/>
      <c r="G60" s="134"/>
      <c r="H60" s="134"/>
      <c r="I60" s="677"/>
      <c r="J60" s="134"/>
      <c r="K60" s="134"/>
      <c r="L60" s="134"/>
      <c r="M60" s="674"/>
    </row>
    <row r="61" spans="1:13" s="54" customFormat="1">
      <c r="A61" s="649"/>
      <c r="B61" s="679"/>
      <c r="C61" s="666"/>
      <c r="D61" s="134"/>
      <c r="E61" s="134"/>
      <c r="F61" s="134"/>
      <c r="G61" s="134"/>
      <c r="H61" s="134"/>
      <c r="I61" s="134"/>
      <c r="J61" s="134"/>
      <c r="K61" s="134"/>
      <c r="L61" s="134"/>
      <c r="M61" s="674"/>
    </row>
    <row r="62" spans="1:13" s="54" customFormat="1">
      <c r="A62" s="685" t="s">
        <v>829</v>
      </c>
      <c r="B62" s="679"/>
      <c r="C62" s="667">
        <f>SUM(C63:C66)</f>
        <v>193696</v>
      </c>
      <c r="D62" s="134"/>
      <c r="E62" s="134"/>
      <c r="F62" s="134"/>
      <c r="G62" s="134"/>
      <c r="H62" s="134"/>
      <c r="I62" s="134"/>
      <c r="J62" s="134"/>
      <c r="K62" s="134"/>
      <c r="L62" s="134"/>
      <c r="M62" s="674"/>
    </row>
    <row r="63" spans="1:13" s="54" customFormat="1" ht="30">
      <c r="A63" s="649" t="s">
        <v>486</v>
      </c>
      <c r="B63" s="679"/>
      <c r="C63" s="666">
        <v>88171</v>
      </c>
      <c r="D63" s="134"/>
      <c r="E63" s="134"/>
      <c r="F63" s="134"/>
      <c r="G63" s="134"/>
      <c r="H63" s="134"/>
      <c r="I63" s="677"/>
      <c r="J63" s="677"/>
      <c r="K63" s="134"/>
      <c r="L63" s="134"/>
      <c r="M63" s="674"/>
    </row>
    <row r="64" spans="1:13" s="54" customFormat="1">
      <c r="A64" s="649" t="s">
        <v>831</v>
      </c>
      <c r="B64" s="679"/>
      <c r="C64" s="666">
        <v>1238</v>
      </c>
      <c r="D64" s="134"/>
      <c r="E64" s="134"/>
      <c r="F64" s="134"/>
      <c r="G64" s="134"/>
      <c r="H64" s="134"/>
      <c r="I64" s="677"/>
      <c r="J64" s="134"/>
      <c r="K64" s="134"/>
      <c r="L64" s="134"/>
      <c r="M64" s="674"/>
    </row>
    <row r="65" spans="1:13" s="54" customFormat="1" ht="31.5">
      <c r="A65" s="663" t="s">
        <v>487</v>
      </c>
      <c r="B65" s="679"/>
      <c r="C65" s="666">
        <v>8017</v>
      </c>
      <c r="D65" s="134"/>
      <c r="E65" s="134"/>
      <c r="F65" s="134"/>
      <c r="G65" s="134"/>
      <c r="H65" s="134"/>
      <c r="I65" s="677"/>
      <c r="J65" s="134"/>
      <c r="K65" s="134"/>
      <c r="L65" s="134"/>
      <c r="M65" s="674"/>
    </row>
    <row r="66" spans="1:13" s="54" customFormat="1" ht="30">
      <c r="A66" s="649" t="s">
        <v>687</v>
      </c>
      <c r="B66" s="679"/>
      <c r="C66" s="666">
        <v>96270</v>
      </c>
      <c r="D66" s="134"/>
      <c r="E66" s="134"/>
      <c r="F66" s="134"/>
      <c r="G66" s="134"/>
      <c r="H66" s="134"/>
      <c r="I66" s="677"/>
      <c r="J66" s="134"/>
      <c r="K66" s="134"/>
      <c r="L66" s="134"/>
      <c r="M66" s="674"/>
    </row>
    <row r="67" spans="1:13" s="54" customFormat="1">
      <c r="A67" s="649"/>
      <c r="B67" s="679"/>
      <c r="C67" s="299"/>
      <c r="D67" s="134"/>
      <c r="E67" s="134"/>
      <c r="F67" s="134"/>
      <c r="G67" s="134"/>
      <c r="H67" s="134"/>
      <c r="I67" s="134"/>
      <c r="J67" s="134"/>
      <c r="K67" s="134"/>
      <c r="L67" s="134"/>
      <c r="M67" s="674"/>
    </row>
    <row r="68" spans="1:13">
      <c r="A68" s="688" t="s">
        <v>179</v>
      </c>
      <c r="B68" s="681">
        <f>B50</f>
        <v>113219</v>
      </c>
      <c r="C68" s="272">
        <f>C50+C62</f>
        <v>954818</v>
      </c>
      <c r="I68" s="132"/>
      <c r="J68" s="132"/>
      <c r="K68" s="132"/>
      <c r="L68" s="132"/>
    </row>
    <row r="69" spans="1:13">
      <c r="A69" s="649"/>
      <c r="B69" s="679"/>
      <c r="C69" s="299"/>
      <c r="I69" s="132"/>
      <c r="J69" s="132"/>
      <c r="K69" s="132"/>
      <c r="L69" s="132"/>
    </row>
    <row r="70" spans="1:13" s="57" customFormat="1" ht="30">
      <c r="A70" s="685" t="s">
        <v>176</v>
      </c>
      <c r="B70" s="680">
        <f>SUM(B71:B73)</f>
        <v>360</v>
      </c>
      <c r="C70" s="374">
        <f>SUM(C71:C73)</f>
        <v>360</v>
      </c>
      <c r="D70" s="135"/>
      <c r="E70" s="135"/>
      <c r="F70" s="135"/>
      <c r="G70" s="135"/>
      <c r="H70" s="135"/>
      <c r="I70" s="135"/>
      <c r="J70" s="135"/>
      <c r="K70" s="135"/>
      <c r="L70" s="135"/>
      <c r="M70" s="675"/>
    </row>
    <row r="71" spans="1:13">
      <c r="A71" s="649" t="s">
        <v>484</v>
      </c>
      <c r="B71" s="679">
        <v>50</v>
      </c>
      <c r="C71" s="299">
        <v>50</v>
      </c>
      <c r="I71" s="132"/>
      <c r="J71" s="132"/>
      <c r="K71" s="132"/>
      <c r="L71" s="132"/>
    </row>
    <row r="72" spans="1:13">
      <c r="A72" s="649" t="s">
        <v>482</v>
      </c>
      <c r="B72" s="679">
        <v>160</v>
      </c>
      <c r="C72" s="299">
        <v>160</v>
      </c>
      <c r="I72" s="132"/>
      <c r="J72" s="132"/>
      <c r="K72" s="132"/>
      <c r="L72" s="132"/>
    </row>
    <row r="73" spans="1:13">
      <c r="A73" s="649" t="s">
        <v>485</v>
      </c>
      <c r="B73" s="679">
        <v>150</v>
      </c>
      <c r="C73" s="299">
        <v>150</v>
      </c>
      <c r="I73" s="132"/>
      <c r="J73" s="132"/>
      <c r="K73" s="132"/>
      <c r="L73" s="132"/>
    </row>
    <row r="74" spans="1:13">
      <c r="A74" s="649"/>
      <c r="B74" s="679"/>
      <c r="C74" s="299"/>
      <c r="I74" s="132"/>
      <c r="J74" s="132"/>
      <c r="K74" s="132"/>
      <c r="L74" s="132"/>
    </row>
    <row r="75" spans="1:13">
      <c r="A75" s="688" t="s">
        <v>180</v>
      </c>
      <c r="B75" s="681">
        <f>B70</f>
        <v>360</v>
      </c>
      <c r="C75" s="272">
        <f>C70</f>
        <v>360</v>
      </c>
      <c r="I75" s="132"/>
      <c r="J75" s="132"/>
      <c r="K75" s="132"/>
      <c r="L75" s="132"/>
    </row>
    <row r="76" spans="1:13">
      <c r="A76" s="688"/>
      <c r="B76" s="681"/>
      <c r="C76" s="272"/>
      <c r="I76" s="132"/>
      <c r="J76" s="132"/>
      <c r="K76" s="132"/>
      <c r="L76" s="132"/>
    </row>
    <row r="77" spans="1:13" ht="28.5">
      <c r="A77" s="688" t="s">
        <v>172</v>
      </c>
      <c r="B77" s="681">
        <f>B68+B75</f>
        <v>113579</v>
      </c>
      <c r="C77" s="272">
        <f>C68+C75</f>
        <v>955178</v>
      </c>
      <c r="I77" s="132"/>
      <c r="J77" s="132"/>
      <c r="K77" s="132"/>
      <c r="L77" s="132"/>
    </row>
    <row r="78" spans="1:13" ht="15.75" thickBot="1">
      <c r="A78" s="690"/>
      <c r="B78" s="683"/>
      <c r="C78" s="376"/>
    </row>
    <row r="79" spans="1:13" ht="29.25" thickBot="1">
      <c r="A79" s="167" t="s">
        <v>314</v>
      </c>
      <c r="B79" s="89">
        <f>B48+B77</f>
        <v>418521</v>
      </c>
      <c r="C79" s="377">
        <f>C48+C77</f>
        <v>1592901</v>
      </c>
    </row>
    <row r="80" spans="1:13">
      <c r="A80" s="220"/>
      <c r="B80" s="372"/>
      <c r="C80" s="380"/>
    </row>
    <row r="81" spans="1:13">
      <c r="A81" s="165" t="s">
        <v>168</v>
      </c>
      <c r="B81" s="378"/>
      <c r="C81" s="381"/>
    </row>
    <row r="82" spans="1:13">
      <c r="A82" s="161"/>
      <c r="B82" s="298"/>
      <c r="C82" s="382"/>
    </row>
    <row r="83" spans="1:13" s="58" customFormat="1" ht="30">
      <c r="A83" s="166" t="s">
        <v>176</v>
      </c>
      <c r="B83" s="373">
        <f>B85</f>
        <v>250</v>
      </c>
      <c r="C83" s="383">
        <f>C85</f>
        <v>250</v>
      </c>
      <c r="D83" s="133"/>
      <c r="E83" s="133"/>
      <c r="F83" s="133"/>
      <c r="G83" s="133"/>
      <c r="H83" s="133"/>
      <c r="I83" s="673"/>
      <c r="J83" s="673"/>
      <c r="K83" s="673"/>
      <c r="L83" s="673"/>
      <c r="M83" s="673"/>
    </row>
    <row r="84" spans="1:13" s="58" customFormat="1">
      <c r="A84" s="166"/>
      <c r="B84" s="373"/>
      <c r="C84" s="383"/>
      <c r="D84" s="133"/>
      <c r="E84" s="133"/>
      <c r="F84" s="133"/>
      <c r="G84" s="133"/>
      <c r="H84" s="133"/>
      <c r="I84" s="673"/>
      <c r="J84" s="673"/>
      <c r="K84" s="673"/>
      <c r="L84" s="673"/>
      <c r="M84" s="673"/>
    </row>
    <row r="85" spans="1:13">
      <c r="A85" s="165" t="s">
        <v>118</v>
      </c>
      <c r="B85" s="375">
        <f>B86</f>
        <v>250</v>
      </c>
      <c r="C85" s="384">
        <f>C86</f>
        <v>250</v>
      </c>
    </row>
    <row r="86" spans="1:13">
      <c r="A86" s="161" t="s">
        <v>492</v>
      </c>
      <c r="B86" s="298">
        <v>250</v>
      </c>
      <c r="C86" s="382">
        <v>250</v>
      </c>
    </row>
    <row r="87" spans="1:13">
      <c r="A87" s="161"/>
      <c r="B87" s="298"/>
      <c r="C87" s="382"/>
    </row>
    <row r="88" spans="1:13" ht="28.5">
      <c r="A88" s="171" t="s">
        <v>172</v>
      </c>
      <c r="B88" s="373">
        <f>B83</f>
        <v>250</v>
      </c>
      <c r="C88" s="383">
        <f>C83</f>
        <v>250</v>
      </c>
    </row>
    <row r="89" spans="1:13">
      <c r="A89" s="161"/>
      <c r="B89" s="298"/>
      <c r="C89" s="382"/>
    </row>
    <row r="90" spans="1:13" s="58" customFormat="1">
      <c r="A90" s="166" t="s">
        <v>173</v>
      </c>
      <c r="B90" s="373">
        <f>B95+B98+B101+B93</f>
        <v>88617</v>
      </c>
      <c r="C90" s="383">
        <f>C95+C98+C101+C93</f>
        <v>90989</v>
      </c>
      <c r="D90" s="133"/>
      <c r="E90" s="133"/>
      <c r="F90" s="133"/>
      <c r="G90" s="133"/>
      <c r="H90" s="133"/>
      <c r="I90" s="673"/>
      <c r="J90" s="673"/>
      <c r="K90" s="673"/>
      <c r="L90" s="673"/>
      <c r="M90" s="673"/>
    </row>
    <row r="91" spans="1:13" s="58" customFormat="1">
      <c r="A91" s="166"/>
      <c r="B91" s="373"/>
      <c r="C91" s="383"/>
      <c r="D91" s="133"/>
      <c r="E91" s="133"/>
      <c r="F91" s="133"/>
      <c r="G91" s="133"/>
      <c r="H91" s="133"/>
      <c r="I91" s="673"/>
      <c r="J91" s="673"/>
      <c r="K91" s="673"/>
      <c r="L91" s="673"/>
      <c r="M91" s="673"/>
    </row>
    <row r="92" spans="1:13" s="58" customFormat="1">
      <c r="A92" s="165" t="s">
        <v>118</v>
      </c>
      <c r="B92" s="373"/>
      <c r="C92" s="383"/>
      <c r="D92" s="133"/>
      <c r="E92" s="133"/>
      <c r="F92" s="133"/>
      <c r="G92" s="133"/>
      <c r="H92" s="133"/>
      <c r="I92" s="673"/>
      <c r="J92" s="673"/>
      <c r="K92" s="673"/>
      <c r="L92" s="673"/>
      <c r="M92" s="673"/>
    </row>
    <row r="93" spans="1:13" s="58" customFormat="1">
      <c r="A93" s="161" t="s">
        <v>505</v>
      </c>
      <c r="B93" s="373">
        <v>33410</v>
      </c>
      <c r="C93" s="383">
        <v>35782</v>
      </c>
      <c r="D93" s="133"/>
      <c r="E93" s="133"/>
      <c r="F93" s="133"/>
      <c r="G93" s="133"/>
      <c r="H93" s="133"/>
      <c r="I93" s="673"/>
      <c r="J93" s="673"/>
      <c r="K93" s="673"/>
      <c r="L93" s="673"/>
      <c r="M93" s="673"/>
    </row>
    <row r="94" spans="1:13" s="58" customFormat="1">
      <c r="A94" s="166"/>
      <c r="B94" s="373"/>
      <c r="C94" s="383"/>
      <c r="D94" s="133"/>
      <c r="E94" s="133"/>
      <c r="F94" s="133"/>
      <c r="G94" s="133"/>
      <c r="H94" s="133"/>
      <c r="I94" s="673"/>
      <c r="J94" s="673"/>
      <c r="K94" s="673"/>
      <c r="L94" s="673"/>
      <c r="M94" s="673"/>
    </row>
    <row r="95" spans="1:13">
      <c r="A95" s="165" t="s">
        <v>121</v>
      </c>
      <c r="B95" s="375">
        <f>SUM(B96:B96)</f>
        <v>15297</v>
      </c>
      <c r="C95" s="384">
        <f>SUM(C96:C96)</f>
        <v>15297</v>
      </c>
    </row>
    <row r="96" spans="1:13">
      <c r="A96" s="161" t="s">
        <v>493</v>
      </c>
      <c r="B96" s="298">
        <v>15297</v>
      </c>
      <c r="C96" s="382">
        <v>15297</v>
      </c>
    </row>
    <row r="97" spans="1:13">
      <c r="A97" s="161"/>
      <c r="B97" s="298"/>
      <c r="C97" s="382"/>
    </row>
    <row r="98" spans="1:13" s="54" customFormat="1" ht="14.25">
      <c r="A98" s="165" t="s">
        <v>122</v>
      </c>
      <c r="B98" s="375">
        <f>SUM(B99:B99)</f>
        <v>13890</v>
      </c>
      <c r="C98" s="384">
        <f>SUM(C99:C99)</f>
        <v>13890</v>
      </c>
      <c r="D98" s="134"/>
      <c r="E98" s="134"/>
      <c r="F98" s="134"/>
      <c r="G98" s="134"/>
      <c r="H98" s="134"/>
      <c r="I98" s="674"/>
      <c r="J98" s="674"/>
      <c r="K98" s="674"/>
      <c r="L98" s="674"/>
      <c r="M98" s="674"/>
    </row>
    <row r="99" spans="1:13" s="54" customFormat="1">
      <c r="A99" s="161" t="s">
        <v>494</v>
      </c>
      <c r="B99" s="298">
        <v>13890</v>
      </c>
      <c r="C99" s="382">
        <v>13890</v>
      </c>
      <c r="D99" s="134"/>
      <c r="E99" s="134"/>
      <c r="F99" s="134"/>
      <c r="G99" s="134"/>
      <c r="H99" s="134"/>
      <c r="I99" s="674"/>
      <c r="J99" s="674"/>
      <c r="K99" s="674"/>
      <c r="L99" s="674"/>
      <c r="M99" s="674"/>
    </row>
    <row r="100" spans="1:13">
      <c r="A100" s="161"/>
      <c r="B100" s="298"/>
      <c r="C100" s="382"/>
    </row>
    <row r="101" spans="1:13">
      <c r="A101" s="165" t="s">
        <v>120</v>
      </c>
      <c r="B101" s="375">
        <f>SUM(B102:B102)</f>
        <v>26020</v>
      </c>
      <c r="C101" s="384">
        <f>SUM(C102:C102)</f>
        <v>26020</v>
      </c>
    </row>
    <row r="102" spans="1:13">
      <c r="A102" s="161" t="s">
        <v>495</v>
      </c>
      <c r="B102" s="298">
        <v>26020</v>
      </c>
      <c r="C102" s="382">
        <v>26020</v>
      </c>
    </row>
    <row r="103" spans="1:13" s="57" customFormat="1">
      <c r="A103" s="161"/>
      <c r="B103" s="298"/>
      <c r="C103" s="382"/>
      <c r="D103" s="135"/>
      <c r="E103" s="135"/>
      <c r="F103" s="135"/>
      <c r="G103" s="135"/>
      <c r="H103" s="135"/>
      <c r="I103" s="675"/>
      <c r="J103" s="675"/>
      <c r="K103" s="675"/>
      <c r="L103" s="675"/>
      <c r="M103" s="675"/>
    </row>
    <row r="104" spans="1:13" ht="28.5">
      <c r="A104" s="171" t="s">
        <v>171</v>
      </c>
      <c r="B104" s="373">
        <f>B90</f>
        <v>88617</v>
      </c>
      <c r="C104" s="383">
        <f>C90</f>
        <v>90989</v>
      </c>
    </row>
    <row r="105" spans="1:13" ht="15.75" thickBot="1">
      <c r="A105" s="219"/>
      <c r="B105" s="274"/>
      <c r="C105" s="379"/>
    </row>
    <row r="106" spans="1:13" ht="29.25" thickBot="1">
      <c r="A106" s="167" t="s">
        <v>313</v>
      </c>
      <c r="B106" s="89">
        <f>B88+B104</f>
        <v>88867</v>
      </c>
      <c r="C106" s="385">
        <f>C88+C104</f>
        <v>91239</v>
      </c>
    </row>
    <row r="109" spans="1:13">
      <c r="A109" s="128"/>
    </row>
    <row r="110" spans="1:13">
      <c r="A110" s="128"/>
    </row>
  </sheetData>
  <mergeCells count="1">
    <mergeCell ref="A1:C2"/>
  </mergeCells>
  <pageMargins left="0.43" right="0.25" top="0.75" bottom="0.75" header="0.3" footer="0.3"/>
  <pageSetup paperSize="9" scale="81" fitToHeight="2" orientation="portrait" r:id="rId1"/>
  <headerFooter>
    <oddHeader>&amp;L&amp;"Times New Roman,Normál"&amp;8 11. melléklet a    17 /2020. (VII.9.) önkormányzati rendelethez</oddHeader>
    <oddFooter>&amp;L24/2019.(XII.19.)önk.rend. Hatályos:2020.01.01.</oddFooter>
  </headerFooter>
  <rowBreaks count="1" manualBreakCount="1">
    <brk id="7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4"/>
  <sheetViews>
    <sheetView view="pageLayout" zoomScale="80" zoomScaleNormal="100" zoomScalePageLayoutView="80" workbookViewId="0">
      <selection activeCell="A10" sqref="A10"/>
    </sheetView>
  </sheetViews>
  <sheetFormatPr defaultRowHeight="15"/>
  <cols>
    <col min="1" max="1" width="54.28515625" style="38" bestFit="1" customWidth="1"/>
    <col min="2" max="2" width="17.5703125" style="38" bestFit="1" customWidth="1"/>
    <col min="3" max="3" width="17.5703125" style="192" bestFit="1" customWidth="1"/>
    <col min="4" max="16384" width="9.140625" style="38"/>
  </cols>
  <sheetData>
    <row r="1" spans="1:3" ht="15" customHeight="1">
      <c r="A1" s="1691" t="s">
        <v>181</v>
      </c>
      <c r="B1" s="1691"/>
      <c r="C1" s="1691"/>
    </row>
    <row r="2" spans="1:3" ht="15.75" thickBot="1">
      <c r="A2" s="22"/>
      <c r="B2" s="21"/>
      <c r="C2" s="197"/>
    </row>
    <row r="3" spans="1:3" ht="29.25" customHeight="1">
      <c r="A3" s="1693" t="s">
        <v>182</v>
      </c>
      <c r="B3" s="1512" t="s">
        <v>183</v>
      </c>
      <c r="C3" s="1513"/>
    </row>
    <row r="4" spans="1:3" ht="15.75" thickBot="1">
      <c r="A4" s="1694"/>
      <c r="B4" s="140" t="s">
        <v>3</v>
      </c>
      <c r="C4" s="1038" t="s">
        <v>910</v>
      </c>
    </row>
    <row r="5" spans="1:3">
      <c r="A5" s="984" t="s">
        <v>184</v>
      </c>
      <c r="B5" s="991">
        <v>22</v>
      </c>
      <c r="C5" s="1039">
        <v>22</v>
      </c>
    </row>
    <row r="6" spans="1:3">
      <c r="A6" s="985" t="s">
        <v>130</v>
      </c>
      <c r="B6" s="992">
        <v>18.75</v>
      </c>
      <c r="C6" s="1040">
        <v>18.75</v>
      </c>
    </row>
    <row r="7" spans="1:3">
      <c r="A7" s="985" t="s">
        <v>185</v>
      </c>
      <c r="B7" s="992">
        <v>3.5</v>
      </c>
      <c r="C7" s="1040">
        <v>3.5</v>
      </c>
    </row>
    <row r="8" spans="1:3">
      <c r="A8" s="986" t="s">
        <v>186</v>
      </c>
      <c r="B8" s="993">
        <f>SUM(B6:B7)</f>
        <v>22.25</v>
      </c>
      <c r="C8" s="1041">
        <f>SUM(C6:C7)</f>
        <v>22.25</v>
      </c>
    </row>
    <row r="9" spans="1:3">
      <c r="A9" s="985" t="s">
        <v>187</v>
      </c>
      <c r="B9" s="992">
        <v>24</v>
      </c>
      <c r="C9" s="1040">
        <v>24</v>
      </c>
    </row>
    <row r="10" spans="1:3">
      <c r="A10" s="985" t="s">
        <v>132</v>
      </c>
      <c r="B10" s="992">
        <v>13</v>
      </c>
      <c r="C10" s="1040">
        <v>13</v>
      </c>
    </row>
    <row r="11" spans="1:3">
      <c r="A11" s="985" t="s">
        <v>188</v>
      </c>
      <c r="B11" s="992">
        <v>23</v>
      </c>
      <c r="C11" s="1040">
        <v>23</v>
      </c>
    </row>
    <row r="12" spans="1:3">
      <c r="A12" s="985" t="s">
        <v>189</v>
      </c>
      <c r="B12" s="992">
        <v>7</v>
      </c>
      <c r="C12" s="1040">
        <v>7</v>
      </c>
    </row>
    <row r="13" spans="1:3">
      <c r="A13" s="986" t="s">
        <v>190</v>
      </c>
      <c r="B13" s="993">
        <f>SUM(B11:B12)</f>
        <v>30</v>
      </c>
      <c r="C13" s="1041">
        <f>SUM(C11:C12)</f>
        <v>30</v>
      </c>
    </row>
    <row r="14" spans="1:3">
      <c r="A14" s="986" t="s">
        <v>191</v>
      </c>
      <c r="B14" s="993">
        <f>B5+B8+B9+B10+B13</f>
        <v>111.25</v>
      </c>
      <c r="C14" s="1041">
        <f>C5+C8+C9+C10+C13</f>
        <v>111.25</v>
      </c>
    </row>
    <row r="15" spans="1:3">
      <c r="A15" s="985" t="s">
        <v>192</v>
      </c>
      <c r="B15" s="992">
        <v>40.5</v>
      </c>
      <c r="C15" s="1040">
        <v>40.5</v>
      </c>
    </row>
    <row r="16" spans="1:3">
      <c r="A16" s="985" t="s">
        <v>193</v>
      </c>
      <c r="B16" s="992">
        <v>9.75</v>
      </c>
      <c r="C16" s="1040">
        <v>9.5</v>
      </c>
    </row>
    <row r="17" spans="1:3">
      <c r="A17" s="985" t="s">
        <v>148</v>
      </c>
      <c r="B17" s="992">
        <v>15.5</v>
      </c>
      <c r="C17" s="1040">
        <v>15.5</v>
      </c>
    </row>
    <row r="18" spans="1:3">
      <c r="A18" s="985" t="s">
        <v>194</v>
      </c>
      <c r="B18" s="992">
        <v>10</v>
      </c>
      <c r="C18" s="1040">
        <v>10</v>
      </c>
    </row>
    <row r="19" spans="1:3">
      <c r="A19" s="987" t="s">
        <v>195</v>
      </c>
      <c r="B19" s="992">
        <v>44</v>
      </c>
      <c r="C19" s="1040">
        <v>44</v>
      </c>
    </row>
    <row r="20" spans="1:3">
      <c r="A20" s="988" t="s">
        <v>197</v>
      </c>
      <c r="B20" s="994">
        <f>SUM(B14:B19)</f>
        <v>231</v>
      </c>
      <c r="C20" s="1042">
        <f>SUM(C14:C19)</f>
        <v>230.75</v>
      </c>
    </row>
    <row r="21" spans="1:3">
      <c r="A21" s="985"/>
      <c r="B21" s="992"/>
      <c r="C21" s="1040"/>
    </row>
    <row r="22" spans="1:3">
      <c r="A22" s="988" t="s">
        <v>67</v>
      </c>
      <c r="B22" s="992"/>
      <c r="C22" s="1040"/>
    </row>
    <row r="23" spans="1:3">
      <c r="A23" s="985" t="s">
        <v>200</v>
      </c>
      <c r="B23" s="995">
        <v>87</v>
      </c>
      <c r="C23" s="1043">
        <v>87</v>
      </c>
    </row>
    <row r="24" spans="1:3">
      <c r="A24" s="989" t="s">
        <v>199</v>
      </c>
      <c r="B24" s="992">
        <v>5</v>
      </c>
      <c r="C24" s="1040">
        <v>5</v>
      </c>
    </row>
    <row r="25" spans="1:3">
      <c r="A25" s="985" t="s">
        <v>198</v>
      </c>
      <c r="B25" s="992">
        <v>3</v>
      </c>
      <c r="C25" s="1040">
        <v>3</v>
      </c>
    </row>
    <row r="26" spans="1:3">
      <c r="A26" s="985" t="s">
        <v>201</v>
      </c>
      <c r="B26" s="992">
        <v>6</v>
      </c>
      <c r="C26" s="1040">
        <v>6</v>
      </c>
    </row>
    <row r="27" spans="1:3">
      <c r="A27" s="988" t="s">
        <v>202</v>
      </c>
      <c r="B27" s="994">
        <f>SUM(B23:B26)</f>
        <v>101</v>
      </c>
      <c r="C27" s="1042">
        <f>SUM(C23:C26)</f>
        <v>101</v>
      </c>
    </row>
    <row r="28" spans="1:3">
      <c r="A28" s="988"/>
      <c r="B28" s="992"/>
      <c r="C28" s="1040"/>
    </row>
    <row r="29" spans="1:3">
      <c r="A29" s="988" t="s">
        <v>784</v>
      </c>
      <c r="B29" s="994">
        <v>3</v>
      </c>
      <c r="C29" s="1042">
        <v>3</v>
      </c>
    </row>
    <row r="30" spans="1:3">
      <c r="A30" s="990" t="s">
        <v>514</v>
      </c>
      <c r="B30" s="994">
        <v>12</v>
      </c>
      <c r="C30" s="1042">
        <v>12</v>
      </c>
    </row>
    <row r="31" spans="1:3" ht="15.75" thickBot="1">
      <c r="A31" s="990"/>
      <c r="B31" s="996"/>
      <c r="C31" s="1044"/>
    </row>
    <row r="32" spans="1:3" ht="15.75" thickBot="1">
      <c r="A32" s="178" t="s">
        <v>61</v>
      </c>
      <c r="B32" s="1050">
        <f>B20+B27+B29+B30</f>
        <v>347</v>
      </c>
      <c r="C32" s="1049">
        <f>C20+C27+C29+C30</f>
        <v>346.75</v>
      </c>
    </row>
    <row r="33" spans="1:3">
      <c r="A33" s="60"/>
      <c r="B33" s="61"/>
      <c r="C33" s="1045"/>
    </row>
    <row r="34" spans="1:3">
      <c r="A34" s="62"/>
      <c r="B34" s="21"/>
      <c r="C34" s="197"/>
    </row>
    <row r="35" spans="1:3">
      <c r="A35" s="1697" t="s">
        <v>203</v>
      </c>
      <c r="B35" s="1697"/>
    </row>
    <row r="36" spans="1:3" ht="15.75" thickBot="1">
      <c r="A36" s="21"/>
      <c r="B36" s="21"/>
      <c r="C36" s="197"/>
    </row>
    <row r="37" spans="1:3">
      <c r="A37" s="1695" t="s">
        <v>2</v>
      </c>
      <c r="B37" s="213" t="s">
        <v>204</v>
      </c>
      <c r="C37" s="1046" t="s">
        <v>204</v>
      </c>
    </row>
    <row r="38" spans="1:3" ht="15.75" thickBot="1">
      <c r="A38" s="1696"/>
      <c r="B38" s="177" t="s">
        <v>3</v>
      </c>
      <c r="C38" s="1047" t="s">
        <v>910</v>
      </c>
    </row>
    <row r="39" spans="1:3" ht="15.75" thickBot="1">
      <c r="A39" s="179" t="s">
        <v>196</v>
      </c>
      <c r="B39" s="180">
        <v>35</v>
      </c>
      <c r="C39" s="1352">
        <v>35</v>
      </c>
    </row>
    <row r="40" spans="1:3" ht="15.75" thickBot="1">
      <c r="A40" s="181" t="s">
        <v>68</v>
      </c>
      <c r="B40" s="182">
        <f>B39</f>
        <v>35</v>
      </c>
      <c r="C40" s="1048">
        <f>C39</f>
        <v>35</v>
      </c>
    </row>
    <row r="43" spans="1:3">
      <c r="A43" s="128"/>
    </row>
    <row r="44" spans="1:3">
      <c r="A44" s="128"/>
    </row>
  </sheetData>
  <mergeCells count="5">
    <mergeCell ref="A3:A4"/>
    <mergeCell ref="A37:A38"/>
    <mergeCell ref="A35:B35"/>
    <mergeCell ref="B3:C3"/>
    <mergeCell ref="A1:C1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  <headerFooter>
    <oddHeader>&amp;L&amp;"Times New Roman,Normál"&amp;8 12. melléklet a 17 /2020. (VII.9.) önkormányzati rendelethez</oddHeader>
    <oddFooter>&amp;L24/2019.(XII.19.)önk.rend. Hatályos:2020.01.01.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view="pageLayout" zoomScale="80" zoomScaleNormal="100" zoomScalePageLayoutView="80" workbookViewId="0">
      <selection activeCell="A2" sqref="A2:J2"/>
    </sheetView>
  </sheetViews>
  <sheetFormatPr defaultRowHeight="15"/>
  <cols>
    <col min="1" max="1" width="4.7109375" style="257" customWidth="1"/>
    <col min="2" max="2" width="18.85546875" style="257" customWidth="1"/>
    <col min="3" max="4" width="20.85546875" style="257" customWidth="1"/>
    <col min="5" max="6" width="20.85546875" style="294" customWidth="1"/>
    <col min="7" max="10" width="20.85546875" style="257" customWidth="1"/>
    <col min="11" max="16384" width="9.140625" style="257"/>
  </cols>
  <sheetData>
    <row r="1" spans="1:10">
      <c r="A1" s="1700" t="s">
        <v>454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2" spans="1:10">
      <c r="A2" s="1700" t="s">
        <v>960</v>
      </c>
      <c r="B2" s="1700"/>
      <c r="C2" s="1700"/>
      <c r="D2" s="1700"/>
      <c r="E2" s="1700"/>
      <c r="F2" s="1700"/>
      <c r="G2" s="1700"/>
      <c r="H2" s="1700"/>
      <c r="I2" s="1700"/>
      <c r="J2" s="1700"/>
    </row>
    <row r="3" spans="1:10">
      <c r="A3" s="1701"/>
      <c r="B3" s="1701"/>
      <c r="C3" s="1701"/>
      <c r="D3" s="1701"/>
      <c r="E3" s="1701"/>
      <c r="F3" s="1701"/>
      <c r="G3" s="1701"/>
      <c r="H3" s="1701"/>
      <c r="I3" s="1701"/>
      <c r="J3" s="1701"/>
    </row>
    <row r="4" spans="1:10" ht="28.5" customHeight="1">
      <c r="A4" s="1698" t="s">
        <v>2</v>
      </c>
      <c r="B4" s="1698"/>
      <c r="C4" s="1702" t="s">
        <v>552</v>
      </c>
      <c r="D4" s="1703"/>
      <c r="E4" s="1704" t="s">
        <v>553</v>
      </c>
      <c r="F4" s="1705"/>
      <c r="G4" s="1702" t="s">
        <v>742</v>
      </c>
      <c r="H4" s="1703"/>
      <c r="I4" s="1706" t="s">
        <v>61</v>
      </c>
      <c r="J4" s="1707"/>
    </row>
    <row r="5" spans="1:10" ht="37.5" customHeight="1">
      <c r="A5" s="1698"/>
      <c r="B5" s="1698"/>
      <c r="C5" s="1702" t="s">
        <v>743</v>
      </c>
      <c r="D5" s="1703"/>
      <c r="E5" s="1704" t="s">
        <v>744</v>
      </c>
      <c r="F5" s="1705"/>
      <c r="G5" s="1702" t="s">
        <v>569</v>
      </c>
      <c r="H5" s="1703"/>
      <c r="I5" s="1708"/>
      <c r="J5" s="1709"/>
    </row>
    <row r="6" spans="1:10" s="1107" customFormat="1">
      <c r="A6" s="1698"/>
      <c r="B6" s="1698"/>
      <c r="C6" s="1105" t="s">
        <v>4</v>
      </c>
      <c r="D6" s="1105" t="s">
        <v>910</v>
      </c>
      <c r="E6" s="1106" t="s">
        <v>4</v>
      </c>
      <c r="F6" s="1105" t="s">
        <v>910</v>
      </c>
      <c r="G6" s="1105" t="s">
        <v>3</v>
      </c>
      <c r="H6" s="1105" t="s">
        <v>910</v>
      </c>
      <c r="I6" s="1105" t="s">
        <v>4</v>
      </c>
      <c r="J6" s="1105" t="s">
        <v>910</v>
      </c>
    </row>
    <row r="7" spans="1:10" s="260" customFormat="1">
      <c r="A7" s="1699" t="s">
        <v>207</v>
      </c>
      <c r="B7" s="1699"/>
      <c r="C7" s="258">
        <v>35030</v>
      </c>
      <c r="D7" s="258">
        <v>35050</v>
      </c>
      <c r="E7" s="258">
        <v>393783</v>
      </c>
      <c r="F7" s="258">
        <v>393783</v>
      </c>
      <c r="G7" s="258">
        <v>543251</v>
      </c>
      <c r="H7" s="258">
        <v>543251</v>
      </c>
      <c r="I7" s="259">
        <f>C7+E7+G7</f>
        <v>972064</v>
      </c>
      <c r="J7" s="259">
        <f>D7+F7+H7</f>
        <v>972084</v>
      </c>
    </row>
    <row r="8" spans="1:10">
      <c r="A8" s="261"/>
      <c r="B8" s="262" t="s">
        <v>205</v>
      </c>
      <c r="C8" s="263">
        <v>35030</v>
      </c>
      <c r="D8" s="263">
        <v>35050</v>
      </c>
      <c r="E8" s="263">
        <v>71519</v>
      </c>
      <c r="F8" s="263">
        <v>71519</v>
      </c>
      <c r="G8" s="263">
        <v>0</v>
      </c>
      <c r="H8" s="263">
        <v>0</v>
      </c>
      <c r="I8" s="259">
        <f t="shared" ref="I8:J27" si="0">C8+E8+G8</f>
        <v>106549</v>
      </c>
      <c r="J8" s="259">
        <f t="shared" si="0"/>
        <v>106569</v>
      </c>
    </row>
    <row r="9" spans="1:10">
      <c r="A9" s="261"/>
      <c r="B9" s="262" t="s">
        <v>206</v>
      </c>
      <c r="C9" s="263">
        <v>254</v>
      </c>
      <c r="D9" s="263">
        <v>254</v>
      </c>
      <c r="E9" s="263">
        <v>4039</v>
      </c>
      <c r="F9" s="263">
        <v>4039</v>
      </c>
      <c r="G9" s="263">
        <v>8561</v>
      </c>
      <c r="H9" s="263">
        <v>8561</v>
      </c>
      <c r="I9" s="259">
        <f t="shared" si="0"/>
        <v>12854</v>
      </c>
      <c r="J9" s="259">
        <f t="shared" si="0"/>
        <v>12854</v>
      </c>
    </row>
    <row r="10" spans="1:10" s="260" customFormat="1">
      <c r="A10" s="1699" t="s">
        <v>208</v>
      </c>
      <c r="B10" s="1699"/>
      <c r="C10" s="258"/>
      <c r="D10" s="258"/>
      <c r="E10" s="258">
        <f>E7-E8</f>
        <v>322264</v>
      </c>
      <c r="F10" s="258">
        <f>F7-F8</f>
        <v>322264</v>
      </c>
      <c r="G10" s="258">
        <v>543251</v>
      </c>
      <c r="H10" s="258">
        <v>543251</v>
      </c>
      <c r="I10" s="259">
        <f t="shared" si="0"/>
        <v>865515</v>
      </c>
      <c r="J10" s="259">
        <f t="shared" si="0"/>
        <v>865515</v>
      </c>
    </row>
    <row r="11" spans="1:10">
      <c r="A11" s="261"/>
      <c r="B11" s="262" t="s">
        <v>205</v>
      </c>
      <c r="C11" s="263"/>
      <c r="D11" s="263"/>
      <c r="E11" s="263">
        <v>71519</v>
      </c>
      <c r="F11" s="263">
        <v>71519</v>
      </c>
      <c r="G11" s="263">
        <v>0</v>
      </c>
      <c r="H11" s="263">
        <v>0</v>
      </c>
      <c r="I11" s="259">
        <f t="shared" si="0"/>
        <v>71519</v>
      </c>
      <c r="J11" s="259">
        <f t="shared" si="0"/>
        <v>71519</v>
      </c>
    </row>
    <row r="12" spans="1:10">
      <c r="A12" s="261"/>
      <c r="B12" s="262" t="s">
        <v>206</v>
      </c>
      <c r="C12" s="263"/>
      <c r="D12" s="263"/>
      <c r="E12" s="263">
        <v>3232</v>
      </c>
      <c r="F12" s="263">
        <v>3232</v>
      </c>
      <c r="G12" s="263">
        <v>8537</v>
      </c>
      <c r="H12" s="263">
        <v>8537</v>
      </c>
      <c r="I12" s="259">
        <f t="shared" si="0"/>
        <v>11769</v>
      </c>
      <c r="J12" s="259">
        <f t="shared" si="0"/>
        <v>11769</v>
      </c>
    </row>
    <row r="13" spans="1:10" s="260" customFormat="1">
      <c r="A13" s="1699" t="s">
        <v>209</v>
      </c>
      <c r="B13" s="1699"/>
      <c r="C13" s="258"/>
      <c r="D13" s="258"/>
      <c r="E13" s="258">
        <f>E10-E11</f>
        <v>250745</v>
      </c>
      <c r="F13" s="258">
        <f>F10-F11</f>
        <v>250745</v>
      </c>
      <c r="G13" s="258">
        <v>543251</v>
      </c>
      <c r="H13" s="258">
        <v>543251</v>
      </c>
      <c r="I13" s="259">
        <f t="shared" si="0"/>
        <v>793996</v>
      </c>
      <c r="J13" s="259">
        <f t="shared" si="0"/>
        <v>793996</v>
      </c>
    </row>
    <row r="14" spans="1:10">
      <c r="A14" s="261"/>
      <c r="B14" s="262" t="s">
        <v>205</v>
      </c>
      <c r="C14" s="263"/>
      <c r="D14" s="263"/>
      <c r="E14" s="263">
        <v>71519</v>
      </c>
      <c r="F14" s="263">
        <v>71519</v>
      </c>
      <c r="G14" s="263">
        <v>108650</v>
      </c>
      <c r="H14" s="263">
        <v>108650</v>
      </c>
      <c r="I14" s="259">
        <f t="shared" si="0"/>
        <v>180169</v>
      </c>
      <c r="J14" s="259">
        <f t="shared" si="0"/>
        <v>180169</v>
      </c>
    </row>
    <row r="15" spans="1:10">
      <c r="A15" s="261"/>
      <c r="B15" s="262" t="s">
        <v>206</v>
      </c>
      <c r="C15" s="263"/>
      <c r="D15" s="263"/>
      <c r="E15" s="263">
        <v>2425</v>
      </c>
      <c r="F15" s="263">
        <v>2425</v>
      </c>
      <c r="G15" s="263">
        <v>7893</v>
      </c>
      <c r="H15" s="263">
        <v>7893</v>
      </c>
      <c r="I15" s="259">
        <f t="shared" si="0"/>
        <v>10318</v>
      </c>
      <c r="J15" s="259">
        <f t="shared" si="0"/>
        <v>10318</v>
      </c>
    </row>
    <row r="16" spans="1:10" s="260" customFormat="1">
      <c r="A16" s="1699" t="s">
        <v>210</v>
      </c>
      <c r="B16" s="1699"/>
      <c r="C16" s="258"/>
      <c r="D16" s="258"/>
      <c r="E16" s="258">
        <f>E13-E14</f>
        <v>179226</v>
      </c>
      <c r="F16" s="258">
        <f>F13-F14</f>
        <v>179226</v>
      </c>
      <c r="G16" s="258">
        <v>434601</v>
      </c>
      <c r="H16" s="258">
        <v>434601</v>
      </c>
      <c r="I16" s="259">
        <f t="shared" si="0"/>
        <v>613827</v>
      </c>
      <c r="J16" s="259">
        <f t="shared" si="0"/>
        <v>613827</v>
      </c>
    </row>
    <row r="17" spans="1:10">
      <c r="A17" s="261"/>
      <c r="B17" s="262" t="s">
        <v>205</v>
      </c>
      <c r="C17" s="263"/>
      <c r="D17" s="263"/>
      <c r="E17" s="263">
        <v>71519</v>
      </c>
      <c r="F17" s="263">
        <v>71519</v>
      </c>
      <c r="G17" s="263">
        <v>108650</v>
      </c>
      <c r="H17" s="263">
        <v>108650</v>
      </c>
      <c r="I17" s="259">
        <f t="shared" si="0"/>
        <v>180169</v>
      </c>
      <c r="J17" s="259">
        <f t="shared" si="0"/>
        <v>180169</v>
      </c>
    </row>
    <row r="18" spans="1:10">
      <c r="A18" s="261"/>
      <c r="B18" s="262" t="s">
        <v>206</v>
      </c>
      <c r="C18" s="263"/>
      <c r="D18" s="263"/>
      <c r="E18" s="263">
        <v>1618</v>
      </c>
      <c r="F18" s="263">
        <v>1618</v>
      </c>
      <c r="G18" s="263">
        <v>6185</v>
      </c>
      <c r="H18" s="263">
        <v>6185</v>
      </c>
      <c r="I18" s="259">
        <f t="shared" si="0"/>
        <v>7803</v>
      </c>
      <c r="J18" s="259">
        <f t="shared" si="0"/>
        <v>7803</v>
      </c>
    </row>
    <row r="19" spans="1:10" s="260" customFormat="1">
      <c r="A19" s="1699" t="s">
        <v>211</v>
      </c>
      <c r="B19" s="1699"/>
      <c r="C19" s="258"/>
      <c r="D19" s="258"/>
      <c r="E19" s="258">
        <f>E16-E17</f>
        <v>107707</v>
      </c>
      <c r="F19" s="258">
        <f>F16-F17</f>
        <v>107707</v>
      </c>
      <c r="G19" s="258">
        <v>325951</v>
      </c>
      <c r="H19" s="258">
        <v>325951</v>
      </c>
      <c r="I19" s="259">
        <f t="shared" si="0"/>
        <v>433658</v>
      </c>
      <c r="J19" s="259">
        <f t="shared" si="0"/>
        <v>433658</v>
      </c>
    </row>
    <row r="20" spans="1:10">
      <c r="A20" s="261"/>
      <c r="B20" s="262" t="s">
        <v>205</v>
      </c>
      <c r="C20" s="263"/>
      <c r="D20" s="263"/>
      <c r="E20" s="263">
        <v>71519</v>
      </c>
      <c r="F20" s="263">
        <v>71519</v>
      </c>
      <c r="G20" s="263">
        <v>108650</v>
      </c>
      <c r="H20" s="263">
        <v>108650</v>
      </c>
      <c r="I20" s="259">
        <f t="shared" si="0"/>
        <v>180169</v>
      </c>
      <c r="J20" s="259">
        <f t="shared" si="0"/>
        <v>180169</v>
      </c>
    </row>
    <row r="21" spans="1:10">
      <c r="A21" s="261"/>
      <c r="B21" s="262" t="s">
        <v>206</v>
      </c>
      <c r="C21" s="263"/>
      <c r="D21" s="263"/>
      <c r="E21" s="263">
        <v>910</v>
      </c>
      <c r="F21" s="263">
        <v>910</v>
      </c>
      <c r="G21" s="263">
        <v>4492</v>
      </c>
      <c r="H21" s="263">
        <v>4492</v>
      </c>
      <c r="I21" s="259">
        <f t="shared" si="0"/>
        <v>5402</v>
      </c>
      <c r="J21" s="259">
        <f t="shared" si="0"/>
        <v>5402</v>
      </c>
    </row>
    <row r="22" spans="1:10">
      <c r="A22" s="1699" t="s">
        <v>546</v>
      </c>
      <c r="B22" s="1699"/>
      <c r="C22" s="264"/>
      <c r="D22" s="264"/>
      <c r="E22" s="265">
        <f>E19-E20</f>
        <v>36188</v>
      </c>
      <c r="F22" s="265">
        <f>F19-F20</f>
        <v>36188</v>
      </c>
      <c r="G22" s="265">
        <v>217301</v>
      </c>
      <c r="H22" s="265">
        <v>217301</v>
      </c>
      <c r="I22" s="259">
        <f t="shared" si="0"/>
        <v>253489</v>
      </c>
      <c r="J22" s="259">
        <f t="shared" si="0"/>
        <v>253489</v>
      </c>
    </row>
    <row r="23" spans="1:10">
      <c r="A23" s="264"/>
      <c r="B23" s="264" t="s">
        <v>205</v>
      </c>
      <c r="C23" s="264"/>
      <c r="D23" s="264"/>
      <c r="E23" s="265">
        <v>36188</v>
      </c>
      <c r="F23" s="265">
        <v>36188</v>
      </c>
      <c r="G23" s="265">
        <v>108650</v>
      </c>
      <c r="H23" s="265">
        <v>108650</v>
      </c>
      <c r="I23" s="259">
        <f t="shared" si="0"/>
        <v>144838</v>
      </c>
      <c r="J23" s="259">
        <f t="shared" si="0"/>
        <v>144838</v>
      </c>
    </row>
    <row r="24" spans="1:10">
      <c r="A24" s="264"/>
      <c r="B24" s="262" t="s">
        <v>206</v>
      </c>
      <c r="C24" s="264"/>
      <c r="D24" s="264"/>
      <c r="E24" s="265">
        <v>104</v>
      </c>
      <c r="F24" s="265">
        <v>104</v>
      </c>
      <c r="G24" s="265">
        <v>2771</v>
      </c>
      <c r="H24" s="265">
        <v>2771</v>
      </c>
      <c r="I24" s="259">
        <f t="shared" si="0"/>
        <v>2875</v>
      </c>
      <c r="J24" s="259">
        <f t="shared" si="0"/>
        <v>2875</v>
      </c>
    </row>
    <row r="25" spans="1:10">
      <c r="A25" s="1699" t="s">
        <v>547</v>
      </c>
      <c r="B25" s="1699"/>
      <c r="C25" s="264"/>
      <c r="D25" s="264"/>
      <c r="E25" s="265">
        <f>E22-E23</f>
        <v>0</v>
      </c>
      <c r="F25" s="265">
        <f>F22-F23</f>
        <v>0</v>
      </c>
      <c r="G25" s="265">
        <v>108651</v>
      </c>
      <c r="H25" s="265">
        <v>108651</v>
      </c>
      <c r="I25" s="259">
        <f t="shared" si="0"/>
        <v>108651</v>
      </c>
      <c r="J25" s="259">
        <f t="shared" si="0"/>
        <v>108651</v>
      </c>
    </row>
    <row r="26" spans="1:10">
      <c r="A26" s="264"/>
      <c r="B26" s="264" t="s">
        <v>205</v>
      </c>
      <c r="C26" s="264"/>
      <c r="D26" s="264"/>
      <c r="E26" s="265"/>
      <c r="F26" s="265"/>
      <c r="G26" s="265">
        <v>108651</v>
      </c>
      <c r="H26" s="265">
        <v>108651</v>
      </c>
      <c r="I26" s="259">
        <f t="shared" si="0"/>
        <v>108651</v>
      </c>
      <c r="J26" s="259">
        <f t="shared" si="0"/>
        <v>108651</v>
      </c>
    </row>
    <row r="27" spans="1:10">
      <c r="A27" s="264"/>
      <c r="B27" s="264" t="s">
        <v>206</v>
      </c>
      <c r="C27" s="264"/>
      <c r="D27" s="264"/>
      <c r="E27" s="265"/>
      <c r="F27" s="265"/>
      <c r="G27" s="265">
        <v>1063</v>
      </c>
      <c r="H27" s="265">
        <v>1063</v>
      </c>
      <c r="I27" s="259">
        <f t="shared" si="0"/>
        <v>1063</v>
      </c>
      <c r="J27" s="259">
        <f t="shared" si="0"/>
        <v>1063</v>
      </c>
    </row>
    <row r="41" spans="2:2">
      <c r="B41" s="266"/>
    </row>
  </sheetData>
  <mergeCells count="18">
    <mergeCell ref="A25:B25"/>
    <mergeCell ref="A10:B10"/>
    <mergeCell ref="A13:B13"/>
    <mergeCell ref="A16:B16"/>
    <mergeCell ref="A19:B19"/>
    <mergeCell ref="A22:B22"/>
    <mergeCell ref="A4:B6"/>
    <mergeCell ref="A7:B7"/>
    <mergeCell ref="A1:J1"/>
    <mergeCell ref="A2:J2"/>
    <mergeCell ref="A3:J3"/>
    <mergeCell ref="C4:D4"/>
    <mergeCell ref="C5:D5"/>
    <mergeCell ref="E4:F4"/>
    <mergeCell ref="E5:F5"/>
    <mergeCell ref="G4:H4"/>
    <mergeCell ref="G5:H5"/>
    <mergeCell ref="I4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&amp;L&amp;"Times New Roman,Normál"&amp;8 13. melléklet  a 17 /2020. (VII.9.)  önkormányzati rendelethez</oddHeader>
    <oddFooter>&amp;L24/2019.(XII.19.)önk.rend. Hatályos:2020.01.01.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view="pageLayout" zoomScaleNormal="100" workbookViewId="0">
      <selection sqref="A1:H1"/>
    </sheetView>
  </sheetViews>
  <sheetFormatPr defaultRowHeight="15"/>
  <cols>
    <col min="1" max="1" width="23.28515625" style="192" customWidth="1"/>
    <col min="2" max="5" width="13.7109375" style="38" customWidth="1"/>
    <col min="6" max="6" width="13.28515625" style="38" customWidth="1"/>
    <col min="7" max="7" width="11.5703125" style="38" customWidth="1"/>
    <col min="8" max="8" width="12" style="38" customWidth="1"/>
    <col min="9" max="16384" width="9.140625" style="38"/>
  </cols>
  <sheetData>
    <row r="1" spans="1:8" ht="42.75" customHeight="1">
      <c r="A1" s="1710" t="s">
        <v>961</v>
      </c>
      <c r="B1" s="1711"/>
      <c r="C1" s="1711"/>
      <c r="D1" s="1711"/>
      <c r="E1" s="1711"/>
      <c r="F1" s="1712"/>
      <c r="G1" s="1712"/>
      <c r="H1" s="1712"/>
    </row>
    <row r="2" spans="1:8" ht="15.75" thickBot="1">
      <c r="A2" s="1108"/>
      <c r="B2" s="63"/>
      <c r="C2" s="63"/>
      <c r="D2" s="63"/>
      <c r="E2" s="63"/>
    </row>
    <row r="3" spans="1:8" ht="35.25" customHeight="1" thickBot="1">
      <c r="A3" s="1109" t="s">
        <v>2</v>
      </c>
      <c r="B3" s="980" t="s">
        <v>902</v>
      </c>
      <c r="C3" s="981" t="s">
        <v>212</v>
      </c>
      <c r="D3" s="981" t="s">
        <v>213</v>
      </c>
      <c r="E3" s="981" t="s">
        <v>214</v>
      </c>
      <c r="F3" s="981" t="s">
        <v>453</v>
      </c>
      <c r="G3" s="981" t="s">
        <v>548</v>
      </c>
      <c r="H3" s="982" t="s">
        <v>549</v>
      </c>
    </row>
    <row r="4" spans="1:8">
      <c r="A4" s="1110" t="s">
        <v>799</v>
      </c>
      <c r="B4" s="976">
        <v>2235000</v>
      </c>
      <c r="C4" s="977">
        <v>2025000</v>
      </c>
      <c r="D4" s="977">
        <v>2025000</v>
      </c>
      <c r="E4" s="977">
        <v>2025000</v>
      </c>
      <c r="F4" s="978">
        <v>2025000</v>
      </c>
      <c r="G4" s="978">
        <v>2025000</v>
      </c>
      <c r="H4" s="979">
        <v>2025000</v>
      </c>
    </row>
    <row r="5" spans="1:8">
      <c r="A5" s="1111" t="s">
        <v>910</v>
      </c>
      <c r="B5" s="967">
        <v>2261202</v>
      </c>
      <c r="C5" s="962">
        <v>2025000</v>
      </c>
      <c r="D5" s="962">
        <v>2025000</v>
      </c>
      <c r="E5" s="962">
        <v>2025000</v>
      </c>
      <c r="F5" s="963">
        <v>2025000</v>
      </c>
      <c r="G5" s="963">
        <v>2025000</v>
      </c>
      <c r="H5" s="968">
        <v>2025000</v>
      </c>
    </row>
    <row r="6" spans="1:8" ht="28.5">
      <c r="A6" s="1112" t="s">
        <v>800</v>
      </c>
      <c r="B6" s="967">
        <f>B8+B10</f>
        <v>2000</v>
      </c>
      <c r="C6" s="962">
        <f>C8+C10</f>
        <v>11100</v>
      </c>
      <c r="D6" s="962">
        <f t="shared" ref="D6:H7" si="0">D8+D10</f>
        <v>10800</v>
      </c>
      <c r="E6" s="962">
        <f t="shared" si="0"/>
        <v>10000</v>
      </c>
      <c r="F6" s="962">
        <f t="shared" si="0"/>
        <v>10000</v>
      </c>
      <c r="G6" s="962">
        <f t="shared" si="0"/>
        <v>10000</v>
      </c>
      <c r="H6" s="969">
        <f t="shared" si="0"/>
        <v>100000</v>
      </c>
    </row>
    <row r="7" spans="1:8">
      <c r="A7" s="1111" t="s">
        <v>910</v>
      </c>
      <c r="B7" s="967">
        <f>B9+B11</f>
        <v>5065</v>
      </c>
      <c r="C7" s="962">
        <f>C9+C11</f>
        <v>11100</v>
      </c>
      <c r="D7" s="962">
        <f t="shared" si="0"/>
        <v>10800</v>
      </c>
      <c r="E7" s="962">
        <f t="shared" si="0"/>
        <v>10000</v>
      </c>
      <c r="F7" s="962">
        <f t="shared" si="0"/>
        <v>10000</v>
      </c>
      <c r="G7" s="962">
        <f t="shared" si="0"/>
        <v>10000</v>
      </c>
      <c r="H7" s="969">
        <f t="shared" si="0"/>
        <v>100000</v>
      </c>
    </row>
    <row r="8" spans="1:8">
      <c r="A8" s="1113" t="s">
        <v>801</v>
      </c>
      <c r="B8" s="970">
        <v>500</v>
      </c>
      <c r="C8" s="964">
        <v>1100</v>
      </c>
      <c r="D8" s="964">
        <v>800</v>
      </c>
      <c r="E8" s="964">
        <v>0</v>
      </c>
      <c r="F8" s="965">
        <v>0</v>
      </c>
      <c r="G8" s="965">
        <v>0</v>
      </c>
      <c r="H8" s="971">
        <v>0</v>
      </c>
    </row>
    <row r="9" spans="1:8">
      <c r="A9" s="1114" t="s">
        <v>910</v>
      </c>
      <c r="B9" s="970">
        <v>500</v>
      </c>
      <c r="C9" s="964">
        <v>1100</v>
      </c>
      <c r="D9" s="964">
        <v>800</v>
      </c>
      <c r="E9" s="964">
        <v>0</v>
      </c>
      <c r="F9" s="965">
        <v>0</v>
      </c>
      <c r="G9" s="965">
        <v>0</v>
      </c>
      <c r="H9" s="971">
        <v>0</v>
      </c>
    </row>
    <row r="10" spans="1:8">
      <c r="A10" s="1113" t="s">
        <v>903</v>
      </c>
      <c r="B10" s="970">
        <v>1500</v>
      </c>
      <c r="C10" s="964">
        <v>10000</v>
      </c>
      <c r="D10" s="964">
        <v>10000</v>
      </c>
      <c r="E10" s="964">
        <v>10000</v>
      </c>
      <c r="F10" s="965">
        <v>10000</v>
      </c>
      <c r="G10" s="965">
        <v>10000</v>
      </c>
      <c r="H10" s="971">
        <v>100000</v>
      </c>
    </row>
    <row r="11" spans="1:8">
      <c r="A11" s="1114" t="s">
        <v>910</v>
      </c>
      <c r="B11" s="970">
        <v>4565</v>
      </c>
      <c r="C11" s="964">
        <v>10000</v>
      </c>
      <c r="D11" s="964">
        <v>10000</v>
      </c>
      <c r="E11" s="964">
        <v>10000</v>
      </c>
      <c r="F11" s="965">
        <v>10000</v>
      </c>
      <c r="G11" s="965">
        <v>10000</v>
      </c>
      <c r="H11" s="971">
        <v>100000</v>
      </c>
    </row>
    <row r="12" spans="1:8" ht="71.25">
      <c r="A12" s="1112" t="s">
        <v>802</v>
      </c>
      <c r="B12" s="967">
        <v>88191</v>
      </c>
      <c r="C12" s="962">
        <v>68000</v>
      </c>
      <c r="D12" s="962">
        <v>67000</v>
      </c>
      <c r="E12" s="962">
        <v>67000</v>
      </c>
      <c r="F12" s="963">
        <v>67000</v>
      </c>
      <c r="G12" s="963">
        <v>0</v>
      </c>
      <c r="H12" s="968">
        <v>0</v>
      </c>
    </row>
    <row r="13" spans="1:8">
      <c r="A13" s="1114" t="s">
        <v>910</v>
      </c>
      <c r="B13" s="970">
        <v>88191</v>
      </c>
      <c r="C13" s="964">
        <v>68000</v>
      </c>
      <c r="D13" s="964">
        <v>67000</v>
      </c>
      <c r="E13" s="964">
        <v>67000</v>
      </c>
      <c r="F13" s="965">
        <v>67000</v>
      </c>
      <c r="G13" s="965">
        <v>0</v>
      </c>
      <c r="H13" s="971">
        <v>0</v>
      </c>
    </row>
    <row r="14" spans="1:8" ht="99.75">
      <c r="A14" s="1112" t="s">
        <v>215</v>
      </c>
      <c r="B14" s="967">
        <v>1397914</v>
      </c>
      <c r="C14" s="962">
        <v>66000</v>
      </c>
      <c r="D14" s="962">
        <v>66000</v>
      </c>
      <c r="E14" s="962">
        <v>66000</v>
      </c>
      <c r="F14" s="963">
        <v>66000</v>
      </c>
      <c r="G14" s="963">
        <v>0</v>
      </c>
      <c r="H14" s="968">
        <v>0</v>
      </c>
    </row>
    <row r="15" spans="1:8">
      <c r="A15" s="1111" t="s">
        <v>910</v>
      </c>
      <c r="B15" s="967">
        <v>1385294</v>
      </c>
      <c r="C15" s="962">
        <v>66000</v>
      </c>
      <c r="D15" s="962">
        <v>66000</v>
      </c>
      <c r="E15" s="962">
        <v>66000</v>
      </c>
      <c r="F15" s="963">
        <v>66000</v>
      </c>
      <c r="G15" s="963">
        <v>0</v>
      </c>
      <c r="H15" s="968">
        <v>0</v>
      </c>
    </row>
    <row r="16" spans="1:8">
      <c r="A16" s="1112" t="s">
        <v>216</v>
      </c>
      <c r="B16" s="967">
        <f>B4+B6+B12+B14</f>
        <v>3723105</v>
      </c>
      <c r="C16" s="962">
        <f>C4+C6+C12+C14</f>
        <v>2170100</v>
      </c>
      <c r="D16" s="962">
        <f t="shared" ref="D16:H17" si="1">D4+D6+D12+D14</f>
        <v>2168800</v>
      </c>
      <c r="E16" s="962">
        <f>E4+E6+E12+E14</f>
        <v>2168000</v>
      </c>
      <c r="F16" s="962">
        <f t="shared" si="1"/>
        <v>2168000</v>
      </c>
      <c r="G16" s="962">
        <f t="shared" si="1"/>
        <v>2035000</v>
      </c>
      <c r="H16" s="969">
        <f t="shared" si="1"/>
        <v>2125000</v>
      </c>
    </row>
    <row r="17" spans="1:8">
      <c r="A17" s="1111" t="s">
        <v>910</v>
      </c>
      <c r="B17" s="967">
        <f>B15+B13+B7+B5</f>
        <v>3739752</v>
      </c>
      <c r="C17" s="962">
        <f>C5+C7+C13+C15</f>
        <v>2170100</v>
      </c>
      <c r="D17" s="962">
        <f t="shared" si="1"/>
        <v>2168800</v>
      </c>
      <c r="E17" s="962">
        <f>E5+E7+E13+E15</f>
        <v>2168000</v>
      </c>
      <c r="F17" s="962">
        <f t="shared" si="1"/>
        <v>2168000</v>
      </c>
      <c r="G17" s="962">
        <f t="shared" si="1"/>
        <v>2035000</v>
      </c>
      <c r="H17" s="969">
        <f t="shared" si="1"/>
        <v>2125000</v>
      </c>
    </row>
    <row r="18" spans="1:8">
      <c r="A18" s="1112" t="s">
        <v>217</v>
      </c>
      <c r="B18" s="967">
        <f>B16/2</f>
        <v>1861552.5</v>
      </c>
      <c r="C18" s="962">
        <f>C16/2</f>
        <v>1085050</v>
      </c>
      <c r="D18" s="962">
        <f t="shared" ref="D18:H19" si="2">D16/2</f>
        <v>1084400</v>
      </c>
      <c r="E18" s="962">
        <f t="shared" si="2"/>
        <v>1084000</v>
      </c>
      <c r="F18" s="962">
        <f t="shared" si="2"/>
        <v>1084000</v>
      </c>
      <c r="G18" s="962">
        <f t="shared" si="2"/>
        <v>1017500</v>
      </c>
      <c r="H18" s="969">
        <f t="shared" si="2"/>
        <v>1062500</v>
      </c>
    </row>
    <row r="19" spans="1:8">
      <c r="A19" s="1111" t="s">
        <v>910</v>
      </c>
      <c r="B19" s="967">
        <f>B17/2</f>
        <v>1869876</v>
      </c>
      <c r="C19" s="962">
        <f>C17/2</f>
        <v>1085050</v>
      </c>
      <c r="D19" s="962">
        <f t="shared" si="2"/>
        <v>1084400</v>
      </c>
      <c r="E19" s="962">
        <f t="shared" si="2"/>
        <v>1084000</v>
      </c>
      <c r="F19" s="962">
        <f t="shared" si="2"/>
        <v>1084000</v>
      </c>
      <c r="G19" s="962">
        <f t="shared" si="2"/>
        <v>1017500</v>
      </c>
      <c r="H19" s="969">
        <f t="shared" si="2"/>
        <v>1062500</v>
      </c>
    </row>
    <row r="20" spans="1:8" ht="57">
      <c r="A20" s="1112" t="s">
        <v>785</v>
      </c>
      <c r="B20" s="967">
        <f t="shared" ref="B20:E21" si="3">B22</f>
        <v>119403</v>
      </c>
      <c r="C20" s="962">
        <f t="shared" si="3"/>
        <v>83288</v>
      </c>
      <c r="D20" s="962">
        <f t="shared" si="3"/>
        <v>190487</v>
      </c>
      <c r="E20" s="962">
        <f t="shared" si="3"/>
        <v>187972</v>
      </c>
      <c r="F20" s="962">
        <f t="shared" ref="F20:G21" si="4">F22</f>
        <v>185571</v>
      </c>
      <c r="G20" s="962">
        <f t="shared" si="4"/>
        <v>147713</v>
      </c>
      <c r="H20" s="968">
        <f>H22</f>
        <v>109714</v>
      </c>
    </row>
    <row r="21" spans="1:8">
      <c r="A21" s="1111" t="s">
        <v>910</v>
      </c>
      <c r="B21" s="967">
        <f t="shared" si="3"/>
        <v>119423</v>
      </c>
      <c r="C21" s="962">
        <f t="shared" si="3"/>
        <v>83288</v>
      </c>
      <c r="D21" s="962">
        <f t="shared" si="3"/>
        <v>190487</v>
      </c>
      <c r="E21" s="962">
        <f t="shared" si="3"/>
        <v>187972</v>
      </c>
      <c r="F21" s="962">
        <f t="shared" si="4"/>
        <v>185571</v>
      </c>
      <c r="G21" s="962">
        <f t="shared" si="4"/>
        <v>147713</v>
      </c>
      <c r="H21" s="968">
        <f>H23</f>
        <v>109714</v>
      </c>
    </row>
    <row r="22" spans="1:8" ht="45">
      <c r="A22" s="1113" t="s">
        <v>218</v>
      </c>
      <c r="B22" s="970">
        <v>119403</v>
      </c>
      <c r="C22" s="964">
        <v>83288</v>
      </c>
      <c r="D22" s="964">
        <v>190487</v>
      </c>
      <c r="E22" s="964">
        <v>187972</v>
      </c>
      <c r="F22" s="965">
        <v>185571</v>
      </c>
      <c r="G22" s="965">
        <v>147713</v>
      </c>
      <c r="H22" s="971">
        <v>109714</v>
      </c>
    </row>
    <row r="23" spans="1:8">
      <c r="A23" s="1114" t="s">
        <v>910</v>
      </c>
      <c r="B23" s="970">
        <v>119423</v>
      </c>
      <c r="C23" s="964">
        <v>83288</v>
      </c>
      <c r="D23" s="964">
        <v>190487</v>
      </c>
      <c r="E23" s="964">
        <v>187972</v>
      </c>
      <c r="F23" s="965">
        <v>185571</v>
      </c>
      <c r="G23" s="965">
        <v>147713</v>
      </c>
      <c r="H23" s="971">
        <v>109714</v>
      </c>
    </row>
    <row r="24" spans="1:8" ht="71.25">
      <c r="A24" s="1112" t="s">
        <v>219</v>
      </c>
      <c r="B24" s="967">
        <f t="shared" ref="B24" si="5">B26</f>
        <v>0</v>
      </c>
      <c r="C24" s="962">
        <f t="shared" ref="C24:C25" si="6">C26</f>
        <v>0</v>
      </c>
      <c r="D24" s="962">
        <f t="shared" ref="D24:D25" si="7">D26</f>
        <v>0</v>
      </c>
      <c r="E24" s="962">
        <f t="shared" ref="E24:E25" si="8">E26</f>
        <v>0</v>
      </c>
      <c r="F24" s="962">
        <f t="shared" ref="F24:F25" si="9">F26</f>
        <v>0</v>
      </c>
      <c r="G24" s="962">
        <f t="shared" ref="G24:H25" si="10">G26</f>
        <v>0</v>
      </c>
      <c r="H24" s="969">
        <f t="shared" si="10"/>
        <v>0</v>
      </c>
    </row>
    <row r="25" spans="1:8">
      <c r="A25" s="1111" t="s">
        <v>910</v>
      </c>
      <c r="B25" s="967">
        <v>0</v>
      </c>
      <c r="C25" s="962">
        <f t="shared" si="6"/>
        <v>0</v>
      </c>
      <c r="D25" s="962">
        <f t="shared" si="7"/>
        <v>0</v>
      </c>
      <c r="E25" s="962">
        <f t="shared" si="8"/>
        <v>0</v>
      </c>
      <c r="F25" s="962">
        <f t="shared" si="9"/>
        <v>0</v>
      </c>
      <c r="G25" s="962">
        <f t="shared" si="10"/>
        <v>0</v>
      </c>
      <c r="H25" s="969">
        <f t="shared" si="10"/>
        <v>0</v>
      </c>
    </row>
    <row r="26" spans="1:8" ht="60">
      <c r="A26" s="1113" t="s">
        <v>219</v>
      </c>
      <c r="B26" s="967">
        <v>0</v>
      </c>
      <c r="C26" s="962">
        <v>0</v>
      </c>
      <c r="D26" s="962">
        <v>0</v>
      </c>
      <c r="E26" s="962">
        <v>0</v>
      </c>
      <c r="F26" s="965">
        <v>0</v>
      </c>
      <c r="G26" s="965">
        <v>0</v>
      </c>
      <c r="H26" s="971">
        <v>0</v>
      </c>
    </row>
    <row r="27" spans="1:8">
      <c r="A27" s="1111" t="s">
        <v>910</v>
      </c>
      <c r="B27" s="967">
        <v>0</v>
      </c>
      <c r="C27" s="962">
        <v>0</v>
      </c>
      <c r="D27" s="962">
        <v>0</v>
      </c>
      <c r="E27" s="962">
        <v>0</v>
      </c>
      <c r="F27" s="965">
        <v>0</v>
      </c>
      <c r="G27" s="965">
        <v>0</v>
      </c>
      <c r="H27" s="971">
        <v>0</v>
      </c>
    </row>
    <row r="28" spans="1:8" ht="42.75">
      <c r="A28" s="1112" t="s">
        <v>220</v>
      </c>
      <c r="B28" s="967">
        <f t="shared" ref="B28:H29" si="11">B20+B24</f>
        <v>119403</v>
      </c>
      <c r="C28" s="962">
        <f>C20+C24</f>
        <v>83288</v>
      </c>
      <c r="D28" s="962">
        <f t="shared" si="11"/>
        <v>190487</v>
      </c>
      <c r="E28" s="962">
        <f t="shared" si="11"/>
        <v>187972</v>
      </c>
      <c r="F28" s="962">
        <f t="shared" si="11"/>
        <v>185571</v>
      </c>
      <c r="G28" s="962">
        <f t="shared" si="11"/>
        <v>147713</v>
      </c>
      <c r="H28" s="969">
        <f t="shared" si="11"/>
        <v>109714</v>
      </c>
    </row>
    <row r="29" spans="1:8">
      <c r="A29" s="1111" t="s">
        <v>910</v>
      </c>
      <c r="B29" s="967">
        <f t="shared" si="11"/>
        <v>119423</v>
      </c>
      <c r="C29" s="962">
        <f>C21+C25</f>
        <v>83288</v>
      </c>
      <c r="D29" s="962">
        <f t="shared" si="11"/>
        <v>190487</v>
      </c>
      <c r="E29" s="962">
        <f t="shared" si="11"/>
        <v>187972</v>
      </c>
      <c r="F29" s="962">
        <f t="shared" si="11"/>
        <v>185571</v>
      </c>
      <c r="G29" s="962">
        <f t="shared" si="11"/>
        <v>147713</v>
      </c>
      <c r="H29" s="969">
        <f t="shared" si="11"/>
        <v>109714</v>
      </c>
    </row>
    <row r="30" spans="1:8" ht="57">
      <c r="A30" s="1112" t="s">
        <v>786</v>
      </c>
      <c r="B30" s="972">
        <f t="shared" ref="B30:H31" si="12">B18-B28</f>
        <v>1742149.5</v>
      </c>
      <c r="C30" s="966">
        <f t="shared" si="12"/>
        <v>1001762</v>
      </c>
      <c r="D30" s="966">
        <f t="shared" si="12"/>
        <v>893913</v>
      </c>
      <c r="E30" s="966">
        <f t="shared" si="12"/>
        <v>896028</v>
      </c>
      <c r="F30" s="966">
        <f t="shared" si="12"/>
        <v>898429</v>
      </c>
      <c r="G30" s="966">
        <f t="shared" si="12"/>
        <v>869787</v>
      </c>
      <c r="H30" s="973">
        <f t="shared" si="12"/>
        <v>952786</v>
      </c>
    </row>
    <row r="31" spans="1:8" ht="15.75" thickBot="1">
      <c r="A31" s="1115" t="s">
        <v>910</v>
      </c>
      <c r="B31" s="974">
        <f t="shared" si="12"/>
        <v>1750453</v>
      </c>
      <c r="C31" s="975">
        <f t="shared" si="12"/>
        <v>1001762</v>
      </c>
      <c r="D31" s="975">
        <f t="shared" si="12"/>
        <v>893913</v>
      </c>
      <c r="E31" s="975">
        <f t="shared" si="12"/>
        <v>896028</v>
      </c>
      <c r="F31" s="975">
        <f t="shared" si="12"/>
        <v>898429</v>
      </c>
      <c r="G31" s="975">
        <f t="shared" si="12"/>
        <v>869787</v>
      </c>
      <c r="H31" s="371">
        <f t="shared" si="12"/>
        <v>952786</v>
      </c>
    </row>
  </sheetData>
  <mergeCells count="1">
    <mergeCell ref="A1:H1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&amp;L&amp;"Times New Roman,Normál"13. melléklet a 17 /2020. (VII.9.) önkormányzati rendelethez</oddHeader>
    <oddFooter>&amp;L24/2019.(XII.19.)önk.rend. Hatályos:2020.01.01.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view="pageLayout" zoomScale="98" zoomScaleNormal="100" zoomScalePageLayoutView="98" workbookViewId="0">
      <selection sqref="A1:C1"/>
    </sheetView>
  </sheetViews>
  <sheetFormatPr defaultRowHeight="15"/>
  <cols>
    <col min="1" max="1" width="66.5703125" style="201" customWidth="1"/>
    <col min="2" max="2" width="12" customWidth="1"/>
    <col min="3" max="3" width="14.7109375" bestFit="1" customWidth="1"/>
    <col min="4" max="4" width="19.5703125" customWidth="1"/>
    <col min="5" max="5" width="21.5703125" customWidth="1"/>
    <col min="6" max="6" width="15.140625" customWidth="1"/>
    <col min="7" max="7" width="17" customWidth="1"/>
  </cols>
  <sheetData>
    <row r="1" spans="1:9" ht="34.5" customHeight="1">
      <c r="A1" s="1713" t="s">
        <v>962</v>
      </c>
      <c r="B1" s="1713"/>
      <c r="C1" s="1713"/>
    </row>
    <row r="2" spans="1:9" ht="15.75" thickBot="1"/>
    <row r="3" spans="1:9" ht="15.75" thickBot="1">
      <c r="A3" s="184" t="s">
        <v>2</v>
      </c>
      <c r="B3" s="366" t="s">
        <v>3</v>
      </c>
      <c r="C3" s="1116" t="s">
        <v>910</v>
      </c>
      <c r="D3" s="188"/>
      <c r="E3" s="188"/>
      <c r="F3" s="188"/>
      <c r="G3" s="188"/>
      <c r="H3" s="188"/>
      <c r="I3" s="188"/>
    </row>
    <row r="4" spans="1:9" ht="28.5">
      <c r="A4" s="202" t="s">
        <v>530</v>
      </c>
      <c r="B4" s="364">
        <v>24174</v>
      </c>
      <c r="C4" s="365">
        <v>24174</v>
      </c>
      <c r="D4" s="188"/>
      <c r="E4" s="188"/>
      <c r="F4" s="188"/>
      <c r="G4" s="188"/>
      <c r="H4" s="188"/>
      <c r="I4" s="188"/>
    </row>
    <row r="5" spans="1:9" ht="28.5">
      <c r="A5" s="202" t="s">
        <v>497</v>
      </c>
      <c r="B5" s="362">
        <v>69850</v>
      </c>
      <c r="C5" s="363">
        <v>69850</v>
      </c>
      <c r="D5" s="188"/>
      <c r="E5" s="188"/>
      <c r="F5" s="188"/>
      <c r="G5" s="188"/>
      <c r="H5" s="188"/>
      <c r="I5" s="188"/>
    </row>
    <row r="6" spans="1:9" ht="28.5">
      <c r="A6" s="202" t="s">
        <v>531</v>
      </c>
      <c r="B6" s="362">
        <v>116684</v>
      </c>
      <c r="C6" s="363">
        <v>116684</v>
      </c>
      <c r="D6" s="188"/>
      <c r="E6" s="188"/>
      <c r="F6" s="188"/>
      <c r="G6" s="188"/>
      <c r="H6" s="188"/>
      <c r="I6" s="188"/>
    </row>
    <row r="7" spans="1:9" ht="28.5">
      <c r="A7" s="202" t="s">
        <v>499</v>
      </c>
      <c r="B7" s="362">
        <v>89734</v>
      </c>
      <c r="C7" s="363">
        <v>89734</v>
      </c>
      <c r="D7" s="188"/>
      <c r="E7" s="188"/>
      <c r="F7" s="188"/>
      <c r="G7" s="188"/>
      <c r="H7" s="188"/>
      <c r="I7" s="188"/>
    </row>
    <row r="8" spans="1:9" ht="28.5">
      <c r="A8" s="202" t="s">
        <v>490</v>
      </c>
      <c r="B8" s="362">
        <v>15930</v>
      </c>
      <c r="C8" s="363">
        <v>15930</v>
      </c>
      <c r="D8" s="188"/>
      <c r="E8" s="188"/>
      <c r="F8" s="188"/>
      <c r="G8" s="188"/>
      <c r="H8" s="188"/>
      <c r="I8" s="188"/>
    </row>
    <row r="9" spans="1:9" ht="29.25" thickBot="1">
      <c r="A9" s="202" t="s">
        <v>489</v>
      </c>
      <c r="B9" s="367">
        <v>12147</v>
      </c>
      <c r="C9" s="368">
        <v>12147</v>
      </c>
      <c r="D9" s="188"/>
      <c r="E9" s="188"/>
      <c r="F9" s="188"/>
      <c r="G9" s="188"/>
      <c r="H9" s="188"/>
      <c r="I9" s="188"/>
    </row>
    <row r="10" spans="1:9" ht="15.75" thickBot="1">
      <c r="A10" s="183" t="s">
        <v>68</v>
      </c>
      <c r="B10" s="369">
        <f>SUM(B4:B9)</f>
        <v>328519</v>
      </c>
      <c r="C10" s="370">
        <f>SUM(C4:C9)</f>
        <v>328519</v>
      </c>
      <c r="D10" s="188"/>
      <c r="E10" s="188"/>
      <c r="F10" s="188"/>
      <c r="G10" s="188"/>
      <c r="H10" s="188"/>
      <c r="I10" s="188"/>
    </row>
    <row r="11" spans="1:9">
      <c r="G11" s="189"/>
    </row>
    <row r="13" spans="1:9">
      <c r="A13" s="203"/>
    </row>
    <row r="14" spans="1:9">
      <c r="A14" s="203"/>
    </row>
  </sheetData>
  <mergeCells count="1">
    <mergeCell ref="A1:C1"/>
  </mergeCells>
  <pageMargins left="0.7" right="0.7" top="0.75" bottom="0.75" header="0.3" footer="0.3"/>
  <pageSetup paperSize="9" scale="94" orientation="portrait" r:id="rId1"/>
  <headerFooter>
    <oddHeader>&amp;L&amp;"Times New Roman,Normál"&amp;8 13. melléklet  a    17 /2020. (VII.9.) önkormányzati rendelethez</oddHeader>
    <oddFooter>&amp;L24/2019.(XII.19.)önk.rend. Hatályos:2020.01.01.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view="pageLayout" zoomScale="75" zoomScaleNormal="100" zoomScaleSheetLayoutView="80" zoomScalePageLayoutView="75" workbookViewId="0">
      <selection activeCell="I20" sqref="I20"/>
    </sheetView>
  </sheetViews>
  <sheetFormatPr defaultRowHeight="15"/>
  <cols>
    <col min="1" max="1" width="42.28515625" style="65" customWidth="1"/>
    <col min="2" max="3" width="10.42578125" style="66" bestFit="1" customWidth="1"/>
    <col min="4" max="4" width="40.140625" style="65" customWidth="1"/>
    <col min="5" max="6" width="10.42578125" style="66" bestFit="1" customWidth="1"/>
    <col min="7" max="8" width="10.140625" style="66" customWidth="1"/>
    <col min="9" max="9" width="10.42578125" style="66" bestFit="1" customWidth="1"/>
    <col min="10" max="10" width="10.42578125" style="67" bestFit="1" customWidth="1"/>
    <col min="11" max="16384" width="9.140625" style="65"/>
  </cols>
  <sheetData>
    <row r="1" spans="1:10">
      <c r="A1" s="1714" t="s">
        <v>963</v>
      </c>
      <c r="B1" s="1714"/>
      <c r="C1" s="1714"/>
      <c r="D1" s="1714"/>
      <c r="E1" s="1714"/>
      <c r="F1" s="1714"/>
      <c r="G1" s="1714"/>
      <c r="H1" s="1714"/>
      <c r="I1" s="1714"/>
      <c r="J1" s="1714"/>
    </row>
    <row r="2" spans="1:10" ht="15.75" thickBot="1"/>
    <row r="3" spans="1:10" ht="15.75" thickBot="1">
      <c r="A3" s="1732" t="s">
        <v>95</v>
      </c>
      <c r="B3" s="1733"/>
      <c r="C3" s="1734"/>
      <c r="D3" s="1715" t="s">
        <v>506</v>
      </c>
      <c r="E3" s="1716"/>
      <c r="F3" s="1716"/>
      <c r="G3" s="1716"/>
      <c r="H3" s="1717"/>
      <c r="I3" s="1718"/>
      <c r="J3" s="1719"/>
    </row>
    <row r="4" spans="1:10" s="70" customFormat="1" ht="30.75" customHeight="1">
      <c r="A4" s="1720" t="s">
        <v>741</v>
      </c>
      <c r="B4" s="1722" t="s">
        <v>3</v>
      </c>
      <c r="C4" s="1730" t="s">
        <v>925</v>
      </c>
      <c r="D4" s="1720" t="s">
        <v>741</v>
      </c>
      <c r="E4" s="1724" t="s">
        <v>56</v>
      </c>
      <c r="F4" s="1725"/>
      <c r="G4" s="1726" t="s">
        <v>57</v>
      </c>
      <c r="H4" s="1727"/>
      <c r="I4" s="1728" t="s">
        <v>68</v>
      </c>
      <c r="J4" s="1729"/>
    </row>
    <row r="5" spans="1:10" s="70" customFormat="1" ht="29.25" thickBot="1">
      <c r="A5" s="1721"/>
      <c r="B5" s="1723"/>
      <c r="C5" s="1731"/>
      <c r="D5" s="1721"/>
      <c r="E5" s="1117" t="s">
        <v>3</v>
      </c>
      <c r="F5" s="1118" t="s">
        <v>925</v>
      </c>
      <c r="G5" s="1117" t="s">
        <v>3</v>
      </c>
      <c r="H5" s="1118" t="s">
        <v>925</v>
      </c>
      <c r="I5" s="1493" t="s">
        <v>3</v>
      </c>
      <c r="J5" s="1494" t="s">
        <v>925</v>
      </c>
    </row>
    <row r="6" spans="1:10" s="70" customFormat="1" ht="30">
      <c r="A6" s="937" t="s">
        <v>502</v>
      </c>
      <c r="B6" s="943">
        <v>27000</v>
      </c>
      <c r="C6" s="1119">
        <v>0</v>
      </c>
      <c r="D6" s="937" t="s">
        <v>502</v>
      </c>
      <c r="E6" s="943">
        <v>27000</v>
      </c>
      <c r="F6" s="944">
        <v>0</v>
      </c>
      <c r="G6" s="943"/>
      <c r="H6" s="1489"/>
      <c r="I6" s="314">
        <f t="shared" ref="I6:J10" si="0">E6+G6</f>
        <v>27000</v>
      </c>
      <c r="J6" s="950">
        <f t="shared" si="0"/>
        <v>0</v>
      </c>
    </row>
    <row r="7" spans="1:10" s="70" customFormat="1" ht="30">
      <c r="A7" s="938" t="s">
        <v>496</v>
      </c>
      <c r="B7" s="1123">
        <v>169425</v>
      </c>
      <c r="C7" s="1120">
        <v>167616</v>
      </c>
      <c r="D7" s="938" t="s">
        <v>496</v>
      </c>
      <c r="E7" s="909">
        <v>169425</v>
      </c>
      <c r="F7" s="910">
        <v>167616</v>
      </c>
      <c r="G7" s="913"/>
      <c r="H7" s="1490"/>
      <c r="I7" s="951">
        <f t="shared" si="0"/>
        <v>169425</v>
      </c>
      <c r="J7" s="891">
        <f t="shared" si="0"/>
        <v>167616</v>
      </c>
    </row>
    <row r="8" spans="1:10" s="70" customFormat="1" ht="45">
      <c r="A8" s="939" t="s">
        <v>497</v>
      </c>
      <c r="B8" s="1123">
        <v>124460</v>
      </c>
      <c r="C8" s="1120">
        <v>158275</v>
      </c>
      <c r="D8" s="939" t="s">
        <v>497</v>
      </c>
      <c r="E8" s="945">
        <v>124460</v>
      </c>
      <c r="F8" s="946">
        <v>158275</v>
      </c>
      <c r="G8" s="913"/>
      <c r="H8" s="1490"/>
      <c r="I8" s="951">
        <f t="shared" si="0"/>
        <v>124460</v>
      </c>
      <c r="J8" s="875">
        <f t="shared" si="0"/>
        <v>158275</v>
      </c>
    </row>
    <row r="9" spans="1:10" s="70" customFormat="1" ht="30">
      <c r="A9" s="940" t="s">
        <v>498</v>
      </c>
      <c r="B9" s="1123">
        <v>27926</v>
      </c>
      <c r="C9" s="1120">
        <v>114350</v>
      </c>
      <c r="D9" s="940" t="s">
        <v>498</v>
      </c>
      <c r="E9" s="947">
        <v>27926</v>
      </c>
      <c r="F9" s="788">
        <v>114350</v>
      </c>
      <c r="G9" s="913"/>
      <c r="H9" s="1490"/>
      <c r="I9" s="951">
        <f t="shared" si="0"/>
        <v>27926</v>
      </c>
      <c r="J9" s="875">
        <f t="shared" si="0"/>
        <v>114350</v>
      </c>
    </row>
    <row r="10" spans="1:10" s="70" customFormat="1" ht="45">
      <c r="A10" s="941" t="s">
        <v>499</v>
      </c>
      <c r="B10" s="1123">
        <v>311300</v>
      </c>
      <c r="C10" s="1120">
        <v>311300</v>
      </c>
      <c r="D10" s="941" t="s">
        <v>499</v>
      </c>
      <c r="E10" s="948">
        <v>311300</v>
      </c>
      <c r="F10" s="949">
        <v>311300</v>
      </c>
      <c r="G10" s="913"/>
      <c r="H10" s="1490"/>
      <c r="I10" s="951">
        <f t="shared" si="0"/>
        <v>311300</v>
      </c>
      <c r="J10" s="875">
        <f t="shared" si="0"/>
        <v>311300</v>
      </c>
    </row>
    <row r="11" spans="1:10" s="70" customFormat="1" ht="30">
      <c r="A11" s="938" t="s">
        <v>451</v>
      </c>
      <c r="B11" s="1123">
        <v>136646</v>
      </c>
      <c r="C11" s="1120">
        <v>138102</v>
      </c>
      <c r="D11" s="938" t="s">
        <v>451</v>
      </c>
      <c r="E11" s="909"/>
      <c r="F11" s="910"/>
      <c r="G11" s="913">
        <v>136646</v>
      </c>
      <c r="H11" s="1490">
        <v>138102</v>
      </c>
      <c r="I11" s="951">
        <f t="shared" ref="I11" si="1">E11+G11</f>
        <v>136646</v>
      </c>
      <c r="J11" s="875">
        <f t="shared" ref="J11:J20" si="2">F11+H11</f>
        <v>138102</v>
      </c>
    </row>
    <row r="12" spans="1:10" s="70" customFormat="1" ht="45">
      <c r="A12" s="938" t="s">
        <v>486</v>
      </c>
      <c r="B12" s="1123">
        <v>90000</v>
      </c>
      <c r="C12" s="1120">
        <v>8088</v>
      </c>
      <c r="D12" s="938" t="s">
        <v>486</v>
      </c>
      <c r="E12" s="909">
        <v>90000</v>
      </c>
      <c r="F12" s="910">
        <v>8088</v>
      </c>
      <c r="G12" s="913"/>
      <c r="H12" s="1490"/>
      <c r="I12" s="951">
        <f t="shared" ref="I12:I20" si="3">E12+G12</f>
        <v>90000</v>
      </c>
      <c r="J12" s="875">
        <f t="shared" si="2"/>
        <v>8088</v>
      </c>
    </row>
    <row r="13" spans="1:10" s="70" customFormat="1" ht="60">
      <c r="A13" s="938" t="s">
        <v>445</v>
      </c>
      <c r="B13" s="1123">
        <v>4161</v>
      </c>
      <c r="C13" s="1120">
        <v>11818</v>
      </c>
      <c r="D13" s="938" t="s">
        <v>445</v>
      </c>
      <c r="E13" s="909">
        <v>4161</v>
      </c>
      <c r="F13" s="910">
        <v>11818</v>
      </c>
      <c r="G13" s="913"/>
      <c r="H13" s="1490"/>
      <c r="I13" s="951">
        <f t="shared" si="3"/>
        <v>4161</v>
      </c>
      <c r="J13" s="875">
        <f t="shared" si="2"/>
        <v>11818</v>
      </c>
    </row>
    <row r="14" spans="1:10" s="70" customFormat="1" ht="30">
      <c r="A14" s="938" t="s">
        <v>446</v>
      </c>
      <c r="B14" s="1123">
        <v>363888</v>
      </c>
      <c r="C14" s="1120">
        <v>353953</v>
      </c>
      <c r="D14" s="938" t="s">
        <v>446</v>
      </c>
      <c r="E14" s="909">
        <v>363888</v>
      </c>
      <c r="F14" s="910">
        <v>353953</v>
      </c>
      <c r="G14" s="913"/>
      <c r="H14" s="1490"/>
      <c r="I14" s="951">
        <f t="shared" si="3"/>
        <v>363888</v>
      </c>
      <c r="J14" s="875">
        <f t="shared" si="2"/>
        <v>353953</v>
      </c>
    </row>
    <row r="15" spans="1:10" s="70" customFormat="1" ht="30">
      <c r="A15" s="938" t="s">
        <v>448</v>
      </c>
      <c r="B15" s="1123">
        <v>37218</v>
      </c>
      <c r="C15" s="1120">
        <v>36850</v>
      </c>
      <c r="D15" s="938" t="s">
        <v>448</v>
      </c>
      <c r="E15" s="909">
        <v>37218</v>
      </c>
      <c r="F15" s="910">
        <v>36850</v>
      </c>
      <c r="G15" s="913"/>
      <c r="H15" s="1490"/>
      <c r="I15" s="951">
        <f t="shared" si="3"/>
        <v>37218</v>
      </c>
      <c r="J15" s="875">
        <f t="shared" si="2"/>
        <v>36850</v>
      </c>
    </row>
    <row r="16" spans="1:10" s="70" customFormat="1" ht="30">
      <c r="A16" s="938" t="s">
        <v>447</v>
      </c>
      <c r="B16" s="1123">
        <v>33627</v>
      </c>
      <c r="C16" s="1120">
        <v>15456</v>
      </c>
      <c r="D16" s="938" t="s">
        <v>447</v>
      </c>
      <c r="E16" s="909">
        <v>33627</v>
      </c>
      <c r="F16" s="910">
        <v>15456</v>
      </c>
      <c r="G16" s="913"/>
      <c r="H16" s="1490"/>
      <c r="I16" s="951">
        <f t="shared" si="3"/>
        <v>33627</v>
      </c>
      <c r="J16" s="875">
        <f t="shared" si="2"/>
        <v>15456</v>
      </c>
    </row>
    <row r="17" spans="1:10" s="70" customFormat="1" ht="60">
      <c r="A17" s="953" t="s">
        <v>556</v>
      </c>
      <c r="B17" s="1124">
        <v>224517</v>
      </c>
      <c r="C17" s="1121">
        <v>234994</v>
      </c>
      <c r="D17" s="953" t="s">
        <v>556</v>
      </c>
      <c r="E17" s="954">
        <v>224517</v>
      </c>
      <c r="F17" s="955">
        <v>234994</v>
      </c>
      <c r="G17" s="956"/>
      <c r="H17" s="1491"/>
      <c r="I17" s="951">
        <f t="shared" si="3"/>
        <v>224517</v>
      </c>
      <c r="J17" s="957">
        <f t="shared" si="2"/>
        <v>234994</v>
      </c>
    </row>
    <row r="18" spans="1:10" s="70" customFormat="1">
      <c r="A18" s="942" t="s">
        <v>698</v>
      </c>
      <c r="B18" s="1123">
        <v>101040</v>
      </c>
      <c r="C18" s="1120">
        <v>47055</v>
      </c>
      <c r="D18" s="942" t="s">
        <v>698</v>
      </c>
      <c r="E18" s="909"/>
      <c r="F18" s="910">
        <v>47055</v>
      </c>
      <c r="G18" s="913">
        <v>101040</v>
      </c>
      <c r="H18" s="1490"/>
      <c r="I18" s="951">
        <f t="shared" si="3"/>
        <v>101040</v>
      </c>
      <c r="J18" s="875">
        <f t="shared" si="2"/>
        <v>47055</v>
      </c>
    </row>
    <row r="19" spans="1:10" s="70" customFormat="1" ht="30.75" thickBot="1">
      <c r="A19" s="958" t="s">
        <v>901</v>
      </c>
      <c r="B19" s="1125"/>
      <c r="C19" s="1122">
        <v>6838</v>
      </c>
      <c r="D19" s="958" t="s">
        <v>502</v>
      </c>
      <c r="E19" s="959"/>
      <c r="F19" s="960"/>
      <c r="G19" s="961"/>
      <c r="H19" s="1492">
        <v>6838</v>
      </c>
      <c r="I19" s="1496">
        <f t="shared" si="3"/>
        <v>0</v>
      </c>
      <c r="J19" s="1497">
        <f t="shared" si="2"/>
        <v>6838</v>
      </c>
    </row>
    <row r="20" spans="1:10" ht="15.75" thickBot="1">
      <c r="A20" s="315" t="s">
        <v>68</v>
      </c>
      <c r="B20" s="358">
        <f>SUM(B6:B18)</f>
        <v>1651208</v>
      </c>
      <c r="C20" s="320">
        <f>SUM(C6:C19)</f>
        <v>1604695</v>
      </c>
      <c r="D20" s="315" t="s">
        <v>68</v>
      </c>
      <c r="E20" s="316">
        <f>SUM(E6:E17)</f>
        <v>1413522</v>
      </c>
      <c r="F20" s="216">
        <f>SUM(F6:F19)</f>
        <v>1459755</v>
      </c>
      <c r="G20" s="316">
        <f>SUM(G6:G18)</f>
        <v>237686</v>
      </c>
      <c r="H20" s="230">
        <f>SUM(H6:H19)</f>
        <v>144940</v>
      </c>
      <c r="I20" s="316">
        <f t="shared" si="3"/>
        <v>1651208</v>
      </c>
      <c r="J20" s="1495">
        <f t="shared" si="2"/>
        <v>1604695</v>
      </c>
    </row>
    <row r="21" spans="1:10">
      <c r="A21" s="72"/>
      <c r="B21" s="73"/>
      <c r="C21" s="73"/>
      <c r="D21" s="72"/>
      <c r="E21" s="74"/>
      <c r="F21" s="74"/>
      <c r="G21" s="73"/>
      <c r="H21" s="73"/>
      <c r="I21" s="73"/>
      <c r="J21" s="73"/>
    </row>
    <row r="23" spans="1:10">
      <c r="A23" s="128"/>
    </row>
    <row r="24" spans="1:10">
      <c r="A24" s="128"/>
    </row>
  </sheetData>
  <sortState ref="A6:U14">
    <sortCondition ref="K6:K14"/>
  </sortState>
  <mergeCells count="10">
    <mergeCell ref="A1:J1"/>
    <mergeCell ref="D3:J3"/>
    <mergeCell ref="A4:A5"/>
    <mergeCell ref="B4:B5"/>
    <mergeCell ref="D4:D5"/>
    <mergeCell ref="E4:F4"/>
    <mergeCell ref="G4:H4"/>
    <mergeCell ref="I4:J4"/>
    <mergeCell ref="C4:C5"/>
    <mergeCell ref="A3:C3"/>
  </mergeCells>
  <pageMargins left="0.53" right="0.26" top="0.74803149606299213" bottom="0.74803149606299213" header="0.31496062992125984" footer="0.31496062992125984"/>
  <pageSetup paperSize="9" scale="75" orientation="landscape" r:id="rId1"/>
  <headerFooter>
    <oddHeader>&amp;L&amp;"Times New Roman,Normál"&amp;8 14. melléklet   a   17 /2020. (VII.9.)  önkormányzati rendelethez</oddHeader>
    <oddFooter>&amp;L24/2019.(XII.19.)önk.rend. Hatályos:2020.01.01.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0"/>
  <sheetViews>
    <sheetView view="pageLayout" zoomScale="80" zoomScaleNormal="100" zoomScalePageLayoutView="80" workbookViewId="0">
      <selection activeCell="A23" sqref="A23"/>
    </sheetView>
  </sheetViews>
  <sheetFormatPr defaultRowHeight="15"/>
  <cols>
    <col min="1" max="1" width="42.28515625" style="65" customWidth="1"/>
    <col min="2" max="3" width="10" style="66" customWidth="1"/>
    <col min="4" max="4" width="42.28515625" style="65" customWidth="1"/>
    <col min="5" max="15" width="10.5703125" style="66" customWidth="1"/>
    <col min="16" max="16" width="10.5703125" style="67" customWidth="1"/>
    <col min="17" max="17" width="10.5703125" style="64" customWidth="1"/>
    <col min="18" max="16384" width="9.140625" style="65"/>
  </cols>
  <sheetData>
    <row r="1" spans="1:17">
      <c r="A1" s="1714" t="s">
        <v>926</v>
      </c>
      <c r="B1" s="1714"/>
      <c r="C1" s="1714"/>
      <c r="D1" s="1714"/>
      <c r="E1" s="1714"/>
      <c r="F1" s="1714"/>
      <c r="G1" s="1714"/>
      <c r="H1" s="1714"/>
      <c r="I1" s="1714"/>
      <c r="J1" s="1714"/>
      <c r="K1" s="1714"/>
      <c r="L1" s="1714"/>
      <c r="M1" s="1714"/>
      <c r="N1" s="1714"/>
      <c r="O1" s="1714"/>
      <c r="P1" s="1714"/>
    </row>
    <row r="2" spans="1:17" ht="15.75" thickBot="1"/>
    <row r="3" spans="1:17" ht="15.75" thickBot="1">
      <c r="A3" s="1715" t="s">
        <v>95</v>
      </c>
      <c r="B3" s="1717"/>
      <c r="C3" s="312"/>
      <c r="D3" s="1715" t="s">
        <v>506</v>
      </c>
      <c r="E3" s="1716"/>
      <c r="F3" s="1716"/>
      <c r="G3" s="1716"/>
      <c r="H3" s="1716"/>
      <c r="I3" s="1716"/>
      <c r="J3" s="1716"/>
      <c r="K3" s="1716"/>
      <c r="L3" s="1716"/>
      <c r="M3" s="1716"/>
      <c r="N3" s="1717"/>
      <c r="O3" s="1717"/>
      <c r="P3" s="1735"/>
      <c r="Q3" s="68"/>
    </row>
    <row r="4" spans="1:17" s="70" customFormat="1" ht="45" customHeight="1">
      <c r="A4" s="1736" t="s">
        <v>718</v>
      </c>
      <c r="B4" s="1740" t="s">
        <v>3</v>
      </c>
      <c r="C4" s="1730" t="s">
        <v>925</v>
      </c>
      <c r="D4" s="1738" t="s">
        <v>718</v>
      </c>
      <c r="E4" s="1743" t="s">
        <v>6</v>
      </c>
      <c r="F4" s="1744"/>
      <c r="G4" s="1745" t="s">
        <v>221</v>
      </c>
      <c r="H4" s="1746"/>
      <c r="I4" s="1743" t="s">
        <v>12</v>
      </c>
      <c r="J4" s="1744"/>
      <c r="K4" s="1743" t="s">
        <v>21</v>
      </c>
      <c r="L4" s="1744"/>
      <c r="M4" s="1743" t="s">
        <v>327</v>
      </c>
      <c r="N4" s="1744"/>
      <c r="O4" s="1747" t="s">
        <v>68</v>
      </c>
      <c r="P4" s="1744"/>
      <c r="Q4" s="69"/>
    </row>
    <row r="5" spans="1:17" s="1128" customFormat="1" ht="29.25" thickBot="1">
      <c r="A5" s="1737"/>
      <c r="B5" s="1741"/>
      <c r="C5" s="1742"/>
      <c r="D5" s="1739"/>
      <c r="E5" s="1117" t="s">
        <v>3</v>
      </c>
      <c r="F5" s="1118" t="s">
        <v>925</v>
      </c>
      <c r="G5" s="1117" t="s">
        <v>3</v>
      </c>
      <c r="H5" s="1118" t="s">
        <v>925</v>
      </c>
      <c r="I5" s="1117" t="s">
        <v>3</v>
      </c>
      <c r="J5" s="1118" t="s">
        <v>925</v>
      </c>
      <c r="K5" s="1117" t="s">
        <v>3</v>
      </c>
      <c r="L5" s="1118" t="s">
        <v>925</v>
      </c>
      <c r="M5" s="1117" t="s">
        <v>3</v>
      </c>
      <c r="N5" s="1118" t="s">
        <v>925</v>
      </c>
      <c r="O5" s="1126" t="s">
        <v>3</v>
      </c>
      <c r="P5" s="1118" t="s">
        <v>925</v>
      </c>
      <c r="Q5" s="1127"/>
    </row>
    <row r="6" spans="1:17" s="70" customFormat="1" ht="30">
      <c r="A6" s="217" t="s">
        <v>502</v>
      </c>
      <c r="B6" s="326">
        <v>46700</v>
      </c>
      <c r="C6" s="317"/>
      <c r="D6" s="329" t="s">
        <v>502</v>
      </c>
      <c r="E6" s="334"/>
      <c r="F6" s="335"/>
      <c r="G6" s="334"/>
      <c r="H6" s="335"/>
      <c r="I6" s="334">
        <v>46700</v>
      </c>
      <c r="J6" s="335"/>
      <c r="K6" s="334"/>
      <c r="L6" s="335"/>
      <c r="M6" s="334"/>
      <c r="N6" s="321"/>
      <c r="O6" s="346">
        <f>E6+G6+I6+K6+M6</f>
        <v>46700</v>
      </c>
      <c r="P6" s="347">
        <f>F6+H6+J6+L6+N6</f>
        <v>0</v>
      </c>
      <c r="Q6" s="71"/>
    </row>
    <row r="7" spans="1:17" s="70" customFormat="1">
      <c r="A7" s="837" t="s">
        <v>885</v>
      </c>
      <c r="B7" s="838"/>
      <c r="C7" s="839">
        <v>2155</v>
      </c>
      <c r="D7" s="837" t="s">
        <v>885</v>
      </c>
      <c r="E7" s="840"/>
      <c r="F7" s="841"/>
      <c r="G7" s="840"/>
      <c r="H7" s="841"/>
      <c r="I7" s="840"/>
      <c r="J7" s="841"/>
      <c r="K7" s="840"/>
      <c r="L7" s="841">
        <v>2155</v>
      </c>
      <c r="M7" s="840"/>
      <c r="N7" s="842"/>
      <c r="O7" s="843"/>
      <c r="P7" s="845">
        <f>F7+H7+J7+L7+N7</f>
        <v>2155</v>
      </c>
      <c r="Q7" s="71"/>
    </row>
    <row r="8" spans="1:17" s="70" customFormat="1" ht="45">
      <c r="A8" s="185" t="s">
        <v>503</v>
      </c>
      <c r="B8" s="327">
        <v>50000</v>
      </c>
      <c r="C8" s="318">
        <v>0</v>
      </c>
      <c r="D8" s="330" t="s">
        <v>503</v>
      </c>
      <c r="E8" s="336"/>
      <c r="F8" s="337"/>
      <c r="G8" s="336"/>
      <c r="H8" s="337"/>
      <c r="I8" s="336">
        <v>50000</v>
      </c>
      <c r="J8" s="337"/>
      <c r="K8" s="344"/>
      <c r="L8" s="345"/>
      <c r="M8" s="344"/>
      <c r="N8" s="322"/>
      <c r="O8" s="846">
        <f t="shared" ref="O8:P26" si="0">E8+G8+I8+K8+M8</f>
        <v>50000</v>
      </c>
      <c r="P8" s="845">
        <f t="shared" si="0"/>
        <v>0</v>
      </c>
      <c r="Q8" s="71"/>
    </row>
    <row r="9" spans="1:17" s="70" customFormat="1" ht="30">
      <c r="A9" s="185" t="s">
        <v>504</v>
      </c>
      <c r="B9" s="327">
        <v>10</v>
      </c>
      <c r="C9" s="318">
        <v>3199</v>
      </c>
      <c r="D9" s="330" t="s">
        <v>504</v>
      </c>
      <c r="E9" s="336">
        <v>10</v>
      </c>
      <c r="F9" s="337">
        <v>2500</v>
      </c>
      <c r="G9" s="336"/>
      <c r="H9" s="337">
        <v>431</v>
      </c>
      <c r="I9" s="336"/>
      <c r="J9" s="337">
        <v>268</v>
      </c>
      <c r="K9" s="336"/>
      <c r="L9" s="337"/>
      <c r="M9" s="336"/>
      <c r="N9" s="323"/>
      <c r="O9" s="846">
        <f t="shared" si="0"/>
        <v>10</v>
      </c>
      <c r="P9" s="845">
        <f t="shared" si="0"/>
        <v>3199</v>
      </c>
      <c r="Q9" s="71"/>
    </row>
    <row r="10" spans="1:17" s="70" customFormat="1" ht="30">
      <c r="A10" s="185" t="s">
        <v>500</v>
      </c>
      <c r="B10" s="327">
        <v>500</v>
      </c>
      <c r="C10" s="318">
        <v>0</v>
      </c>
      <c r="D10" s="330" t="s">
        <v>500</v>
      </c>
      <c r="E10" s="336"/>
      <c r="F10" s="337"/>
      <c r="G10" s="336"/>
      <c r="H10" s="337"/>
      <c r="I10" s="336">
        <v>500</v>
      </c>
      <c r="J10" s="337"/>
      <c r="K10" s="336"/>
      <c r="L10" s="337"/>
      <c r="M10" s="336"/>
      <c r="N10" s="323"/>
      <c r="O10" s="846">
        <f t="shared" si="0"/>
        <v>500</v>
      </c>
      <c r="P10" s="845">
        <f t="shared" si="0"/>
        <v>0</v>
      </c>
      <c r="Q10" s="71"/>
    </row>
    <row r="11" spans="1:17" s="70" customFormat="1" ht="30">
      <c r="A11" s="185" t="s">
        <v>501</v>
      </c>
      <c r="B11" s="327">
        <v>8000</v>
      </c>
      <c r="C11" s="318">
        <v>4412</v>
      </c>
      <c r="D11" s="330" t="s">
        <v>501</v>
      </c>
      <c r="E11" s="336">
        <v>4720</v>
      </c>
      <c r="F11" s="337">
        <v>3770</v>
      </c>
      <c r="G11" s="336">
        <v>1000</v>
      </c>
      <c r="H11" s="337">
        <v>642</v>
      </c>
      <c r="I11" s="336">
        <v>2280</v>
      </c>
      <c r="J11" s="337"/>
      <c r="K11" s="336"/>
      <c r="L11" s="337"/>
      <c r="M11" s="336"/>
      <c r="N11" s="323"/>
      <c r="O11" s="846">
        <f t="shared" si="0"/>
        <v>8000</v>
      </c>
      <c r="P11" s="845">
        <f t="shared" si="0"/>
        <v>4412</v>
      </c>
      <c r="Q11" s="71"/>
    </row>
    <row r="12" spans="1:17" s="70" customFormat="1" ht="30">
      <c r="A12" s="853" t="s">
        <v>886</v>
      </c>
      <c r="B12" s="854"/>
      <c r="C12" s="855">
        <v>436</v>
      </c>
      <c r="D12" s="853" t="s">
        <v>886</v>
      </c>
      <c r="E12" s="856"/>
      <c r="F12" s="857">
        <v>373</v>
      </c>
      <c r="G12" s="856"/>
      <c r="H12" s="857">
        <v>63</v>
      </c>
      <c r="I12" s="856"/>
      <c r="J12" s="857"/>
      <c r="K12" s="856"/>
      <c r="L12" s="857"/>
      <c r="M12" s="856"/>
      <c r="N12" s="858"/>
      <c r="O12" s="846"/>
      <c r="P12" s="845">
        <f t="shared" si="0"/>
        <v>436</v>
      </c>
      <c r="Q12" s="71"/>
    </row>
    <row r="13" spans="1:17" s="70" customFormat="1" ht="45">
      <c r="A13" s="853" t="s">
        <v>887</v>
      </c>
      <c r="B13" s="854"/>
      <c r="C13" s="855">
        <v>506</v>
      </c>
      <c r="D13" s="853" t="s">
        <v>887</v>
      </c>
      <c r="E13" s="856"/>
      <c r="F13" s="857"/>
      <c r="G13" s="856"/>
      <c r="H13" s="857"/>
      <c r="I13" s="856"/>
      <c r="J13" s="857">
        <v>506</v>
      </c>
      <c r="K13" s="856"/>
      <c r="L13" s="857"/>
      <c r="M13" s="856"/>
      <c r="N13" s="858"/>
      <c r="O13" s="846"/>
      <c r="P13" s="845">
        <f t="shared" si="0"/>
        <v>506</v>
      </c>
      <c r="Q13" s="71"/>
    </row>
    <row r="14" spans="1:17" s="70" customFormat="1" ht="30">
      <c r="A14" s="214" t="s">
        <v>496</v>
      </c>
      <c r="B14" s="327">
        <v>5444</v>
      </c>
      <c r="C14" s="318">
        <v>5444</v>
      </c>
      <c r="D14" s="331" t="s">
        <v>496</v>
      </c>
      <c r="E14" s="338">
        <v>1169</v>
      </c>
      <c r="F14" s="339">
        <v>1169</v>
      </c>
      <c r="G14" s="338">
        <v>205</v>
      </c>
      <c r="H14" s="339">
        <v>205</v>
      </c>
      <c r="I14" s="338">
        <v>4070</v>
      </c>
      <c r="J14" s="339">
        <v>4070</v>
      </c>
      <c r="K14" s="338"/>
      <c r="L14" s="339"/>
      <c r="M14" s="338"/>
      <c r="N14" s="324"/>
      <c r="O14" s="847">
        <f t="shared" si="0"/>
        <v>5444</v>
      </c>
      <c r="P14" s="848">
        <f t="shared" si="0"/>
        <v>5444</v>
      </c>
      <c r="Q14" s="71"/>
    </row>
    <row r="15" spans="1:17" s="70" customFormat="1" ht="45">
      <c r="A15" s="136" t="s">
        <v>497</v>
      </c>
      <c r="B15" s="327">
        <v>7100</v>
      </c>
      <c r="C15" s="318">
        <v>7100</v>
      </c>
      <c r="D15" s="332" t="s">
        <v>497</v>
      </c>
      <c r="E15" s="340">
        <v>1353</v>
      </c>
      <c r="F15" s="341">
        <v>1353</v>
      </c>
      <c r="G15" s="340">
        <v>213</v>
      </c>
      <c r="H15" s="341">
        <v>213</v>
      </c>
      <c r="I15" s="340">
        <v>5534</v>
      </c>
      <c r="J15" s="341">
        <v>5534</v>
      </c>
      <c r="K15" s="338"/>
      <c r="L15" s="339"/>
      <c r="M15" s="338"/>
      <c r="N15" s="324"/>
      <c r="O15" s="847">
        <f t="shared" si="0"/>
        <v>7100</v>
      </c>
      <c r="P15" s="848">
        <f t="shared" si="0"/>
        <v>7100</v>
      </c>
      <c r="Q15" s="71"/>
    </row>
    <row r="16" spans="1:17" s="70" customFormat="1" ht="30">
      <c r="A16" s="215" t="s">
        <v>498</v>
      </c>
      <c r="B16" s="327">
        <v>5694</v>
      </c>
      <c r="C16" s="318">
        <v>20274</v>
      </c>
      <c r="D16" s="333" t="s">
        <v>498</v>
      </c>
      <c r="E16" s="340">
        <v>340</v>
      </c>
      <c r="F16" s="341">
        <v>340</v>
      </c>
      <c r="G16" s="340"/>
      <c r="H16" s="341"/>
      <c r="I16" s="340">
        <v>5354</v>
      </c>
      <c r="J16" s="341">
        <v>19934</v>
      </c>
      <c r="K16" s="342"/>
      <c r="L16" s="343"/>
      <c r="M16" s="342"/>
      <c r="N16" s="325"/>
      <c r="O16" s="849">
        <f t="shared" si="0"/>
        <v>5694</v>
      </c>
      <c r="P16" s="850">
        <f t="shared" si="0"/>
        <v>20274</v>
      </c>
      <c r="Q16" s="71"/>
    </row>
    <row r="17" spans="1:17" s="70" customFormat="1" ht="30">
      <c r="A17" s="215" t="s">
        <v>499</v>
      </c>
      <c r="B17" s="327">
        <v>9438</v>
      </c>
      <c r="C17" s="318">
        <v>9109</v>
      </c>
      <c r="D17" s="333" t="s">
        <v>499</v>
      </c>
      <c r="E17" s="342">
        <v>1483</v>
      </c>
      <c r="F17" s="343">
        <v>1483</v>
      </c>
      <c r="G17" s="342">
        <v>319</v>
      </c>
      <c r="H17" s="343">
        <v>319</v>
      </c>
      <c r="I17" s="342">
        <v>7636</v>
      </c>
      <c r="J17" s="343">
        <v>7307</v>
      </c>
      <c r="K17" s="342"/>
      <c r="L17" s="343"/>
      <c r="M17" s="342"/>
      <c r="N17" s="325"/>
      <c r="O17" s="849">
        <f t="shared" si="0"/>
        <v>9438</v>
      </c>
      <c r="P17" s="850">
        <f t="shared" si="0"/>
        <v>9109</v>
      </c>
      <c r="Q17" s="71"/>
    </row>
    <row r="18" spans="1:17" s="70" customFormat="1" ht="60">
      <c r="A18" s="223" t="s">
        <v>445</v>
      </c>
      <c r="B18" s="328">
        <v>2308</v>
      </c>
      <c r="C18" s="319">
        <v>2308</v>
      </c>
      <c r="D18" s="271" t="s">
        <v>445</v>
      </c>
      <c r="E18" s="340"/>
      <c r="F18" s="341"/>
      <c r="G18" s="340"/>
      <c r="H18" s="341"/>
      <c r="I18" s="340">
        <v>2308</v>
      </c>
      <c r="J18" s="341">
        <v>2308</v>
      </c>
      <c r="K18" s="344"/>
      <c r="L18" s="345"/>
      <c r="M18" s="344"/>
      <c r="N18" s="322"/>
      <c r="O18" s="846">
        <f t="shared" si="0"/>
        <v>2308</v>
      </c>
      <c r="P18" s="845">
        <f t="shared" si="0"/>
        <v>2308</v>
      </c>
      <c r="Q18" s="71"/>
    </row>
    <row r="19" spans="1:17" s="70" customFormat="1" ht="30">
      <c r="A19" s="223" t="s">
        <v>446</v>
      </c>
      <c r="B19" s="328">
        <v>21888</v>
      </c>
      <c r="C19" s="319">
        <v>21888</v>
      </c>
      <c r="D19" s="271" t="s">
        <v>446</v>
      </c>
      <c r="E19" s="340">
        <v>6219</v>
      </c>
      <c r="F19" s="341">
        <v>6219</v>
      </c>
      <c r="G19" s="340">
        <v>1565</v>
      </c>
      <c r="H19" s="341">
        <v>1565</v>
      </c>
      <c r="I19" s="340">
        <v>14104</v>
      </c>
      <c r="J19" s="341">
        <v>14104</v>
      </c>
      <c r="K19" s="344"/>
      <c r="L19" s="345"/>
      <c r="M19" s="344"/>
      <c r="N19" s="322"/>
      <c r="O19" s="846">
        <f t="shared" si="0"/>
        <v>21888</v>
      </c>
      <c r="P19" s="845">
        <f t="shared" si="0"/>
        <v>21888</v>
      </c>
      <c r="Q19" s="71"/>
    </row>
    <row r="20" spans="1:17" s="70" customFormat="1" ht="30">
      <c r="A20" s="229" t="s">
        <v>448</v>
      </c>
      <c r="B20" s="327">
        <v>2219</v>
      </c>
      <c r="C20" s="318">
        <v>2220</v>
      </c>
      <c r="D20" s="330" t="s">
        <v>448</v>
      </c>
      <c r="E20" s="336">
        <v>840</v>
      </c>
      <c r="F20" s="337">
        <v>840</v>
      </c>
      <c r="G20" s="336">
        <v>197</v>
      </c>
      <c r="H20" s="337">
        <v>197</v>
      </c>
      <c r="I20" s="336">
        <v>1182</v>
      </c>
      <c r="J20" s="337">
        <v>1183</v>
      </c>
      <c r="K20" s="336"/>
      <c r="L20" s="337"/>
      <c r="M20" s="336"/>
      <c r="N20" s="323"/>
      <c r="O20" s="846">
        <f t="shared" si="0"/>
        <v>2219</v>
      </c>
      <c r="P20" s="845">
        <f t="shared" si="0"/>
        <v>2220</v>
      </c>
      <c r="Q20" s="71"/>
    </row>
    <row r="21" spans="1:17" s="70" customFormat="1" ht="30">
      <c r="A21" s="229" t="s">
        <v>447</v>
      </c>
      <c r="B21" s="327">
        <v>1088</v>
      </c>
      <c r="C21" s="318">
        <v>1088</v>
      </c>
      <c r="D21" s="330" t="s">
        <v>447</v>
      </c>
      <c r="E21" s="336">
        <v>307</v>
      </c>
      <c r="F21" s="337">
        <v>307</v>
      </c>
      <c r="G21" s="336">
        <v>112</v>
      </c>
      <c r="H21" s="337">
        <v>112</v>
      </c>
      <c r="I21" s="336">
        <v>669</v>
      </c>
      <c r="J21" s="337">
        <v>669</v>
      </c>
      <c r="K21" s="336"/>
      <c r="L21" s="337"/>
      <c r="M21" s="336"/>
      <c r="N21" s="323"/>
      <c r="O21" s="846">
        <f t="shared" si="0"/>
        <v>1088</v>
      </c>
      <c r="P21" s="845">
        <f t="shared" si="0"/>
        <v>1088</v>
      </c>
      <c r="Q21" s="71"/>
    </row>
    <row r="22" spans="1:17" s="70" customFormat="1" ht="29.25" customHeight="1">
      <c r="A22" s="859" t="s">
        <v>491</v>
      </c>
      <c r="B22" s="860"/>
      <c r="C22" s="350">
        <v>18595</v>
      </c>
      <c r="D22" s="861" t="s">
        <v>491</v>
      </c>
      <c r="E22" s="862"/>
      <c r="F22" s="863">
        <v>3075</v>
      </c>
      <c r="G22" s="862"/>
      <c r="H22" s="863">
        <v>520</v>
      </c>
      <c r="I22" s="862"/>
      <c r="J22" s="863">
        <v>15000</v>
      </c>
      <c r="K22" s="862"/>
      <c r="L22" s="863"/>
      <c r="M22" s="862"/>
      <c r="N22" s="864"/>
      <c r="O22" s="865"/>
      <c r="P22" s="845">
        <f t="shared" si="0"/>
        <v>18595</v>
      </c>
      <c r="Q22" s="71"/>
    </row>
    <row r="23" spans="1:17" s="70" customFormat="1" ht="29.25" customHeight="1">
      <c r="A23" s="859" t="s">
        <v>888</v>
      </c>
      <c r="B23" s="860"/>
      <c r="C23" s="350">
        <v>20000</v>
      </c>
      <c r="D23" s="859" t="s">
        <v>888</v>
      </c>
      <c r="E23" s="862"/>
      <c r="F23" s="863"/>
      <c r="G23" s="862"/>
      <c r="H23" s="863"/>
      <c r="I23" s="862"/>
      <c r="J23" s="863">
        <v>20000</v>
      </c>
      <c r="K23" s="862"/>
      <c r="L23" s="863"/>
      <c r="M23" s="862"/>
      <c r="N23" s="864"/>
      <c r="O23" s="865"/>
      <c r="P23" s="845">
        <f t="shared" si="0"/>
        <v>20000</v>
      </c>
      <c r="Q23" s="71"/>
    </row>
    <row r="24" spans="1:17" s="70" customFormat="1" ht="29.25" customHeight="1">
      <c r="A24" s="859" t="s">
        <v>451</v>
      </c>
      <c r="B24" s="860"/>
      <c r="C24" s="350">
        <v>10399</v>
      </c>
      <c r="D24" s="861" t="s">
        <v>451</v>
      </c>
      <c r="E24" s="862"/>
      <c r="F24" s="863">
        <v>2738</v>
      </c>
      <c r="G24" s="862"/>
      <c r="H24" s="863">
        <v>1013</v>
      </c>
      <c r="I24" s="862"/>
      <c r="J24" s="863">
        <v>6648</v>
      </c>
      <c r="K24" s="862"/>
      <c r="L24" s="863"/>
      <c r="M24" s="862"/>
      <c r="N24" s="864"/>
      <c r="O24" s="865"/>
      <c r="P24" s="845">
        <f t="shared" si="0"/>
        <v>10399</v>
      </c>
      <c r="Q24" s="71"/>
    </row>
    <row r="25" spans="1:17" s="70" customFormat="1" ht="15.75" thickBot="1">
      <c r="A25" s="348" t="s">
        <v>557</v>
      </c>
      <c r="B25" s="349">
        <v>97510</v>
      </c>
      <c r="C25" s="350"/>
      <c r="D25" s="983" t="s">
        <v>558</v>
      </c>
      <c r="E25" s="351"/>
      <c r="F25" s="352"/>
      <c r="G25" s="351"/>
      <c r="H25" s="352"/>
      <c r="I25" s="351"/>
      <c r="J25" s="352"/>
      <c r="K25" s="351"/>
      <c r="L25" s="352"/>
      <c r="M25" s="351">
        <v>97510</v>
      </c>
      <c r="N25" s="353"/>
      <c r="O25" s="851">
        <f t="shared" si="0"/>
        <v>97510</v>
      </c>
      <c r="P25" s="852">
        <f t="shared" si="0"/>
        <v>0</v>
      </c>
      <c r="Q25" s="71"/>
    </row>
    <row r="26" spans="1:17" ht="15.75" thickBot="1">
      <c r="A26" s="354" t="s">
        <v>68</v>
      </c>
      <c r="B26" s="355">
        <f>SUM(B6:B25)</f>
        <v>257899</v>
      </c>
      <c r="C26" s="356">
        <f>SUM(C6:C25)</f>
        <v>129133</v>
      </c>
      <c r="D26" s="357" t="s">
        <v>68</v>
      </c>
      <c r="E26" s="358">
        <f t="shared" ref="E26:N26" si="1">SUM(E6:E25)</f>
        <v>16441</v>
      </c>
      <c r="F26" s="359">
        <f t="shared" si="1"/>
        <v>24167</v>
      </c>
      <c r="G26" s="358">
        <f t="shared" si="1"/>
        <v>3611</v>
      </c>
      <c r="H26" s="359">
        <f t="shared" si="1"/>
        <v>5280</v>
      </c>
      <c r="I26" s="358">
        <f t="shared" si="1"/>
        <v>140337</v>
      </c>
      <c r="J26" s="359">
        <f t="shared" si="1"/>
        <v>97531</v>
      </c>
      <c r="K26" s="358">
        <f t="shared" si="1"/>
        <v>0</v>
      </c>
      <c r="L26" s="359">
        <f t="shared" si="1"/>
        <v>2155</v>
      </c>
      <c r="M26" s="358">
        <f t="shared" si="1"/>
        <v>97510</v>
      </c>
      <c r="N26" s="360">
        <f t="shared" si="1"/>
        <v>0</v>
      </c>
      <c r="O26" s="358">
        <f t="shared" si="0"/>
        <v>257899</v>
      </c>
      <c r="P26" s="359">
        <f t="shared" si="0"/>
        <v>129133</v>
      </c>
      <c r="Q26" s="68"/>
    </row>
    <row r="27" spans="1:17">
      <c r="A27" s="72"/>
      <c r="B27" s="74"/>
      <c r="C27" s="74"/>
      <c r="D27" s="72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3"/>
      <c r="Q27" s="68"/>
    </row>
    <row r="28" spans="1:17">
      <c r="A28" s="66"/>
    </row>
    <row r="29" spans="1:17">
      <c r="A29" s="128"/>
    </row>
    <row r="30" spans="1:17">
      <c r="A30" s="128"/>
    </row>
  </sheetData>
  <sortState ref="A6:AG19">
    <sortCondition ref="R6:R19"/>
  </sortState>
  <mergeCells count="13">
    <mergeCell ref="D3:P3"/>
    <mergeCell ref="A1:P1"/>
    <mergeCell ref="A3:B3"/>
    <mergeCell ref="A4:A5"/>
    <mergeCell ref="D4:D5"/>
    <mergeCell ref="B4:B5"/>
    <mergeCell ref="C4:C5"/>
    <mergeCell ref="E4:F4"/>
    <mergeCell ref="G4:H4"/>
    <mergeCell ref="I4:J4"/>
    <mergeCell ref="K4:L4"/>
    <mergeCell ref="M4:N4"/>
    <mergeCell ref="O4:P4"/>
  </mergeCells>
  <pageMargins left="0.81" right="0.70866141732283472" top="0.74803149606299213" bottom="0.74803149606299213" header="0.31496062992125984" footer="0.31496062992125984"/>
  <pageSetup paperSize="9" scale="56" fitToHeight="2" orientation="landscape" r:id="rId1"/>
  <headerFooter>
    <oddHeader>&amp;L&amp;"Times New Roman,Normál"&amp;8 14. melléklet  a  17 /2020. (VII.9.) önkormányzati rendelethez</oddHeader>
    <oddFooter>&amp;L24/2019.(XII.19.)önk.rend. Hatályos:2020.01.01.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9"/>
  <sheetViews>
    <sheetView view="pageLayout" zoomScaleNormal="80" workbookViewId="0">
      <selection activeCell="M32" sqref="M32"/>
    </sheetView>
  </sheetViews>
  <sheetFormatPr defaultRowHeight="15"/>
  <cols>
    <col min="1" max="1" width="65.140625" style="7" bestFit="1" customWidth="1"/>
    <col min="2" max="3" width="15.5703125" style="5" customWidth="1"/>
    <col min="4" max="4" width="6.5703125" style="5" customWidth="1"/>
    <col min="5" max="5" width="65.28515625" style="7" customWidth="1"/>
    <col min="6" max="7" width="15.5703125" style="5" customWidth="1"/>
    <col min="8" max="16384" width="9.140625" style="5"/>
  </cols>
  <sheetData>
    <row r="1" spans="1:7" s="6" customFormat="1" ht="15" customHeight="1">
      <c r="A1" s="1508" t="s">
        <v>938</v>
      </c>
      <c r="B1" s="1508"/>
      <c r="C1" s="1508"/>
      <c r="D1" s="1508"/>
      <c r="E1" s="1508"/>
      <c r="F1" s="1508"/>
      <c r="G1" s="1508"/>
    </row>
    <row r="2" spans="1:7" ht="15.75" thickBot="1"/>
    <row r="3" spans="1:7">
      <c r="A3" s="1505" t="s">
        <v>0</v>
      </c>
      <c r="B3" s="1506"/>
      <c r="C3" s="1507"/>
      <c r="D3" s="245"/>
      <c r="E3" s="1505" t="s">
        <v>1</v>
      </c>
      <c r="F3" s="1506"/>
      <c r="G3" s="1507"/>
    </row>
    <row r="4" spans="1:7" ht="15.75" thickBot="1">
      <c r="A4" s="549" t="s">
        <v>2</v>
      </c>
      <c r="B4" s="535" t="s">
        <v>3</v>
      </c>
      <c r="C4" s="1001" t="s">
        <v>910</v>
      </c>
      <c r="D4" s="245"/>
      <c r="E4" s="549" t="s">
        <v>2</v>
      </c>
      <c r="F4" s="535" t="s">
        <v>3</v>
      </c>
      <c r="G4" s="1001" t="s">
        <v>910</v>
      </c>
    </row>
    <row r="5" spans="1:7">
      <c r="A5" s="254" t="s">
        <v>5</v>
      </c>
      <c r="B5" s="536">
        <f>'3. melléklet'!H6</f>
        <v>1269779.419</v>
      </c>
      <c r="C5" s="522">
        <f>'3. melléklet'!I6</f>
        <v>1435306</v>
      </c>
      <c r="D5" s="247"/>
      <c r="E5" s="253" t="s">
        <v>6</v>
      </c>
      <c r="F5" s="536">
        <f>'4. melléklet'!J6</f>
        <v>1852786</v>
      </c>
      <c r="G5" s="522">
        <f>'4. melléklet'!K6</f>
        <v>1877459</v>
      </c>
    </row>
    <row r="6" spans="1:7">
      <c r="A6" s="550"/>
      <c r="B6" s="537"/>
      <c r="C6" s="523"/>
      <c r="D6" s="247"/>
      <c r="E6" s="556"/>
      <c r="F6" s="537"/>
      <c r="G6" s="523"/>
    </row>
    <row r="7" spans="1:7">
      <c r="A7" s="550" t="s">
        <v>7</v>
      </c>
      <c r="B7" s="538">
        <f>SUM(B8:B9)</f>
        <v>404378</v>
      </c>
      <c r="C7" s="524">
        <f>SUM(C8:C9)</f>
        <v>718395</v>
      </c>
      <c r="D7" s="249"/>
      <c r="E7" s="565" t="s">
        <v>9</v>
      </c>
      <c r="F7" s="537">
        <f>'4. melléklet'!J7</f>
        <v>342937</v>
      </c>
      <c r="G7" s="523">
        <f>'4. melléklet'!K7</f>
        <v>349483</v>
      </c>
    </row>
    <row r="8" spans="1:7" s="86" customFormat="1">
      <c r="A8" s="551" t="s">
        <v>320</v>
      </c>
      <c r="B8" s="539">
        <f>'3. melléklet'!H9</f>
        <v>0</v>
      </c>
      <c r="C8" s="525">
        <f>'3. melléklet'!I9</f>
        <v>31719</v>
      </c>
      <c r="D8" s="248"/>
      <c r="E8" s="566"/>
      <c r="F8" s="539"/>
      <c r="G8" s="525"/>
    </row>
    <row r="9" spans="1:7">
      <c r="A9" s="552" t="s">
        <v>8</v>
      </c>
      <c r="B9" s="540">
        <f>'3. melléklet'!H10</f>
        <v>404378</v>
      </c>
      <c r="C9" s="526">
        <f>'3. melléklet'!I10</f>
        <v>686676</v>
      </c>
      <c r="D9" s="250"/>
      <c r="E9" s="556" t="s">
        <v>12</v>
      </c>
      <c r="F9" s="537">
        <f>'4. melléklet'!J8</f>
        <v>2410608</v>
      </c>
      <c r="G9" s="523">
        <f>'4. melléklet'!K8</f>
        <v>2963170</v>
      </c>
    </row>
    <row r="10" spans="1:7">
      <c r="A10" s="550"/>
      <c r="B10" s="537"/>
      <c r="C10" s="523"/>
      <c r="D10" s="247"/>
      <c r="E10" s="556"/>
      <c r="F10" s="537"/>
      <c r="G10" s="523"/>
    </row>
    <row r="11" spans="1:7">
      <c r="A11" s="550" t="s">
        <v>11</v>
      </c>
      <c r="B11" s="538">
        <f>SUM(B12:B16)</f>
        <v>2350000</v>
      </c>
      <c r="C11" s="524">
        <f>SUM(C12:C16)</f>
        <v>2266294</v>
      </c>
      <c r="D11" s="249"/>
      <c r="E11" s="556" t="s">
        <v>14</v>
      </c>
      <c r="F11" s="538">
        <f>'4. melléklet'!J9</f>
        <v>64850</v>
      </c>
      <c r="G11" s="524">
        <f>'4. melléklet'!K9</f>
        <v>63350</v>
      </c>
    </row>
    <row r="12" spans="1:7">
      <c r="A12" s="552" t="s">
        <v>13</v>
      </c>
      <c r="B12" s="540">
        <f>'3. melléklet'!H14</f>
        <v>530000</v>
      </c>
      <c r="C12" s="526">
        <f>'3. melléklet'!I14</f>
        <v>530000</v>
      </c>
      <c r="D12" s="250"/>
      <c r="E12" s="556"/>
      <c r="F12" s="540"/>
      <c r="G12" s="526"/>
    </row>
    <row r="13" spans="1:7">
      <c r="A13" s="552" t="s">
        <v>75</v>
      </c>
      <c r="B13" s="540">
        <f>'3. melléklet'!H17</f>
        <v>1815000</v>
      </c>
      <c r="C13" s="526">
        <f>'3. melléklet'!I17</f>
        <v>1731202</v>
      </c>
      <c r="D13" s="250"/>
      <c r="E13" s="556" t="s">
        <v>16</v>
      </c>
      <c r="F13" s="538">
        <f>SUM(F14:F18)</f>
        <v>1323721</v>
      </c>
      <c r="G13" s="524">
        <f>SUM(G14:G18)</f>
        <v>1403371</v>
      </c>
    </row>
    <row r="14" spans="1:7">
      <c r="A14" s="552" t="s">
        <v>15</v>
      </c>
      <c r="B14" s="540">
        <f>'3. melléklet'!H21</f>
        <v>3000</v>
      </c>
      <c r="C14" s="526">
        <f>'3. melléklet'!I21</f>
        <v>3000</v>
      </c>
      <c r="D14" s="250"/>
      <c r="E14" s="567" t="s">
        <v>17</v>
      </c>
      <c r="F14" s="540">
        <f>'4. melléklet'!J11</f>
        <v>0</v>
      </c>
      <c r="G14" s="526">
        <f>'4. melléklet'!K11</f>
        <v>23652</v>
      </c>
    </row>
    <row r="15" spans="1:7">
      <c r="A15" s="552" t="s">
        <v>321</v>
      </c>
      <c r="B15" s="540">
        <f>'3. melléklet'!H22</f>
        <v>1500</v>
      </c>
      <c r="C15" s="526">
        <f>'3. melléklet'!I22</f>
        <v>1592</v>
      </c>
      <c r="D15" s="250"/>
      <c r="E15" s="567" t="s">
        <v>18</v>
      </c>
      <c r="F15" s="540">
        <f>'4. melléklet'!J12</f>
        <v>18000</v>
      </c>
      <c r="G15" s="526">
        <f>'4. melléklet'!K12</f>
        <v>18000</v>
      </c>
    </row>
    <row r="16" spans="1:7">
      <c r="A16" s="552" t="s">
        <v>84</v>
      </c>
      <c r="B16" s="540">
        <f>'3. melléklet'!H23</f>
        <v>500</v>
      </c>
      <c r="C16" s="526">
        <f>'3. melléklet'!I23</f>
        <v>500</v>
      </c>
      <c r="D16" s="250"/>
      <c r="E16" s="567" t="s">
        <v>19</v>
      </c>
      <c r="F16" s="540">
        <f>'4. melléklet'!J13</f>
        <v>20000</v>
      </c>
      <c r="G16" s="526">
        <f>'4. melléklet'!K13</f>
        <v>20000</v>
      </c>
    </row>
    <row r="17" spans="1:7" ht="15" customHeight="1">
      <c r="A17" s="552"/>
      <c r="B17" s="540"/>
      <c r="C17" s="526"/>
      <c r="D17" s="250"/>
      <c r="E17" s="567" t="s">
        <v>21</v>
      </c>
      <c r="F17" s="540">
        <f>'4. melléklet'!J14</f>
        <v>1182077</v>
      </c>
      <c r="G17" s="526">
        <f>'4. melléklet'!K14</f>
        <v>1203141</v>
      </c>
    </row>
    <row r="18" spans="1:7">
      <c r="A18" s="550" t="s">
        <v>20</v>
      </c>
      <c r="B18" s="538">
        <f>SUM(B19:B26)</f>
        <v>2371771</v>
      </c>
      <c r="C18" s="524">
        <f>SUM(C19:C26)</f>
        <v>2540381</v>
      </c>
      <c r="D18" s="249"/>
      <c r="E18" s="567" t="s">
        <v>23</v>
      </c>
      <c r="F18" s="540">
        <f>SUM(F19:F21)</f>
        <v>103644</v>
      </c>
      <c r="G18" s="526">
        <f>SUM(G19:G21)</f>
        <v>138578</v>
      </c>
    </row>
    <row r="19" spans="1:7" ht="30">
      <c r="A19" s="552" t="s">
        <v>62</v>
      </c>
      <c r="B19" s="539">
        <f>'3. melléklet'!H25</f>
        <v>1402614</v>
      </c>
      <c r="C19" s="525">
        <f>'3. melléklet'!I25</f>
        <v>1370994</v>
      </c>
      <c r="D19" s="248"/>
      <c r="E19" s="568" t="s">
        <v>25</v>
      </c>
      <c r="F19" s="562">
        <f>'4. melléklet'!J16</f>
        <v>30000</v>
      </c>
      <c r="G19" s="559">
        <f>'4. melléklet'!K16</f>
        <v>36643</v>
      </c>
    </row>
    <row r="20" spans="1:7">
      <c r="A20" s="552" t="s">
        <v>24</v>
      </c>
      <c r="B20" s="539">
        <f>'3. melléklet'!H26</f>
        <v>255073</v>
      </c>
      <c r="C20" s="525">
        <f>'3. melléklet'!I26</f>
        <v>412553</v>
      </c>
      <c r="D20" s="248"/>
      <c r="E20" s="569" t="s">
        <v>909</v>
      </c>
      <c r="F20" s="562">
        <f>'4. melléklet'!J17</f>
        <v>0</v>
      </c>
      <c r="G20" s="559">
        <f>'4. melléklet'!K17</f>
        <v>16623</v>
      </c>
    </row>
    <row r="21" spans="1:7">
      <c r="A21" s="552" t="s">
        <v>26</v>
      </c>
      <c r="B21" s="539">
        <f>'3. melléklet'!H27</f>
        <v>28516</v>
      </c>
      <c r="C21" s="525">
        <f>'3. melléklet'!I27</f>
        <v>28746</v>
      </c>
      <c r="D21" s="248"/>
      <c r="E21" s="570" t="s">
        <v>87</v>
      </c>
      <c r="F21" s="563">
        <f>'4. melléklet'!J18</f>
        <v>73644</v>
      </c>
      <c r="G21" s="560">
        <f>'4. melléklet'!K18</f>
        <v>85312</v>
      </c>
    </row>
    <row r="22" spans="1:7">
      <c r="A22" s="552" t="s">
        <v>27</v>
      </c>
      <c r="B22" s="539">
        <f>'3. melléklet'!H28</f>
        <v>88191</v>
      </c>
      <c r="C22" s="525">
        <f>'3. melléklet'!I28</f>
        <v>88191</v>
      </c>
      <c r="D22" s="248"/>
      <c r="E22" s="570"/>
      <c r="F22" s="563"/>
      <c r="G22" s="560"/>
    </row>
    <row r="23" spans="1:7">
      <c r="A23" s="552" t="s">
        <v>28</v>
      </c>
      <c r="B23" s="539">
        <f>'3. melléklet'!H29</f>
        <v>100617</v>
      </c>
      <c r="C23" s="525">
        <f>'3. melléklet'!I29</f>
        <v>100617</v>
      </c>
      <c r="D23" s="248"/>
      <c r="E23" s="570"/>
      <c r="F23" s="540"/>
      <c r="G23" s="526"/>
    </row>
    <row r="24" spans="1:7">
      <c r="A24" s="552" t="s">
        <v>29</v>
      </c>
      <c r="B24" s="539">
        <f>'3. melléklet'!H30</f>
        <v>429193</v>
      </c>
      <c r="C24" s="525">
        <f>'3. melléklet'!I30</f>
        <v>471713</v>
      </c>
      <c r="D24" s="248"/>
      <c r="E24" s="571"/>
      <c r="F24" s="563"/>
      <c r="G24" s="560"/>
    </row>
    <row r="25" spans="1:7">
      <c r="A25" s="552" t="s">
        <v>322</v>
      </c>
      <c r="B25" s="539">
        <f>'3. melléklet'!H31</f>
        <v>14811</v>
      </c>
      <c r="C25" s="525">
        <f>'3. melléklet'!I31</f>
        <v>14811</v>
      </c>
      <c r="D25" s="248"/>
      <c r="E25" s="572"/>
      <c r="F25" s="563"/>
      <c r="G25" s="560"/>
    </row>
    <row r="26" spans="1:7">
      <c r="A26" s="553" t="s">
        <v>806</v>
      </c>
      <c r="B26" s="539">
        <f>'3. melléklet'!H32</f>
        <v>52756</v>
      </c>
      <c r="C26" s="525">
        <f>'3. melléklet'!I32</f>
        <v>52756</v>
      </c>
      <c r="D26" s="248"/>
      <c r="E26" s="572"/>
      <c r="F26" s="540"/>
      <c r="G26" s="526"/>
    </row>
    <row r="27" spans="1:7">
      <c r="A27" s="553"/>
      <c r="B27" s="540"/>
      <c r="C27" s="526"/>
      <c r="D27" s="250"/>
      <c r="E27" s="572"/>
      <c r="F27" s="540"/>
      <c r="G27" s="526"/>
    </row>
    <row r="28" spans="1:7">
      <c r="A28" s="550" t="s">
        <v>51</v>
      </c>
      <c r="B28" s="541">
        <f>B29</f>
        <v>756474</v>
      </c>
      <c r="C28" s="527">
        <f>SUM(C29)</f>
        <v>744986</v>
      </c>
      <c r="D28" s="255"/>
      <c r="E28" s="573"/>
      <c r="F28" s="540"/>
      <c r="G28" s="526"/>
    </row>
    <row r="29" spans="1:7">
      <c r="A29" s="552" t="s">
        <v>52</v>
      </c>
      <c r="B29" s="540">
        <v>756474</v>
      </c>
      <c r="C29" s="526">
        <v>744986</v>
      </c>
      <c r="D29" s="250"/>
      <c r="E29" s="573"/>
      <c r="F29" s="540"/>
      <c r="G29" s="526"/>
    </row>
    <row r="30" spans="1:7" ht="17.25" customHeight="1">
      <c r="A30" s="552"/>
      <c r="B30" s="540"/>
      <c r="C30" s="526"/>
      <c r="D30" s="250"/>
      <c r="E30" s="573"/>
      <c r="F30" s="540"/>
      <c r="G30" s="526"/>
    </row>
    <row r="31" spans="1:7">
      <c r="A31" s="550" t="s">
        <v>35</v>
      </c>
      <c r="B31" s="537">
        <f>SUM(B32:B33)</f>
        <v>77549</v>
      </c>
      <c r="C31" s="523">
        <f>SUM(C32:C33)</f>
        <v>110984</v>
      </c>
      <c r="D31" s="247"/>
      <c r="E31" s="573"/>
      <c r="F31" s="540"/>
      <c r="G31" s="526"/>
    </row>
    <row r="32" spans="1:7">
      <c r="A32" s="552" t="s">
        <v>19</v>
      </c>
      <c r="B32" s="540">
        <f>'3. melléklet'!H37</f>
        <v>77549</v>
      </c>
      <c r="C32" s="526">
        <f>'3. melléklet'!I37</f>
        <v>77549</v>
      </c>
      <c r="D32" s="250"/>
      <c r="E32" s="573"/>
      <c r="F32" s="540"/>
      <c r="G32" s="526"/>
    </row>
    <row r="33" spans="1:8">
      <c r="A33" s="552" t="s">
        <v>8</v>
      </c>
      <c r="B33" s="540">
        <f>'3. melléklet'!H38</f>
        <v>0</v>
      </c>
      <c r="C33" s="526">
        <f>'3. melléklet'!I38</f>
        <v>33435</v>
      </c>
      <c r="D33" s="250"/>
      <c r="E33" s="573"/>
      <c r="F33" s="540"/>
      <c r="G33" s="526"/>
    </row>
    <row r="34" spans="1:8" ht="15.75" thickBot="1">
      <c r="A34" s="554"/>
      <c r="B34" s="542"/>
      <c r="C34" s="528"/>
      <c r="D34" s="250"/>
      <c r="E34" s="574"/>
      <c r="F34" s="542"/>
      <c r="G34" s="528"/>
    </row>
    <row r="35" spans="1:8" ht="15.75" thickBot="1">
      <c r="A35" s="198" t="s">
        <v>48</v>
      </c>
      <c r="B35" s="543">
        <f>B5+B7+B11+B18-B28+B31</f>
        <v>5717003.4189999998</v>
      </c>
      <c r="C35" s="529">
        <f>C5+C7+C11+C18-C28+C31</f>
        <v>6326374</v>
      </c>
      <c r="D35" s="247"/>
      <c r="E35" s="143" t="s">
        <v>49</v>
      </c>
      <c r="F35" s="543">
        <f>F5+F7+F9+F11+F13</f>
        <v>5994902</v>
      </c>
      <c r="G35" s="529">
        <f>G5+G7+G9+G11+G13</f>
        <v>6656833</v>
      </c>
    </row>
    <row r="36" spans="1:8">
      <c r="A36" s="555" t="s">
        <v>536</v>
      </c>
      <c r="B36" s="544"/>
      <c r="C36" s="530"/>
      <c r="D36" s="247"/>
      <c r="E36" s="555"/>
      <c r="F36" s="544"/>
      <c r="G36" s="530"/>
    </row>
    <row r="37" spans="1:8">
      <c r="A37" s="556" t="s">
        <v>319</v>
      </c>
      <c r="B37" s="545">
        <f>'14. melléklet 2'!B26+'14. melléklet 3'!B14</f>
        <v>277899</v>
      </c>
      <c r="C37" s="531">
        <v>330459</v>
      </c>
      <c r="D37" s="251"/>
      <c r="E37" s="556"/>
      <c r="F37" s="537"/>
      <c r="G37" s="523"/>
    </row>
    <row r="38" spans="1:8">
      <c r="A38" s="556" t="s">
        <v>798</v>
      </c>
      <c r="B38" s="538">
        <f>'3. melléklet'!H44</f>
        <v>2000000</v>
      </c>
      <c r="C38" s="524">
        <f>'3. melléklet'!I44</f>
        <v>2000000</v>
      </c>
      <c r="D38" s="249"/>
      <c r="E38" s="556" t="s">
        <v>740</v>
      </c>
      <c r="F38" s="537">
        <f>'4. melléklet'!J29</f>
        <v>2000000</v>
      </c>
      <c r="G38" s="523">
        <f>'4. melléklet'!K29</f>
        <v>2000000</v>
      </c>
      <c r="H38" s="199"/>
    </row>
    <row r="39" spans="1:8">
      <c r="A39" s="557" t="s">
        <v>53</v>
      </c>
      <c r="B39" s="537">
        <f>F39</f>
        <v>2252621</v>
      </c>
      <c r="C39" s="523">
        <f>G39</f>
        <v>2219041</v>
      </c>
      <c r="D39" s="247"/>
      <c r="E39" s="556" t="s">
        <v>54</v>
      </c>
      <c r="F39" s="564">
        <f>'4. melléklet'!J31-F67</f>
        <v>2252621</v>
      </c>
      <c r="G39" s="561">
        <f>'4. melléklet'!K31-G67</f>
        <v>2219041</v>
      </c>
      <c r="H39" s="200"/>
    </row>
    <row r="40" spans="1:8">
      <c r="A40" s="557" t="s">
        <v>82</v>
      </c>
      <c r="B40" s="537">
        <f>'3. melléklet'!H45</f>
        <v>60000</v>
      </c>
      <c r="C40" s="523">
        <f>'3. melléklet'!I45</f>
        <v>60000</v>
      </c>
      <c r="D40" s="247"/>
      <c r="E40" s="556" t="s">
        <v>93</v>
      </c>
      <c r="F40" s="537">
        <f>'4. melléklet'!J30</f>
        <v>60000</v>
      </c>
      <c r="G40" s="523">
        <f>'4. melléklet'!K30</f>
        <v>60000</v>
      </c>
    </row>
    <row r="41" spans="1:8" ht="15.75" thickBot="1">
      <c r="A41" s="558"/>
      <c r="B41" s="546"/>
      <c r="C41" s="532"/>
      <c r="D41" s="247"/>
      <c r="E41" s="575"/>
      <c r="F41" s="546"/>
      <c r="G41" s="532"/>
    </row>
    <row r="42" spans="1:8" ht="15.75" thickBot="1">
      <c r="A42" s="20" t="s">
        <v>47</v>
      </c>
      <c r="B42" s="543">
        <f>SUM(B37:B40)</f>
        <v>4590520</v>
      </c>
      <c r="C42" s="529">
        <f>SUM(C37:C41)</f>
        <v>4609500</v>
      </c>
      <c r="D42" s="247"/>
      <c r="E42" s="143" t="s">
        <v>50</v>
      </c>
      <c r="F42" s="543">
        <f>SUM(F38:F40)</f>
        <v>4312621</v>
      </c>
      <c r="G42" s="529">
        <f>SUM(G38:G40)</f>
        <v>4279041</v>
      </c>
    </row>
    <row r="43" spans="1:8" ht="15.75" thickBot="1">
      <c r="A43" s="116"/>
      <c r="B43" s="547"/>
      <c r="C43" s="533"/>
      <c r="D43" s="247"/>
      <c r="E43" s="116"/>
      <c r="F43" s="547"/>
      <c r="G43" s="533"/>
    </row>
    <row r="44" spans="1:8" ht="15.75" thickBot="1">
      <c r="A44" s="9" t="s">
        <v>89</v>
      </c>
      <c r="B44" s="548">
        <f>B35+B42</f>
        <v>10307523.419</v>
      </c>
      <c r="C44" s="534">
        <f>C35+C42</f>
        <v>10935874</v>
      </c>
      <c r="D44" s="252"/>
      <c r="E44" s="9" t="s">
        <v>92</v>
      </c>
      <c r="F44" s="543">
        <f>F35+F42</f>
        <v>10307523</v>
      </c>
      <c r="G44" s="529">
        <f>G35+G42</f>
        <v>10935874</v>
      </c>
      <c r="H44" s="88"/>
    </row>
    <row r="45" spans="1:8" s="6" customFormat="1" ht="15" customHeight="1">
      <c r="A45" s="10"/>
      <c r="B45" s="11"/>
      <c r="C45" s="11"/>
      <c r="D45" s="11"/>
      <c r="E45" s="10"/>
      <c r="F45" s="5"/>
      <c r="G45" s="5"/>
    </row>
    <row r="46" spans="1:8" ht="14.25" customHeight="1">
      <c r="A46" s="1508" t="s">
        <v>572</v>
      </c>
      <c r="B46" s="1508"/>
      <c r="C46" s="1508"/>
      <c r="D46" s="1508"/>
      <c r="E46" s="1508"/>
      <c r="F46" s="1508"/>
      <c r="G46" s="1508"/>
    </row>
    <row r="47" spans="1:8" s="6" customFormat="1" ht="15.75" thickBot="1">
      <c r="A47" s="7"/>
      <c r="B47" s="5"/>
      <c r="C47" s="5"/>
      <c r="D47" s="5"/>
      <c r="E47" s="12"/>
      <c r="F47" s="5"/>
      <c r="G47" s="5"/>
    </row>
    <row r="48" spans="1:8" s="6" customFormat="1" ht="15" customHeight="1">
      <c r="A48" s="1505" t="s">
        <v>0</v>
      </c>
      <c r="B48" s="1506"/>
      <c r="C48" s="1507"/>
      <c r="D48" s="245"/>
      <c r="E48" s="1505" t="s">
        <v>1</v>
      </c>
      <c r="F48" s="1506"/>
      <c r="G48" s="1507"/>
    </row>
    <row r="49" spans="1:7" s="6" customFormat="1" thickBot="1">
      <c r="A49" s="8" t="s">
        <v>2</v>
      </c>
      <c r="B49" s="580" t="s">
        <v>3</v>
      </c>
      <c r="C49" s="1002" t="s">
        <v>910</v>
      </c>
      <c r="D49" s="245"/>
      <c r="E49" s="8" t="s">
        <v>2</v>
      </c>
      <c r="F49" s="580" t="s">
        <v>4</v>
      </c>
      <c r="G49" s="1002" t="s">
        <v>910</v>
      </c>
    </row>
    <row r="50" spans="1:7" s="6" customFormat="1" ht="14.25">
      <c r="A50" s="581" t="s">
        <v>5</v>
      </c>
      <c r="B50" s="582">
        <v>80000</v>
      </c>
      <c r="C50" s="576">
        <v>0</v>
      </c>
      <c r="D50" s="246"/>
      <c r="E50" s="594"/>
      <c r="F50" s="595"/>
      <c r="G50" s="590"/>
    </row>
    <row r="51" spans="1:7" s="6" customFormat="1" ht="14.25">
      <c r="A51" s="583"/>
      <c r="B51" s="584"/>
      <c r="C51" s="577"/>
      <c r="D51" s="245"/>
      <c r="E51" s="583"/>
      <c r="F51" s="584"/>
      <c r="G51" s="577"/>
    </row>
    <row r="52" spans="1:7" s="6" customFormat="1" ht="14.25">
      <c r="A52" s="550" t="s">
        <v>32</v>
      </c>
      <c r="B52" s="537">
        <f>SUM(B53:B54)</f>
        <v>300</v>
      </c>
      <c r="C52" s="523">
        <f>SUM(C53:C54)</f>
        <v>19300</v>
      </c>
      <c r="D52" s="247"/>
      <c r="E52" s="556" t="s">
        <v>56</v>
      </c>
      <c r="F52" s="537">
        <f>'4. melléklet'!J19</f>
        <v>2196341</v>
      </c>
      <c r="G52" s="523">
        <f>'4. melléklet'!K19</f>
        <v>3074856</v>
      </c>
    </row>
    <row r="53" spans="1:7" s="86" customFormat="1">
      <c r="A53" s="585" t="s">
        <v>33</v>
      </c>
      <c r="B53" s="586">
        <f>'3. melléklet'!H34</f>
        <v>300</v>
      </c>
      <c r="C53" s="578">
        <f>'3. melléklet'!I34</f>
        <v>19300</v>
      </c>
      <c r="D53" s="248"/>
      <c r="E53" s="566"/>
      <c r="F53" s="539"/>
      <c r="G53" s="525"/>
    </row>
    <row r="54" spans="1:7" s="6" customFormat="1">
      <c r="A54" s="552" t="s">
        <v>323</v>
      </c>
      <c r="B54" s="539">
        <f>'3. melléklet'!H35</f>
        <v>0</v>
      </c>
      <c r="C54" s="525">
        <f>'3. melléklet'!I35</f>
        <v>0</v>
      </c>
      <c r="D54" s="248"/>
      <c r="E54" s="556" t="s">
        <v>57</v>
      </c>
      <c r="F54" s="537">
        <f>'4. melléklet'!J20</f>
        <v>602340</v>
      </c>
      <c r="G54" s="523">
        <f>'4. melléklet'!K20</f>
        <v>450116</v>
      </c>
    </row>
    <row r="55" spans="1:7" s="6" customFormat="1">
      <c r="A55" s="552"/>
      <c r="B55" s="539"/>
      <c r="C55" s="525"/>
      <c r="D55" s="248"/>
      <c r="E55" s="556"/>
      <c r="F55" s="537"/>
      <c r="G55" s="523"/>
    </row>
    <row r="56" spans="1:7" s="6" customFormat="1" ht="14.25">
      <c r="A56" s="550" t="s">
        <v>58</v>
      </c>
      <c r="B56" s="538">
        <f>'3. melléklet'!H12</f>
        <v>113219</v>
      </c>
      <c r="C56" s="524">
        <f>'3. melléklet'!I12</f>
        <v>761122</v>
      </c>
      <c r="D56" s="249"/>
      <c r="E56" s="596" t="s">
        <v>59</v>
      </c>
      <c r="F56" s="537">
        <f>SUM(F57:F59)</f>
        <v>25100</v>
      </c>
      <c r="G56" s="523">
        <f>SUM(G57:G59)</f>
        <v>27861</v>
      </c>
    </row>
    <row r="57" spans="1:7">
      <c r="A57" s="552"/>
      <c r="B57" s="539"/>
      <c r="C57" s="525"/>
      <c r="D57" s="248"/>
      <c r="E57" s="573" t="s">
        <v>19</v>
      </c>
      <c r="F57" s="539">
        <f>'4. melléklet'!J22</f>
        <v>1200</v>
      </c>
      <c r="G57" s="525">
        <f>'4. melléklet'!K22</f>
        <v>1200</v>
      </c>
    </row>
    <row r="58" spans="1:7" ht="31.5" customHeight="1">
      <c r="A58" s="550" t="s">
        <v>40</v>
      </c>
      <c r="B58" s="537">
        <f>SUM(B59:B60)</f>
        <v>610</v>
      </c>
      <c r="C58" s="523">
        <f>SUM(C59:C60)</f>
        <v>194306</v>
      </c>
      <c r="D58" s="247"/>
      <c r="E58" s="573" t="s">
        <v>36</v>
      </c>
      <c r="F58" s="539">
        <f>'4. melléklet'!J23</f>
        <v>13900</v>
      </c>
      <c r="G58" s="525">
        <f>'4. melléklet'!K23</f>
        <v>16661</v>
      </c>
    </row>
    <row r="59" spans="1:7">
      <c r="A59" s="552" t="s">
        <v>19</v>
      </c>
      <c r="B59" s="540">
        <f>'3. melléklet'!H40</f>
        <v>610</v>
      </c>
      <c r="C59" s="526">
        <f>'3. melléklet'!I40</f>
        <v>610</v>
      </c>
      <c r="D59" s="250"/>
      <c r="E59" s="573" t="s">
        <v>37</v>
      </c>
      <c r="F59" s="540">
        <f>SUM(F60:F61)</f>
        <v>10000</v>
      </c>
      <c r="G59" s="526">
        <f>SUM(G60:G61)</f>
        <v>10000</v>
      </c>
    </row>
    <row r="60" spans="1:7">
      <c r="A60" s="552" t="s">
        <v>60</v>
      </c>
      <c r="B60" s="540">
        <f>'3. melléklet'!H41</f>
        <v>0</v>
      </c>
      <c r="C60" s="526">
        <f>'3. melléklet'!I41</f>
        <v>193696</v>
      </c>
      <c r="D60" s="250"/>
      <c r="E60" s="597" t="s">
        <v>39</v>
      </c>
      <c r="F60" s="598">
        <f>'4. melléklet'!J25</f>
        <v>10000</v>
      </c>
      <c r="G60" s="591">
        <f>'4. melléklet'!K25</f>
        <v>10000</v>
      </c>
    </row>
    <row r="61" spans="1:7">
      <c r="A61" s="550"/>
      <c r="B61" s="537"/>
      <c r="C61" s="523"/>
      <c r="D61" s="247"/>
      <c r="E61" s="597" t="s">
        <v>532</v>
      </c>
      <c r="F61" s="598">
        <f>'4. melléklet'!J26</f>
        <v>0</v>
      </c>
      <c r="G61" s="591">
        <f>'4. melléklet'!K26</f>
        <v>0</v>
      </c>
    </row>
    <row r="62" spans="1:7">
      <c r="A62" s="550" t="s">
        <v>63</v>
      </c>
      <c r="B62" s="538">
        <f>B63</f>
        <v>756474</v>
      </c>
      <c r="C62" s="524">
        <f>C63</f>
        <v>744986</v>
      </c>
      <c r="D62" s="249"/>
      <c r="E62" s="597"/>
      <c r="F62" s="598"/>
      <c r="G62" s="591"/>
    </row>
    <row r="63" spans="1:7">
      <c r="A63" s="552" t="s">
        <v>52</v>
      </c>
      <c r="B63" s="540">
        <f>B29</f>
        <v>756474</v>
      </c>
      <c r="C63" s="526">
        <f>C29</f>
        <v>744986</v>
      </c>
      <c r="D63" s="250"/>
      <c r="E63" s="599"/>
      <c r="F63" s="563"/>
      <c r="G63" s="560"/>
    </row>
    <row r="64" spans="1:7" ht="15.75" thickBot="1">
      <c r="A64" s="554"/>
      <c r="B64" s="546"/>
      <c r="C64" s="532"/>
      <c r="D64" s="247"/>
      <c r="E64" s="575"/>
      <c r="F64" s="546"/>
      <c r="G64" s="532"/>
    </row>
    <row r="65" spans="1:7" ht="15.75" thickBot="1">
      <c r="A65" s="25" t="s">
        <v>48</v>
      </c>
      <c r="B65" s="543">
        <f>B52+B56+B58+B62+B50</f>
        <v>950603</v>
      </c>
      <c r="C65" s="529">
        <f>C52+C56+C58+C62+C50</f>
        <v>1719714</v>
      </c>
      <c r="D65" s="247"/>
      <c r="E65" s="143" t="s">
        <v>49</v>
      </c>
      <c r="F65" s="543">
        <f>F52+F54+F56</f>
        <v>2823781</v>
      </c>
      <c r="G65" s="529">
        <f>G52+G54+G56</f>
        <v>3552833</v>
      </c>
    </row>
    <row r="66" spans="1:7">
      <c r="A66" s="587" t="s">
        <v>536</v>
      </c>
      <c r="B66" s="588"/>
      <c r="C66" s="579"/>
      <c r="D66" s="249"/>
      <c r="E66" s="600"/>
      <c r="F66" s="601"/>
      <c r="G66" s="592"/>
    </row>
    <row r="67" spans="1:7">
      <c r="A67" s="587" t="s">
        <v>53</v>
      </c>
      <c r="B67" s="588">
        <f>'3. melléklet'!H47-'2. melléklet'!B39</f>
        <v>124650</v>
      </c>
      <c r="C67" s="579">
        <v>92923</v>
      </c>
      <c r="D67" s="249"/>
      <c r="E67" s="602" t="s">
        <v>53</v>
      </c>
      <c r="F67" s="603">
        <f>124900-250</f>
        <v>124650</v>
      </c>
      <c r="G67" s="593">
        <v>92923</v>
      </c>
    </row>
    <row r="68" spans="1:7" ht="15.75" customHeight="1">
      <c r="A68" s="587" t="s">
        <v>746</v>
      </c>
      <c r="B68" s="588">
        <f>'3. melléklet'!H43</f>
        <v>328519</v>
      </c>
      <c r="C68" s="579">
        <f>'3. melléklet'!I43</f>
        <v>328519</v>
      </c>
      <c r="D68" s="249"/>
      <c r="E68" s="556" t="s">
        <v>41</v>
      </c>
      <c r="F68" s="537">
        <f>'4. melléklet'!J28</f>
        <v>106549</v>
      </c>
      <c r="G68" s="523">
        <f>'4. melléklet'!K28</f>
        <v>106569</v>
      </c>
    </row>
    <row r="69" spans="1:7" ht="15.75" customHeight="1">
      <c r="A69" s="550" t="s">
        <v>64</v>
      </c>
      <c r="B69" s="537">
        <f>B70</f>
        <v>1651208</v>
      </c>
      <c r="C69" s="523">
        <f>C70</f>
        <v>1611169</v>
      </c>
      <c r="D69" s="247"/>
      <c r="E69" s="556"/>
      <c r="F69" s="537"/>
      <c r="G69" s="523"/>
    </row>
    <row r="70" spans="1:7">
      <c r="A70" s="551" t="s">
        <v>42</v>
      </c>
      <c r="B70" s="539">
        <f>'3. melléklet'!H46-'2. melléklet'!B37</f>
        <v>1651208</v>
      </c>
      <c r="C70" s="525">
        <f>'3. melléklet'!I46-'2. melléklet'!C37</f>
        <v>1611169</v>
      </c>
      <c r="D70" s="248"/>
      <c r="E70" s="556"/>
      <c r="F70" s="537"/>
      <c r="G70" s="523"/>
    </row>
    <row r="71" spans="1:7" ht="15.75" thickBot="1">
      <c r="A71" s="589"/>
      <c r="B71" s="542"/>
      <c r="C71" s="528"/>
      <c r="D71" s="250"/>
      <c r="E71" s="575"/>
      <c r="F71" s="546"/>
      <c r="G71" s="532"/>
    </row>
    <row r="72" spans="1:7" ht="15.75" thickBot="1">
      <c r="A72" s="20" t="s">
        <v>47</v>
      </c>
      <c r="B72" s="543">
        <f>B69+B67+B68</f>
        <v>2104377</v>
      </c>
      <c r="C72" s="529">
        <f>C69+C67+C68</f>
        <v>2032611</v>
      </c>
      <c r="D72" s="247"/>
      <c r="E72" s="143" t="s">
        <v>50</v>
      </c>
      <c r="F72" s="543">
        <f>SUM(F67:F68)</f>
        <v>231199</v>
      </c>
      <c r="G72" s="529">
        <f>SUM(G67:G68)</f>
        <v>199492</v>
      </c>
    </row>
    <row r="73" spans="1:7" ht="15.75" thickBot="1">
      <c r="A73" s="116"/>
      <c r="B73" s="547"/>
      <c r="C73" s="533"/>
      <c r="D73" s="247"/>
      <c r="E73" s="116"/>
      <c r="F73" s="547"/>
      <c r="G73" s="533"/>
    </row>
    <row r="74" spans="1:7" ht="15.75" thickBot="1">
      <c r="A74" s="9" t="s">
        <v>90</v>
      </c>
      <c r="B74" s="543">
        <f>B65+B72</f>
        <v>3054980</v>
      </c>
      <c r="C74" s="529">
        <f>C65+C72</f>
        <v>3752325</v>
      </c>
      <c r="D74" s="247"/>
      <c r="E74" s="9" t="s">
        <v>91</v>
      </c>
      <c r="F74" s="543">
        <f>F65+F72</f>
        <v>3054980</v>
      </c>
      <c r="G74" s="529">
        <f>G65+G72</f>
        <v>3752325</v>
      </c>
    </row>
    <row r="75" spans="1:7">
      <c r="A75" s="13"/>
      <c r="B75" s="14"/>
      <c r="C75" s="14"/>
      <c r="D75" s="14"/>
      <c r="E75" s="13"/>
      <c r="F75" s="14"/>
      <c r="G75" s="14"/>
    </row>
    <row r="76" spans="1:7">
      <c r="A76" s="15" t="s">
        <v>45</v>
      </c>
      <c r="B76" s="16">
        <f>B44+B74</f>
        <v>13362503.419</v>
      </c>
      <c r="C76" s="16">
        <f>C44+C74</f>
        <v>14688199</v>
      </c>
      <c r="D76" s="16"/>
      <c r="E76" s="15" t="s">
        <v>46</v>
      </c>
      <c r="F76" s="16">
        <f>F44+F74</f>
        <v>13362503</v>
      </c>
      <c r="G76" s="16">
        <f>G44+G74</f>
        <v>14688199</v>
      </c>
    </row>
    <row r="78" spans="1:7">
      <c r="A78" s="128"/>
      <c r="B78" s="17"/>
      <c r="C78" s="17"/>
      <c r="D78" s="17"/>
      <c r="E78" s="18"/>
      <c r="F78" s="88"/>
      <c r="G78" s="88"/>
    </row>
    <row r="79" spans="1:7">
      <c r="A79" s="128"/>
      <c r="B79" s="19"/>
      <c r="C79" s="19"/>
      <c r="D79" s="19"/>
      <c r="E79" s="18"/>
    </row>
  </sheetData>
  <mergeCells count="6">
    <mergeCell ref="A3:C3"/>
    <mergeCell ref="E3:G3"/>
    <mergeCell ref="E48:G48"/>
    <mergeCell ref="A48:C48"/>
    <mergeCell ref="A1:G1"/>
    <mergeCell ref="A46:G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2" orientation="landscape" r:id="rId1"/>
  <headerFooter>
    <oddHeader>&amp;L&amp;"Times New Roman,Normál"&amp;8 2. melléklet a 17 /2020. (VII.9.) önkormányzati rendelethez</oddHeader>
    <oddFooter>&amp;L24/2019.(XII.19.)önk.rend. Hatályos:2020.01.01.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35"/>
  <sheetViews>
    <sheetView view="pageLayout" zoomScaleNormal="86" zoomScaleSheetLayoutView="87" workbookViewId="0">
      <selection activeCell="N14" sqref="N14"/>
    </sheetView>
  </sheetViews>
  <sheetFormatPr defaultColWidth="9.140625" defaultRowHeight="15.75"/>
  <cols>
    <col min="1" max="1" width="31.140625" style="933" customWidth="1"/>
    <col min="2" max="2" width="8" style="866" bestFit="1" customWidth="1"/>
    <col min="3" max="3" width="14.42578125" style="866" bestFit="1" customWidth="1"/>
    <col min="4" max="4" width="20.28515625" style="866" customWidth="1"/>
    <col min="5" max="5" width="18.140625" style="934" customWidth="1"/>
    <col min="6" max="6" width="8.7109375" style="866" bestFit="1" customWidth="1"/>
    <col min="7" max="7" width="8" style="866" bestFit="1" customWidth="1"/>
    <col min="8" max="8" width="9.7109375" style="866" bestFit="1" customWidth="1"/>
    <col min="9" max="9" width="8" style="866" bestFit="1" customWidth="1"/>
    <col min="10" max="10" width="14" style="866" bestFit="1" customWidth="1"/>
    <col min="11" max="11" width="9.7109375" style="866" bestFit="1" customWidth="1"/>
    <col min="12" max="12" width="9.140625" style="866" customWidth="1"/>
    <col min="13" max="13" width="12.28515625" style="866" bestFit="1" customWidth="1"/>
    <col min="14" max="14" width="9.7109375" style="866" bestFit="1" customWidth="1"/>
    <col min="15" max="15" width="8" style="866" bestFit="1" customWidth="1"/>
    <col min="16" max="16" width="9.140625" style="866" customWidth="1"/>
    <col min="17" max="17" width="10.28515625" style="866" bestFit="1" customWidth="1"/>
    <col min="18" max="19" width="10.7109375" style="866" customWidth="1"/>
    <col min="20" max="20" width="10.28515625" style="866" bestFit="1" customWidth="1"/>
    <col min="21" max="26" width="10" style="866" customWidth="1"/>
    <col min="27" max="29" width="10" style="935" customWidth="1"/>
    <col min="30" max="30" width="10.5703125" style="936" customWidth="1"/>
    <col min="31" max="16384" width="9.140625" style="934"/>
  </cols>
  <sheetData>
    <row r="2" spans="1:19" s="65" customFormat="1" ht="15">
      <c r="A2" s="1714" t="s">
        <v>889</v>
      </c>
      <c r="B2" s="1714"/>
      <c r="C2" s="1714"/>
      <c r="D2" s="1714"/>
      <c r="E2" s="1714"/>
      <c r="F2" s="1714"/>
      <c r="G2" s="1714"/>
      <c r="H2" s="1714"/>
      <c r="I2" s="1714"/>
      <c r="J2" s="1714"/>
      <c r="K2" s="1714"/>
      <c r="L2" s="1714"/>
      <c r="M2" s="1714"/>
      <c r="N2" s="1714"/>
      <c r="O2" s="1714"/>
      <c r="P2" s="1714"/>
      <c r="Q2" s="1714"/>
      <c r="R2" s="668"/>
      <c r="S2" s="64"/>
    </row>
    <row r="3" spans="1:19" ht="16.5" thickBot="1">
      <c r="A3" s="1748"/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</row>
    <row r="4" spans="1:19">
      <c r="A4" s="1736" t="s">
        <v>95</v>
      </c>
      <c r="B4" s="1749"/>
      <c r="C4" s="1749"/>
      <c r="D4" s="1749" t="s">
        <v>506</v>
      </c>
      <c r="E4" s="1749"/>
      <c r="F4" s="1749"/>
      <c r="G4" s="1749"/>
      <c r="H4" s="1749"/>
      <c r="I4" s="1749"/>
      <c r="J4" s="1749"/>
      <c r="K4" s="1749"/>
      <c r="L4" s="1749"/>
      <c r="M4" s="1749"/>
      <c r="N4" s="1749"/>
      <c r="O4" s="1749"/>
      <c r="P4" s="1750"/>
    </row>
    <row r="5" spans="1:19" ht="43.5" customHeight="1">
      <c r="A5" s="1751" t="s">
        <v>890</v>
      </c>
      <c r="B5" s="1753" t="s">
        <v>3</v>
      </c>
      <c r="C5" s="1753" t="s">
        <v>912</v>
      </c>
      <c r="D5" s="1755" t="s">
        <v>890</v>
      </c>
      <c r="E5" s="1753" t="s">
        <v>315</v>
      </c>
      <c r="F5" s="1753"/>
      <c r="G5" s="1757" t="s">
        <v>221</v>
      </c>
      <c r="H5" s="1757"/>
      <c r="I5" s="1753" t="s">
        <v>12</v>
      </c>
      <c r="J5" s="1753"/>
      <c r="K5" s="1753" t="s">
        <v>891</v>
      </c>
      <c r="L5" s="1753"/>
      <c r="M5" s="1753" t="s">
        <v>905</v>
      </c>
      <c r="N5" s="1753"/>
      <c r="O5" s="1753" t="s">
        <v>68</v>
      </c>
      <c r="P5" s="1758"/>
    </row>
    <row r="6" spans="1:19" ht="43.5" thickBot="1">
      <c r="A6" s="1752"/>
      <c r="B6" s="1754"/>
      <c r="C6" s="1754"/>
      <c r="D6" s="1756"/>
      <c r="E6" s="999" t="s">
        <v>3</v>
      </c>
      <c r="F6" s="999" t="s">
        <v>925</v>
      </c>
      <c r="G6" s="999" t="s">
        <v>3</v>
      </c>
      <c r="H6" s="999" t="s">
        <v>925</v>
      </c>
      <c r="I6" s="999" t="s">
        <v>3</v>
      </c>
      <c r="J6" s="999" t="s">
        <v>925</v>
      </c>
      <c r="K6" s="999" t="s">
        <v>3</v>
      </c>
      <c r="L6" s="999" t="s">
        <v>925</v>
      </c>
      <c r="M6" s="999" t="s">
        <v>3</v>
      </c>
      <c r="N6" s="999" t="s">
        <v>925</v>
      </c>
      <c r="O6" s="999" t="s">
        <v>3</v>
      </c>
      <c r="P6" s="998" t="s">
        <v>925</v>
      </c>
    </row>
    <row r="7" spans="1:19">
      <c r="A7" s="868" t="s">
        <v>118</v>
      </c>
      <c r="B7" s="869"/>
      <c r="C7" s="869"/>
      <c r="D7" s="870"/>
      <c r="E7" s="869"/>
      <c r="F7" s="869"/>
      <c r="G7" s="869"/>
      <c r="H7" s="869"/>
      <c r="I7" s="869"/>
      <c r="J7" s="869"/>
      <c r="K7" s="869"/>
      <c r="L7" s="869"/>
      <c r="M7" s="869"/>
      <c r="N7" s="869"/>
      <c r="O7" s="869"/>
      <c r="P7" s="871"/>
    </row>
    <row r="8" spans="1:19">
      <c r="A8" s="872"/>
      <c r="B8" s="844">
        <v>0</v>
      </c>
      <c r="C8" s="844">
        <v>14166</v>
      </c>
      <c r="D8" s="873"/>
      <c r="E8" s="844">
        <v>0</v>
      </c>
      <c r="F8" s="844">
        <v>10280</v>
      </c>
      <c r="G8" s="844">
        <v>0</v>
      </c>
      <c r="H8" s="844">
        <v>1796</v>
      </c>
      <c r="I8" s="844">
        <v>0</v>
      </c>
      <c r="J8" s="844">
        <v>1811</v>
      </c>
      <c r="K8" s="844"/>
      <c r="L8" s="844"/>
      <c r="M8" s="844"/>
      <c r="N8" s="844">
        <v>279</v>
      </c>
      <c r="O8" s="874">
        <f>SUM(E8+G8+I8+M8)</f>
        <v>0</v>
      </c>
      <c r="P8" s="875">
        <f>SUM(F8+H8+J8+N8)</f>
        <v>14166</v>
      </c>
    </row>
    <row r="9" spans="1:19" ht="60.75" thickBot="1">
      <c r="A9" s="876" t="s">
        <v>505</v>
      </c>
      <c r="B9" s="877">
        <v>20000</v>
      </c>
      <c r="C9" s="877">
        <v>20603</v>
      </c>
      <c r="D9" s="878" t="s">
        <v>505</v>
      </c>
      <c r="E9" s="879">
        <v>20000</v>
      </c>
      <c r="F9" s="879">
        <v>18842</v>
      </c>
      <c r="G9" s="879">
        <v>0</v>
      </c>
      <c r="H9" s="879">
        <v>1761</v>
      </c>
      <c r="I9" s="880">
        <v>0</v>
      </c>
      <c r="J9" s="880">
        <v>0</v>
      </c>
      <c r="K9" s="880"/>
      <c r="L9" s="880"/>
      <c r="M9" s="880">
        <v>0</v>
      </c>
      <c r="N9" s="880">
        <v>0</v>
      </c>
      <c r="O9" s="881">
        <f>SUM(E9+G9+I9+M9)</f>
        <v>20000</v>
      </c>
      <c r="P9" s="882">
        <f>SUM(F9+H9+J9+N9)</f>
        <v>20603</v>
      </c>
    </row>
    <row r="10" spans="1:19" ht="16.5" thickBot="1">
      <c r="A10" s="883" t="s">
        <v>68</v>
      </c>
      <c r="B10" s="355">
        <f>SUM(B9:B9)</f>
        <v>20000</v>
      </c>
      <c r="C10" s="355">
        <f>SUM(C8:C9)</f>
        <v>34769</v>
      </c>
      <c r="D10" s="884" t="s">
        <v>68</v>
      </c>
      <c r="E10" s="355">
        <f t="shared" ref="E10:O10" si="0">SUM(E8:E9)</f>
        <v>20000</v>
      </c>
      <c r="F10" s="355">
        <f>SUM(F8:F9)</f>
        <v>29122</v>
      </c>
      <c r="G10" s="355">
        <f t="shared" si="0"/>
        <v>0</v>
      </c>
      <c r="H10" s="355">
        <f>SUM(H8:H9)</f>
        <v>3557</v>
      </c>
      <c r="I10" s="355">
        <f t="shared" si="0"/>
        <v>0</v>
      </c>
      <c r="J10" s="355">
        <f t="shared" si="0"/>
        <v>1811</v>
      </c>
      <c r="K10" s="355"/>
      <c r="L10" s="355"/>
      <c r="M10" s="355">
        <f t="shared" si="0"/>
        <v>0</v>
      </c>
      <c r="N10" s="355">
        <f t="shared" si="0"/>
        <v>279</v>
      </c>
      <c r="O10" s="355">
        <f t="shared" si="0"/>
        <v>20000</v>
      </c>
      <c r="P10" s="359">
        <f>SUM(P8:P9)</f>
        <v>34769</v>
      </c>
    </row>
    <row r="11" spans="1:19">
      <c r="A11" s="868" t="s">
        <v>562</v>
      </c>
      <c r="B11" s="885"/>
      <c r="C11" s="885">
        <v>992</v>
      </c>
      <c r="D11" s="886"/>
      <c r="E11" s="885"/>
      <c r="F11" s="885"/>
      <c r="G11" s="885"/>
      <c r="H11" s="885"/>
      <c r="I11" s="885"/>
      <c r="J11" s="885"/>
      <c r="K11" s="885"/>
      <c r="L11" s="885">
        <v>992</v>
      </c>
      <c r="M11" s="885"/>
      <c r="N11" s="885"/>
      <c r="O11" s="885"/>
      <c r="P11" s="887">
        <f>SUM(F11+H11+J11+N11+L11)</f>
        <v>992</v>
      </c>
    </row>
    <row r="12" spans="1:19">
      <c r="A12" s="888" t="s">
        <v>122</v>
      </c>
      <c r="B12" s="889"/>
      <c r="C12" s="889">
        <v>9015</v>
      </c>
      <c r="D12" s="890"/>
      <c r="E12" s="889"/>
      <c r="F12" s="889">
        <v>62</v>
      </c>
      <c r="G12" s="889"/>
      <c r="H12" s="889">
        <v>8</v>
      </c>
      <c r="I12" s="889"/>
      <c r="J12" s="889"/>
      <c r="K12" s="889"/>
      <c r="L12" s="889">
        <v>8945</v>
      </c>
      <c r="M12" s="889"/>
      <c r="N12" s="889"/>
      <c r="O12" s="889"/>
      <c r="P12" s="891">
        <f>F12+H12+J12+L12</f>
        <v>9015</v>
      </c>
    </row>
    <row r="13" spans="1:19" ht="16.5" thickBot="1">
      <c r="A13" s="892" t="s">
        <v>120</v>
      </c>
      <c r="B13" s="893"/>
      <c r="C13" s="893">
        <v>14627</v>
      </c>
      <c r="D13" s="894"/>
      <c r="E13" s="893"/>
      <c r="F13" s="893">
        <v>809</v>
      </c>
      <c r="G13" s="893"/>
      <c r="H13" s="893">
        <v>103</v>
      </c>
      <c r="I13" s="893"/>
      <c r="J13" s="893"/>
      <c r="K13" s="893"/>
      <c r="L13" s="893">
        <v>13715</v>
      </c>
      <c r="M13" s="893"/>
      <c r="N13" s="893"/>
      <c r="O13" s="893"/>
      <c r="P13" s="895">
        <f>F13+H13+J13+L13</f>
        <v>14627</v>
      </c>
    </row>
    <row r="14" spans="1:19" ht="16.5" thickBot="1">
      <c r="A14" s="883" t="s">
        <v>563</v>
      </c>
      <c r="B14" s="355">
        <f t="shared" ref="B14" si="1">SUM(B10:B13)</f>
        <v>20000</v>
      </c>
      <c r="C14" s="355">
        <f>SUM(C10:C13)</f>
        <v>59403</v>
      </c>
      <c r="D14" s="896" t="s">
        <v>564</v>
      </c>
      <c r="E14" s="355">
        <f t="shared" ref="E14:N14" si="2">SUM(E10:E13)</f>
        <v>20000</v>
      </c>
      <c r="F14" s="355">
        <f>SUM(F10:F13)</f>
        <v>29993</v>
      </c>
      <c r="G14" s="355">
        <f t="shared" si="2"/>
        <v>0</v>
      </c>
      <c r="H14" s="355">
        <f>SUM(H10:H13)</f>
        <v>3668</v>
      </c>
      <c r="I14" s="355">
        <f t="shared" si="2"/>
        <v>0</v>
      </c>
      <c r="J14" s="355">
        <f t="shared" si="2"/>
        <v>1811</v>
      </c>
      <c r="K14" s="355"/>
      <c r="L14" s="355">
        <f>SUM(L11:L13)</f>
        <v>23652</v>
      </c>
      <c r="M14" s="355">
        <f t="shared" si="2"/>
        <v>0</v>
      </c>
      <c r="N14" s="355">
        <f t="shared" si="2"/>
        <v>279</v>
      </c>
      <c r="O14" s="355">
        <f>O10+O11+O12+O13</f>
        <v>20000</v>
      </c>
      <c r="P14" s="359">
        <f>F14+H14+J14+L14+N14</f>
        <v>59403</v>
      </c>
    </row>
    <row r="17" spans="1:20">
      <c r="A17" s="1714" t="s">
        <v>892</v>
      </c>
      <c r="B17" s="1714"/>
      <c r="C17" s="1714"/>
      <c r="D17" s="1714"/>
      <c r="E17" s="1714"/>
      <c r="F17" s="1714"/>
      <c r="G17" s="1714"/>
      <c r="H17" s="1714"/>
      <c r="I17" s="1714"/>
      <c r="J17" s="1714"/>
      <c r="K17" s="1714"/>
      <c r="L17" s="1714"/>
      <c r="M17" s="1714"/>
      <c r="N17" s="1714"/>
      <c r="O17" s="897"/>
      <c r="P17" s="897"/>
      <c r="Q17" s="897"/>
      <c r="R17" s="897"/>
      <c r="S17" s="897"/>
      <c r="T17" s="897"/>
    </row>
    <row r="19" spans="1:20" ht="16.5" thickBot="1">
      <c r="A19" s="898"/>
      <c r="B19" s="66"/>
      <c r="C19" s="66"/>
      <c r="D19" s="65"/>
      <c r="E19" s="66"/>
      <c r="F19" s="66"/>
      <c r="G19" s="66"/>
      <c r="H19" s="66"/>
      <c r="I19" s="66"/>
      <c r="J19" s="66"/>
      <c r="K19" s="66"/>
      <c r="L19" s="67"/>
      <c r="M19" s="67"/>
      <c r="N19" s="64"/>
    </row>
    <row r="20" spans="1:20" ht="16.5" thickBot="1">
      <c r="A20" s="1732" t="s">
        <v>95</v>
      </c>
      <c r="B20" s="1769"/>
      <c r="C20" s="1770"/>
      <c r="D20" s="1733" t="s">
        <v>506</v>
      </c>
      <c r="E20" s="1733"/>
      <c r="F20" s="1733"/>
      <c r="G20" s="1733"/>
      <c r="H20" s="1733"/>
      <c r="I20" s="1733"/>
      <c r="J20" s="1733"/>
      <c r="K20" s="1733"/>
      <c r="L20" s="1733"/>
      <c r="M20" s="1733"/>
      <c r="N20" s="1734"/>
    </row>
    <row r="21" spans="1:20">
      <c r="A21" s="1762" t="s">
        <v>890</v>
      </c>
      <c r="B21" s="1760" t="s">
        <v>3</v>
      </c>
      <c r="C21" s="1761" t="s">
        <v>912</v>
      </c>
      <c r="D21" s="1766" t="s">
        <v>893</v>
      </c>
      <c r="E21" s="1722" t="s">
        <v>6</v>
      </c>
      <c r="F21" s="1761"/>
      <c r="G21" s="1768" t="s">
        <v>221</v>
      </c>
      <c r="H21" s="1740"/>
      <c r="I21" s="1722" t="s">
        <v>12</v>
      </c>
      <c r="J21" s="1759"/>
      <c r="K21" s="1760" t="s">
        <v>56</v>
      </c>
      <c r="L21" s="1759"/>
      <c r="M21" s="1722" t="s">
        <v>68</v>
      </c>
      <c r="N21" s="1761"/>
    </row>
    <row r="22" spans="1:20" ht="43.5" thickBot="1">
      <c r="A22" s="1763"/>
      <c r="B22" s="1764"/>
      <c r="C22" s="1765"/>
      <c r="D22" s="1767"/>
      <c r="E22" s="313" t="s">
        <v>3</v>
      </c>
      <c r="F22" s="670" t="s">
        <v>925</v>
      </c>
      <c r="G22" s="899" t="s">
        <v>3</v>
      </c>
      <c r="H22" s="867" t="s">
        <v>925</v>
      </c>
      <c r="I22" s="313" t="s">
        <v>3</v>
      </c>
      <c r="J22" s="867" t="s">
        <v>925</v>
      </c>
      <c r="K22" s="899" t="s">
        <v>3</v>
      </c>
      <c r="L22" s="867" t="s">
        <v>925</v>
      </c>
      <c r="M22" s="313" t="s">
        <v>3</v>
      </c>
      <c r="N22" s="670" t="s">
        <v>925</v>
      </c>
    </row>
    <row r="23" spans="1:20">
      <c r="A23" s="868" t="s">
        <v>195</v>
      </c>
      <c r="B23" s="900"/>
      <c r="C23" s="669"/>
      <c r="D23" s="901"/>
      <c r="E23" s="902"/>
      <c r="F23" s="903"/>
      <c r="G23" s="904"/>
      <c r="H23" s="869"/>
      <c r="I23" s="902"/>
      <c r="J23" s="869"/>
      <c r="K23" s="904"/>
      <c r="L23" s="869"/>
      <c r="M23" s="902"/>
      <c r="N23" s="903"/>
    </row>
    <row r="24" spans="1:20">
      <c r="A24" s="905" t="s">
        <v>894</v>
      </c>
      <c r="B24" s="906"/>
      <c r="C24" s="907">
        <v>6000</v>
      </c>
      <c r="D24" s="908" t="s">
        <v>895</v>
      </c>
      <c r="E24" s="909"/>
      <c r="F24" s="910"/>
      <c r="G24" s="911"/>
      <c r="H24" s="912"/>
      <c r="I24" s="913"/>
      <c r="J24" s="914"/>
      <c r="K24" s="915"/>
      <c r="L24" s="914">
        <v>6000</v>
      </c>
      <c r="M24" s="916">
        <f t="shared" ref="M24:N34" si="3">E24+G24+I24+K24</f>
        <v>0</v>
      </c>
      <c r="N24" s="875">
        <f t="shared" si="3"/>
        <v>6000</v>
      </c>
    </row>
    <row r="25" spans="1:20">
      <c r="A25" s="905" t="s">
        <v>896</v>
      </c>
      <c r="B25" s="906"/>
      <c r="C25" s="907">
        <v>139883</v>
      </c>
      <c r="D25" s="917" t="s">
        <v>897</v>
      </c>
      <c r="E25" s="909"/>
      <c r="F25" s="910"/>
      <c r="G25" s="911"/>
      <c r="H25" s="912"/>
      <c r="I25" s="913"/>
      <c r="J25" s="914">
        <v>139883</v>
      </c>
      <c r="K25" s="915"/>
      <c r="L25" s="914"/>
      <c r="M25" s="916">
        <f t="shared" si="3"/>
        <v>0</v>
      </c>
      <c r="N25" s="875">
        <f t="shared" si="3"/>
        <v>139883</v>
      </c>
    </row>
    <row r="26" spans="1:20" ht="28.5">
      <c r="A26" s="918" t="s">
        <v>898</v>
      </c>
      <c r="B26" s="906"/>
      <c r="C26" s="907">
        <v>80</v>
      </c>
      <c r="D26" s="917" t="s">
        <v>897</v>
      </c>
      <c r="E26" s="909"/>
      <c r="F26" s="910"/>
      <c r="G26" s="911"/>
      <c r="H26" s="912"/>
      <c r="I26" s="913"/>
      <c r="J26" s="914">
        <v>80</v>
      </c>
      <c r="K26" s="915"/>
      <c r="L26" s="914"/>
      <c r="M26" s="916">
        <f t="shared" si="3"/>
        <v>0</v>
      </c>
      <c r="N26" s="875">
        <f t="shared" si="3"/>
        <v>80</v>
      </c>
    </row>
    <row r="27" spans="1:20">
      <c r="A27" s="918" t="s">
        <v>132</v>
      </c>
      <c r="B27" s="906"/>
      <c r="C27" s="907">
        <v>65</v>
      </c>
      <c r="D27" s="917" t="s">
        <v>897</v>
      </c>
      <c r="E27" s="909"/>
      <c r="F27" s="910"/>
      <c r="G27" s="911"/>
      <c r="H27" s="912"/>
      <c r="I27" s="913"/>
      <c r="J27" s="914">
        <v>65</v>
      </c>
      <c r="K27" s="915"/>
      <c r="L27" s="914"/>
      <c r="M27" s="916">
        <f t="shared" si="3"/>
        <v>0</v>
      </c>
      <c r="N27" s="875">
        <f t="shared" si="3"/>
        <v>65</v>
      </c>
    </row>
    <row r="28" spans="1:20">
      <c r="A28" s="918" t="s">
        <v>131</v>
      </c>
      <c r="B28" s="906"/>
      <c r="C28" s="907">
        <v>129</v>
      </c>
      <c r="D28" s="917" t="s">
        <v>897</v>
      </c>
      <c r="E28" s="909"/>
      <c r="F28" s="910"/>
      <c r="G28" s="911"/>
      <c r="H28" s="912"/>
      <c r="I28" s="913"/>
      <c r="J28" s="914">
        <v>129</v>
      </c>
      <c r="K28" s="915"/>
      <c r="L28" s="914"/>
      <c r="M28" s="916">
        <f t="shared" si="3"/>
        <v>0</v>
      </c>
      <c r="N28" s="875">
        <f t="shared" si="3"/>
        <v>129</v>
      </c>
    </row>
    <row r="29" spans="1:20">
      <c r="A29" s="918" t="s">
        <v>188</v>
      </c>
      <c r="B29" s="906"/>
      <c r="C29" s="907">
        <v>32</v>
      </c>
      <c r="D29" s="917" t="s">
        <v>897</v>
      </c>
      <c r="E29" s="909"/>
      <c r="F29" s="910"/>
      <c r="G29" s="911"/>
      <c r="H29" s="912"/>
      <c r="I29" s="913"/>
      <c r="J29" s="914">
        <v>32</v>
      </c>
      <c r="K29" s="915"/>
      <c r="L29" s="914"/>
      <c r="M29" s="916">
        <f t="shared" si="3"/>
        <v>0</v>
      </c>
      <c r="N29" s="875">
        <f t="shared" si="3"/>
        <v>32</v>
      </c>
    </row>
    <row r="30" spans="1:20">
      <c r="A30" s="918" t="s">
        <v>130</v>
      </c>
      <c r="B30" s="906"/>
      <c r="C30" s="907">
        <v>14</v>
      </c>
      <c r="D30" s="917" t="s">
        <v>897</v>
      </c>
      <c r="E30" s="909"/>
      <c r="F30" s="910">
        <v>14</v>
      </c>
      <c r="G30" s="911"/>
      <c r="H30" s="912"/>
      <c r="I30" s="913"/>
      <c r="J30" s="914"/>
      <c r="K30" s="915"/>
      <c r="L30" s="914"/>
      <c r="M30" s="916">
        <f t="shared" si="3"/>
        <v>0</v>
      </c>
      <c r="N30" s="875">
        <f t="shared" si="3"/>
        <v>14</v>
      </c>
    </row>
    <row r="31" spans="1:20">
      <c r="A31" s="918" t="s">
        <v>192</v>
      </c>
      <c r="B31" s="906"/>
      <c r="C31" s="907">
        <v>216</v>
      </c>
      <c r="D31" s="917" t="s">
        <v>897</v>
      </c>
      <c r="E31" s="909"/>
      <c r="F31" s="910">
        <v>216</v>
      </c>
      <c r="G31" s="911"/>
      <c r="H31" s="912"/>
      <c r="I31" s="913"/>
      <c r="J31" s="914"/>
      <c r="K31" s="915"/>
      <c r="L31" s="914"/>
      <c r="M31" s="916">
        <f t="shared" si="3"/>
        <v>0</v>
      </c>
      <c r="N31" s="875">
        <f t="shared" si="3"/>
        <v>216</v>
      </c>
    </row>
    <row r="32" spans="1:20" ht="28.5">
      <c r="A32" s="918" t="s">
        <v>899</v>
      </c>
      <c r="B32" s="906"/>
      <c r="C32" s="907">
        <v>195</v>
      </c>
      <c r="D32" s="917" t="s">
        <v>897</v>
      </c>
      <c r="E32" s="909"/>
      <c r="F32" s="910"/>
      <c r="G32" s="911"/>
      <c r="H32" s="912"/>
      <c r="I32" s="913"/>
      <c r="J32" s="914"/>
      <c r="K32" s="915"/>
      <c r="L32" s="914">
        <v>195</v>
      </c>
      <c r="M32" s="916">
        <f t="shared" si="3"/>
        <v>0</v>
      </c>
      <c r="N32" s="875">
        <f t="shared" si="3"/>
        <v>195</v>
      </c>
    </row>
    <row r="33" spans="1:14" ht="28.5">
      <c r="A33" s="918" t="s">
        <v>900</v>
      </c>
      <c r="B33" s="906"/>
      <c r="C33" s="907">
        <v>617</v>
      </c>
      <c r="D33" s="917" t="s">
        <v>897</v>
      </c>
      <c r="E33" s="909"/>
      <c r="F33" s="910"/>
      <c r="G33" s="911"/>
      <c r="H33" s="912"/>
      <c r="I33" s="913"/>
      <c r="J33" s="914">
        <v>617</v>
      </c>
      <c r="K33" s="915"/>
      <c r="L33" s="914"/>
      <c r="M33" s="916">
        <f t="shared" si="3"/>
        <v>0</v>
      </c>
      <c r="N33" s="875">
        <f t="shared" si="3"/>
        <v>617</v>
      </c>
    </row>
    <row r="34" spans="1:14" ht="29.25" thickBot="1">
      <c r="A34" s="919" t="s">
        <v>143</v>
      </c>
      <c r="B34" s="920"/>
      <c r="C34" s="921">
        <v>1166</v>
      </c>
      <c r="D34" s="922" t="s">
        <v>897</v>
      </c>
      <c r="E34" s="923"/>
      <c r="F34" s="924">
        <v>1010</v>
      </c>
      <c r="G34" s="925"/>
      <c r="H34" s="879">
        <v>156</v>
      </c>
      <c r="I34" s="926"/>
      <c r="J34" s="880"/>
      <c r="K34" s="927"/>
      <c r="L34" s="880"/>
      <c r="M34" s="928">
        <f t="shared" si="3"/>
        <v>0</v>
      </c>
      <c r="N34" s="882">
        <f t="shared" si="3"/>
        <v>1166</v>
      </c>
    </row>
    <row r="35" spans="1:14" ht="16.5" thickBot="1">
      <c r="A35" s="883" t="s">
        <v>68</v>
      </c>
      <c r="B35" s="929">
        <f>SUM(B24:B24)</f>
        <v>0</v>
      </c>
      <c r="C35" s="359">
        <f>SUM(C24:C34)</f>
        <v>148397</v>
      </c>
      <c r="D35" s="930" t="s">
        <v>68</v>
      </c>
      <c r="E35" s="358">
        <f>SUM(E24:E34)</f>
        <v>0</v>
      </c>
      <c r="F35" s="359">
        <f t="shared" ref="F35:K35" si="4">SUM(F24:F34)</f>
        <v>1240</v>
      </c>
      <c r="G35" s="929">
        <f t="shared" si="4"/>
        <v>0</v>
      </c>
      <c r="H35" s="355">
        <f t="shared" si="4"/>
        <v>156</v>
      </c>
      <c r="I35" s="358">
        <f t="shared" si="4"/>
        <v>0</v>
      </c>
      <c r="J35" s="355">
        <f t="shared" si="4"/>
        <v>140806</v>
      </c>
      <c r="K35" s="929">
        <f t="shared" si="4"/>
        <v>0</v>
      </c>
      <c r="L35" s="355">
        <f>SUM(L24:L34)</f>
        <v>6195</v>
      </c>
      <c r="M35" s="931">
        <f>SUM(M24:M34)</f>
        <v>0</v>
      </c>
      <c r="N35" s="932">
        <f>SUM(N24:N34)</f>
        <v>148397</v>
      </c>
    </row>
  </sheetData>
  <mergeCells count="26">
    <mergeCell ref="A17:N17"/>
    <mergeCell ref="I21:J21"/>
    <mergeCell ref="K21:L21"/>
    <mergeCell ref="M21:N21"/>
    <mergeCell ref="A21:A22"/>
    <mergeCell ref="B21:B22"/>
    <mergeCell ref="C21:C22"/>
    <mergeCell ref="D21:D22"/>
    <mergeCell ref="E21:F21"/>
    <mergeCell ref="G21:H21"/>
    <mergeCell ref="A20:C20"/>
    <mergeCell ref="D20:N20"/>
    <mergeCell ref="A2:Q2"/>
    <mergeCell ref="A3:P3"/>
    <mergeCell ref="A4:C4"/>
    <mergeCell ref="D4:P4"/>
    <mergeCell ref="A5:A6"/>
    <mergeCell ref="B5:B6"/>
    <mergeCell ref="C5:C6"/>
    <mergeCell ref="D5:D6"/>
    <mergeCell ref="E5:F5"/>
    <mergeCell ref="G5:H5"/>
    <mergeCell ref="I5:J5"/>
    <mergeCell ref="K5:L5"/>
    <mergeCell ref="M5:N5"/>
    <mergeCell ref="O5:P5"/>
  </mergeCells>
  <pageMargins left="0.31496062992125984" right="0.11811023622047245" top="0.74803149606299213" bottom="0.74803149606299213" header="0.31496062992125984" footer="0.31496062992125984"/>
  <pageSetup paperSize="9" scale="67" orientation="landscape" r:id="rId1"/>
  <headerFooter>
    <oddHeader>&amp;L&amp;"Times New Roman,Normál" 14. melléklet a 17 /2020. (VII.9.) önkormányzati rendelethez</oddHeader>
  </headerFooter>
  <rowBreaks count="2" manualBreakCount="2">
    <brk id="35" max="16" man="1"/>
    <brk id="39" max="1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8"/>
  <sheetViews>
    <sheetView view="pageLayout" zoomScaleNormal="59" workbookViewId="0">
      <selection activeCell="G93" sqref="G93"/>
    </sheetView>
  </sheetViews>
  <sheetFormatPr defaultColWidth="8.85546875" defaultRowHeight="15.75"/>
  <cols>
    <col min="1" max="1" width="12.28515625" style="1157" customWidth="1"/>
    <col min="2" max="2" width="92.7109375" style="1156" bestFit="1" customWidth="1"/>
    <col min="3" max="3" width="15.42578125" style="1156" customWidth="1"/>
    <col min="4" max="4" width="18.140625" style="1158" customWidth="1"/>
    <col min="5" max="5" width="20.42578125" style="1159" customWidth="1"/>
    <col min="6" max="6" width="16.28515625" style="1160" hidden="1" customWidth="1"/>
    <col min="7" max="7" width="15.28515625" style="1159" customWidth="1"/>
    <col min="8" max="8" width="14.5703125" style="1159" hidden="1" customWidth="1"/>
    <col min="9" max="9" width="14.85546875" style="1159" customWidth="1"/>
    <col min="10" max="10" width="12.7109375" style="1156" bestFit="1" customWidth="1"/>
    <col min="11" max="11" width="8.85546875" style="1156" customWidth="1"/>
    <col min="12" max="16384" width="8.85546875" style="1156"/>
  </cols>
  <sheetData>
    <row r="1" spans="1:9" ht="29.25" customHeight="1">
      <c r="A1" s="1773" t="s">
        <v>601</v>
      </c>
      <c r="B1" s="1773"/>
      <c r="C1" s="1773"/>
      <c r="D1" s="1773"/>
      <c r="E1" s="1773"/>
      <c r="F1" s="1773"/>
      <c r="G1" s="1773"/>
      <c r="H1" s="1773"/>
      <c r="I1" s="1773"/>
    </row>
    <row r="2" spans="1:9" ht="29.25" customHeight="1">
      <c r="A2" s="1773" t="s">
        <v>222</v>
      </c>
      <c r="B2" s="1773"/>
      <c r="C2" s="1773"/>
      <c r="D2" s="1773"/>
      <c r="E2" s="1773"/>
      <c r="F2" s="1773"/>
      <c r="G2" s="1773"/>
      <c r="H2" s="1773"/>
      <c r="I2" s="1773"/>
    </row>
    <row r="3" spans="1:9" ht="16.5" thickBot="1"/>
    <row r="4" spans="1:9" ht="28.5" customHeight="1" thickBot="1">
      <c r="A4" s="1796" t="s">
        <v>526</v>
      </c>
      <c r="B4" s="1798" t="s">
        <v>223</v>
      </c>
      <c r="C4" s="1800" t="s">
        <v>571</v>
      </c>
      <c r="D4" s="1800"/>
      <c r="E4" s="1800"/>
      <c r="F4" s="1801"/>
      <c r="G4" s="1791" t="s">
        <v>864</v>
      </c>
      <c r="H4" s="1789" t="s">
        <v>865</v>
      </c>
      <c r="I4" s="1791" t="s">
        <v>866</v>
      </c>
    </row>
    <row r="5" spans="1:9" ht="41.45" customHeight="1" thickTop="1" thickBot="1">
      <c r="A5" s="1797"/>
      <c r="B5" s="1799"/>
      <c r="C5" s="1793" t="s">
        <v>867</v>
      </c>
      <c r="D5" s="1793"/>
      <c r="E5" s="1129" t="s">
        <v>527</v>
      </c>
      <c r="F5" s="1140" t="s">
        <v>927</v>
      </c>
      <c r="G5" s="1792"/>
      <c r="H5" s="1790"/>
      <c r="I5" s="1792"/>
    </row>
    <row r="6" spans="1:9" ht="23.25" customHeight="1">
      <c r="A6" s="1252" t="s">
        <v>224</v>
      </c>
      <c r="B6" s="1141" t="s">
        <v>225</v>
      </c>
      <c r="C6" s="1161"/>
      <c r="D6" s="1162"/>
      <c r="E6" s="1163"/>
      <c r="F6" s="1164"/>
      <c r="G6" s="1165"/>
      <c r="H6" s="1166"/>
      <c r="I6" s="1165"/>
    </row>
    <row r="7" spans="1:9">
      <c r="A7" s="1253" t="s">
        <v>226</v>
      </c>
      <c r="B7" s="1167" t="s">
        <v>928</v>
      </c>
      <c r="C7" s="1168">
        <v>56.73</v>
      </c>
      <c r="D7" s="1169" t="s">
        <v>227</v>
      </c>
      <c r="E7" s="1170">
        <v>5450000</v>
      </c>
      <c r="F7" s="1171"/>
      <c r="G7" s="1172"/>
      <c r="H7" s="1173"/>
      <c r="I7" s="1172"/>
    </row>
    <row r="8" spans="1:9">
      <c r="A8" s="1253"/>
      <c r="B8" s="1148" t="s">
        <v>602</v>
      </c>
      <c r="C8" s="1168">
        <v>58.37</v>
      </c>
      <c r="D8" s="1169" t="s">
        <v>227</v>
      </c>
      <c r="E8" s="1170">
        <v>4580000</v>
      </c>
      <c r="F8" s="1174">
        <f>(C8*E8)/12*2</f>
        <v>44555766.666666664</v>
      </c>
      <c r="G8" s="1175">
        <v>44556</v>
      </c>
      <c r="H8" s="1176"/>
      <c r="I8" s="1175"/>
    </row>
    <row r="9" spans="1:9">
      <c r="A9" s="1253"/>
      <c r="B9" s="1148" t="s">
        <v>603</v>
      </c>
      <c r="C9" s="1168">
        <v>56.7</v>
      </c>
      <c r="D9" s="1169" t="s">
        <v>227</v>
      </c>
      <c r="E9" s="1170">
        <v>5450000</v>
      </c>
      <c r="F9" s="1174">
        <f>(C9*E9)/12*10</f>
        <v>257512500</v>
      </c>
      <c r="G9" s="1175">
        <v>257649</v>
      </c>
      <c r="H9" s="1176">
        <f>C9*E9</f>
        <v>309015000</v>
      </c>
      <c r="I9" s="1175">
        <v>309178</v>
      </c>
    </row>
    <row r="10" spans="1:9">
      <c r="A10" s="1253"/>
      <c r="B10" s="1177" t="s">
        <v>604</v>
      </c>
      <c r="C10" s="1178"/>
      <c r="D10" s="1179"/>
      <c r="E10" s="1180"/>
      <c r="F10" s="1171">
        <f>F8+F9</f>
        <v>302068266.66666669</v>
      </c>
      <c r="G10" s="1172">
        <f>G8+G9</f>
        <v>302205</v>
      </c>
      <c r="H10" s="1173">
        <f>H9</f>
        <v>309015000</v>
      </c>
      <c r="I10" s="1172">
        <f>I8+I9</f>
        <v>309178</v>
      </c>
    </row>
    <row r="11" spans="1:9">
      <c r="A11" s="1253"/>
      <c r="B11" s="1182" t="s">
        <v>515</v>
      </c>
      <c r="C11" s="1168"/>
      <c r="D11" s="1169"/>
      <c r="E11" s="1170"/>
      <c r="F11" s="1174">
        <v>-107695914.03231999</v>
      </c>
      <c r="G11" s="1175">
        <v>-107696</v>
      </c>
      <c r="H11" s="1176">
        <v>-96436469</v>
      </c>
      <c r="I11" s="1175">
        <v>-96436</v>
      </c>
    </row>
    <row r="12" spans="1:9">
      <c r="A12" s="1253"/>
      <c r="B12" s="1181" t="s">
        <v>228</v>
      </c>
      <c r="C12" s="1168"/>
      <c r="D12" s="1169"/>
      <c r="E12" s="1170"/>
      <c r="F12" s="1171">
        <f>F10+F11</f>
        <v>194372352.63434669</v>
      </c>
      <c r="G12" s="1172">
        <f>G10+G11</f>
        <v>194509</v>
      </c>
      <c r="H12" s="1173">
        <f>H10+H11</f>
        <v>212578531</v>
      </c>
      <c r="I12" s="1172">
        <f>I10+I11</f>
        <v>212742</v>
      </c>
    </row>
    <row r="13" spans="1:9">
      <c r="A13" s="1254" t="s">
        <v>230</v>
      </c>
      <c r="B13" s="1182" t="s">
        <v>605</v>
      </c>
      <c r="C13" s="1483">
        <v>1706.3</v>
      </c>
      <c r="D13" s="1183" t="s">
        <v>231</v>
      </c>
      <c r="E13" s="1184">
        <v>25200</v>
      </c>
      <c r="F13" s="1171">
        <f>C13*E13</f>
        <v>42998760</v>
      </c>
      <c r="G13" s="1172">
        <v>42974</v>
      </c>
      <c r="H13" s="1173">
        <v>42998760</v>
      </c>
      <c r="I13" s="1172">
        <v>42999</v>
      </c>
    </row>
    <row r="14" spans="1:9">
      <c r="A14" s="1254"/>
      <c r="B14" s="1182" t="s">
        <v>515</v>
      </c>
      <c r="C14" s="1483"/>
      <c r="D14" s="1183"/>
      <c r="E14" s="1184"/>
      <c r="F14" s="1174">
        <v>-42973560</v>
      </c>
      <c r="G14" s="1175">
        <v>-42974</v>
      </c>
      <c r="H14" s="1176">
        <v>-42998760</v>
      </c>
      <c r="I14" s="1175">
        <v>-42999</v>
      </c>
    </row>
    <row r="15" spans="1:9">
      <c r="A15" s="1254" t="s">
        <v>232</v>
      </c>
      <c r="B15" s="1182" t="s">
        <v>606</v>
      </c>
      <c r="C15" s="1484">
        <v>212.1</v>
      </c>
      <c r="D15" s="1183" t="s">
        <v>233</v>
      </c>
      <c r="E15" s="1184">
        <v>400000</v>
      </c>
      <c r="F15" s="1171">
        <v>83760000</v>
      </c>
      <c r="G15" s="1172">
        <v>83760</v>
      </c>
      <c r="H15" s="1173">
        <v>84840000</v>
      </c>
      <c r="I15" s="1172">
        <v>84840</v>
      </c>
    </row>
    <row r="16" spans="1:9">
      <c r="A16" s="1254"/>
      <c r="B16" s="1182" t="s">
        <v>515</v>
      </c>
      <c r="C16" s="1168"/>
      <c r="D16" s="1183"/>
      <c r="E16" s="1184"/>
      <c r="F16" s="1174">
        <v>-83760000</v>
      </c>
      <c r="G16" s="1175">
        <v>-83760</v>
      </c>
      <c r="H16" s="1176">
        <v>-84840000</v>
      </c>
      <c r="I16" s="1175">
        <v>-84840</v>
      </c>
    </row>
    <row r="17" spans="1:10">
      <c r="A17" s="1254" t="s">
        <v>234</v>
      </c>
      <c r="B17" s="1182" t="s">
        <v>607</v>
      </c>
      <c r="C17" s="1185">
        <f>F17/E17</f>
        <v>129404</v>
      </c>
      <c r="D17" s="1183" t="s">
        <v>235</v>
      </c>
      <c r="E17" s="1184">
        <v>104</v>
      </c>
      <c r="F17" s="1171">
        <v>13458016</v>
      </c>
      <c r="G17" s="1172">
        <v>13458</v>
      </c>
      <c r="H17" s="1173">
        <v>13458016</v>
      </c>
      <c r="I17" s="1172">
        <v>13458</v>
      </c>
    </row>
    <row r="18" spans="1:10">
      <c r="A18" s="1254"/>
      <c r="B18" s="1182" t="s">
        <v>515</v>
      </c>
      <c r="C18" s="1185"/>
      <c r="D18" s="1183"/>
      <c r="E18" s="1184"/>
      <c r="F18" s="1174">
        <v>-13458016</v>
      </c>
      <c r="G18" s="1175">
        <v>-13458</v>
      </c>
      <c r="H18" s="1176">
        <v>-13458016</v>
      </c>
      <c r="I18" s="1175">
        <v>-13458</v>
      </c>
    </row>
    <row r="19" spans="1:10">
      <c r="A19" s="1254" t="s">
        <v>236</v>
      </c>
      <c r="B19" s="1182" t="s">
        <v>608</v>
      </c>
      <c r="C19" s="1168">
        <f>F19/E19</f>
        <v>102.41</v>
      </c>
      <c r="D19" s="1183" t="s">
        <v>233</v>
      </c>
      <c r="E19" s="1184">
        <v>295000</v>
      </c>
      <c r="F19" s="1171">
        <v>30210950</v>
      </c>
      <c r="G19" s="1172">
        <v>30211</v>
      </c>
      <c r="H19" s="1173">
        <v>30210950</v>
      </c>
      <c r="I19" s="1172">
        <v>30211</v>
      </c>
    </row>
    <row r="20" spans="1:10">
      <c r="A20" s="1254"/>
      <c r="B20" s="1182" t="s">
        <v>515</v>
      </c>
      <c r="C20" s="1168"/>
      <c r="D20" s="1183"/>
      <c r="E20" s="1184"/>
      <c r="F20" s="1174">
        <v>-30210950</v>
      </c>
      <c r="G20" s="1175">
        <v>-30211</v>
      </c>
      <c r="H20" s="1176">
        <v>-30210950</v>
      </c>
      <c r="I20" s="1175">
        <v>-30211</v>
      </c>
    </row>
    <row r="21" spans="1:10">
      <c r="A21" s="1255" t="s">
        <v>229</v>
      </c>
      <c r="B21" s="1186" t="s">
        <v>237</v>
      </c>
      <c r="C21" s="1168"/>
      <c r="D21" s="1169"/>
      <c r="E21" s="1170"/>
      <c r="F21" s="1171">
        <f>SUM(F13:F20)</f>
        <v>25200</v>
      </c>
      <c r="G21" s="1172">
        <f>G13+G14+G15+G16+G17+G18+G19+G20</f>
        <v>0</v>
      </c>
      <c r="H21" s="1173">
        <f>H13+H14+H15+H16+H17+H18+H19+H20</f>
        <v>0</v>
      </c>
      <c r="I21" s="1172">
        <f>I13+I14+I15+I16+I17+I18+I19+I20</f>
        <v>0</v>
      </c>
    </row>
    <row r="22" spans="1:10">
      <c r="A22" s="1255" t="s">
        <v>238</v>
      </c>
      <c r="B22" s="1247" t="s">
        <v>929</v>
      </c>
      <c r="C22" s="1185">
        <v>23169</v>
      </c>
      <c r="D22" s="1169" t="s">
        <v>227</v>
      </c>
      <c r="E22" s="1170">
        <v>2700</v>
      </c>
      <c r="F22" s="1171">
        <f>C22*E22</f>
        <v>62556300</v>
      </c>
      <c r="G22" s="1172">
        <v>62556</v>
      </c>
      <c r="H22" s="1173">
        <v>62556300</v>
      </c>
      <c r="I22" s="1172">
        <v>62556</v>
      </c>
    </row>
    <row r="23" spans="1:10">
      <c r="A23" s="1255"/>
      <c r="B23" s="1182" t="s">
        <v>515</v>
      </c>
      <c r="C23" s="1185"/>
      <c r="D23" s="1169"/>
      <c r="E23" s="1170"/>
      <c r="F23" s="1174">
        <v>-62556300</v>
      </c>
      <c r="G23" s="1175">
        <v>-62556</v>
      </c>
      <c r="H23" s="1176">
        <v>-62556300</v>
      </c>
      <c r="I23" s="1175">
        <v>-62556</v>
      </c>
    </row>
    <row r="24" spans="1:10" ht="30" customHeight="1">
      <c r="A24" s="1255" t="s">
        <v>239</v>
      </c>
      <c r="B24" s="1186" t="s">
        <v>240</v>
      </c>
      <c r="C24" s="1168">
        <v>527</v>
      </c>
      <c r="D24" s="1169" t="s">
        <v>227</v>
      </c>
      <c r="E24" s="1170">
        <v>2550</v>
      </c>
      <c r="F24" s="1171">
        <f>C24*E24</f>
        <v>1343850</v>
      </c>
      <c r="G24" s="1172">
        <v>1344</v>
      </c>
      <c r="H24" s="1173">
        <v>1060800</v>
      </c>
      <c r="I24" s="1172">
        <v>1061</v>
      </c>
    </row>
    <row r="25" spans="1:10">
      <c r="A25" s="1255"/>
      <c r="B25" s="1182" t="s">
        <v>515</v>
      </c>
      <c r="C25" s="1168"/>
      <c r="D25" s="1169"/>
      <c r="E25" s="1170"/>
      <c r="F25" s="1174">
        <v>-1343850</v>
      </c>
      <c r="G25" s="1175">
        <v>-1344</v>
      </c>
      <c r="H25" s="1176">
        <v>-1060800</v>
      </c>
      <c r="I25" s="1175">
        <v>-1061</v>
      </c>
    </row>
    <row r="26" spans="1:10" ht="34.5" customHeight="1">
      <c r="A26" s="1255" t="s">
        <v>241</v>
      </c>
      <c r="B26" s="1186" t="s">
        <v>930</v>
      </c>
      <c r="C26" s="1187">
        <v>46767280</v>
      </c>
      <c r="D26" s="1188" t="s">
        <v>868</v>
      </c>
      <c r="E26" s="1189">
        <v>1</v>
      </c>
      <c r="F26" s="1190">
        <f>C26*E26</f>
        <v>46767280</v>
      </c>
      <c r="G26" s="1172">
        <v>46767</v>
      </c>
      <c r="H26" s="1173">
        <v>46767280</v>
      </c>
      <c r="I26" s="1172">
        <v>46767</v>
      </c>
    </row>
    <row r="27" spans="1:10">
      <c r="A27" s="1255"/>
      <c r="B27" s="1182" t="s">
        <v>515</v>
      </c>
      <c r="C27" s="1187"/>
      <c r="D27" s="1191"/>
      <c r="E27" s="1189"/>
      <c r="F27" s="1192">
        <v>-46767280</v>
      </c>
      <c r="G27" s="1175">
        <v>-46767</v>
      </c>
      <c r="H27" s="1176">
        <v>-46767280</v>
      </c>
      <c r="I27" s="1175">
        <v>-46767</v>
      </c>
    </row>
    <row r="28" spans="1:10">
      <c r="A28" s="1255" t="s">
        <v>516</v>
      </c>
      <c r="B28" s="1248" t="s">
        <v>869</v>
      </c>
      <c r="C28" s="1193"/>
      <c r="D28" s="1194"/>
      <c r="E28" s="1195"/>
      <c r="F28" s="1196">
        <v>388765870.03231966</v>
      </c>
      <c r="G28" s="1197">
        <v>388766</v>
      </c>
      <c r="H28" s="1198">
        <v>378328575</v>
      </c>
      <c r="I28" s="1197">
        <v>378329</v>
      </c>
    </row>
    <row r="29" spans="1:10" ht="30.75" customHeight="1">
      <c r="A29" s="1255" t="s">
        <v>242</v>
      </c>
      <c r="B29" s="1142" t="s">
        <v>609</v>
      </c>
      <c r="C29" s="1142"/>
      <c r="D29" s="1142"/>
      <c r="E29" s="1136"/>
      <c r="F29" s="1143">
        <f>F10+F13+F15+F17+F19+F22+F24+F26</f>
        <v>583163422.66666675</v>
      </c>
      <c r="G29" s="1144">
        <f>G10+G13+G15+G17+G19+G22+G24+G26</f>
        <v>583275</v>
      </c>
      <c r="H29" s="1137">
        <f>H10+H13+H15+H17+H19+H22+H24+H26</f>
        <v>590907106</v>
      </c>
      <c r="I29" s="1138">
        <f>I10+I13+I15+I17+I19+I22+I24+I26</f>
        <v>591070</v>
      </c>
    </row>
    <row r="30" spans="1:10" ht="30" customHeight="1">
      <c r="A30" s="1255" t="s">
        <v>224</v>
      </c>
      <c r="B30" s="1145" t="s">
        <v>610</v>
      </c>
      <c r="C30" s="1145"/>
      <c r="D30" s="1145"/>
      <c r="E30" s="1133"/>
      <c r="F30" s="1146">
        <f>F10+F11+F13+F14+F15+F16+F17+F18+F19+F20+F22+F23+F24+F25+F26+F27</f>
        <v>194397552.63434672</v>
      </c>
      <c r="G30" s="1134">
        <f>G10+G11+G13+G14+G15+G16+G17+G18+G19+G20+G22+G23+G24+G25+G26+G27</f>
        <v>194509</v>
      </c>
      <c r="H30" s="1135">
        <v>212742031</v>
      </c>
      <c r="I30" s="1134">
        <v>212742</v>
      </c>
      <c r="J30" s="1199"/>
    </row>
    <row r="31" spans="1:10" ht="27.75" customHeight="1">
      <c r="A31" s="1255" t="s">
        <v>250</v>
      </c>
      <c r="B31" s="1141" t="s">
        <v>611</v>
      </c>
      <c r="C31" s="1141"/>
      <c r="D31" s="1141"/>
      <c r="E31" s="1130"/>
      <c r="F31" s="1147"/>
      <c r="G31" s="1139"/>
      <c r="H31" s="1131"/>
      <c r="I31" s="1132"/>
    </row>
    <row r="32" spans="1:10" ht="31.5" customHeight="1">
      <c r="A32" s="1255" t="s">
        <v>243</v>
      </c>
      <c r="B32" s="1148" t="s">
        <v>612</v>
      </c>
      <c r="C32" s="1200">
        <v>50.1</v>
      </c>
      <c r="D32" s="1201" t="s">
        <v>227</v>
      </c>
      <c r="E32" s="1202">
        <v>4371500</v>
      </c>
      <c r="F32" s="1192">
        <f>C32*E32</f>
        <v>219012150</v>
      </c>
      <c r="G32" s="1165">
        <v>219012</v>
      </c>
      <c r="H32" s="1203">
        <f>E32*C32+437150</f>
        <v>219449300</v>
      </c>
      <c r="I32" s="1204">
        <f>H32/1000</f>
        <v>219449.3</v>
      </c>
    </row>
    <row r="33" spans="1:9" ht="30" customHeight="1">
      <c r="A33" s="1255"/>
      <c r="B33" s="1148" t="s">
        <v>613</v>
      </c>
      <c r="C33" s="1205">
        <v>34</v>
      </c>
      <c r="D33" s="1201" t="s">
        <v>227</v>
      </c>
      <c r="E33" s="1202">
        <v>2400000</v>
      </c>
      <c r="F33" s="1192">
        <f>C33*E33</f>
        <v>81600000</v>
      </c>
      <c r="G33" s="1204">
        <v>81600</v>
      </c>
      <c r="H33" s="1203">
        <f>E33*C33</f>
        <v>81600000</v>
      </c>
      <c r="I33" s="1204">
        <f>H33/1000</f>
        <v>81600</v>
      </c>
    </row>
    <row r="34" spans="1:9" ht="32.25" customHeight="1">
      <c r="A34" s="1255" t="s">
        <v>614</v>
      </c>
      <c r="B34" s="1149" t="s">
        <v>244</v>
      </c>
      <c r="C34" s="1200"/>
      <c r="D34" s="1201"/>
      <c r="E34" s="1202"/>
      <c r="F34" s="1190">
        <f>SUM(F32:F33)</f>
        <v>300612150</v>
      </c>
      <c r="G34" s="1206">
        <f>G32+G33</f>
        <v>300612</v>
      </c>
      <c r="H34" s="1207">
        <f>H32+H33</f>
        <v>301049300</v>
      </c>
      <c r="I34" s="1206">
        <f>I32+I33</f>
        <v>301049.3</v>
      </c>
    </row>
    <row r="35" spans="1:9">
      <c r="A35" s="1256" t="s">
        <v>245</v>
      </c>
      <c r="B35" s="1208" t="s">
        <v>246</v>
      </c>
      <c r="C35" s="1168"/>
      <c r="D35" s="1169"/>
      <c r="E35" s="1170"/>
      <c r="F35" s="1174"/>
      <c r="G35" s="1209"/>
      <c r="H35" s="1210"/>
      <c r="I35" s="1209"/>
    </row>
    <row r="36" spans="1:9" ht="31.5">
      <c r="A36" s="1257" t="s">
        <v>615</v>
      </c>
      <c r="B36" s="1211" t="s">
        <v>616</v>
      </c>
      <c r="C36" s="1200">
        <v>540</v>
      </c>
      <c r="D36" s="1201" t="s">
        <v>227</v>
      </c>
      <c r="E36" s="1202">
        <v>97400</v>
      </c>
      <c r="F36" s="1192">
        <f>(C36*E36)*8/12</f>
        <v>35064000</v>
      </c>
      <c r="G36" s="1204">
        <v>35064</v>
      </c>
      <c r="H36" s="1203">
        <f>(C36*E36)/12*8+68180</f>
        <v>35132180</v>
      </c>
      <c r="I36" s="1204">
        <f>H36/1000</f>
        <v>35132.18</v>
      </c>
    </row>
    <row r="37" spans="1:9" ht="31.5">
      <c r="A37" s="1256"/>
      <c r="B37" s="1212" t="s">
        <v>617</v>
      </c>
      <c r="C37" s="1200">
        <v>540</v>
      </c>
      <c r="D37" s="1201" t="s">
        <v>227</v>
      </c>
      <c r="E37" s="1202">
        <v>97400</v>
      </c>
      <c r="F37" s="1192">
        <f>(C37*E37)*4/12</f>
        <v>17532000</v>
      </c>
      <c r="G37" s="1204">
        <v>17532</v>
      </c>
      <c r="H37" s="1203">
        <f>(C37*E37)/12*4</f>
        <v>17532000</v>
      </c>
      <c r="I37" s="1204">
        <f>H37/1000</f>
        <v>17532</v>
      </c>
    </row>
    <row r="38" spans="1:9">
      <c r="A38" s="1256"/>
      <c r="B38" s="1208" t="s">
        <v>247</v>
      </c>
      <c r="C38" s="1168"/>
      <c r="D38" s="1169"/>
      <c r="E38" s="1170"/>
      <c r="F38" s="1171">
        <f>SUM(F36:F37)</f>
        <v>52596000</v>
      </c>
      <c r="G38" s="1213">
        <f>G36+G37</f>
        <v>52596</v>
      </c>
      <c r="H38" s="1214">
        <f>H36+H37</f>
        <v>52664180</v>
      </c>
      <c r="I38" s="1213">
        <f>I36+I37</f>
        <v>52664.18</v>
      </c>
    </row>
    <row r="39" spans="1:9">
      <c r="A39" s="1255" t="s">
        <v>248</v>
      </c>
      <c r="B39" s="1186" t="s">
        <v>249</v>
      </c>
      <c r="C39" s="1200"/>
      <c r="D39" s="1201"/>
      <c r="E39" s="1202"/>
      <c r="F39" s="1192"/>
      <c r="G39" s="1204"/>
      <c r="H39" s="1203"/>
      <c r="I39" s="1204"/>
    </row>
    <row r="40" spans="1:9">
      <c r="A40" s="1255"/>
      <c r="B40" s="1148" t="s">
        <v>870</v>
      </c>
      <c r="C40" s="1200">
        <v>24</v>
      </c>
      <c r="D40" s="1201" t="s">
        <v>227</v>
      </c>
      <c r="E40" s="1202">
        <v>396700</v>
      </c>
      <c r="F40" s="1190">
        <f>C40*E40</f>
        <v>9520800</v>
      </c>
      <c r="G40" s="1206">
        <v>9521</v>
      </c>
      <c r="H40" s="1207">
        <f>C40*E40</f>
        <v>9520800</v>
      </c>
      <c r="I40" s="1206">
        <v>9521</v>
      </c>
    </row>
    <row r="41" spans="1:9">
      <c r="A41" s="1255"/>
      <c r="B41" s="1249" t="s">
        <v>871</v>
      </c>
      <c r="C41" s="1200">
        <v>1</v>
      </c>
      <c r="D41" s="1201" t="s">
        <v>227</v>
      </c>
      <c r="E41" s="1202">
        <v>363642</v>
      </c>
      <c r="F41" s="1190">
        <f>C41*E41</f>
        <v>363642</v>
      </c>
      <c r="G41" s="1206">
        <v>0</v>
      </c>
      <c r="H41" s="1207">
        <v>363642</v>
      </c>
      <c r="I41" s="1206">
        <v>364</v>
      </c>
    </row>
    <row r="42" spans="1:9" ht="23.25" customHeight="1">
      <c r="A42" s="1255" t="s">
        <v>250</v>
      </c>
      <c r="B42" s="1250" t="s">
        <v>611</v>
      </c>
      <c r="C42" s="1200"/>
      <c r="D42" s="1201"/>
      <c r="E42" s="1202"/>
      <c r="F42" s="1190">
        <f>F34+F38+F40</f>
        <v>362728950</v>
      </c>
      <c r="G42" s="1206">
        <f>G34+G38+G40</f>
        <v>362729</v>
      </c>
      <c r="H42" s="1207">
        <f>H34+H38+H40</f>
        <v>363234280</v>
      </c>
      <c r="I42" s="1206">
        <v>363598</v>
      </c>
    </row>
    <row r="43" spans="1:9" ht="35.25" customHeight="1">
      <c r="A43" s="1255" t="s">
        <v>618</v>
      </c>
      <c r="B43" s="1794" t="s">
        <v>619</v>
      </c>
      <c r="C43" s="1795"/>
      <c r="D43" s="1201"/>
      <c r="E43" s="1202"/>
      <c r="F43" s="1190"/>
      <c r="G43" s="1206"/>
      <c r="H43" s="1207"/>
      <c r="I43" s="1206"/>
    </row>
    <row r="44" spans="1:9" ht="31.5">
      <c r="A44" s="1253" t="s">
        <v>251</v>
      </c>
      <c r="B44" s="1153" t="s">
        <v>620</v>
      </c>
      <c r="C44" s="1200"/>
      <c r="D44" s="1201"/>
      <c r="E44" s="1202"/>
      <c r="F44" s="1190">
        <v>0</v>
      </c>
      <c r="G44" s="1204">
        <v>0</v>
      </c>
      <c r="H44" s="1203"/>
      <c r="I44" s="1204">
        <v>0</v>
      </c>
    </row>
    <row r="45" spans="1:9">
      <c r="A45" s="1254" t="s">
        <v>621</v>
      </c>
      <c r="B45" s="1215" t="s">
        <v>622</v>
      </c>
      <c r="C45" s="1200"/>
      <c r="D45" s="1201"/>
      <c r="E45" s="1202"/>
      <c r="F45" s="1192"/>
      <c r="G45" s="1204"/>
      <c r="H45" s="1203"/>
      <c r="I45" s="1204"/>
    </row>
    <row r="46" spans="1:9">
      <c r="A46" s="1255" t="s">
        <v>623</v>
      </c>
      <c r="B46" s="1216" t="s">
        <v>624</v>
      </c>
      <c r="C46" s="1200">
        <v>8.3000000000000007</v>
      </c>
      <c r="D46" s="1201" t="s">
        <v>227</v>
      </c>
      <c r="E46" s="1202">
        <v>3780000</v>
      </c>
      <c r="F46" s="1192"/>
      <c r="G46" s="1204"/>
      <c r="H46" s="1203"/>
      <c r="I46" s="1204"/>
    </row>
    <row r="47" spans="1:9">
      <c r="A47" s="1255"/>
      <c r="B47" s="1148" t="s">
        <v>625</v>
      </c>
      <c r="C47" s="1200">
        <v>8.4</v>
      </c>
      <c r="D47" s="1201" t="s">
        <v>227</v>
      </c>
      <c r="E47" s="1202">
        <v>3400000</v>
      </c>
      <c r="F47" s="1192">
        <f>C47*E47/12*2</f>
        <v>4760000</v>
      </c>
      <c r="G47" s="1204"/>
      <c r="H47" s="1203"/>
      <c r="I47" s="1204"/>
    </row>
    <row r="48" spans="1:9">
      <c r="A48" s="1255"/>
      <c r="B48" s="1148" t="s">
        <v>626</v>
      </c>
      <c r="C48" s="1200">
        <v>8.3000000000000007</v>
      </c>
      <c r="D48" s="1201" t="s">
        <v>227</v>
      </c>
      <c r="E48" s="1202">
        <v>3780000</v>
      </c>
      <c r="F48" s="1192">
        <f>C48*E48/12*10</f>
        <v>26145000.000000004</v>
      </c>
      <c r="G48" s="1204"/>
      <c r="H48" s="1203"/>
      <c r="I48" s="1204"/>
    </row>
    <row r="49" spans="1:11">
      <c r="A49" s="1255"/>
      <c r="B49" s="1177" t="s">
        <v>627</v>
      </c>
      <c r="C49" s="1217"/>
      <c r="D49" s="1218"/>
      <c r="E49" s="1219"/>
      <c r="F49" s="1190">
        <f>F47+F48</f>
        <v>30905000.000000004</v>
      </c>
      <c r="G49" s="1206">
        <v>28560</v>
      </c>
      <c r="H49" s="1207">
        <f>28560000+2814000</f>
        <v>31374000</v>
      </c>
      <c r="I49" s="1206">
        <f>H49/1000</f>
        <v>31374</v>
      </c>
      <c r="J49" s="1199"/>
    </row>
    <row r="50" spans="1:11">
      <c r="A50" s="1255" t="s">
        <v>628</v>
      </c>
      <c r="B50" s="1148" t="s">
        <v>629</v>
      </c>
      <c r="C50" s="1200">
        <v>5.9</v>
      </c>
      <c r="D50" s="1201" t="s">
        <v>227</v>
      </c>
      <c r="E50" s="1202">
        <v>3300000</v>
      </c>
      <c r="F50" s="1192">
        <f>C50*E50</f>
        <v>19470000</v>
      </c>
      <c r="G50" s="1204">
        <v>19470</v>
      </c>
      <c r="H50" s="1203">
        <v>19470000</v>
      </c>
      <c r="I50" s="1204">
        <f>H50/1000</f>
        <v>19470</v>
      </c>
    </row>
    <row r="51" spans="1:11">
      <c r="A51" s="1255" t="s">
        <v>630</v>
      </c>
      <c r="B51" s="1216" t="s">
        <v>631</v>
      </c>
      <c r="C51" s="1200">
        <v>69</v>
      </c>
      <c r="D51" s="1201" t="s">
        <v>227</v>
      </c>
      <c r="E51" s="1202">
        <f>65360*1.1</f>
        <v>71896</v>
      </c>
      <c r="F51" s="1192">
        <f>C51*E51</f>
        <v>4960824</v>
      </c>
      <c r="G51" s="1204">
        <v>4961</v>
      </c>
      <c r="H51" s="1203">
        <f>4960824+3666696</f>
        <v>8627520</v>
      </c>
      <c r="I51" s="1204">
        <f>H51/1000</f>
        <v>8627.52</v>
      </c>
    </row>
    <row r="52" spans="1:11">
      <c r="A52" s="1255" t="s">
        <v>632</v>
      </c>
      <c r="B52" s="1148" t="s">
        <v>931</v>
      </c>
      <c r="C52" s="1200">
        <v>0</v>
      </c>
      <c r="D52" s="1201" t="s">
        <v>227</v>
      </c>
      <c r="E52" s="1202"/>
      <c r="F52" s="1192"/>
      <c r="G52" s="1204">
        <v>0</v>
      </c>
      <c r="H52" s="1203"/>
      <c r="I52" s="1204">
        <v>0</v>
      </c>
    </row>
    <row r="53" spans="1:11" ht="38.25" customHeight="1">
      <c r="A53" s="1255" t="s">
        <v>633</v>
      </c>
      <c r="B53" s="1148" t="s">
        <v>932</v>
      </c>
      <c r="C53" s="1200">
        <v>21</v>
      </c>
      <c r="D53" s="1201" t="s">
        <v>227</v>
      </c>
      <c r="E53" s="1202">
        <f>330000*1.3</f>
        <v>429000</v>
      </c>
      <c r="F53" s="1192">
        <f t="shared" ref="F53:F61" si="0">C53*E53</f>
        <v>9009000</v>
      </c>
      <c r="G53" s="1204">
        <v>9009</v>
      </c>
      <c r="H53" s="1203">
        <v>9009000</v>
      </c>
      <c r="I53" s="1204">
        <v>9009</v>
      </c>
    </row>
    <row r="54" spans="1:11" ht="34.5" customHeight="1">
      <c r="A54" s="1255" t="s">
        <v>634</v>
      </c>
      <c r="B54" s="1150" t="s">
        <v>635</v>
      </c>
      <c r="C54" s="1200">
        <v>50</v>
      </c>
      <c r="D54" s="1201" t="s">
        <v>227</v>
      </c>
      <c r="E54" s="1202">
        <f>190000*1.5</f>
        <v>285000</v>
      </c>
      <c r="F54" s="1192">
        <f t="shared" si="0"/>
        <v>14250000</v>
      </c>
      <c r="G54" s="1204">
        <v>14250</v>
      </c>
      <c r="H54" s="1203">
        <v>14250000</v>
      </c>
      <c r="I54" s="1204">
        <v>14250</v>
      </c>
    </row>
    <row r="55" spans="1:11" ht="35.25" customHeight="1">
      <c r="A55" s="1255" t="s">
        <v>636</v>
      </c>
      <c r="B55" s="1148" t="s">
        <v>637</v>
      </c>
      <c r="C55" s="1200">
        <v>32</v>
      </c>
      <c r="D55" s="1201" t="s">
        <v>227</v>
      </c>
      <c r="E55" s="1202">
        <f>689000*1.1</f>
        <v>757900.00000000012</v>
      </c>
      <c r="F55" s="1192">
        <f t="shared" si="0"/>
        <v>24252800.000000004</v>
      </c>
      <c r="G55" s="1204">
        <v>24253</v>
      </c>
      <c r="H55" s="1203">
        <v>24252800</v>
      </c>
      <c r="I55" s="1204">
        <v>24253</v>
      </c>
    </row>
    <row r="56" spans="1:11" ht="40.5" customHeight="1">
      <c r="A56" s="1255" t="s">
        <v>638</v>
      </c>
      <c r="B56" s="1148" t="s">
        <v>872</v>
      </c>
      <c r="C56" s="1200">
        <v>35</v>
      </c>
      <c r="D56" s="1201" t="s">
        <v>227</v>
      </c>
      <c r="E56" s="1202">
        <f>239100*1.2</f>
        <v>286920</v>
      </c>
      <c r="F56" s="1192">
        <f t="shared" si="0"/>
        <v>10042200</v>
      </c>
      <c r="G56" s="1204">
        <v>10042</v>
      </c>
      <c r="H56" s="1203">
        <v>10042200</v>
      </c>
      <c r="I56" s="1204">
        <v>10042</v>
      </c>
    </row>
    <row r="57" spans="1:11" ht="37.5" customHeight="1">
      <c r="A57" s="1255" t="s">
        <v>639</v>
      </c>
      <c r="B57" s="1148" t="s">
        <v>873</v>
      </c>
      <c r="C57" s="1200">
        <v>32</v>
      </c>
      <c r="D57" s="1201" t="s">
        <v>255</v>
      </c>
      <c r="E57" s="1202">
        <f>569350*1.1</f>
        <v>626285</v>
      </c>
      <c r="F57" s="1192">
        <f t="shared" si="0"/>
        <v>20041120</v>
      </c>
      <c r="G57" s="1204">
        <v>20041</v>
      </c>
      <c r="H57" s="1203">
        <v>20041120</v>
      </c>
      <c r="I57" s="1204">
        <v>20041</v>
      </c>
    </row>
    <row r="58" spans="1:11" ht="36" customHeight="1">
      <c r="A58" s="1255" t="s">
        <v>640</v>
      </c>
      <c r="B58" s="1148" t="s">
        <v>641</v>
      </c>
      <c r="C58" s="1220">
        <v>1</v>
      </c>
      <c r="D58" s="1221" t="s">
        <v>528</v>
      </c>
      <c r="E58" s="1202">
        <v>3000000</v>
      </c>
      <c r="F58" s="1192">
        <f t="shared" si="0"/>
        <v>3000000</v>
      </c>
      <c r="G58" s="1204">
        <v>3000</v>
      </c>
      <c r="H58" s="1203">
        <v>3000000</v>
      </c>
      <c r="I58" s="1204">
        <v>3000</v>
      </c>
    </row>
    <row r="59" spans="1:11" ht="26.25" customHeight="1">
      <c r="A59" s="1255"/>
      <c r="B59" s="1148" t="s">
        <v>517</v>
      </c>
      <c r="C59" s="1200">
        <v>5339</v>
      </c>
      <c r="D59" s="1191" t="s">
        <v>256</v>
      </c>
      <c r="E59" s="1202">
        <v>2500</v>
      </c>
      <c r="F59" s="1192">
        <f t="shared" si="0"/>
        <v>13347500</v>
      </c>
      <c r="G59" s="1204">
        <v>13347</v>
      </c>
      <c r="H59" s="1203">
        <v>13347500</v>
      </c>
      <c r="I59" s="1204">
        <v>13347</v>
      </c>
    </row>
    <row r="60" spans="1:11" ht="36.75" customHeight="1">
      <c r="A60" s="1255" t="s">
        <v>642</v>
      </c>
      <c r="B60" s="1148" t="s">
        <v>518</v>
      </c>
      <c r="C60" s="1220">
        <v>1</v>
      </c>
      <c r="D60" s="1221" t="s">
        <v>528</v>
      </c>
      <c r="E60" s="1202">
        <v>2000000</v>
      </c>
      <c r="F60" s="1192">
        <f t="shared" si="0"/>
        <v>2000000</v>
      </c>
      <c r="G60" s="1204">
        <v>2000</v>
      </c>
      <c r="H60" s="1203">
        <v>2000000</v>
      </c>
      <c r="I60" s="1204">
        <v>2000</v>
      </c>
    </row>
    <row r="61" spans="1:11" ht="20.25" customHeight="1">
      <c r="A61" s="1255"/>
      <c r="B61" s="1148" t="s">
        <v>257</v>
      </c>
      <c r="C61" s="1200">
        <v>40</v>
      </c>
      <c r="D61" s="1222" t="s">
        <v>258</v>
      </c>
      <c r="E61" s="1202">
        <v>196000</v>
      </c>
      <c r="F61" s="1192">
        <f t="shared" si="0"/>
        <v>7840000</v>
      </c>
      <c r="G61" s="1204">
        <v>7840</v>
      </c>
      <c r="H61" s="1203">
        <v>7840000</v>
      </c>
      <c r="I61" s="1204">
        <v>7840</v>
      </c>
    </row>
    <row r="62" spans="1:11" ht="60" customHeight="1">
      <c r="A62" s="1255" t="s">
        <v>643</v>
      </c>
      <c r="B62" s="1148" t="s">
        <v>259</v>
      </c>
      <c r="C62" s="1778" t="s">
        <v>644</v>
      </c>
      <c r="D62" s="1778"/>
      <c r="E62" s="1778"/>
      <c r="F62" s="1192">
        <v>0</v>
      </c>
      <c r="G62" s="1204">
        <v>0</v>
      </c>
      <c r="H62" s="1203">
        <v>26721837</v>
      </c>
      <c r="I62" s="1204">
        <v>26722</v>
      </c>
    </row>
    <row r="63" spans="1:11">
      <c r="A63" s="1255" t="s">
        <v>621</v>
      </c>
      <c r="B63" s="1215" t="s">
        <v>645</v>
      </c>
      <c r="C63" s="1200"/>
      <c r="D63" s="1201"/>
      <c r="E63" s="1202"/>
      <c r="F63" s="1171">
        <f>F49+F50+F51+F52+F53+F54+F55+F56+F57+F58+F59+F60+F61+F62</f>
        <v>159118444</v>
      </c>
      <c r="G63" s="1213">
        <f>G49+G50+G51+G52+G53+G54+G55+G56+G57+G58+G59+G60+G61+G62</f>
        <v>156773</v>
      </c>
      <c r="H63" s="1210">
        <f>H49+H50+H51+H52+H53+H54+H55+H56+H57+H58+H59+H60+H61+H62</f>
        <v>189975977</v>
      </c>
      <c r="I63" s="1213">
        <f>I49+I50+I51+I52+I53+I54+I55+I56+I57+I58+I59+I60+I61+I62</f>
        <v>189975.52000000002</v>
      </c>
      <c r="J63" s="1160"/>
      <c r="K63" s="1160"/>
    </row>
    <row r="64" spans="1:11">
      <c r="A64" s="1255" t="s">
        <v>252</v>
      </c>
      <c r="B64" s="1215" t="s">
        <v>646</v>
      </c>
      <c r="C64" s="1200"/>
      <c r="D64" s="1201"/>
      <c r="E64" s="1202"/>
      <c r="F64" s="1190"/>
      <c r="G64" s="1206"/>
      <c r="H64" s="1203"/>
      <c r="I64" s="1206"/>
      <c r="K64" s="1160"/>
    </row>
    <row r="65" spans="1:13">
      <c r="A65" s="1254" t="s">
        <v>253</v>
      </c>
      <c r="B65" s="1151" t="s">
        <v>265</v>
      </c>
      <c r="C65" s="1168">
        <v>3</v>
      </c>
      <c r="D65" s="1169" t="s">
        <v>227</v>
      </c>
      <c r="E65" s="1170">
        <v>4419000</v>
      </c>
      <c r="F65" s="1171">
        <f>C65*E65</f>
        <v>13257000</v>
      </c>
      <c r="G65" s="1213">
        <v>13257</v>
      </c>
      <c r="H65" s="1210">
        <f>13257000+7954200</f>
        <v>21211200</v>
      </c>
      <c r="I65" s="1213">
        <f>H65/1000</f>
        <v>21211.200000000001</v>
      </c>
      <c r="J65" s="1160"/>
      <c r="K65" s="1160"/>
    </row>
    <row r="66" spans="1:13">
      <c r="A66" s="1255"/>
      <c r="B66" s="1151" t="s">
        <v>647</v>
      </c>
      <c r="C66" s="1168">
        <v>16.600000000000001</v>
      </c>
      <c r="D66" s="1169" t="s">
        <v>227</v>
      </c>
      <c r="E66" s="1170">
        <v>2993000</v>
      </c>
      <c r="F66" s="1171">
        <f>C66*E66</f>
        <v>49683800.000000007</v>
      </c>
      <c r="G66" s="1213">
        <v>49684</v>
      </c>
      <c r="H66" s="1210">
        <f>49683800-3292300</f>
        <v>46391500</v>
      </c>
      <c r="I66" s="1213">
        <f>H66/1000</f>
        <v>46391.5</v>
      </c>
      <c r="J66" s="1160"/>
      <c r="L66" s="1160"/>
      <c r="M66" s="1160"/>
    </row>
    <row r="67" spans="1:13" s="1224" customFormat="1" ht="42" customHeight="1">
      <c r="A67" s="1254" t="s">
        <v>254</v>
      </c>
      <c r="B67" s="1151" t="s">
        <v>648</v>
      </c>
      <c r="C67" s="1777" t="s">
        <v>933</v>
      </c>
      <c r="D67" s="1777"/>
      <c r="E67" s="1777"/>
      <c r="F67" s="1223">
        <v>48719000</v>
      </c>
      <c r="G67" s="1213">
        <v>48719</v>
      </c>
      <c r="H67" s="1210">
        <f>F67+7100000</f>
        <v>55819000</v>
      </c>
      <c r="I67" s="1213">
        <f>H67/1000</f>
        <v>55819</v>
      </c>
      <c r="J67" s="1159"/>
      <c r="K67" s="1159"/>
      <c r="L67" s="1159"/>
    </row>
    <row r="68" spans="1:13" s="1224" customFormat="1" ht="21" customHeight="1">
      <c r="A68" s="1255" t="s">
        <v>252</v>
      </c>
      <c r="B68" s="1215" t="s">
        <v>874</v>
      </c>
      <c r="C68" s="1225"/>
      <c r="D68" s="1225"/>
      <c r="E68" s="1226"/>
      <c r="F68" s="1223"/>
      <c r="G68" s="1213">
        <f>G65+G66+G67</f>
        <v>111660</v>
      </c>
      <c r="H68" s="1214">
        <f>H65+H66+H67</f>
        <v>123421700</v>
      </c>
      <c r="I68" s="1213">
        <f>I65+I66+I67</f>
        <v>123421.7</v>
      </c>
    </row>
    <row r="69" spans="1:13" s="1224" customFormat="1" ht="29.45" customHeight="1">
      <c r="A69" s="1255" t="s">
        <v>260</v>
      </c>
      <c r="B69" s="1775" t="s">
        <v>649</v>
      </c>
      <c r="C69" s="1776"/>
      <c r="D69" s="1227"/>
      <c r="E69" s="1228"/>
      <c r="F69" s="1171"/>
      <c r="G69" s="1213"/>
      <c r="H69" s="1214"/>
      <c r="I69" s="1213"/>
    </row>
    <row r="70" spans="1:13" s="1224" customFormat="1">
      <c r="A70" s="1258" t="s">
        <v>519</v>
      </c>
      <c r="B70" s="1212" t="s">
        <v>650</v>
      </c>
      <c r="C70" s="1168">
        <v>42</v>
      </c>
      <c r="D70" s="1152" t="s">
        <v>529</v>
      </c>
      <c r="E70" s="1170">
        <v>3858040</v>
      </c>
      <c r="F70" s="1174">
        <f>C70*E70</f>
        <v>162037680</v>
      </c>
      <c r="G70" s="1209">
        <v>162038</v>
      </c>
      <c r="H70" s="1210">
        <v>162037680</v>
      </c>
      <c r="I70" s="1209">
        <v>162038</v>
      </c>
    </row>
    <row r="71" spans="1:13" s="1224" customFormat="1" ht="42" customHeight="1">
      <c r="A71" s="1258" t="s">
        <v>520</v>
      </c>
      <c r="B71" s="1251" t="s">
        <v>651</v>
      </c>
      <c r="C71" s="1777" t="s">
        <v>652</v>
      </c>
      <c r="D71" s="1777"/>
      <c r="E71" s="1777"/>
      <c r="F71" s="1174">
        <v>61581000</v>
      </c>
      <c r="G71" s="1209">
        <v>61581</v>
      </c>
      <c r="H71" s="1210">
        <f>F71+217000</f>
        <v>61798000</v>
      </c>
      <c r="I71" s="1209">
        <v>61798</v>
      </c>
    </row>
    <row r="72" spans="1:13" s="1224" customFormat="1">
      <c r="A72" s="1255" t="s">
        <v>260</v>
      </c>
      <c r="B72" s="1208" t="s">
        <v>653</v>
      </c>
      <c r="C72" s="1168"/>
      <c r="D72" s="1169"/>
      <c r="E72" s="1170"/>
      <c r="F72" s="1171">
        <f>SUM(F70:F71)</f>
        <v>223618680</v>
      </c>
      <c r="G72" s="1213">
        <f>G70+G71</f>
        <v>223619</v>
      </c>
      <c r="H72" s="1210">
        <f>H70+H71</f>
        <v>223835680</v>
      </c>
      <c r="I72" s="1213">
        <f>I70+I71</f>
        <v>223836</v>
      </c>
    </row>
    <row r="73" spans="1:13" s="1224" customFormat="1">
      <c r="A73" s="1255" t="s">
        <v>261</v>
      </c>
      <c r="B73" s="1186" t="s">
        <v>262</v>
      </c>
      <c r="C73" s="1200"/>
      <c r="D73" s="1201"/>
      <c r="E73" s="1202"/>
      <c r="F73" s="1192"/>
      <c r="G73" s="1204"/>
      <c r="H73" s="1203"/>
      <c r="I73" s="1204"/>
    </row>
    <row r="74" spans="1:13" s="1224" customFormat="1" ht="32.25" customHeight="1">
      <c r="A74" s="1254" t="s">
        <v>521</v>
      </c>
      <c r="B74" s="1148" t="s">
        <v>654</v>
      </c>
      <c r="C74" s="1200">
        <v>43.92</v>
      </c>
      <c r="D74" s="1201" t="s">
        <v>263</v>
      </c>
      <c r="E74" s="1202">
        <v>2200000</v>
      </c>
      <c r="F74" s="1192">
        <f>C74*E74</f>
        <v>96624000</v>
      </c>
      <c r="G74" s="1204">
        <v>96624</v>
      </c>
      <c r="H74" s="1203">
        <f>96624000-23452000</f>
        <v>73172000</v>
      </c>
      <c r="I74" s="1204">
        <f>H74/1000</f>
        <v>73172</v>
      </c>
    </row>
    <row r="75" spans="1:13" s="1224" customFormat="1" ht="29.25" customHeight="1">
      <c r="A75" s="1254" t="s">
        <v>522</v>
      </c>
      <c r="B75" s="1216" t="s">
        <v>523</v>
      </c>
      <c r="C75" s="1778" t="s">
        <v>655</v>
      </c>
      <c r="D75" s="1778"/>
      <c r="E75" s="1778"/>
      <c r="F75" s="1192">
        <v>94349758</v>
      </c>
      <c r="G75" s="1204">
        <v>94350</v>
      </c>
      <c r="H75" s="1203">
        <f>F75-23028000</f>
        <v>71321758</v>
      </c>
      <c r="I75" s="1204">
        <f>H75/1000</f>
        <v>71321.758000000002</v>
      </c>
    </row>
    <row r="76" spans="1:13" s="1224" customFormat="1" ht="31.5">
      <c r="A76" s="1254" t="s">
        <v>524</v>
      </c>
      <c r="B76" s="1148" t="s">
        <v>656</v>
      </c>
      <c r="C76" s="1200">
        <v>1862</v>
      </c>
      <c r="D76" s="1201" t="s">
        <v>227</v>
      </c>
      <c r="E76" s="1202">
        <v>285</v>
      </c>
      <c r="F76" s="1192">
        <f>C76*E76</f>
        <v>530670</v>
      </c>
      <c r="G76" s="1204">
        <v>531</v>
      </c>
      <c r="H76" s="1203">
        <f>530670-570</f>
        <v>530100</v>
      </c>
      <c r="I76" s="1204">
        <f>H76/1000</f>
        <v>530.1</v>
      </c>
    </row>
    <row r="77" spans="1:13" s="1224" customFormat="1">
      <c r="A77" s="1255" t="s">
        <v>261</v>
      </c>
      <c r="B77" s="1215" t="s">
        <v>264</v>
      </c>
      <c r="C77" s="1200"/>
      <c r="D77" s="1201"/>
      <c r="E77" s="1202"/>
      <c r="F77" s="1190">
        <f>SUM(F74:F76)</f>
        <v>191504428</v>
      </c>
      <c r="G77" s="1206">
        <f>G74+G75+G76</f>
        <v>191505</v>
      </c>
      <c r="H77" s="1203">
        <f>H74+H75+H76</f>
        <v>145023858</v>
      </c>
      <c r="I77" s="1206">
        <v>145024</v>
      </c>
    </row>
    <row r="78" spans="1:13" s="1224" customFormat="1" ht="30.75" customHeight="1">
      <c r="A78" s="1259" t="s">
        <v>266</v>
      </c>
      <c r="B78" s="1153" t="s">
        <v>267</v>
      </c>
      <c r="C78" s="1200"/>
      <c r="D78" s="1201"/>
      <c r="E78" s="1202"/>
      <c r="F78" s="1190">
        <f>F63+F65+F66+F67+F72+F77</f>
        <v>685901352</v>
      </c>
      <c r="G78" s="1206">
        <f>G44+G63+G65+G66+G67+G72+G77</f>
        <v>683557</v>
      </c>
      <c r="H78" s="1207">
        <f>H77+H72+H68+H63</f>
        <v>682257215</v>
      </c>
      <c r="I78" s="1206">
        <f>I77+I72+I68+I63</f>
        <v>682257.22</v>
      </c>
    </row>
    <row r="79" spans="1:13" s="1224" customFormat="1" ht="31.5" customHeight="1">
      <c r="A79" s="1255" t="s">
        <v>268</v>
      </c>
      <c r="B79" s="1154" t="s">
        <v>269</v>
      </c>
      <c r="C79" s="1200"/>
      <c r="D79" s="1201"/>
      <c r="E79" s="1202"/>
      <c r="F79" s="1192"/>
      <c r="G79" s="1204"/>
      <c r="H79" s="1203"/>
      <c r="I79" s="1204"/>
    </row>
    <row r="80" spans="1:13" s="1224" customFormat="1" ht="31.5" customHeight="1">
      <c r="A80" s="1255" t="s">
        <v>657</v>
      </c>
      <c r="B80" s="1229" t="s">
        <v>934</v>
      </c>
      <c r="C80" s="1187">
        <v>23169</v>
      </c>
      <c r="D80" s="1201" t="s">
        <v>227</v>
      </c>
      <c r="E80" s="1202">
        <v>1251</v>
      </c>
      <c r="F80" s="1192">
        <f>C80*E80</f>
        <v>28984419</v>
      </c>
      <c r="G80" s="1204">
        <f>F80/1000</f>
        <v>28984.419000000002</v>
      </c>
      <c r="H80" s="1203">
        <v>28984419</v>
      </c>
      <c r="I80" s="1204">
        <v>28984</v>
      </c>
    </row>
    <row r="81" spans="1:11" s="1224" customFormat="1" ht="19.5" customHeight="1">
      <c r="A81" s="1259" t="s">
        <v>271</v>
      </c>
      <c r="B81" s="1215" t="s">
        <v>875</v>
      </c>
      <c r="C81" s="1200"/>
      <c r="D81" s="1201"/>
      <c r="E81" s="1202"/>
      <c r="F81" s="1190">
        <f>SUM(F80:F80)</f>
        <v>28984419</v>
      </c>
      <c r="G81" s="1206">
        <f>SUM(G80:G80)</f>
        <v>28984.419000000002</v>
      </c>
      <c r="H81" s="1207">
        <f>SUM(H80:H80)</f>
        <v>28984419</v>
      </c>
      <c r="I81" s="1206">
        <v>28984</v>
      </c>
    </row>
    <row r="82" spans="1:11" s="1224" customFormat="1" ht="32.25" thickBot="1">
      <c r="A82" s="1260" t="s">
        <v>272</v>
      </c>
      <c r="B82" s="836" t="s">
        <v>658</v>
      </c>
      <c r="C82" s="1230"/>
      <c r="D82" s="1231"/>
      <c r="E82" s="1232"/>
      <c r="F82" s="1233">
        <v>0</v>
      </c>
      <c r="G82" s="1234">
        <v>0</v>
      </c>
      <c r="H82" s="1235"/>
      <c r="I82" s="1234">
        <v>0</v>
      </c>
    </row>
    <row r="83" spans="1:11" s="1224" customFormat="1" ht="36.75" customHeight="1" thickBot="1">
      <c r="A83" s="1779" t="s">
        <v>525</v>
      </c>
      <c r="B83" s="1780"/>
      <c r="C83" s="1419"/>
      <c r="D83" s="1420"/>
      <c r="E83" s="1421"/>
      <c r="F83" s="1422">
        <f>F30+F42+F78+F81+F82</f>
        <v>1272012273.6343467</v>
      </c>
      <c r="G83" s="1423">
        <f>G30+G42+G78+G81+G82</f>
        <v>1269779.419</v>
      </c>
      <c r="H83" s="1424">
        <f>H30+H42+H78+H81+H82</f>
        <v>1287217945</v>
      </c>
      <c r="I83" s="1423">
        <f>I30+I42+I78+I81+I82</f>
        <v>1287581.22</v>
      </c>
      <c r="J83" s="1236"/>
      <c r="K83" s="1159"/>
    </row>
    <row r="84" spans="1:11" s="1224" customFormat="1" ht="30" customHeight="1">
      <c r="A84" s="1425" t="s">
        <v>659</v>
      </c>
      <c r="B84" s="1426" t="s">
        <v>660</v>
      </c>
      <c r="C84" s="1427"/>
      <c r="D84" s="1428"/>
      <c r="E84" s="1781"/>
      <c r="F84" s="1782"/>
      <c r="G84" s="1429"/>
      <c r="H84" s="1430"/>
      <c r="I84" s="1429"/>
      <c r="J84" s="1236"/>
      <c r="K84" s="1159"/>
    </row>
    <row r="85" spans="1:11" s="1224" customFormat="1" ht="30" customHeight="1">
      <c r="A85" s="1425" t="s">
        <v>661</v>
      </c>
      <c r="B85" s="1431" t="s">
        <v>662</v>
      </c>
      <c r="C85" s="1783"/>
      <c r="D85" s="1783"/>
      <c r="E85" s="1783"/>
      <c r="F85" s="1432"/>
      <c r="G85" s="1429"/>
      <c r="H85" s="1430"/>
      <c r="I85" s="1429"/>
    </row>
    <row r="86" spans="1:11" s="1224" customFormat="1" ht="30" customHeight="1">
      <c r="A86" s="1433" t="s">
        <v>663</v>
      </c>
      <c r="B86" s="1434" t="s">
        <v>664</v>
      </c>
      <c r="C86" s="1784" t="s">
        <v>665</v>
      </c>
      <c r="D86" s="1784"/>
      <c r="E86" s="1784"/>
      <c r="F86" s="1435"/>
      <c r="G86" s="1436"/>
      <c r="H86" s="1437"/>
      <c r="I86" s="1436">
        <v>687</v>
      </c>
    </row>
    <row r="87" spans="1:11" s="1224" customFormat="1" ht="30" customHeight="1">
      <c r="A87" s="1433" t="s">
        <v>666</v>
      </c>
      <c r="B87" s="1434" t="s">
        <v>667</v>
      </c>
      <c r="C87" s="1784" t="s">
        <v>665</v>
      </c>
      <c r="D87" s="1784"/>
      <c r="E87" s="1784"/>
      <c r="F87" s="1435"/>
      <c r="G87" s="1436"/>
      <c r="H87" s="1437"/>
      <c r="I87" s="1436">
        <v>33883</v>
      </c>
    </row>
    <row r="88" spans="1:11" s="1224" customFormat="1" ht="47.25" customHeight="1">
      <c r="A88" s="1438" t="s">
        <v>668</v>
      </c>
      <c r="B88" s="1439" t="s">
        <v>669</v>
      </c>
      <c r="C88" s="1784" t="s">
        <v>670</v>
      </c>
      <c r="D88" s="1784"/>
      <c r="E88" s="1784"/>
      <c r="F88" s="1440"/>
      <c r="G88" s="1436"/>
      <c r="H88" s="1437">
        <v>107800000</v>
      </c>
      <c r="I88" s="1436">
        <v>107800</v>
      </c>
    </row>
    <row r="89" spans="1:11" s="1224" customFormat="1" ht="30" customHeight="1" thickBot="1">
      <c r="A89" s="1441" t="s">
        <v>671</v>
      </c>
      <c r="B89" s="1442" t="s">
        <v>270</v>
      </c>
      <c r="C89" s="1785" t="s">
        <v>665</v>
      </c>
      <c r="D89" s="1786"/>
      <c r="E89" s="1786"/>
      <c r="F89" s="1787"/>
      <c r="G89" s="1443"/>
      <c r="H89" s="1444"/>
      <c r="I89" s="1443">
        <v>5355</v>
      </c>
    </row>
    <row r="90" spans="1:11" s="1224" customFormat="1" ht="30" customHeight="1" thickBot="1">
      <c r="A90" s="1445" t="s">
        <v>659</v>
      </c>
      <c r="B90" s="1446" t="s">
        <v>672</v>
      </c>
      <c r="C90" s="1788"/>
      <c r="D90" s="1774"/>
      <c r="E90" s="1774"/>
      <c r="F90" s="1447"/>
      <c r="G90" s="1423"/>
      <c r="H90" s="1424"/>
      <c r="I90" s="1423">
        <f>I85+I86+I87+I88+I89</f>
        <v>147725</v>
      </c>
    </row>
    <row r="91" spans="1:11" s="1224" customFormat="1" ht="30" customHeight="1">
      <c r="A91" s="1448" t="s">
        <v>876</v>
      </c>
      <c r="B91" s="1449" t="s">
        <v>877</v>
      </c>
      <c r="C91" s="1450"/>
      <c r="D91" s="1450"/>
      <c r="E91" s="1450"/>
      <c r="F91" s="1451"/>
      <c r="G91" s="1452"/>
      <c r="H91" s="1453"/>
      <c r="I91" s="1452"/>
    </row>
    <row r="92" spans="1:11" s="1224" customFormat="1" ht="30" customHeight="1" thickBot="1">
      <c r="A92" s="1454" t="s">
        <v>878</v>
      </c>
      <c r="B92" s="1455" t="s">
        <v>879</v>
      </c>
      <c r="C92" s="1456"/>
      <c r="D92" s="1457"/>
      <c r="E92" s="1456"/>
      <c r="F92" s="1458"/>
      <c r="G92" s="1443">
        <v>80000</v>
      </c>
      <c r="H92" s="1444"/>
      <c r="I92" s="1443">
        <v>0</v>
      </c>
    </row>
    <row r="93" spans="1:11" s="1224" customFormat="1" ht="30" customHeight="1" thickBot="1">
      <c r="A93" s="1459" t="s">
        <v>876</v>
      </c>
      <c r="B93" s="1460" t="s">
        <v>672</v>
      </c>
      <c r="C93" s="1774"/>
      <c r="D93" s="1774"/>
      <c r="E93" s="1774"/>
      <c r="F93" s="1447">
        <f>F90</f>
        <v>0</v>
      </c>
      <c r="G93" s="1423">
        <f>G91+G92</f>
        <v>80000</v>
      </c>
      <c r="H93" s="1424"/>
      <c r="I93" s="1423">
        <f>I91+I92</f>
        <v>0</v>
      </c>
    </row>
    <row r="94" spans="1:11" s="1224" customFormat="1" ht="19.5" thickBot="1">
      <c r="A94" s="1461"/>
      <c r="B94" s="1462" t="s">
        <v>880</v>
      </c>
      <c r="C94" s="1463"/>
      <c r="D94" s="1464"/>
      <c r="E94" s="1465"/>
      <c r="F94" s="1466">
        <f>F83+F93</f>
        <v>1272012273.6343467</v>
      </c>
      <c r="G94" s="1467">
        <f>G83+G90+G93</f>
        <v>1349779.419</v>
      </c>
      <c r="H94" s="1468"/>
      <c r="I94" s="1467">
        <f>I83+I90+I93</f>
        <v>1435306.22</v>
      </c>
      <c r="J94" s="1237"/>
      <c r="K94" s="1159"/>
    </row>
    <row r="95" spans="1:11" s="1224" customFormat="1" ht="30" customHeight="1">
      <c r="A95" s="1155"/>
      <c r="B95" s="1238"/>
      <c r="C95" s="1156"/>
      <c r="D95" s="1158"/>
      <c r="E95" s="1239"/>
      <c r="F95" s="1240"/>
      <c r="G95" s="1159"/>
      <c r="H95" s="1159"/>
      <c r="I95" s="1159"/>
    </row>
    <row r="96" spans="1:11" s="1224" customFormat="1">
      <c r="A96" s="1157"/>
      <c r="B96" s="1241"/>
      <c r="C96" s="1156"/>
      <c r="D96" s="1158" t="s">
        <v>881</v>
      </c>
      <c r="E96" s="1159"/>
      <c r="F96" s="1160"/>
      <c r="G96" s="1159"/>
      <c r="H96" s="1159"/>
      <c r="I96" s="1159"/>
    </row>
    <row r="97" spans="1:9" s="1224" customFormat="1">
      <c r="A97" s="1157"/>
      <c r="B97" s="1241"/>
      <c r="C97" s="1156"/>
      <c r="D97" s="1158"/>
      <c r="E97" s="1159"/>
      <c r="F97" s="1160"/>
      <c r="G97" s="1159"/>
      <c r="H97" s="1159"/>
      <c r="I97" s="1159"/>
    </row>
    <row r="98" spans="1:9" s="1224" customFormat="1" ht="18.75">
      <c r="A98" s="1157"/>
      <c r="B98" s="1242" t="s">
        <v>673</v>
      </c>
      <c r="C98" s="1243"/>
      <c r="D98" s="1244"/>
      <c r="E98" s="1159"/>
      <c r="G98" s="1159"/>
      <c r="H98" s="1159"/>
      <c r="I98" s="1159"/>
    </row>
    <row r="99" spans="1:9" s="1224" customFormat="1" ht="18.75" customHeight="1">
      <c r="A99" s="1157"/>
      <c r="B99" s="1261" t="s">
        <v>882</v>
      </c>
      <c r="C99" s="1771" t="s">
        <v>883</v>
      </c>
      <c r="D99" s="1771"/>
      <c r="E99" s="1159">
        <v>388765870</v>
      </c>
      <c r="G99" s="1159"/>
      <c r="H99" s="1159"/>
      <c r="I99" s="1159"/>
    </row>
    <row r="100" spans="1:9" s="1224" customFormat="1" ht="18.75">
      <c r="A100" s="1157"/>
      <c r="B100" s="1262" t="s">
        <v>273</v>
      </c>
      <c r="C100" s="1772" t="s">
        <v>884</v>
      </c>
      <c r="D100" s="1772"/>
      <c r="E100" s="1469">
        <v>378328575.04874879</v>
      </c>
      <c r="F100" s="1224" t="s">
        <v>674</v>
      </c>
      <c r="G100" s="1159"/>
      <c r="H100" s="1159"/>
      <c r="I100" s="1159"/>
    </row>
    <row r="101" spans="1:9" s="1224" customFormat="1" ht="18.75">
      <c r="A101" s="1157"/>
      <c r="B101" s="1245" t="s">
        <v>238</v>
      </c>
      <c r="C101" s="1246">
        <v>62556300</v>
      </c>
      <c r="D101" s="1162"/>
      <c r="E101" s="1163">
        <f t="shared" ref="E101:E107" si="1">E100-C101</f>
        <v>315772275.04874879</v>
      </c>
      <c r="G101" s="1159"/>
      <c r="H101" s="1159"/>
      <c r="I101" s="1159"/>
    </row>
    <row r="102" spans="1:9" s="1224" customFormat="1" ht="18.75">
      <c r="A102" s="1157"/>
      <c r="B102" s="1245" t="s">
        <v>239</v>
      </c>
      <c r="C102" s="1187">
        <v>1060800</v>
      </c>
      <c r="D102" s="1201"/>
      <c r="E102" s="1163">
        <f t="shared" si="1"/>
        <v>314711475.04874879</v>
      </c>
      <c r="G102" s="1159"/>
      <c r="H102" s="1159"/>
      <c r="I102" s="1159"/>
    </row>
    <row r="103" spans="1:9" s="1224" customFormat="1" ht="18.75">
      <c r="A103" s="1157"/>
      <c r="B103" s="1245" t="s">
        <v>230</v>
      </c>
      <c r="C103" s="1187">
        <v>42998760</v>
      </c>
      <c r="D103" s="1201"/>
      <c r="E103" s="1163">
        <f t="shared" si="1"/>
        <v>271712715.04874879</v>
      </c>
      <c r="G103" s="1159"/>
      <c r="H103" s="1159"/>
      <c r="I103" s="1159"/>
    </row>
    <row r="104" spans="1:9" s="1224" customFormat="1" ht="18.75">
      <c r="A104" s="1157"/>
      <c r="B104" s="1245" t="s">
        <v>232</v>
      </c>
      <c r="C104" s="1187">
        <v>84840000</v>
      </c>
      <c r="D104" s="1201"/>
      <c r="E104" s="1163">
        <f t="shared" si="1"/>
        <v>186872715.04874879</v>
      </c>
      <c r="G104" s="1159"/>
      <c r="H104" s="1159"/>
      <c r="I104" s="1159"/>
    </row>
    <row r="105" spans="1:9" s="1224" customFormat="1" ht="18.75">
      <c r="A105" s="1157"/>
      <c r="B105" s="1245" t="s">
        <v>234</v>
      </c>
      <c r="C105" s="1187">
        <v>13458016</v>
      </c>
      <c r="D105" s="1201"/>
      <c r="E105" s="1163">
        <f t="shared" si="1"/>
        <v>173414699.04874879</v>
      </c>
      <c r="G105" s="1159"/>
      <c r="H105" s="1159"/>
      <c r="I105" s="1159"/>
    </row>
    <row r="106" spans="1:9" s="1224" customFormat="1" ht="18.75">
      <c r="A106" s="1157"/>
      <c r="B106" s="1245" t="s">
        <v>236</v>
      </c>
      <c r="C106" s="1187">
        <v>30210950</v>
      </c>
      <c r="D106" s="1201"/>
      <c r="E106" s="1163">
        <f t="shared" si="1"/>
        <v>143203749.04874879</v>
      </c>
      <c r="G106" s="1159"/>
      <c r="H106" s="1159"/>
      <c r="I106" s="1159"/>
    </row>
    <row r="107" spans="1:9" s="1224" customFormat="1" ht="18.75">
      <c r="A107" s="1157"/>
      <c r="B107" s="1245" t="s">
        <v>241</v>
      </c>
      <c r="C107" s="1187">
        <v>46767280</v>
      </c>
      <c r="D107" s="1201"/>
      <c r="E107" s="1163">
        <f t="shared" si="1"/>
        <v>96436469.048748791</v>
      </c>
      <c r="G107" s="1159"/>
      <c r="H107" s="1159"/>
      <c r="I107" s="1159"/>
    </row>
    <row r="108" spans="1:9" s="1224" customFormat="1" ht="18.75">
      <c r="A108" s="1157"/>
      <c r="B108" s="1245" t="s">
        <v>226</v>
      </c>
      <c r="C108" s="1246">
        <v>267334600</v>
      </c>
      <c r="D108" s="1201"/>
      <c r="E108" s="1163">
        <f>C108-E107</f>
        <v>170898130.95125121</v>
      </c>
      <c r="F108" s="1224" t="s">
        <v>675</v>
      </c>
      <c r="G108" s="1159"/>
      <c r="H108" s="1159"/>
      <c r="I108" s="1159"/>
    </row>
  </sheetData>
  <mergeCells count="26">
    <mergeCell ref="C67:E67"/>
    <mergeCell ref="A4:A5"/>
    <mergeCell ref="B4:B5"/>
    <mergeCell ref="C4:F4"/>
    <mergeCell ref="G4:G5"/>
    <mergeCell ref="H4:H5"/>
    <mergeCell ref="I4:I5"/>
    <mergeCell ref="C5:D5"/>
    <mergeCell ref="B43:C43"/>
    <mergeCell ref="C62:E62"/>
    <mergeCell ref="C99:D99"/>
    <mergeCell ref="C100:D100"/>
    <mergeCell ref="A1:I1"/>
    <mergeCell ref="A2:I2"/>
    <mergeCell ref="C93:E93"/>
    <mergeCell ref="B69:C69"/>
    <mergeCell ref="C71:E71"/>
    <mergeCell ref="C75:E75"/>
    <mergeCell ref="A83:B83"/>
    <mergeCell ref="E84:F84"/>
    <mergeCell ref="C85:E85"/>
    <mergeCell ref="C86:E86"/>
    <mergeCell ref="C87:E87"/>
    <mergeCell ref="C88:E88"/>
    <mergeCell ref="C89:F89"/>
    <mergeCell ref="C90:E90"/>
  </mergeCells>
  <pageMargins left="0.23622047244094491" right="0.15748031496062992" top="0.74803149606299213" bottom="0.43" header="0.31496062992125984" footer="0.31496062992125984"/>
  <pageSetup paperSize="9" scale="52" fitToWidth="0" fitToHeight="0" orientation="portrait" r:id="rId1"/>
  <headerFooter>
    <oddHeader>&amp;L&amp;"Times New Roman,Normál" 15. melléklet a 17 /2020. (VII.9.) önkormányzati rendelethez</oddHeader>
  </headerFooter>
  <rowBreaks count="1" manualBreakCount="1">
    <brk id="65" max="8" man="1"/>
  </rowBreaks>
  <colBreaks count="1" manualBreakCount="1">
    <brk id="9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33"/>
  <sheetViews>
    <sheetView view="pageLayout" zoomScaleNormal="100" workbookViewId="0">
      <selection activeCell="A33" sqref="A33"/>
    </sheetView>
  </sheetViews>
  <sheetFormatPr defaultRowHeight="15"/>
  <cols>
    <col min="1" max="1" width="59.28515625" style="79" bestFit="1" customWidth="1"/>
    <col min="2" max="3" width="12.28515625" style="79" customWidth="1"/>
    <col min="4" max="16384" width="9.140625" style="75"/>
  </cols>
  <sheetData>
    <row r="2" spans="1:5">
      <c r="A2" s="1802" t="s">
        <v>936</v>
      </c>
      <c r="B2" s="1802"/>
      <c r="C2" s="1802"/>
    </row>
    <row r="3" spans="1:5" ht="15.75" thickBot="1">
      <c r="A3" s="76"/>
      <c r="B3" s="76"/>
      <c r="C3" s="76"/>
    </row>
    <row r="4" spans="1:5" ht="29.25" thickBot="1">
      <c r="A4" s="300" t="s">
        <v>2</v>
      </c>
      <c r="B4" s="309" t="s">
        <v>3</v>
      </c>
      <c r="C4" s="1263" t="s">
        <v>935</v>
      </c>
    </row>
    <row r="5" spans="1:5">
      <c r="A5" s="301" t="s">
        <v>274</v>
      </c>
      <c r="B5" s="1316">
        <f>B7+B11+B19</f>
        <v>103644</v>
      </c>
      <c r="C5" s="1317">
        <f>C7+C11+C19</f>
        <v>138578</v>
      </c>
    </row>
    <row r="6" spans="1:5" s="77" customFormat="1" ht="14.25">
      <c r="A6" s="302"/>
      <c r="B6" s="1318"/>
      <c r="C6" s="1319"/>
    </row>
    <row r="7" spans="1:5" s="77" customFormat="1" ht="14.25">
      <c r="A7" s="303" t="s">
        <v>907</v>
      </c>
      <c r="B7" s="1320">
        <f>B8</f>
        <v>30000</v>
      </c>
      <c r="C7" s="1321">
        <f>SUM(C8:C9)</f>
        <v>53266</v>
      </c>
    </row>
    <row r="8" spans="1:5" s="78" customFormat="1">
      <c r="A8" s="304" t="s">
        <v>275</v>
      </c>
      <c r="B8" s="1322">
        <v>30000</v>
      </c>
      <c r="C8" s="1323">
        <v>36643</v>
      </c>
      <c r="E8" s="87"/>
    </row>
    <row r="9" spans="1:5" s="78" customFormat="1">
      <c r="A9" s="718" t="s">
        <v>859</v>
      </c>
      <c r="B9" s="1322"/>
      <c r="C9" s="1323">
        <v>16623</v>
      </c>
      <c r="E9" s="87"/>
    </row>
    <row r="10" spans="1:5">
      <c r="A10" s="304"/>
      <c r="B10" s="1322"/>
      <c r="C10" s="1323"/>
    </row>
    <row r="11" spans="1:5">
      <c r="A11" s="303" t="s">
        <v>276</v>
      </c>
      <c r="B11" s="1320">
        <f>SUM(B12:B13)</f>
        <v>73644</v>
      </c>
      <c r="C11" s="1321">
        <f>SUM(C12:C13)</f>
        <v>85312</v>
      </c>
    </row>
    <row r="12" spans="1:5" s="78" customFormat="1">
      <c r="A12" s="305" t="s">
        <v>276</v>
      </c>
      <c r="B12" s="1324">
        <v>11540</v>
      </c>
      <c r="C12" s="1325">
        <v>23208</v>
      </c>
    </row>
    <row r="13" spans="1:5" s="78" customFormat="1">
      <c r="A13" s="305" t="s">
        <v>721</v>
      </c>
      <c r="B13" s="1324">
        <f>SUM(B14:B17)</f>
        <v>62104</v>
      </c>
      <c r="C13" s="1326">
        <f>SUM(C14:C17)</f>
        <v>62104</v>
      </c>
    </row>
    <row r="14" spans="1:5" s="78" customFormat="1" ht="30">
      <c r="A14" s="306" t="s">
        <v>720</v>
      </c>
      <c r="B14" s="1322">
        <v>18174</v>
      </c>
      <c r="C14" s="1323">
        <v>18174</v>
      </c>
    </row>
    <row r="15" spans="1:5" s="78" customFormat="1" ht="30">
      <c r="A15" s="306" t="s">
        <v>722</v>
      </c>
      <c r="B15" s="1322">
        <v>14811</v>
      </c>
      <c r="C15" s="1323">
        <v>14811</v>
      </c>
    </row>
    <row r="16" spans="1:5" s="78" customFormat="1">
      <c r="A16" s="306" t="s">
        <v>723</v>
      </c>
      <c r="B16" s="1322">
        <v>24589</v>
      </c>
      <c r="C16" s="1323">
        <v>24589</v>
      </c>
    </row>
    <row r="17" spans="1:4" s="78" customFormat="1">
      <c r="A17" s="304" t="s">
        <v>726</v>
      </c>
      <c r="B17" s="1322">
        <v>4530</v>
      </c>
      <c r="C17" s="1323">
        <v>4530</v>
      </c>
    </row>
    <row r="18" spans="1:4" s="78" customFormat="1">
      <c r="A18" s="304"/>
      <c r="B18" s="1322"/>
      <c r="C18" s="1323"/>
    </row>
    <row r="19" spans="1:4" s="78" customFormat="1" ht="14.25">
      <c r="A19" s="303" t="s">
        <v>277</v>
      </c>
      <c r="B19" s="1320">
        <f>B20</f>
        <v>0</v>
      </c>
      <c r="C19" s="1321">
        <f>C20</f>
        <v>0</v>
      </c>
    </row>
    <row r="20" spans="1:4" s="78" customFormat="1">
      <c r="A20" s="307"/>
      <c r="B20" s="1327"/>
      <c r="C20" s="1328"/>
    </row>
    <row r="21" spans="1:4">
      <c r="A21" s="304"/>
      <c r="B21" s="1322"/>
      <c r="C21" s="1323"/>
      <c r="D21" s="80"/>
    </row>
    <row r="22" spans="1:4">
      <c r="A22" s="303" t="s">
        <v>278</v>
      </c>
      <c r="B22" s="1320">
        <f>B27+B24</f>
        <v>10000</v>
      </c>
      <c r="C22" s="1321">
        <f>C27+C24</f>
        <v>10000</v>
      </c>
    </row>
    <row r="23" spans="1:4">
      <c r="A23" s="303"/>
      <c r="B23" s="1320"/>
      <c r="C23" s="1321"/>
    </row>
    <row r="24" spans="1:4">
      <c r="A24" s="303" t="s">
        <v>279</v>
      </c>
      <c r="B24" s="1320">
        <f>B25</f>
        <v>10000</v>
      </c>
      <c r="C24" s="1321">
        <f>C25</f>
        <v>10000</v>
      </c>
    </row>
    <row r="25" spans="1:4">
      <c r="A25" s="304" t="s">
        <v>279</v>
      </c>
      <c r="B25" s="1322">
        <v>10000</v>
      </c>
      <c r="C25" s="1323">
        <v>10000</v>
      </c>
    </row>
    <row r="26" spans="1:4">
      <c r="A26" s="304"/>
      <c r="B26" s="1322"/>
      <c r="C26" s="1323"/>
    </row>
    <row r="27" spans="1:4">
      <c r="A27" s="303" t="s">
        <v>507</v>
      </c>
      <c r="B27" s="1320">
        <f>B28</f>
        <v>0</v>
      </c>
      <c r="C27" s="1321">
        <f>C28</f>
        <v>0</v>
      </c>
    </row>
    <row r="28" spans="1:4" ht="15.75" thickBot="1">
      <c r="A28" s="307"/>
      <c r="B28" s="1329"/>
      <c r="C28" s="1330"/>
    </row>
    <row r="29" spans="1:4" ht="15.75" thickBot="1">
      <c r="A29" s="308" t="s">
        <v>280</v>
      </c>
      <c r="B29" s="310">
        <f>B5+B22</f>
        <v>113644</v>
      </c>
      <c r="C29" s="311">
        <f>C5+C22</f>
        <v>148578</v>
      </c>
      <c r="D29" s="80"/>
    </row>
    <row r="30" spans="1:4" s="78" customFormat="1" ht="14.25">
      <c r="A30" s="186"/>
      <c r="B30" s="118"/>
      <c r="C30" s="118"/>
    </row>
    <row r="32" spans="1:4">
      <c r="A32" s="128"/>
    </row>
    <row r="33" spans="1:1">
      <c r="A33" s="128"/>
    </row>
  </sheetData>
  <mergeCells count="1">
    <mergeCell ref="A2:C2"/>
  </mergeCells>
  <printOptions horizontalCentered="1"/>
  <pageMargins left="0.70866141732283472" right="0.58458333333333334" top="0.74803149606299213" bottom="0.74803149606299213" header="0.31496062992125984" footer="0.31496062992125984"/>
  <pageSetup paperSize="9" orientation="portrait" r:id="rId1"/>
  <headerFooter>
    <oddHeader>&amp;L&amp;"Times New Roman,Normál"&amp;8 16. melléklet a 17 /2020. (VII.9.) önkormányzati rendelethez</oddHeader>
    <oddFooter>&amp;L24/2019.(XII.19.)önk.rend. Hatályos:2020.01.01.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36"/>
  <sheetViews>
    <sheetView view="pageLayout" zoomScaleNormal="75" workbookViewId="0">
      <selection activeCell="L21" sqref="L21"/>
    </sheetView>
  </sheetViews>
  <sheetFormatPr defaultRowHeight="15"/>
  <cols>
    <col min="1" max="1" width="58.28515625" style="187" customWidth="1"/>
    <col min="2" max="2" width="33.140625" style="45" customWidth="1"/>
    <col min="3" max="4" width="15.28515625" style="45" customWidth="1"/>
    <col min="5" max="5" width="10.140625" style="45" bestFit="1" customWidth="1"/>
    <col min="6" max="6" width="8.42578125" style="45" bestFit="1" customWidth="1"/>
    <col min="7" max="7" width="11.7109375" style="45" bestFit="1" customWidth="1"/>
    <col min="8" max="8" width="10.140625" style="45" bestFit="1" customWidth="1"/>
    <col min="9" max="12" width="15.28515625" style="45" customWidth="1"/>
    <col min="13" max="16" width="9.140625" style="139"/>
    <col min="17" max="260" width="9.140625" style="45"/>
    <col min="261" max="261" width="78.7109375" style="45" customWidth="1"/>
    <col min="262" max="262" width="55.140625" style="45" customWidth="1"/>
    <col min="263" max="263" width="34" style="45" customWidth="1"/>
    <col min="264" max="264" width="31.42578125" style="45" customWidth="1"/>
    <col min="265" max="265" width="18.7109375" style="45" customWidth="1"/>
    <col min="266" max="266" width="13" style="45" customWidth="1"/>
    <col min="267" max="267" width="16.28515625" style="45" customWidth="1"/>
    <col min="268" max="268" width="21.5703125" style="45" bestFit="1" customWidth="1"/>
    <col min="269" max="516" width="9.140625" style="45"/>
    <col min="517" max="517" width="78.7109375" style="45" customWidth="1"/>
    <col min="518" max="518" width="55.140625" style="45" customWidth="1"/>
    <col min="519" max="519" width="34" style="45" customWidth="1"/>
    <col min="520" max="520" width="31.42578125" style="45" customWidth="1"/>
    <col min="521" max="521" width="18.7109375" style="45" customWidth="1"/>
    <col min="522" max="522" width="13" style="45" customWidth="1"/>
    <col min="523" max="523" width="16.28515625" style="45" customWidth="1"/>
    <col min="524" max="524" width="21.5703125" style="45" bestFit="1" customWidth="1"/>
    <col min="525" max="772" width="9.140625" style="45"/>
    <col min="773" max="773" width="78.7109375" style="45" customWidth="1"/>
    <col min="774" max="774" width="55.140625" style="45" customWidth="1"/>
    <col min="775" max="775" width="34" style="45" customWidth="1"/>
    <col min="776" max="776" width="31.42578125" style="45" customWidth="1"/>
    <col min="777" max="777" width="18.7109375" style="45" customWidth="1"/>
    <col min="778" max="778" width="13" style="45" customWidth="1"/>
    <col min="779" max="779" width="16.28515625" style="45" customWidth="1"/>
    <col min="780" max="780" width="21.5703125" style="45" bestFit="1" customWidth="1"/>
    <col min="781" max="1028" width="9.140625" style="45"/>
    <col min="1029" max="1029" width="78.7109375" style="45" customWidth="1"/>
    <col min="1030" max="1030" width="55.140625" style="45" customWidth="1"/>
    <col min="1031" max="1031" width="34" style="45" customWidth="1"/>
    <col min="1032" max="1032" width="31.42578125" style="45" customWidth="1"/>
    <col min="1033" max="1033" width="18.7109375" style="45" customWidth="1"/>
    <col min="1034" max="1034" width="13" style="45" customWidth="1"/>
    <col min="1035" max="1035" width="16.28515625" style="45" customWidth="1"/>
    <col min="1036" max="1036" width="21.5703125" style="45" bestFit="1" customWidth="1"/>
    <col min="1037" max="1284" width="9.140625" style="45"/>
    <col min="1285" max="1285" width="78.7109375" style="45" customWidth="1"/>
    <col min="1286" max="1286" width="55.140625" style="45" customWidth="1"/>
    <col min="1287" max="1287" width="34" style="45" customWidth="1"/>
    <col min="1288" max="1288" width="31.42578125" style="45" customWidth="1"/>
    <col min="1289" max="1289" width="18.7109375" style="45" customWidth="1"/>
    <col min="1290" max="1290" width="13" style="45" customWidth="1"/>
    <col min="1291" max="1291" width="16.28515625" style="45" customWidth="1"/>
    <col min="1292" max="1292" width="21.5703125" style="45" bestFit="1" customWidth="1"/>
    <col min="1293" max="1540" width="9.140625" style="45"/>
    <col min="1541" max="1541" width="78.7109375" style="45" customWidth="1"/>
    <col min="1542" max="1542" width="55.140625" style="45" customWidth="1"/>
    <col min="1543" max="1543" width="34" style="45" customWidth="1"/>
    <col min="1544" max="1544" width="31.42578125" style="45" customWidth="1"/>
    <col min="1545" max="1545" width="18.7109375" style="45" customWidth="1"/>
    <col min="1546" max="1546" width="13" style="45" customWidth="1"/>
    <col min="1547" max="1547" width="16.28515625" style="45" customWidth="1"/>
    <col min="1548" max="1548" width="21.5703125" style="45" bestFit="1" customWidth="1"/>
    <col min="1549" max="1796" width="9.140625" style="45"/>
    <col min="1797" max="1797" width="78.7109375" style="45" customWidth="1"/>
    <col min="1798" max="1798" width="55.140625" style="45" customWidth="1"/>
    <col min="1799" max="1799" width="34" style="45" customWidth="1"/>
    <col min="1800" max="1800" width="31.42578125" style="45" customWidth="1"/>
    <col min="1801" max="1801" width="18.7109375" style="45" customWidth="1"/>
    <col min="1802" max="1802" width="13" style="45" customWidth="1"/>
    <col min="1803" max="1803" width="16.28515625" style="45" customWidth="1"/>
    <col min="1804" max="1804" width="21.5703125" style="45" bestFit="1" customWidth="1"/>
    <col min="1805" max="2052" width="9.140625" style="45"/>
    <col min="2053" max="2053" width="78.7109375" style="45" customWidth="1"/>
    <col min="2054" max="2054" width="55.140625" style="45" customWidth="1"/>
    <col min="2055" max="2055" width="34" style="45" customWidth="1"/>
    <col min="2056" max="2056" width="31.42578125" style="45" customWidth="1"/>
    <col min="2057" max="2057" width="18.7109375" style="45" customWidth="1"/>
    <col min="2058" max="2058" width="13" style="45" customWidth="1"/>
    <col min="2059" max="2059" width="16.28515625" style="45" customWidth="1"/>
    <col min="2060" max="2060" width="21.5703125" style="45" bestFit="1" customWidth="1"/>
    <col min="2061" max="2308" width="9.140625" style="45"/>
    <col min="2309" max="2309" width="78.7109375" style="45" customWidth="1"/>
    <col min="2310" max="2310" width="55.140625" style="45" customWidth="1"/>
    <col min="2311" max="2311" width="34" style="45" customWidth="1"/>
    <col min="2312" max="2312" width="31.42578125" style="45" customWidth="1"/>
    <col min="2313" max="2313" width="18.7109375" style="45" customWidth="1"/>
    <col min="2314" max="2314" width="13" style="45" customWidth="1"/>
    <col min="2315" max="2315" width="16.28515625" style="45" customWidth="1"/>
    <col min="2316" max="2316" width="21.5703125" style="45" bestFit="1" customWidth="1"/>
    <col min="2317" max="2564" width="9.140625" style="45"/>
    <col min="2565" max="2565" width="78.7109375" style="45" customWidth="1"/>
    <col min="2566" max="2566" width="55.140625" style="45" customWidth="1"/>
    <col min="2567" max="2567" width="34" style="45" customWidth="1"/>
    <col min="2568" max="2568" width="31.42578125" style="45" customWidth="1"/>
    <col min="2569" max="2569" width="18.7109375" style="45" customWidth="1"/>
    <col min="2570" max="2570" width="13" style="45" customWidth="1"/>
    <col min="2571" max="2571" width="16.28515625" style="45" customWidth="1"/>
    <col min="2572" max="2572" width="21.5703125" style="45" bestFit="1" customWidth="1"/>
    <col min="2573" max="2820" width="9.140625" style="45"/>
    <col min="2821" max="2821" width="78.7109375" style="45" customWidth="1"/>
    <col min="2822" max="2822" width="55.140625" style="45" customWidth="1"/>
    <col min="2823" max="2823" width="34" style="45" customWidth="1"/>
    <col min="2824" max="2824" width="31.42578125" style="45" customWidth="1"/>
    <col min="2825" max="2825" width="18.7109375" style="45" customWidth="1"/>
    <col min="2826" max="2826" width="13" style="45" customWidth="1"/>
    <col min="2827" max="2827" width="16.28515625" style="45" customWidth="1"/>
    <col min="2828" max="2828" width="21.5703125" style="45" bestFit="1" customWidth="1"/>
    <col min="2829" max="3076" width="9.140625" style="45"/>
    <col min="3077" max="3077" width="78.7109375" style="45" customWidth="1"/>
    <col min="3078" max="3078" width="55.140625" style="45" customWidth="1"/>
    <col min="3079" max="3079" width="34" style="45" customWidth="1"/>
    <col min="3080" max="3080" width="31.42578125" style="45" customWidth="1"/>
    <col min="3081" max="3081" width="18.7109375" style="45" customWidth="1"/>
    <col min="3082" max="3082" width="13" style="45" customWidth="1"/>
    <col min="3083" max="3083" width="16.28515625" style="45" customWidth="1"/>
    <col min="3084" max="3084" width="21.5703125" style="45" bestFit="1" customWidth="1"/>
    <col min="3085" max="3332" width="9.140625" style="45"/>
    <col min="3333" max="3333" width="78.7109375" style="45" customWidth="1"/>
    <col min="3334" max="3334" width="55.140625" style="45" customWidth="1"/>
    <col min="3335" max="3335" width="34" style="45" customWidth="1"/>
    <col min="3336" max="3336" width="31.42578125" style="45" customWidth="1"/>
    <col min="3337" max="3337" width="18.7109375" style="45" customWidth="1"/>
    <col min="3338" max="3338" width="13" style="45" customWidth="1"/>
    <col min="3339" max="3339" width="16.28515625" style="45" customWidth="1"/>
    <col min="3340" max="3340" width="21.5703125" style="45" bestFit="1" customWidth="1"/>
    <col min="3341" max="3588" width="9.140625" style="45"/>
    <col min="3589" max="3589" width="78.7109375" style="45" customWidth="1"/>
    <col min="3590" max="3590" width="55.140625" style="45" customWidth="1"/>
    <col min="3591" max="3591" width="34" style="45" customWidth="1"/>
    <col min="3592" max="3592" width="31.42578125" style="45" customWidth="1"/>
    <col min="3593" max="3593" width="18.7109375" style="45" customWidth="1"/>
    <col min="3594" max="3594" width="13" style="45" customWidth="1"/>
    <col min="3595" max="3595" width="16.28515625" style="45" customWidth="1"/>
    <col min="3596" max="3596" width="21.5703125" style="45" bestFit="1" customWidth="1"/>
    <col min="3597" max="3844" width="9.140625" style="45"/>
    <col min="3845" max="3845" width="78.7109375" style="45" customWidth="1"/>
    <col min="3846" max="3846" width="55.140625" style="45" customWidth="1"/>
    <col min="3847" max="3847" width="34" style="45" customWidth="1"/>
    <col min="3848" max="3848" width="31.42578125" style="45" customWidth="1"/>
    <col min="3849" max="3849" width="18.7109375" style="45" customWidth="1"/>
    <col min="3850" max="3850" width="13" style="45" customWidth="1"/>
    <col min="3851" max="3851" width="16.28515625" style="45" customWidth="1"/>
    <col min="3852" max="3852" width="21.5703125" style="45" bestFit="1" customWidth="1"/>
    <col min="3853" max="4100" width="9.140625" style="45"/>
    <col min="4101" max="4101" width="78.7109375" style="45" customWidth="1"/>
    <col min="4102" max="4102" width="55.140625" style="45" customWidth="1"/>
    <col min="4103" max="4103" width="34" style="45" customWidth="1"/>
    <col min="4104" max="4104" width="31.42578125" style="45" customWidth="1"/>
    <col min="4105" max="4105" width="18.7109375" style="45" customWidth="1"/>
    <col min="4106" max="4106" width="13" style="45" customWidth="1"/>
    <col min="4107" max="4107" width="16.28515625" style="45" customWidth="1"/>
    <col min="4108" max="4108" width="21.5703125" style="45" bestFit="1" customWidth="1"/>
    <col min="4109" max="4356" width="9.140625" style="45"/>
    <col min="4357" max="4357" width="78.7109375" style="45" customWidth="1"/>
    <col min="4358" max="4358" width="55.140625" style="45" customWidth="1"/>
    <col min="4359" max="4359" width="34" style="45" customWidth="1"/>
    <col min="4360" max="4360" width="31.42578125" style="45" customWidth="1"/>
    <col min="4361" max="4361" width="18.7109375" style="45" customWidth="1"/>
    <col min="4362" max="4362" width="13" style="45" customWidth="1"/>
    <col min="4363" max="4363" width="16.28515625" style="45" customWidth="1"/>
    <col min="4364" max="4364" width="21.5703125" style="45" bestFit="1" customWidth="1"/>
    <col min="4365" max="4612" width="9.140625" style="45"/>
    <col min="4613" max="4613" width="78.7109375" style="45" customWidth="1"/>
    <col min="4614" max="4614" width="55.140625" style="45" customWidth="1"/>
    <col min="4615" max="4615" width="34" style="45" customWidth="1"/>
    <col min="4616" max="4616" width="31.42578125" style="45" customWidth="1"/>
    <col min="4617" max="4617" width="18.7109375" style="45" customWidth="1"/>
    <col min="4618" max="4618" width="13" style="45" customWidth="1"/>
    <col min="4619" max="4619" width="16.28515625" style="45" customWidth="1"/>
    <col min="4620" max="4620" width="21.5703125" style="45" bestFit="1" customWidth="1"/>
    <col min="4621" max="4868" width="9.140625" style="45"/>
    <col min="4869" max="4869" width="78.7109375" style="45" customWidth="1"/>
    <col min="4870" max="4870" width="55.140625" style="45" customWidth="1"/>
    <col min="4871" max="4871" width="34" style="45" customWidth="1"/>
    <col min="4872" max="4872" width="31.42578125" style="45" customWidth="1"/>
    <col min="4873" max="4873" width="18.7109375" style="45" customWidth="1"/>
    <col min="4874" max="4874" width="13" style="45" customWidth="1"/>
    <col min="4875" max="4875" width="16.28515625" style="45" customWidth="1"/>
    <col min="4876" max="4876" width="21.5703125" style="45" bestFit="1" customWidth="1"/>
    <col min="4877" max="5124" width="9.140625" style="45"/>
    <col min="5125" max="5125" width="78.7109375" style="45" customWidth="1"/>
    <col min="5126" max="5126" width="55.140625" style="45" customWidth="1"/>
    <col min="5127" max="5127" width="34" style="45" customWidth="1"/>
    <col min="5128" max="5128" width="31.42578125" style="45" customWidth="1"/>
    <col min="5129" max="5129" width="18.7109375" style="45" customWidth="1"/>
    <col min="5130" max="5130" width="13" style="45" customWidth="1"/>
    <col min="5131" max="5131" width="16.28515625" style="45" customWidth="1"/>
    <col min="5132" max="5132" width="21.5703125" style="45" bestFit="1" customWidth="1"/>
    <col min="5133" max="5380" width="9.140625" style="45"/>
    <col min="5381" max="5381" width="78.7109375" style="45" customWidth="1"/>
    <col min="5382" max="5382" width="55.140625" style="45" customWidth="1"/>
    <col min="5383" max="5383" width="34" style="45" customWidth="1"/>
    <col min="5384" max="5384" width="31.42578125" style="45" customWidth="1"/>
    <col min="5385" max="5385" width="18.7109375" style="45" customWidth="1"/>
    <col min="5386" max="5386" width="13" style="45" customWidth="1"/>
    <col min="5387" max="5387" width="16.28515625" style="45" customWidth="1"/>
    <col min="5388" max="5388" width="21.5703125" style="45" bestFit="1" customWidth="1"/>
    <col min="5389" max="5636" width="9.140625" style="45"/>
    <col min="5637" max="5637" width="78.7109375" style="45" customWidth="1"/>
    <col min="5638" max="5638" width="55.140625" style="45" customWidth="1"/>
    <col min="5639" max="5639" width="34" style="45" customWidth="1"/>
    <col min="5640" max="5640" width="31.42578125" style="45" customWidth="1"/>
    <col min="5641" max="5641" width="18.7109375" style="45" customWidth="1"/>
    <col min="5642" max="5642" width="13" style="45" customWidth="1"/>
    <col min="5643" max="5643" width="16.28515625" style="45" customWidth="1"/>
    <col min="5644" max="5644" width="21.5703125" style="45" bestFit="1" customWidth="1"/>
    <col min="5645" max="5892" width="9.140625" style="45"/>
    <col min="5893" max="5893" width="78.7109375" style="45" customWidth="1"/>
    <col min="5894" max="5894" width="55.140625" style="45" customWidth="1"/>
    <col min="5895" max="5895" width="34" style="45" customWidth="1"/>
    <col min="5896" max="5896" width="31.42578125" style="45" customWidth="1"/>
    <col min="5897" max="5897" width="18.7109375" style="45" customWidth="1"/>
    <col min="5898" max="5898" width="13" style="45" customWidth="1"/>
    <col min="5899" max="5899" width="16.28515625" style="45" customWidth="1"/>
    <col min="5900" max="5900" width="21.5703125" style="45" bestFit="1" customWidth="1"/>
    <col min="5901" max="6148" width="9.140625" style="45"/>
    <col min="6149" max="6149" width="78.7109375" style="45" customWidth="1"/>
    <col min="6150" max="6150" width="55.140625" style="45" customWidth="1"/>
    <col min="6151" max="6151" width="34" style="45" customWidth="1"/>
    <col min="6152" max="6152" width="31.42578125" style="45" customWidth="1"/>
    <col min="6153" max="6153" width="18.7109375" style="45" customWidth="1"/>
    <col min="6154" max="6154" width="13" style="45" customWidth="1"/>
    <col min="6155" max="6155" width="16.28515625" style="45" customWidth="1"/>
    <col min="6156" max="6156" width="21.5703125" style="45" bestFit="1" customWidth="1"/>
    <col min="6157" max="6404" width="9.140625" style="45"/>
    <col min="6405" max="6405" width="78.7109375" style="45" customWidth="1"/>
    <col min="6406" max="6406" width="55.140625" style="45" customWidth="1"/>
    <col min="6407" max="6407" width="34" style="45" customWidth="1"/>
    <col min="6408" max="6408" width="31.42578125" style="45" customWidth="1"/>
    <col min="6409" max="6409" width="18.7109375" style="45" customWidth="1"/>
    <col min="6410" max="6410" width="13" style="45" customWidth="1"/>
    <col min="6411" max="6411" width="16.28515625" style="45" customWidth="1"/>
    <col min="6412" max="6412" width="21.5703125" style="45" bestFit="1" customWidth="1"/>
    <col min="6413" max="6660" width="9.140625" style="45"/>
    <col min="6661" max="6661" width="78.7109375" style="45" customWidth="1"/>
    <col min="6662" max="6662" width="55.140625" style="45" customWidth="1"/>
    <col min="6663" max="6663" width="34" style="45" customWidth="1"/>
    <col min="6664" max="6664" width="31.42578125" style="45" customWidth="1"/>
    <col min="6665" max="6665" width="18.7109375" style="45" customWidth="1"/>
    <col min="6666" max="6666" width="13" style="45" customWidth="1"/>
    <col min="6667" max="6667" width="16.28515625" style="45" customWidth="1"/>
    <col min="6668" max="6668" width="21.5703125" style="45" bestFit="1" customWidth="1"/>
    <col min="6669" max="6916" width="9.140625" style="45"/>
    <col min="6917" max="6917" width="78.7109375" style="45" customWidth="1"/>
    <col min="6918" max="6918" width="55.140625" style="45" customWidth="1"/>
    <col min="6919" max="6919" width="34" style="45" customWidth="1"/>
    <col min="6920" max="6920" width="31.42578125" style="45" customWidth="1"/>
    <col min="6921" max="6921" width="18.7109375" style="45" customWidth="1"/>
    <col min="6922" max="6922" width="13" style="45" customWidth="1"/>
    <col min="6923" max="6923" width="16.28515625" style="45" customWidth="1"/>
    <col min="6924" max="6924" width="21.5703125" style="45" bestFit="1" customWidth="1"/>
    <col min="6925" max="7172" width="9.140625" style="45"/>
    <col min="7173" max="7173" width="78.7109375" style="45" customWidth="1"/>
    <col min="7174" max="7174" width="55.140625" style="45" customWidth="1"/>
    <col min="7175" max="7175" width="34" style="45" customWidth="1"/>
    <col min="7176" max="7176" width="31.42578125" style="45" customWidth="1"/>
    <col min="7177" max="7177" width="18.7109375" style="45" customWidth="1"/>
    <col min="7178" max="7178" width="13" style="45" customWidth="1"/>
    <col min="7179" max="7179" width="16.28515625" style="45" customWidth="1"/>
    <col min="7180" max="7180" width="21.5703125" style="45" bestFit="1" customWidth="1"/>
    <col min="7181" max="7428" width="9.140625" style="45"/>
    <col min="7429" max="7429" width="78.7109375" style="45" customWidth="1"/>
    <col min="7430" max="7430" width="55.140625" style="45" customWidth="1"/>
    <col min="7431" max="7431" width="34" style="45" customWidth="1"/>
    <col min="7432" max="7432" width="31.42578125" style="45" customWidth="1"/>
    <col min="7433" max="7433" width="18.7109375" style="45" customWidth="1"/>
    <col min="7434" max="7434" width="13" style="45" customWidth="1"/>
    <col min="7435" max="7435" width="16.28515625" style="45" customWidth="1"/>
    <col min="7436" max="7436" width="21.5703125" style="45" bestFit="1" customWidth="1"/>
    <col min="7437" max="7684" width="9.140625" style="45"/>
    <col min="7685" max="7685" width="78.7109375" style="45" customWidth="1"/>
    <col min="7686" max="7686" width="55.140625" style="45" customWidth="1"/>
    <col min="7687" max="7687" width="34" style="45" customWidth="1"/>
    <col min="7688" max="7688" width="31.42578125" style="45" customWidth="1"/>
    <col min="7689" max="7689" width="18.7109375" style="45" customWidth="1"/>
    <col min="7690" max="7690" width="13" style="45" customWidth="1"/>
    <col min="7691" max="7691" width="16.28515625" style="45" customWidth="1"/>
    <col min="7692" max="7692" width="21.5703125" style="45" bestFit="1" customWidth="1"/>
    <col min="7693" max="7940" width="9.140625" style="45"/>
    <col min="7941" max="7941" width="78.7109375" style="45" customWidth="1"/>
    <col min="7942" max="7942" width="55.140625" style="45" customWidth="1"/>
    <col min="7943" max="7943" width="34" style="45" customWidth="1"/>
    <col min="7944" max="7944" width="31.42578125" style="45" customWidth="1"/>
    <col min="7945" max="7945" width="18.7109375" style="45" customWidth="1"/>
    <col min="7946" max="7946" width="13" style="45" customWidth="1"/>
    <col min="7947" max="7947" width="16.28515625" style="45" customWidth="1"/>
    <col min="7948" max="7948" width="21.5703125" style="45" bestFit="1" customWidth="1"/>
    <col min="7949" max="8196" width="9.140625" style="45"/>
    <col min="8197" max="8197" width="78.7109375" style="45" customWidth="1"/>
    <col min="8198" max="8198" width="55.140625" style="45" customWidth="1"/>
    <col min="8199" max="8199" width="34" style="45" customWidth="1"/>
    <col min="8200" max="8200" width="31.42578125" style="45" customWidth="1"/>
    <col min="8201" max="8201" width="18.7109375" style="45" customWidth="1"/>
    <col min="8202" max="8202" width="13" style="45" customWidth="1"/>
    <col min="8203" max="8203" width="16.28515625" style="45" customWidth="1"/>
    <col min="8204" max="8204" width="21.5703125" style="45" bestFit="1" customWidth="1"/>
    <col min="8205" max="8452" width="9.140625" style="45"/>
    <col min="8453" max="8453" width="78.7109375" style="45" customWidth="1"/>
    <col min="8454" max="8454" width="55.140625" style="45" customWidth="1"/>
    <col min="8455" max="8455" width="34" style="45" customWidth="1"/>
    <col min="8456" max="8456" width="31.42578125" style="45" customWidth="1"/>
    <col min="8457" max="8457" width="18.7109375" style="45" customWidth="1"/>
    <col min="8458" max="8458" width="13" style="45" customWidth="1"/>
    <col min="8459" max="8459" width="16.28515625" style="45" customWidth="1"/>
    <col min="8460" max="8460" width="21.5703125" style="45" bestFit="1" customWidth="1"/>
    <col min="8461" max="8708" width="9.140625" style="45"/>
    <col min="8709" max="8709" width="78.7109375" style="45" customWidth="1"/>
    <col min="8710" max="8710" width="55.140625" style="45" customWidth="1"/>
    <col min="8711" max="8711" width="34" style="45" customWidth="1"/>
    <col min="8712" max="8712" width="31.42578125" style="45" customWidth="1"/>
    <col min="8713" max="8713" width="18.7109375" style="45" customWidth="1"/>
    <col min="8714" max="8714" width="13" style="45" customWidth="1"/>
    <col min="8715" max="8715" width="16.28515625" style="45" customWidth="1"/>
    <col min="8716" max="8716" width="21.5703125" style="45" bestFit="1" customWidth="1"/>
    <col min="8717" max="8964" width="9.140625" style="45"/>
    <col min="8965" max="8965" width="78.7109375" style="45" customWidth="1"/>
    <col min="8966" max="8966" width="55.140625" style="45" customWidth="1"/>
    <col min="8967" max="8967" width="34" style="45" customWidth="1"/>
    <col min="8968" max="8968" width="31.42578125" style="45" customWidth="1"/>
    <col min="8969" max="8969" width="18.7109375" style="45" customWidth="1"/>
    <col min="8970" max="8970" width="13" style="45" customWidth="1"/>
    <col min="8971" max="8971" width="16.28515625" style="45" customWidth="1"/>
    <col min="8972" max="8972" width="21.5703125" style="45" bestFit="1" customWidth="1"/>
    <col min="8973" max="9220" width="9.140625" style="45"/>
    <col min="9221" max="9221" width="78.7109375" style="45" customWidth="1"/>
    <col min="9222" max="9222" width="55.140625" style="45" customWidth="1"/>
    <col min="9223" max="9223" width="34" style="45" customWidth="1"/>
    <col min="9224" max="9224" width="31.42578125" style="45" customWidth="1"/>
    <col min="9225" max="9225" width="18.7109375" style="45" customWidth="1"/>
    <col min="9226" max="9226" width="13" style="45" customWidth="1"/>
    <col min="9227" max="9227" width="16.28515625" style="45" customWidth="1"/>
    <col min="9228" max="9228" width="21.5703125" style="45" bestFit="1" customWidth="1"/>
    <col min="9229" max="9476" width="9.140625" style="45"/>
    <col min="9477" max="9477" width="78.7109375" style="45" customWidth="1"/>
    <col min="9478" max="9478" width="55.140625" style="45" customWidth="1"/>
    <col min="9479" max="9479" width="34" style="45" customWidth="1"/>
    <col min="9480" max="9480" width="31.42578125" style="45" customWidth="1"/>
    <col min="9481" max="9481" width="18.7109375" style="45" customWidth="1"/>
    <col min="9482" max="9482" width="13" style="45" customWidth="1"/>
    <col min="9483" max="9483" width="16.28515625" style="45" customWidth="1"/>
    <col min="9484" max="9484" width="21.5703125" style="45" bestFit="1" customWidth="1"/>
    <col min="9485" max="9732" width="9.140625" style="45"/>
    <col min="9733" max="9733" width="78.7109375" style="45" customWidth="1"/>
    <col min="9734" max="9734" width="55.140625" style="45" customWidth="1"/>
    <col min="9735" max="9735" width="34" style="45" customWidth="1"/>
    <col min="9736" max="9736" width="31.42578125" style="45" customWidth="1"/>
    <col min="9737" max="9737" width="18.7109375" style="45" customWidth="1"/>
    <col min="9738" max="9738" width="13" style="45" customWidth="1"/>
    <col min="9739" max="9739" width="16.28515625" style="45" customWidth="1"/>
    <col min="9740" max="9740" width="21.5703125" style="45" bestFit="1" customWidth="1"/>
    <col min="9741" max="9988" width="9.140625" style="45"/>
    <col min="9989" max="9989" width="78.7109375" style="45" customWidth="1"/>
    <col min="9990" max="9990" width="55.140625" style="45" customWidth="1"/>
    <col min="9991" max="9991" width="34" style="45" customWidth="1"/>
    <col min="9992" max="9992" width="31.42578125" style="45" customWidth="1"/>
    <col min="9993" max="9993" width="18.7109375" style="45" customWidth="1"/>
    <col min="9994" max="9994" width="13" style="45" customWidth="1"/>
    <col min="9995" max="9995" width="16.28515625" style="45" customWidth="1"/>
    <col min="9996" max="9996" width="21.5703125" style="45" bestFit="1" customWidth="1"/>
    <col min="9997" max="10244" width="9.140625" style="45"/>
    <col min="10245" max="10245" width="78.7109375" style="45" customWidth="1"/>
    <col min="10246" max="10246" width="55.140625" style="45" customWidth="1"/>
    <col min="10247" max="10247" width="34" style="45" customWidth="1"/>
    <col min="10248" max="10248" width="31.42578125" style="45" customWidth="1"/>
    <col min="10249" max="10249" width="18.7109375" style="45" customWidth="1"/>
    <col min="10250" max="10250" width="13" style="45" customWidth="1"/>
    <col min="10251" max="10251" width="16.28515625" style="45" customWidth="1"/>
    <col min="10252" max="10252" width="21.5703125" style="45" bestFit="1" customWidth="1"/>
    <col min="10253" max="10500" width="9.140625" style="45"/>
    <col min="10501" max="10501" width="78.7109375" style="45" customWidth="1"/>
    <col min="10502" max="10502" width="55.140625" style="45" customWidth="1"/>
    <col min="10503" max="10503" width="34" style="45" customWidth="1"/>
    <col min="10504" max="10504" width="31.42578125" style="45" customWidth="1"/>
    <col min="10505" max="10505" width="18.7109375" style="45" customWidth="1"/>
    <col min="10506" max="10506" width="13" style="45" customWidth="1"/>
    <col min="10507" max="10507" width="16.28515625" style="45" customWidth="1"/>
    <col min="10508" max="10508" width="21.5703125" style="45" bestFit="1" customWidth="1"/>
    <col min="10509" max="10756" width="9.140625" style="45"/>
    <col min="10757" max="10757" width="78.7109375" style="45" customWidth="1"/>
    <col min="10758" max="10758" width="55.140625" style="45" customWidth="1"/>
    <col min="10759" max="10759" width="34" style="45" customWidth="1"/>
    <col min="10760" max="10760" width="31.42578125" style="45" customWidth="1"/>
    <col min="10761" max="10761" width="18.7109375" style="45" customWidth="1"/>
    <col min="10762" max="10762" width="13" style="45" customWidth="1"/>
    <col min="10763" max="10763" width="16.28515625" style="45" customWidth="1"/>
    <col min="10764" max="10764" width="21.5703125" style="45" bestFit="1" customWidth="1"/>
    <col min="10765" max="11012" width="9.140625" style="45"/>
    <col min="11013" max="11013" width="78.7109375" style="45" customWidth="1"/>
    <col min="11014" max="11014" width="55.140625" style="45" customWidth="1"/>
    <col min="11015" max="11015" width="34" style="45" customWidth="1"/>
    <col min="11016" max="11016" width="31.42578125" style="45" customWidth="1"/>
    <col min="11017" max="11017" width="18.7109375" style="45" customWidth="1"/>
    <col min="11018" max="11018" width="13" style="45" customWidth="1"/>
    <col min="11019" max="11019" width="16.28515625" style="45" customWidth="1"/>
    <col min="11020" max="11020" width="21.5703125" style="45" bestFit="1" customWidth="1"/>
    <col min="11021" max="11268" width="9.140625" style="45"/>
    <col min="11269" max="11269" width="78.7109375" style="45" customWidth="1"/>
    <col min="11270" max="11270" width="55.140625" style="45" customWidth="1"/>
    <col min="11271" max="11271" width="34" style="45" customWidth="1"/>
    <col min="11272" max="11272" width="31.42578125" style="45" customWidth="1"/>
    <col min="11273" max="11273" width="18.7109375" style="45" customWidth="1"/>
    <col min="11274" max="11274" width="13" style="45" customWidth="1"/>
    <col min="11275" max="11275" width="16.28515625" style="45" customWidth="1"/>
    <col min="11276" max="11276" width="21.5703125" style="45" bestFit="1" customWidth="1"/>
    <col min="11277" max="11524" width="9.140625" style="45"/>
    <col min="11525" max="11525" width="78.7109375" style="45" customWidth="1"/>
    <col min="11526" max="11526" width="55.140625" style="45" customWidth="1"/>
    <col min="11527" max="11527" width="34" style="45" customWidth="1"/>
    <col min="11528" max="11528" width="31.42578125" style="45" customWidth="1"/>
    <col min="11529" max="11529" width="18.7109375" style="45" customWidth="1"/>
    <col min="11530" max="11530" width="13" style="45" customWidth="1"/>
    <col min="11531" max="11531" width="16.28515625" style="45" customWidth="1"/>
    <col min="11532" max="11532" width="21.5703125" style="45" bestFit="1" customWidth="1"/>
    <col min="11533" max="11780" width="9.140625" style="45"/>
    <col min="11781" max="11781" width="78.7109375" style="45" customWidth="1"/>
    <col min="11782" max="11782" width="55.140625" style="45" customWidth="1"/>
    <col min="11783" max="11783" width="34" style="45" customWidth="1"/>
    <col min="11784" max="11784" width="31.42578125" style="45" customWidth="1"/>
    <col min="11785" max="11785" width="18.7109375" style="45" customWidth="1"/>
    <col min="11786" max="11786" width="13" style="45" customWidth="1"/>
    <col min="11787" max="11787" width="16.28515625" style="45" customWidth="1"/>
    <col min="11788" max="11788" width="21.5703125" style="45" bestFit="1" customWidth="1"/>
    <col min="11789" max="12036" width="9.140625" style="45"/>
    <col min="12037" max="12037" width="78.7109375" style="45" customWidth="1"/>
    <col min="12038" max="12038" width="55.140625" style="45" customWidth="1"/>
    <col min="12039" max="12039" width="34" style="45" customWidth="1"/>
    <col min="12040" max="12040" width="31.42578125" style="45" customWidth="1"/>
    <col min="12041" max="12041" width="18.7109375" style="45" customWidth="1"/>
    <col min="12042" max="12042" width="13" style="45" customWidth="1"/>
    <col min="12043" max="12043" width="16.28515625" style="45" customWidth="1"/>
    <col min="12044" max="12044" width="21.5703125" style="45" bestFit="1" customWidth="1"/>
    <col min="12045" max="12292" width="9.140625" style="45"/>
    <col min="12293" max="12293" width="78.7109375" style="45" customWidth="1"/>
    <col min="12294" max="12294" width="55.140625" style="45" customWidth="1"/>
    <col min="12295" max="12295" width="34" style="45" customWidth="1"/>
    <col min="12296" max="12296" width="31.42578125" style="45" customWidth="1"/>
    <col min="12297" max="12297" width="18.7109375" style="45" customWidth="1"/>
    <col min="12298" max="12298" width="13" style="45" customWidth="1"/>
    <col min="12299" max="12299" width="16.28515625" style="45" customWidth="1"/>
    <col min="12300" max="12300" width="21.5703125" style="45" bestFit="1" customWidth="1"/>
    <col min="12301" max="12548" width="9.140625" style="45"/>
    <col min="12549" max="12549" width="78.7109375" style="45" customWidth="1"/>
    <col min="12550" max="12550" width="55.140625" style="45" customWidth="1"/>
    <col min="12551" max="12551" width="34" style="45" customWidth="1"/>
    <col min="12552" max="12552" width="31.42578125" style="45" customWidth="1"/>
    <col min="12553" max="12553" width="18.7109375" style="45" customWidth="1"/>
    <col min="12554" max="12554" width="13" style="45" customWidth="1"/>
    <col min="12555" max="12555" width="16.28515625" style="45" customWidth="1"/>
    <col min="12556" max="12556" width="21.5703125" style="45" bestFit="1" customWidth="1"/>
    <col min="12557" max="12804" width="9.140625" style="45"/>
    <col min="12805" max="12805" width="78.7109375" style="45" customWidth="1"/>
    <col min="12806" max="12806" width="55.140625" style="45" customWidth="1"/>
    <col min="12807" max="12807" width="34" style="45" customWidth="1"/>
    <col min="12808" max="12808" width="31.42578125" style="45" customWidth="1"/>
    <col min="12809" max="12809" width="18.7109375" style="45" customWidth="1"/>
    <col min="12810" max="12810" width="13" style="45" customWidth="1"/>
    <col min="12811" max="12811" width="16.28515625" style="45" customWidth="1"/>
    <col min="12812" max="12812" width="21.5703125" style="45" bestFit="1" customWidth="1"/>
    <col min="12813" max="13060" width="9.140625" style="45"/>
    <col min="13061" max="13061" width="78.7109375" style="45" customWidth="1"/>
    <col min="13062" max="13062" width="55.140625" style="45" customWidth="1"/>
    <col min="13063" max="13063" width="34" style="45" customWidth="1"/>
    <col min="13064" max="13064" width="31.42578125" style="45" customWidth="1"/>
    <col min="13065" max="13065" width="18.7109375" style="45" customWidth="1"/>
    <col min="13066" max="13066" width="13" style="45" customWidth="1"/>
    <col min="13067" max="13067" width="16.28515625" style="45" customWidth="1"/>
    <col min="13068" max="13068" width="21.5703125" style="45" bestFit="1" customWidth="1"/>
    <col min="13069" max="13316" width="9.140625" style="45"/>
    <col min="13317" max="13317" width="78.7109375" style="45" customWidth="1"/>
    <col min="13318" max="13318" width="55.140625" style="45" customWidth="1"/>
    <col min="13319" max="13319" width="34" style="45" customWidth="1"/>
    <col min="13320" max="13320" width="31.42578125" style="45" customWidth="1"/>
    <col min="13321" max="13321" width="18.7109375" style="45" customWidth="1"/>
    <col min="13322" max="13322" width="13" style="45" customWidth="1"/>
    <col min="13323" max="13323" width="16.28515625" style="45" customWidth="1"/>
    <col min="13324" max="13324" width="21.5703125" style="45" bestFit="1" customWidth="1"/>
    <col min="13325" max="13572" width="9.140625" style="45"/>
    <col min="13573" max="13573" width="78.7109375" style="45" customWidth="1"/>
    <col min="13574" max="13574" width="55.140625" style="45" customWidth="1"/>
    <col min="13575" max="13575" width="34" style="45" customWidth="1"/>
    <col min="13576" max="13576" width="31.42578125" style="45" customWidth="1"/>
    <col min="13577" max="13577" width="18.7109375" style="45" customWidth="1"/>
    <col min="13578" max="13578" width="13" style="45" customWidth="1"/>
    <col min="13579" max="13579" width="16.28515625" style="45" customWidth="1"/>
    <col min="13580" max="13580" width="21.5703125" style="45" bestFit="1" customWidth="1"/>
    <col min="13581" max="13828" width="9.140625" style="45"/>
    <col min="13829" max="13829" width="78.7109375" style="45" customWidth="1"/>
    <col min="13830" max="13830" width="55.140625" style="45" customWidth="1"/>
    <col min="13831" max="13831" width="34" style="45" customWidth="1"/>
    <col min="13832" max="13832" width="31.42578125" style="45" customWidth="1"/>
    <col min="13833" max="13833" width="18.7109375" style="45" customWidth="1"/>
    <col min="13834" max="13834" width="13" style="45" customWidth="1"/>
    <col min="13835" max="13835" width="16.28515625" style="45" customWidth="1"/>
    <col min="13836" max="13836" width="21.5703125" style="45" bestFit="1" customWidth="1"/>
    <col min="13837" max="14084" width="9.140625" style="45"/>
    <col min="14085" max="14085" width="78.7109375" style="45" customWidth="1"/>
    <col min="14086" max="14086" width="55.140625" style="45" customWidth="1"/>
    <col min="14087" max="14087" width="34" style="45" customWidth="1"/>
    <col min="14088" max="14088" width="31.42578125" style="45" customWidth="1"/>
    <col min="14089" max="14089" width="18.7109375" style="45" customWidth="1"/>
    <col min="14090" max="14090" width="13" style="45" customWidth="1"/>
    <col min="14091" max="14091" width="16.28515625" style="45" customWidth="1"/>
    <col min="14092" max="14092" width="21.5703125" style="45" bestFit="1" customWidth="1"/>
    <col min="14093" max="14340" width="9.140625" style="45"/>
    <col min="14341" max="14341" width="78.7109375" style="45" customWidth="1"/>
    <col min="14342" max="14342" width="55.140625" style="45" customWidth="1"/>
    <col min="14343" max="14343" width="34" style="45" customWidth="1"/>
    <col min="14344" max="14344" width="31.42578125" style="45" customWidth="1"/>
    <col min="14345" max="14345" width="18.7109375" style="45" customWidth="1"/>
    <col min="14346" max="14346" width="13" style="45" customWidth="1"/>
    <col min="14347" max="14347" width="16.28515625" style="45" customWidth="1"/>
    <col min="14348" max="14348" width="21.5703125" style="45" bestFit="1" customWidth="1"/>
    <col min="14349" max="14596" width="9.140625" style="45"/>
    <col min="14597" max="14597" width="78.7109375" style="45" customWidth="1"/>
    <col min="14598" max="14598" width="55.140625" style="45" customWidth="1"/>
    <col min="14599" max="14599" width="34" style="45" customWidth="1"/>
    <col min="14600" max="14600" width="31.42578125" style="45" customWidth="1"/>
    <col min="14601" max="14601" width="18.7109375" style="45" customWidth="1"/>
    <col min="14602" max="14602" width="13" style="45" customWidth="1"/>
    <col min="14603" max="14603" width="16.28515625" style="45" customWidth="1"/>
    <col min="14604" max="14604" width="21.5703125" style="45" bestFit="1" customWidth="1"/>
    <col min="14605" max="14852" width="9.140625" style="45"/>
    <col min="14853" max="14853" width="78.7109375" style="45" customWidth="1"/>
    <col min="14854" max="14854" width="55.140625" style="45" customWidth="1"/>
    <col min="14855" max="14855" width="34" style="45" customWidth="1"/>
    <col min="14856" max="14856" width="31.42578125" style="45" customWidth="1"/>
    <col min="14857" max="14857" width="18.7109375" style="45" customWidth="1"/>
    <col min="14858" max="14858" width="13" style="45" customWidth="1"/>
    <col min="14859" max="14859" width="16.28515625" style="45" customWidth="1"/>
    <col min="14860" max="14860" width="21.5703125" style="45" bestFit="1" customWidth="1"/>
    <col min="14861" max="15108" width="9.140625" style="45"/>
    <col min="15109" max="15109" width="78.7109375" style="45" customWidth="1"/>
    <col min="15110" max="15110" width="55.140625" style="45" customWidth="1"/>
    <col min="15111" max="15111" width="34" style="45" customWidth="1"/>
    <col min="15112" max="15112" width="31.42578125" style="45" customWidth="1"/>
    <col min="15113" max="15113" width="18.7109375" style="45" customWidth="1"/>
    <col min="15114" max="15114" width="13" style="45" customWidth="1"/>
    <col min="15115" max="15115" width="16.28515625" style="45" customWidth="1"/>
    <col min="15116" max="15116" width="21.5703125" style="45" bestFit="1" customWidth="1"/>
    <col min="15117" max="15364" width="9.140625" style="45"/>
    <col min="15365" max="15365" width="78.7109375" style="45" customWidth="1"/>
    <col min="15366" max="15366" width="55.140625" style="45" customWidth="1"/>
    <col min="15367" max="15367" width="34" style="45" customWidth="1"/>
    <col min="15368" max="15368" width="31.42578125" style="45" customWidth="1"/>
    <col min="15369" max="15369" width="18.7109375" style="45" customWidth="1"/>
    <col min="15370" max="15370" width="13" style="45" customWidth="1"/>
    <col min="15371" max="15371" width="16.28515625" style="45" customWidth="1"/>
    <col min="15372" max="15372" width="21.5703125" style="45" bestFit="1" customWidth="1"/>
    <col min="15373" max="15620" width="9.140625" style="45"/>
    <col min="15621" max="15621" width="78.7109375" style="45" customWidth="1"/>
    <col min="15622" max="15622" width="55.140625" style="45" customWidth="1"/>
    <col min="15623" max="15623" width="34" style="45" customWidth="1"/>
    <col min="15624" max="15624" width="31.42578125" style="45" customWidth="1"/>
    <col min="15625" max="15625" width="18.7109375" style="45" customWidth="1"/>
    <col min="15626" max="15626" width="13" style="45" customWidth="1"/>
    <col min="15627" max="15627" width="16.28515625" style="45" customWidth="1"/>
    <col min="15628" max="15628" width="21.5703125" style="45" bestFit="1" customWidth="1"/>
    <col min="15629" max="15876" width="9.140625" style="45"/>
    <col min="15877" max="15877" width="78.7109375" style="45" customWidth="1"/>
    <col min="15878" max="15878" width="55.140625" style="45" customWidth="1"/>
    <col min="15879" max="15879" width="34" style="45" customWidth="1"/>
    <col min="15880" max="15880" width="31.42578125" style="45" customWidth="1"/>
    <col min="15881" max="15881" width="18.7109375" style="45" customWidth="1"/>
    <col min="15882" max="15882" width="13" style="45" customWidth="1"/>
    <col min="15883" max="15883" width="16.28515625" style="45" customWidth="1"/>
    <col min="15884" max="15884" width="21.5703125" style="45" bestFit="1" customWidth="1"/>
    <col min="15885" max="16132" width="9.140625" style="45"/>
    <col min="16133" max="16133" width="78.7109375" style="45" customWidth="1"/>
    <col min="16134" max="16134" width="55.140625" style="45" customWidth="1"/>
    <col min="16135" max="16135" width="34" style="45" customWidth="1"/>
    <col min="16136" max="16136" width="31.42578125" style="45" customWidth="1"/>
    <col min="16137" max="16137" width="18.7109375" style="45" customWidth="1"/>
    <col min="16138" max="16138" width="13" style="45" customWidth="1"/>
    <col min="16139" max="16139" width="16.28515625" style="45" customWidth="1"/>
    <col min="16140" max="16140" width="21.5703125" style="45" bestFit="1" customWidth="1"/>
    <col min="16141" max="16384" width="9.140625" style="45"/>
  </cols>
  <sheetData>
    <row r="1" spans="1:16140">
      <c r="A1" s="1804" t="s">
        <v>978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</row>
    <row r="2" spans="1:16140" ht="15.75" thickBot="1">
      <c r="A2" s="81"/>
      <c r="B2" s="82"/>
      <c r="C2" s="83"/>
      <c r="D2" s="83"/>
      <c r="E2" s="83"/>
      <c r="F2" s="84"/>
      <c r="G2" s="84"/>
      <c r="H2" s="84"/>
      <c r="I2" s="84"/>
      <c r="J2" s="84"/>
      <c r="K2" s="84"/>
      <c r="L2" s="84"/>
    </row>
    <row r="3" spans="1:16140">
      <c r="A3" s="1805" t="s">
        <v>281</v>
      </c>
      <c r="B3" s="1807" t="s">
        <v>282</v>
      </c>
      <c r="C3" s="1809" t="s">
        <v>512</v>
      </c>
      <c r="D3" s="1809" t="s">
        <v>554</v>
      </c>
      <c r="E3" s="1811" t="s">
        <v>328</v>
      </c>
      <c r="F3" s="1813" t="s">
        <v>329</v>
      </c>
      <c r="G3" s="1814"/>
      <c r="H3" s="1815" t="s">
        <v>330</v>
      </c>
      <c r="I3" s="1817" t="s">
        <v>849</v>
      </c>
      <c r="J3" s="1818"/>
      <c r="K3" s="1819" t="s">
        <v>555</v>
      </c>
      <c r="L3" s="1820"/>
    </row>
    <row r="4" spans="1:16140" ht="57.75" thickBot="1">
      <c r="A4" s="1806"/>
      <c r="B4" s="1808"/>
      <c r="C4" s="1810"/>
      <c r="D4" s="1810"/>
      <c r="E4" s="1812"/>
      <c r="F4" s="703" t="s">
        <v>331</v>
      </c>
      <c r="G4" s="704" t="s">
        <v>332</v>
      </c>
      <c r="H4" s="1816"/>
      <c r="I4" s="632" t="s">
        <v>3</v>
      </c>
      <c r="J4" s="1480" t="s">
        <v>910</v>
      </c>
      <c r="K4" s="1481" t="s">
        <v>3</v>
      </c>
      <c r="L4" s="1482" t="s">
        <v>910</v>
      </c>
    </row>
    <row r="5" spans="1:16140" ht="30">
      <c r="A5" s="716" t="s">
        <v>293</v>
      </c>
      <c r="B5" s="712" t="s">
        <v>294</v>
      </c>
      <c r="C5" s="275">
        <v>43077</v>
      </c>
      <c r="D5" s="276">
        <v>44165</v>
      </c>
      <c r="E5" s="277">
        <f t="shared" ref="E5:E25" si="0">SUM(F5:G5)</f>
        <v>118233</v>
      </c>
      <c r="F5" s="273"/>
      <c r="G5" s="225">
        <v>118233</v>
      </c>
      <c r="H5" s="296">
        <f t="shared" ref="H5:H29" si="1">E5</f>
        <v>118233</v>
      </c>
      <c r="I5" s="705">
        <v>33410</v>
      </c>
      <c r="J5" s="706">
        <v>35782</v>
      </c>
      <c r="K5" s="273">
        <v>54244</v>
      </c>
      <c r="L5" s="277">
        <v>77219</v>
      </c>
    </row>
    <row r="6" spans="1:16140">
      <c r="A6" s="649" t="s">
        <v>508</v>
      </c>
      <c r="B6" s="713" t="s">
        <v>304</v>
      </c>
      <c r="C6" s="707">
        <v>43165</v>
      </c>
      <c r="D6" s="708">
        <v>44255</v>
      </c>
      <c r="E6" s="666">
        <f t="shared" si="0"/>
        <v>410821</v>
      </c>
      <c r="F6" s="510"/>
      <c r="G6" s="709">
        <v>410821</v>
      </c>
      <c r="H6" s="710">
        <f t="shared" si="1"/>
        <v>410821</v>
      </c>
      <c r="I6" s="510">
        <v>74274</v>
      </c>
      <c r="J6" s="710">
        <v>240088</v>
      </c>
      <c r="K6" s="510">
        <v>125751</v>
      </c>
      <c r="L6" s="666">
        <v>226498</v>
      </c>
    </row>
    <row r="7" spans="1:16140">
      <c r="A7" s="649" t="s">
        <v>309</v>
      </c>
      <c r="B7" s="713" t="s">
        <v>310</v>
      </c>
      <c r="C7" s="707">
        <v>43138</v>
      </c>
      <c r="D7" s="708">
        <v>43921</v>
      </c>
      <c r="E7" s="666">
        <f t="shared" si="0"/>
        <v>14985</v>
      </c>
      <c r="F7" s="510"/>
      <c r="G7" s="709">
        <v>14985</v>
      </c>
      <c r="H7" s="710">
        <f t="shared" si="1"/>
        <v>14985</v>
      </c>
      <c r="I7" s="510">
        <v>984</v>
      </c>
      <c r="J7" s="710">
        <v>0</v>
      </c>
      <c r="K7" s="510">
        <v>994</v>
      </c>
      <c r="L7" s="666">
        <v>3571</v>
      </c>
    </row>
    <row r="8" spans="1:16140">
      <c r="A8" s="649" t="s">
        <v>305</v>
      </c>
      <c r="B8" s="713" t="s">
        <v>306</v>
      </c>
      <c r="C8" s="707">
        <v>43136</v>
      </c>
      <c r="D8" s="708">
        <v>44286</v>
      </c>
      <c r="E8" s="666">
        <f t="shared" si="0"/>
        <v>29807</v>
      </c>
      <c r="F8" s="510"/>
      <c r="G8" s="709">
        <v>29807</v>
      </c>
      <c r="H8" s="710">
        <f t="shared" si="1"/>
        <v>29807</v>
      </c>
      <c r="I8" s="510">
        <v>15838</v>
      </c>
      <c r="J8" s="710">
        <v>18922</v>
      </c>
      <c r="K8" s="510">
        <v>16338</v>
      </c>
      <c r="L8" s="666">
        <v>18160</v>
      </c>
    </row>
    <row r="9" spans="1:16140" s="139" customFormat="1">
      <c r="A9" s="649" t="s">
        <v>307</v>
      </c>
      <c r="B9" s="713" t="s">
        <v>308</v>
      </c>
      <c r="C9" s="707">
        <v>43222</v>
      </c>
      <c r="D9" s="708">
        <v>44316</v>
      </c>
      <c r="E9" s="666">
        <f t="shared" si="0"/>
        <v>38428</v>
      </c>
      <c r="F9" s="510"/>
      <c r="G9" s="709">
        <v>38428</v>
      </c>
      <c r="H9" s="710">
        <f t="shared" si="1"/>
        <v>38428</v>
      </c>
      <c r="I9" s="510">
        <v>3601</v>
      </c>
      <c r="J9" s="710">
        <v>17476</v>
      </c>
      <c r="K9" s="510">
        <v>11601</v>
      </c>
      <c r="L9" s="666">
        <v>21888</v>
      </c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</row>
    <row r="10" spans="1:16140" s="139" customFormat="1" ht="15.75">
      <c r="A10" s="652" t="s">
        <v>850</v>
      </c>
      <c r="B10" s="714" t="s">
        <v>851</v>
      </c>
      <c r="C10" s="707"/>
      <c r="D10" s="708"/>
      <c r="E10" s="666"/>
      <c r="F10" s="510"/>
      <c r="G10" s="709"/>
      <c r="H10" s="710"/>
      <c r="I10" s="510"/>
      <c r="J10" s="710">
        <v>1251</v>
      </c>
      <c r="K10" s="510"/>
      <c r="L10" s="666">
        <v>17</v>
      </c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</row>
    <row r="11" spans="1:16140" s="139" customFormat="1" ht="15.75">
      <c r="A11" s="652" t="s">
        <v>852</v>
      </c>
      <c r="B11" s="714" t="s">
        <v>853</v>
      </c>
      <c r="C11" s="707"/>
      <c r="D11" s="708"/>
      <c r="E11" s="666"/>
      <c r="F11" s="510"/>
      <c r="G11" s="709"/>
      <c r="H11" s="710"/>
      <c r="I11" s="510"/>
      <c r="J11" s="710">
        <v>0</v>
      </c>
      <c r="K11" s="510"/>
      <c r="L11" s="666">
        <v>436</v>
      </c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</row>
    <row r="12" spans="1:16140" s="139" customFormat="1" ht="31.5">
      <c r="A12" s="663" t="s">
        <v>854</v>
      </c>
      <c r="B12" s="715" t="s">
        <v>855</v>
      </c>
      <c r="C12" s="707"/>
      <c r="D12" s="708"/>
      <c r="E12" s="666"/>
      <c r="F12" s="510"/>
      <c r="G12" s="709"/>
      <c r="H12" s="710"/>
      <c r="I12" s="510"/>
      <c r="J12" s="710">
        <v>0</v>
      </c>
      <c r="K12" s="510"/>
      <c r="L12" s="666">
        <v>506</v>
      </c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</row>
    <row r="13" spans="1:16140" s="139" customFormat="1" ht="30">
      <c r="A13" s="649" t="s">
        <v>486</v>
      </c>
      <c r="B13" s="713" t="s">
        <v>291</v>
      </c>
      <c r="C13" s="707">
        <v>43210</v>
      </c>
      <c r="D13" s="711">
        <v>44196</v>
      </c>
      <c r="E13" s="666">
        <f t="shared" si="0"/>
        <v>106593</v>
      </c>
      <c r="F13" s="510">
        <f>5330</f>
        <v>5330</v>
      </c>
      <c r="G13" s="709">
        <v>101263</v>
      </c>
      <c r="H13" s="710">
        <f t="shared" si="1"/>
        <v>106593</v>
      </c>
      <c r="I13" s="510">
        <v>14320</v>
      </c>
      <c r="J13" s="710">
        <v>96602</v>
      </c>
      <c r="K13" s="510">
        <v>104320</v>
      </c>
      <c r="L13" s="666">
        <v>104706</v>
      </c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</row>
    <row r="14" spans="1:16140" s="139" customFormat="1" ht="45">
      <c r="A14" s="649" t="s">
        <v>487</v>
      </c>
      <c r="B14" s="713" t="s">
        <v>292</v>
      </c>
      <c r="C14" s="707">
        <v>43109</v>
      </c>
      <c r="D14" s="711">
        <v>44012</v>
      </c>
      <c r="E14" s="666">
        <f t="shared" si="0"/>
        <v>94097</v>
      </c>
      <c r="F14" s="510">
        <v>4481</v>
      </c>
      <c r="G14" s="709">
        <v>89616</v>
      </c>
      <c r="H14" s="710">
        <f t="shared" si="1"/>
        <v>94097</v>
      </c>
      <c r="I14" s="510">
        <v>0</v>
      </c>
      <c r="J14" s="710">
        <v>10639</v>
      </c>
      <c r="K14" s="510">
        <v>6469</v>
      </c>
      <c r="L14" s="666">
        <v>24765</v>
      </c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</row>
    <row r="15" spans="1:16140" s="139" customFormat="1">
      <c r="A15" s="649" t="s">
        <v>302</v>
      </c>
      <c r="B15" s="713" t="s">
        <v>303</v>
      </c>
      <c r="C15" s="707">
        <v>43363</v>
      </c>
      <c r="D15" s="708">
        <v>44105</v>
      </c>
      <c r="E15" s="666">
        <f t="shared" si="0"/>
        <v>504640</v>
      </c>
      <c r="F15" s="510">
        <v>105181</v>
      </c>
      <c r="G15" s="709">
        <v>399459</v>
      </c>
      <c r="H15" s="710">
        <f t="shared" si="1"/>
        <v>504640</v>
      </c>
      <c r="I15" s="510">
        <v>0</v>
      </c>
      <c r="J15" s="710">
        <v>3000</v>
      </c>
      <c r="K15" s="510">
        <v>385776</v>
      </c>
      <c r="L15" s="666">
        <v>378841</v>
      </c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</row>
    <row r="16" spans="1:16140" s="139" customFormat="1" ht="30">
      <c r="A16" s="649" t="s">
        <v>289</v>
      </c>
      <c r="B16" s="713" t="s">
        <v>290</v>
      </c>
      <c r="C16" s="707">
        <v>43004</v>
      </c>
      <c r="D16" s="708">
        <v>44194</v>
      </c>
      <c r="E16" s="666">
        <f t="shared" si="0"/>
        <v>204401</v>
      </c>
      <c r="F16" s="510">
        <v>24174</v>
      </c>
      <c r="G16" s="709">
        <v>180227</v>
      </c>
      <c r="H16" s="710">
        <f t="shared" si="1"/>
        <v>204401</v>
      </c>
      <c r="I16" s="510">
        <v>0</v>
      </c>
      <c r="J16" s="710">
        <v>0</v>
      </c>
      <c r="K16" s="510">
        <v>199043</v>
      </c>
      <c r="L16" s="666">
        <v>197234</v>
      </c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</row>
    <row r="17" spans="1:16140" s="139" customFormat="1" ht="30">
      <c r="A17" s="649" t="s">
        <v>287</v>
      </c>
      <c r="B17" s="713" t="s">
        <v>288</v>
      </c>
      <c r="C17" s="707">
        <v>42886</v>
      </c>
      <c r="D17" s="711">
        <v>44011</v>
      </c>
      <c r="E17" s="666">
        <f t="shared" si="0"/>
        <v>430045</v>
      </c>
      <c r="F17" s="510">
        <v>204925</v>
      </c>
      <c r="G17" s="709">
        <v>225120</v>
      </c>
      <c r="H17" s="710">
        <f t="shared" si="1"/>
        <v>430045</v>
      </c>
      <c r="I17" s="510">
        <v>0</v>
      </c>
      <c r="J17" s="710">
        <v>33542</v>
      </c>
      <c r="K17" s="510">
        <v>201410</v>
      </c>
      <c r="L17" s="666">
        <v>268767</v>
      </c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</row>
    <row r="18" spans="1:16140" s="139" customFormat="1" ht="45">
      <c r="A18" s="649" t="s">
        <v>283</v>
      </c>
      <c r="B18" s="713" t="s">
        <v>284</v>
      </c>
      <c r="C18" s="707">
        <v>42895</v>
      </c>
      <c r="D18" s="711">
        <v>44072</v>
      </c>
      <c r="E18" s="666">
        <f t="shared" si="0"/>
        <v>466684</v>
      </c>
      <c r="F18" s="510">
        <v>116684</v>
      </c>
      <c r="G18" s="709">
        <v>350000</v>
      </c>
      <c r="H18" s="710">
        <f t="shared" si="1"/>
        <v>466684</v>
      </c>
      <c r="I18" s="510">
        <v>0</v>
      </c>
      <c r="J18" s="710">
        <v>103250</v>
      </c>
      <c r="K18" s="510">
        <v>150304</v>
      </c>
      <c r="L18" s="666">
        <v>354558</v>
      </c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</row>
    <row r="19" spans="1:16140" s="139" customFormat="1">
      <c r="A19" s="649" t="s">
        <v>298</v>
      </c>
      <c r="B19" s="713" t="s">
        <v>299</v>
      </c>
      <c r="C19" s="707">
        <v>43131</v>
      </c>
      <c r="D19" s="711">
        <v>44286</v>
      </c>
      <c r="E19" s="666">
        <f t="shared" si="0"/>
        <v>429734</v>
      </c>
      <c r="F19" s="510">
        <v>89734</v>
      </c>
      <c r="G19" s="709">
        <v>340000</v>
      </c>
      <c r="H19" s="710">
        <f t="shared" si="1"/>
        <v>429734</v>
      </c>
      <c r="I19" s="510">
        <v>0</v>
      </c>
      <c r="J19" s="710">
        <v>0</v>
      </c>
      <c r="K19" s="510">
        <v>413129</v>
      </c>
      <c r="L19" s="666">
        <v>412800</v>
      </c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</row>
    <row r="20" spans="1:16140" s="139" customFormat="1">
      <c r="A20" s="649" t="s">
        <v>285</v>
      </c>
      <c r="B20" s="713" t="s">
        <v>286</v>
      </c>
      <c r="C20" s="707">
        <v>42886</v>
      </c>
      <c r="D20" s="711">
        <v>44194</v>
      </c>
      <c r="E20" s="666">
        <f t="shared" si="0"/>
        <v>150000</v>
      </c>
      <c r="F20" s="510"/>
      <c r="G20" s="709">
        <v>150000</v>
      </c>
      <c r="H20" s="710">
        <f t="shared" si="1"/>
        <v>150000</v>
      </c>
      <c r="I20" s="510">
        <v>10399</v>
      </c>
      <c r="J20" s="710">
        <v>0</v>
      </c>
      <c r="K20" s="510">
        <v>147045</v>
      </c>
      <c r="L20" s="666">
        <v>148501</v>
      </c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</row>
    <row r="21" spans="1:16140" s="139" customFormat="1" ht="15.75">
      <c r="A21" s="652" t="s">
        <v>856</v>
      </c>
      <c r="B21" s="634" t="s">
        <v>857</v>
      </c>
      <c r="C21" s="707"/>
      <c r="D21" s="711"/>
      <c r="E21" s="666"/>
      <c r="F21" s="510"/>
      <c r="G21" s="709"/>
      <c r="H21" s="710"/>
      <c r="I21" s="510"/>
      <c r="J21" s="710">
        <v>104463</v>
      </c>
      <c r="K21" s="510"/>
      <c r="L21" s="666">
        <v>100799</v>
      </c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</row>
    <row r="22" spans="1:16140" s="139" customFormat="1" ht="30">
      <c r="A22" s="649" t="s">
        <v>509</v>
      </c>
      <c r="B22" s="713" t="s">
        <v>300</v>
      </c>
      <c r="C22" s="707">
        <v>43147</v>
      </c>
      <c r="D22" s="708">
        <v>44286</v>
      </c>
      <c r="E22" s="666">
        <f t="shared" si="0"/>
        <v>334201</v>
      </c>
      <c r="F22" s="510">
        <v>84201</v>
      </c>
      <c r="G22" s="709">
        <v>250000</v>
      </c>
      <c r="H22" s="710">
        <f t="shared" si="1"/>
        <v>334201</v>
      </c>
      <c r="I22" s="510">
        <v>11345</v>
      </c>
      <c r="J22" s="710">
        <v>0</v>
      </c>
      <c r="K22" s="510">
        <v>235862</v>
      </c>
      <c r="L22" s="666">
        <v>299196</v>
      </c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</row>
    <row r="23" spans="1:16140" s="139" customFormat="1">
      <c r="A23" s="649" t="s">
        <v>510</v>
      </c>
      <c r="B23" s="713" t="s">
        <v>297</v>
      </c>
      <c r="C23" s="707">
        <v>43280</v>
      </c>
      <c r="D23" s="708">
        <v>44345</v>
      </c>
      <c r="E23" s="666">
        <f t="shared" si="0"/>
        <v>53660</v>
      </c>
      <c r="F23" s="510">
        <v>12147</v>
      </c>
      <c r="G23" s="709">
        <v>41513</v>
      </c>
      <c r="H23" s="710">
        <f t="shared" si="1"/>
        <v>53660</v>
      </c>
      <c r="I23" s="510">
        <v>0</v>
      </c>
      <c r="J23" s="710">
        <v>0</v>
      </c>
      <c r="K23" s="510">
        <v>51584</v>
      </c>
      <c r="L23" s="666">
        <v>51217</v>
      </c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</row>
    <row r="24" spans="1:16140" s="139" customFormat="1">
      <c r="A24" s="649" t="s">
        <v>295</v>
      </c>
      <c r="B24" s="713" t="s">
        <v>296</v>
      </c>
      <c r="C24" s="707">
        <v>43256</v>
      </c>
      <c r="D24" s="708">
        <v>43921</v>
      </c>
      <c r="E24" s="666">
        <f t="shared" si="0"/>
        <v>69351</v>
      </c>
      <c r="F24" s="510">
        <v>28486</v>
      </c>
      <c r="G24" s="709">
        <v>40865</v>
      </c>
      <c r="H24" s="710">
        <f t="shared" si="1"/>
        <v>69351</v>
      </c>
      <c r="I24" s="510">
        <v>0</v>
      </c>
      <c r="J24" s="710">
        <v>0</v>
      </c>
      <c r="K24" s="510">
        <v>50645</v>
      </c>
      <c r="L24" s="666">
        <v>32474</v>
      </c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</row>
    <row r="25" spans="1:16140" s="139" customFormat="1">
      <c r="A25" s="649" t="s">
        <v>511</v>
      </c>
      <c r="B25" s="713" t="s">
        <v>301</v>
      </c>
      <c r="C25" s="707">
        <v>43334</v>
      </c>
      <c r="D25" s="708">
        <v>44834</v>
      </c>
      <c r="E25" s="666">
        <f t="shared" si="0"/>
        <v>54999</v>
      </c>
      <c r="F25" s="510"/>
      <c r="G25" s="709">
        <v>54999</v>
      </c>
      <c r="H25" s="710">
        <f t="shared" si="1"/>
        <v>54999</v>
      </c>
      <c r="I25" s="510">
        <v>23371</v>
      </c>
      <c r="J25" s="710">
        <v>29545</v>
      </c>
      <c r="K25" s="510">
        <v>23371</v>
      </c>
      <c r="L25" s="666">
        <v>48140</v>
      </c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</row>
    <row r="26" spans="1:16140" s="139" customFormat="1" ht="31.5">
      <c r="A26" s="661" t="s">
        <v>858</v>
      </c>
      <c r="B26" s="713"/>
      <c r="C26" s="707"/>
      <c r="D26" s="708"/>
      <c r="E26" s="666"/>
      <c r="F26" s="510"/>
      <c r="G26" s="709"/>
      <c r="H26" s="710"/>
      <c r="I26" s="510"/>
      <c r="J26" s="710">
        <v>110546</v>
      </c>
      <c r="K26" s="510"/>
      <c r="L26" s="666">
        <v>110546</v>
      </c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</row>
    <row r="27" spans="1:16140" s="139" customFormat="1" ht="15.75">
      <c r="A27" s="1470" t="s">
        <v>843</v>
      </c>
      <c r="B27" s="1471" t="s">
        <v>844</v>
      </c>
      <c r="C27" s="1472">
        <v>43797</v>
      </c>
      <c r="D27" s="1473">
        <v>44439</v>
      </c>
      <c r="E27" s="1474">
        <v>20000</v>
      </c>
      <c r="F27" s="1475"/>
      <c r="G27" s="1476">
        <v>20000</v>
      </c>
      <c r="H27" s="1477">
        <f t="shared" si="1"/>
        <v>20000</v>
      </c>
      <c r="I27" s="1475"/>
      <c r="J27" s="1477">
        <v>0</v>
      </c>
      <c r="K27" s="1475"/>
      <c r="L27" s="1474">
        <v>20000</v>
      </c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</row>
    <row r="28" spans="1:16140" s="139" customFormat="1">
      <c r="A28" s="1478" t="s">
        <v>845</v>
      </c>
      <c r="B28" s="1471" t="s">
        <v>846</v>
      </c>
      <c r="C28" s="1472">
        <v>43958</v>
      </c>
      <c r="D28" s="1473">
        <v>44834</v>
      </c>
      <c r="E28" s="1474">
        <v>340998</v>
      </c>
      <c r="F28" s="1475"/>
      <c r="G28" s="1476">
        <v>340998</v>
      </c>
      <c r="H28" s="1477">
        <f t="shared" si="1"/>
        <v>340998</v>
      </c>
      <c r="I28" s="1475"/>
      <c r="J28" s="1477">
        <v>340998</v>
      </c>
      <c r="K28" s="1475"/>
      <c r="L28" s="1474">
        <v>340998</v>
      </c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</row>
    <row r="29" spans="1:16140" s="139" customFormat="1" ht="15.75" thickBot="1">
      <c r="A29" s="1479" t="s">
        <v>847</v>
      </c>
      <c r="B29" s="1471" t="s">
        <v>848</v>
      </c>
      <c r="C29" s="1472"/>
      <c r="D29" s="1473">
        <v>44469</v>
      </c>
      <c r="E29" s="1474">
        <v>270409</v>
      </c>
      <c r="F29" s="1475"/>
      <c r="G29" s="1476">
        <v>270409</v>
      </c>
      <c r="H29" s="1477">
        <f t="shared" si="1"/>
        <v>270409</v>
      </c>
      <c r="I29" s="1475"/>
      <c r="J29" s="1477">
        <v>270410</v>
      </c>
      <c r="K29" s="1475"/>
      <c r="L29" s="1474">
        <v>270410</v>
      </c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</row>
    <row r="30" spans="1:16140" s="139" customFormat="1" ht="15.75" thickBot="1">
      <c r="A30" s="717" t="s">
        <v>68</v>
      </c>
      <c r="B30" s="278"/>
      <c r="C30" s="279"/>
      <c r="D30" s="280"/>
      <c r="E30" s="297">
        <f>SUM(E5:E27)</f>
        <v>3530679</v>
      </c>
      <c r="F30" s="297">
        <f>SUM(F5:F27)</f>
        <v>675343</v>
      </c>
      <c r="G30" s="297">
        <f>SUM(G5:G29)</f>
        <v>3466743</v>
      </c>
      <c r="H30" s="297">
        <f>SUM(H5:H27)</f>
        <v>3530679</v>
      </c>
      <c r="I30" s="89">
        <f>SUM(I5:I27)</f>
        <v>187542</v>
      </c>
      <c r="J30" s="297">
        <f>SUM(J5:J29)</f>
        <v>1416514</v>
      </c>
      <c r="K30" s="89">
        <f>SUM(K5:K25)</f>
        <v>2177886</v>
      </c>
      <c r="L30" s="281">
        <f>SUM(L5:L29)</f>
        <v>3512247</v>
      </c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</row>
    <row r="31" spans="1:16140" s="139" customFormat="1">
      <c r="A31" s="1803" t="s">
        <v>513</v>
      </c>
      <c r="B31" s="1803"/>
      <c r="C31" s="1803"/>
      <c r="D31" s="1803"/>
      <c r="E31" s="1803"/>
      <c r="F31" s="1803"/>
      <c r="G31" s="1803"/>
      <c r="H31" s="1803"/>
      <c r="I31" s="1803"/>
      <c r="J31" s="1803"/>
      <c r="K31" s="1803"/>
      <c r="L31" s="1803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</row>
    <row r="32" spans="1:16140" s="139" customFormat="1">
      <c r="A32" s="45" t="s">
        <v>805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</row>
    <row r="35" spans="1:16140" s="139" customFormat="1">
      <c r="A35" s="361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</row>
    <row r="36" spans="1:16140" s="139" customFormat="1">
      <c r="A36" s="361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</row>
  </sheetData>
  <mergeCells count="11">
    <mergeCell ref="A31:L31"/>
    <mergeCell ref="A1:L1"/>
    <mergeCell ref="A3:A4"/>
    <mergeCell ref="B3:B4"/>
    <mergeCell ref="C3:C4"/>
    <mergeCell ref="D3:D4"/>
    <mergeCell ref="E3:E4"/>
    <mergeCell ref="F3:G3"/>
    <mergeCell ref="H3:H4"/>
    <mergeCell ref="I3:J3"/>
    <mergeCell ref="K3:L3"/>
  </mergeCells>
  <pageMargins left="0.35433070866141736" right="0.15748031496062992" top="0.74803149606299213" bottom="0.74803149606299213" header="0.31496062992125984" footer="0.31496062992125984"/>
  <pageSetup paperSize="9" scale="62" orientation="landscape" r:id="rId1"/>
  <headerFooter>
    <oddHeader>&amp;L&amp;"Times New Roman,Normál" 17. melléklet a 17 /2020. (VII.9.) önkormányzati rendelethez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"/>
  <sheetViews>
    <sheetView view="pageLayout" zoomScale="78" zoomScaleNormal="80" zoomScalePageLayoutView="78" workbookViewId="0">
      <selection activeCell="I46" sqref="I46"/>
    </sheetView>
  </sheetViews>
  <sheetFormatPr defaultRowHeight="15"/>
  <cols>
    <col min="1" max="1" width="77.85546875" style="21" customWidth="1"/>
    <col min="2" max="9" width="20.140625" style="21" customWidth="1"/>
    <col min="10" max="16384" width="9.140625" style="21"/>
  </cols>
  <sheetData>
    <row r="1" spans="1:9">
      <c r="A1" s="1509" t="s">
        <v>939</v>
      </c>
      <c r="B1" s="1509"/>
      <c r="C1" s="1509"/>
      <c r="D1" s="1509"/>
      <c r="E1" s="1509"/>
      <c r="F1" s="1509"/>
      <c r="G1" s="1509"/>
      <c r="H1" s="1509"/>
      <c r="I1" s="1509"/>
    </row>
    <row r="2" spans="1:9" ht="15.75" thickBot="1"/>
    <row r="3" spans="1:9" ht="99.75" customHeight="1" thickBot="1">
      <c r="A3" s="1510" t="s">
        <v>65</v>
      </c>
      <c r="B3" s="1512" t="s">
        <v>66</v>
      </c>
      <c r="C3" s="1513"/>
      <c r="D3" s="1514" t="s">
        <v>67</v>
      </c>
      <c r="E3" s="1515"/>
      <c r="F3" s="1512" t="s">
        <v>83</v>
      </c>
      <c r="G3" s="1513"/>
      <c r="H3" s="1514" t="s">
        <v>68</v>
      </c>
      <c r="I3" s="1513"/>
    </row>
    <row r="4" spans="1:9" ht="15.75" thickBot="1">
      <c r="A4" s="1511"/>
      <c r="B4" s="786" t="s">
        <v>3</v>
      </c>
      <c r="C4" s="1071" t="s">
        <v>912</v>
      </c>
      <c r="D4" s="1072" t="s">
        <v>3</v>
      </c>
      <c r="E4" s="1071" t="s">
        <v>912</v>
      </c>
      <c r="F4" s="1073" t="s">
        <v>3</v>
      </c>
      <c r="G4" s="1071" t="s">
        <v>912</v>
      </c>
      <c r="H4" s="1072" t="s">
        <v>3</v>
      </c>
      <c r="I4" s="1038" t="s">
        <v>912</v>
      </c>
    </row>
    <row r="5" spans="1:9" s="22" customFormat="1" ht="15" customHeight="1">
      <c r="A5" s="103" t="s">
        <v>5</v>
      </c>
      <c r="B5" s="787">
        <f>SUM(B6:B7)</f>
        <v>1349779.419</v>
      </c>
      <c r="C5" s="1074">
        <f>SUM(C6:C7)</f>
        <v>1435306</v>
      </c>
      <c r="D5" s="1075">
        <f t="shared" ref="D5:G5" si="0">SUM(D6:D7)</f>
        <v>0</v>
      </c>
      <c r="E5" s="1076">
        <f t="shared" si="0"/>
        <v>0</v>
      </c>
      <c r="F5" s="1075">
        <f t="shared" si="0"/>
        <v>0</v>
      </c>
      <c r="G5" s="1077">
        <f t="shared" si="0"/>
        <v>0</v>
      </c>
      <c r="H5" s="1078">
        <f t="shared" ref="H5:I49" si="1">B5+D5+F5</f>
        <v>1349779.419</v>
      </c>
      <c r="I5" s="1079">
        <f t="shared" si="1"/>
        <v>1435306</v>
      </c>
    </row>
    <row r="6" spans="1:9" ht="15" customHeight="1">
      <c r="A6" s="104" t="s">
        <v>69</v>
      </c>
      <c r="B6" s="947">
        <f>'15. melléklet'!G83</f>
        <v>1269779.419</v>
      </c>
      <c r="C6" s="1080">
        <v>1435306</v>
      </c>
      <c r="D6" s="508"/>
      <c r="E6" s="798"/>
      <c r="F6" s="508"/>
      <c r="G6" s="790"/>
      <c r="H6" s="493">
        <f t="shared" si="1"/>
        <v>1269779.419</v>
      </c>
      <c r="I6" s="509">
        <f t="shared" si="1"/>
        <v>1435306</v>
      </c>
    </row>
    <row r="7" spans="1:9" ht="15" customHeight="1">
      <c r="A7" s="104" t="s">
        <v>70</v>
      </c>
      <c r="B7" s="947">
        <f>'15. melléklet'!G93</f>
        <v>80000</v>
      </c>
      <c r="C7" s="1051">
        <f>'15. melléklet'!I93</f>
        <v>0</v>
      </c>
      <c r="D7" s="504"/>
      <c r="E7" s="796"/>
      <c r="F7" s="504"/>
      <c r="G7" s="788"/>
      <c r="H7" s="491">
        <f t="shared" si="1"/>
        <v>80000</v>
      </c>
      <c r="I7" s="505">
        <f t="shared" si="1"/>
        <v>0</v>
      </c>
    </row>
    <row r="8" spans="1:9" s="195" customFormat="1" ht="15" customHeight="1">
      <c r="A8" s="194" t="s">
        <v>71</v>
      </c>
      <c r="B8" s="1064">
        <f t="shared" ref="B8:G8" si="2">SUM(B9:B10)</f>
        <v>227393</v>
      </c>
      <c r="C8" s="1052">
        <f t="shared" ref="C8" si="3">SUM(C9:C10)</f>
        <v>526739</v>
      </c>
      <c r="D8" s="506">
        <f t="shared" si="2"/>
        <v>88617</v>
      </c>
      <c r="E8" s="797">
        <f t="shared" si="2"/>
        <v>90989</v>
      </c>
      <c r="F8" s="506">
        <f t="shared" si="2"/>
        <v>88368</v>
      </c>
      <c r="G8" s="789">
        <f t="shared" si="2"/>
        <v>100667</v>
      </c>
      <c r="H8" s="492">
        <f t="shared" si="1"/>
        <v>404378</v>
      </c>
      <c r="I8" s="507">
        <f t="shared" si="1"/>
        <v>718395</v>
      </c>
    </row>
    <row r="9" spans="1:9" s="197" customFormat="1" ht="15" customHeight="1">
      <c r="A9" s="196" t="s">
        <v>560</v>
      </c>
      <c r="B9" s="1065"/>
      <c r="C9" s="1053">
        <f>'11. melléklet'!C7</f>
        <v>31719</v>
      </c>
      <c r="D9" s="508"/>
      <c r="E9" s="798"/>
      <c r="F9" s="508"/>
      <c r="G9" s="790"/>
      <c r="H9" s="493">
        <f t="shared" si="1"/>
        <v>0</v>
      </c>
      <c r="I9" s="509">
        <f t="shared" si="1"/>
        <v>31719</v>
      </c>
    </row>
    <row r="10" spans="1:9" s="197" customFormat="1" ht="15" customHeight="1">
      <c r="A10" s="196" t="s">
        <v>8</v>
      </c>
      <c r="B10" s="1065">
        <f>'11. melléklet'!B12</f>
        <v>227393</v>
      </c>
      <c r="C10" s="1053">
        <f>'11. melléklet'!C12</f>
        <v>495020</v>
      </c>
      <c r="D10" s="508">
        <f>'11. melléklet'!B90</f>
        <v>88617</v>
      </c>
      <c r="E10" s="799">
        <f>'11. melléklet'!C90</f>
        <v>90989</v>
      </c>
      <c r="F10" s="508">
        <v>88368</v>
      </c>
      <c r="G10" s="790">
        <v>100667</v>
      </c>
      <c r="H10" s="493">
        <f t="shared" si="1"/>
        <v>404378</v>
      </c>
      <c r="I10" s="509">
        <f t="shared" si="1"/>
        <v>686676</v>
      </c>
    </row>
    <row r="11" spans="1:9" ht="15" customHeight="1">
      <c r="A11" s="105" t="s">
        <v>10</v>
      </c>
      <c r="B11" s="1066">
        <f t="shared" ref="B11:F11" si="4">B12</f>
        <v>113219</v>
      </c>
      <c r="C11" s="1054">
        <f t="shared" si="4"/>
        <v>761122</v>
      </c>
      <c r="D11" s="502">
        <f t="shared" si="4"/>
        <v>0</v>
      </c>
      <c r="E11" s="800"/>
      <c r="F11" s="502">
        <f t="shared" si="4"/>
        <v>0</v>
      </c>
      <c r="G11" s="791"/>
      <c r="H11" s="494">
        <f t="shared" si="1"/>
        <v>113219</v>
      </c>
      <c r="I11" s="503">
        <f t="shared" si="1"/>
        <v>761122</v>
      </c>
    </row>
    <row r="12" spans="1:9" ht="15" customHeight="1">
      <c r="A12" s="106" t="s">
        <v>8</v>
      </c>
      <c r="B12" s="947">
        <f>'11. melléklet'!B50</f>
        <v>113219</v>
      </c>
      <c r="C12" s="1055">
        <f>'11. melléklet'!C50</f>
        <v>761122</v>
      </c>
      <c r="D12" s="504"/>
      <c r="E12" s="796"/>
      <c r="F12" s="504"/>
      <c r="G12" s="788"/>
      <c r="H12" s="491">
        <f t="shared" si="1"/>
        <v>113219</v>
      </c>
      <c r="I12" s="505">
        <f t="shared" si="1"/>
        <v>761122</v>
      </c>
    </row>
    <row r="13" spans="1:9" s="23" customFormat="1" ht="15" customHeight="1">
      <c r="A13" s="107" t="s">
        <v>72</v>
      </c>
      <c r="B13" s="1066">
        <f t="shared" ref="B13:G13" si="5">B14+B17+B21+B22+B23</f>
        <v>2350000</v>
      </c>
      <c r="C13" s="1054">
        <f t="shared" ref="C13" si="6">C14+C17+C21+C22+C23</f>
        <v>2266267</v>
      </c>
      <c r="D13" s="502">
        <f t="shared" si="5"/>
        <v>0</v>
      </c>
      <c r="E13" s="801">
        <f t="shared" si="5"/>
        <v>27</v>
      </c>
      <c r="F13" s="502">
        <f t="shared" si="5"/>
        <v>0</v>
      </c>
      <c r="G13" s="791">
        <f t="shared" si="5"/>
        <v>0</v>
      </c>
      <c r="H13" s="494">
        <f t="shared" si="1"/>
        <v>2350000</v>
      </c>
      <c r="I13" s="503">
        <f t="shared" si="1"/>
        <v>2266294</v>
      </c>
    </row>
    <row r="14" spans="1:9" s="23" customFormat="1" ht="15" customHeight="1">
      <c r="A14" s="106" t="s">
        <v>13</v>
      </c>
      <c r="B14" s="1067">
        <f t="shared" ref="B14:F14" si="7">SUM(B15:B16)</f>
        <v>530000</v>
      </c>
      <c r="C14" s="1056">
        <f t="shared" ref="C14" si="8">SUM(C15:C16)</f>
        <v>530000</v>
      </c>
      <c r="D14" s="510">
        <f t="shared" si="7"/>
        <v>0</v>
      </c>
      <c r="E14" s="802"/>
      <c r="F14" s="510">
        <f t="shared" si="7"/>
        <v>0</v>
      </c>
      <c r="G14" s="792"/>
      <c r="H14" s="495">
        <f t="shared" si="1"/>
        <v>530000</v>
      </c>
      <c r="I14" s="511">
        <f t="shared" si="1"/>
        <v>530000</v>
      </c>
    </row>
    <row r="15" spans="1:9" s="23" customFormat="1" ht="15" customHeight="1">
      <c r="A15" s="108" t="s">
        <v>73</v>
      </c>
      <c r="B15" s="1068">
        <v>360000</v>
      </c>
      <c r="C15" s="1057">
        <v>360000</v>
      </c>
      <c r="D15" s="512"/>
      <c r="E15" s="803"/>
      <c r="F15" s="512"/>
      <c r="G15" s="793"/>
      <c r="H15" s="496">
        <f t="shared" si="1"/>
        <v>360000</v>
      </c>
      <c r="I15" s="513">
        <f t="shared" si="1"/>
        <v>360000</v>
      </c>
    </row>
    <row r="16" spans="1:9" s="23" customFormat="1" ht="15" customHeight="1">
      <c r="A16" s="109" t="s">
        <v>74</v>
      </c>
      <c r="B16" s="1069">
        <v>170000</v>
      </c>
      <c r="C16" s="1058">
        <v>170000</v>
      </c>
      <c r="D16" s="514"/>
      <c r="E16" s="804"/>
      <c r="F16" s="514"/>
      <c r="G16" s="794"/>
      <c r="H16" s="497">
        <f t="shared" si="1"/>
        <v>170000</v>
      </c>
      <c r="I16" s="515">
        <f t="shared" si="1"/>
        <v>170000</v>
      </c>
    </row>
    <row r="17" spans="1:9" s="23" customFormat="1" ht="15" customHeight="1">
      <c r="A17" s="106" t="s">
        <v>75</v>
      </c>
      <c r="B17" s="1067">
        <f t="shared" ref="B17:G17" si="9">SUM(B18:B20)</f>
        <v>1815000</v>
      </c>
      <c r="C17" s="1056">
        <f t="shared" ref="C17" si="10">SUM(C18:C20)</f>
        <v>1731202</v>
      </c>
      <c r="D17" s="510">
        <f t="shared" si="9"/>
        <v>0</v>
      </c>
      <c r="E17" s="802"/>
      <c r="F17" s="510">
        <f t="shared" si="9"/>
        <v>0</v>
      </c>
      <c r="G17" s="792">
        <f t="shared" si="9"/>
        <v>0</v>
      </c>
      <c r="H17" s="495">
        <f t="shared" si="1"/>
        <v>1815000</v>
      </c>
      <c r="I17" s="511">
        <f t="shared" si="1"/>
        <v>1731202</v>
      </c>
    </row>
    <row r="18" spans="1:9" s="23" customFormat="1" ht="15" customHeight="1">
      <c r="A18" s="108" t="s">
        <v>76</v>
      </c>
      <c r="B18" s="1069">
        <v>1655000</v>
      </c>
      <c r="C18" s="1058">
        <v>1719202</v>
      </c>
      <c r="D18" s="514"/>
      <c r="E18" s="804"/>
      <c r="F18" s="514"/>
      <c r="G18" s="794"/>
      <c r="H18" s="497">
        <f t="shared" si="1"/>
        <v>1655000</v>
      </c>
      <c r="I18" s="515">
        <f t="shared" si="1"/>
        <v>1719202</v>
      </c>
    </row>
    <row r="19" spans="1:9" s="23" customFormat="1" ht="15" customHeight="1">
      <c r="A19" s="108" t="s">
        <v>77</v>
      </c>
      <c r="B19" s="1069">
        <v>110000</v>
      </c>
      <c r="C19" s="1058">
        <v>0</v>
      </c>
      <c r="D19" s="514"/>
      <c r="E19" s="804"/>
      <c r="F19" s="514"/>
      <c r="G19" s="794"/>
      <c r="H19" s="497">
        <f t="shared" si="1"/>
        <v>110000</v>
      </c>
      <c r="I19" s="515">
        <f t="shared" si="1"/>
        <v>0</v>
      </c>
    </row>
    <row r="20" spans="1:9" s="23" customFormat="1" ht="15" customHeight="1">
      <c r="A20" s="108" t="s">
        <v>78</v>
      </c>
      <c r="B20" s="1069">
        <v>50000</v>
      </c>
      <c r="C20" s="1058">
        <v>12000</v>
      </c>
      <c r="D20" s="514"/>
      <c r="E20" s="804"/>
      <c r="F20" s="514"/>
      <c r="G20" s="794"/>
      <c r="H20" s="497">
        <f t="shared" si="1"/>
        <v>50000</v>
      </c>
      <c r="I20" s="515">
        <f t="shared" si="1"/>
        <v>12000</v>
      </c>
    </row>
    <row r="21" spans="1:9" s="23" customFormat="1" ht="15" customHeight="1">
      <c r="A21" s="110" t="s">
        <v>15</v>
      </c>
      <c r="B21" s="1067">
        <v>3000</v>
      </c>
      <c r="C21" s="1056">
        <v>3000</v>
      </c>
      <c r="D21" s="510"/>
      <c r="E21" s="802"/>
      <c r="F21" s="510"/>
      <c r="G21" s="792"/>
      <c r="H21" s="495">
        <f t="shared" si="1"/>
        <v>3000</v>
      </c>
      <c r="I21" s="511">
        <f t="shared" si="1"/>
        <v>3000</v>
      </c>
    </row>
    <row r="22" spans="1:9" s="23" customFormat="1" ht="15" customHeight="1">
      <c r="A22" s="110" t="s">
        <v>321</v>
      </c>
      <c r="B22" s="1067">
        <v>1500</v>
      </c>
      <c r="C22" s="1056">
        <v>1565</v>
      </c>
      <c r="D22" s="510"/>
      <c r="E22" s="802">
        <v>27</v>
      </c>
      <c r="F22" s="510"/>
      <c r="G22" s="792"/>
      <c r="H22" s="495">
        <f t="shared" si="1"/>
        <v>1500</v>
      </c>
      <c r="I22" s="511">
        <f t="shared" si="1"/>
        <v>1592</v>
      </c>
    </row>
    <row r="23" spans="1:9" s="23" customFormat="1" ht="15" customHeight="1">
      <c r="A23" s="110" t="s">
        <v>84</v>
      </c>
      <c r="B23" s="1067">
        <v>500</v>
      </c>
      <c r="C23" s="1056">
        <v>500</v>
      </c>
      <c r="D23" s="510"/>
      <c r="E23" s="802"/>
      <c r="F23" s="510"/>
      <c r="G23" s="792"/>
      <c r="H23" s="495">
        <f t="shared" si="1"/>
        <v>500</v>
      </c>
      <c r="I23" s="511">
        <f t="shared" si="1"/>
        <v>500</v>
      </c>
    </row>
    <row r="24" spans="1:9" ht="15" customHeight="1">
      <c r="A24" s="105" t="s">
        <v>20</v>
      </c>
      <c r="B24" s="1070">
        <f t="shared" ref="B24:G24" si="11">SUM(B25:B32)</f>
        <v>1902968</v>
      </c>
      <c r="C24" s="1059">
        <f t="shared" ref="C24" si="12">SUM(C25:C32)</f>
        <v>1871348</v>
      </c>
      <c r="D24" s="516">
        <f t="shared" si="11"/>
        <v>6590</v>
      </c>
      <c r="E24" s="805">
        <f t="shared" si="11"/>
        <v>6820</v>
      </c>
      <c r="F24" s="516">
        <f t="shared" si="11"/>
        <v>462213</v>
      </c>
      <c r="G24" s="795">
        <f t="shared" si="11"/>
        <v>662213</v>
      </c>
      <c r="H24" s="498">
        <f t="shared" si="1"/>
        <v>2371771</v>
      </c>
      <c r="I24" s="438">
        <f t="shared" si="1"/>
        <v>2540381</v>
      </c>
    </row>
    <row r="25" spans="1:9" ht="15" customHeight="1">
      <c r="A25" s="106" t="s">
        <v>22</v>
      </c>
      <c r="B25" s="1067">
        <f>1274614+123000</f>
        <v>1397614</v>
      </c>
      <c r="C25" s="1056">
        <v>1365994</v>
      </c>
      <c r="D25" s="510"/>
      <c r="E25" s="802"/>
      <c r="F25" s="510">
        <v>5000</v>
      </c>
      <c r="G25" s="792">
        <v>5000</v>
      </c>
      <c r="H25" s="495">
        <f t="shared" si="1"/>
        <v>1402614</v>
      </c>
      <c r="I25" s="511">
        <f t="shared" si="1"/>
        <v>1370994</v>
      </c>
    </row>
    <row r="26" spans="1:9" ht="15" customHeight="1">
      <c r="A26" s="106" t="s">
        <v>79</v>
      </c>
      <c r="B26" s="1067">
        <f>8000</f>
        <v>8000</v>
      </c>
      <c r="C26" s="1056">
        <v>8000</v>
      </c>
      <c r="D26" s="510">
        <f>3700+2400+250+240</f>
        <v>6590</v>
      </c>
      <c r="E26" s="802">
        <v>6590</v>
      </c>
      <c r="F26" s="510">
        <v>240483</v>
      </c>
      <c r="G26" s="792">
        <v>397963</v>
      </c>
      <c r="H26" s="495">
        <f t="shared" si="1"/>
        <v>255073</v>
      </c>
      <c r="I26" s="511">
        <f t="shared" si="1"/>
        <v>412553</v>
      </c>
    </row>
    <row r="27" spans="1:9" ht="15" customHeight="1">
      <c r="A27" s="106" t="s">
        <v>26</v>
      </c>
      <c r="B27" s="1067">
        <f>100+26116</f>
        <v>26216</v>
      </c>
      <c r="C27" s="1060">
        <f>100+26116</f>
        <v>26216</v>
      </c>
      <c r="D27" s="510"/>
      <c r="E27" s="802">
        <v>230</v>
      </c>
      <c r="F27" s="510">
        <v>2300</v>
      </c>
      <c r="G27" s="792">
        <v>2300</v>
      </c>
      <c r="H27" s="495">
        <f t="shared" si="1"/>
        <v>28516</v>
      </c>
      <c r="I27" s="511">
        <f t="shared" si="1"/>
        <v>28746</v>
      </c>
    </row>
    <row r="28" spans="1:9" ht="15" customHeight="1">
      <c r="A28" s="106" t="s">
        <v>80</v>
      </c>
      <c r="B28" s="1067">
        <f>28829+59362</f>
        <v>88191</v>
      </c>
      <c r="C28" s="1060">
        <f>28829+59362</f>
        <v>88191</v>
      </c>
      <c r="D28" s="510"/>
      <c r="E28" s="802"/>
      <c r="F28" s="510"/>
      <c r="G28" s="792"/>
      <c r="H28" s="495">
        <f t="shared" si="1"/>
        <v>88191</v>
      </c>
      <c r="I28" s="511">
        <f t="shared" si="1"/>
        <v>88191</v>
      </c>
    </row>
    <row r="29" spans="1:9" ht="15" customHeight="1">
      <c r="A29" s="106" t="s">
        <v>28</v>
      </c>
      <c r="B29" s="1067"/>
      <c r="C29" s="1060"/>
      <c r="D29" s="510"/>
      <c r="E29" s="802"/>
      <c r="F29" s="510">
        <v>100617</v>
      </c>
      <c r="G29" s="792">
        <v>100617</v>
      </c>
      <c r="H29" s="495">
        <f t="shared" si="1"/>
        <v>100617</v>
      </c>
      <c r="I29" s="511">
        <f t="shared" si="1"/>
        <v>100617</v>
      </c>
    </row>
    <row r="30" spans="1:9" ht="15" customHeight="1">
      <c r="A30" s="111" t="s">
        <v>29</v>
      </c>
      <c r="B30" s="1067">
        <v>315380</v>
      </c>
      <c r="C30" s="1060">
        <v>315380</v>
      </c>
      <c r="D30" s="510"/>
      <c r="E30" s="802"/>
      <c r="F30" s="510">
        <v>113813</v>
      </c>
      <c r="G30" s="792">
        <v>156333</v>
      </c>
      <c r="H30" s="495">
        <f t="shared" si="1"/>
        <v>429193</v>
      </c>
      <c r="I30" s="511">
        <f t="shared" si="1"/>
        <v>471713</v>
      </c>
    </row>
    <row r="31" spans="1:9" s="22" customFormat="1" ht="15" customHeight="1">
      <c r="A31" s="106" t="s">
        <v>322</v>
      </c>
      <c r="B31" s="1067">
        <v>14811</v>
      </c>
      <c r="C31" s="1060">
        <v>14811</v>
      </c>
      <c r="D31" s="510"/>
      <c r="E31" s="802"/>
      <c r="F31" s="510"/>
      <c r="G31" s="792"/>
      <c r="H31" s="495">
        <f t="shared" si="1"/>
        <v>14811</v>
      </c>
      <c r="I31" s="511">
        <f t="shared" si="1"/>
        <v>14811</v>
      </c>
    </row>
    <row r="32" spans="1:9" s="22" customFormat="1" ht="15" customHeight="1">
      <c r="A32" s="106" t="s">
        <v>806</v>
      </c>
      <c r="B32" s="1067">
        <v>52756</v>
      </c>
      <c r="C32" s="1060">
        <v>52756</v>
      </c>
      <c r="D32" s="510"/>
      <c r="E32" s="802"/>
      <c r="F32" s="510"/>
      <c r="G32" s="792"/>
      <c r="H32" s="495">
        <f t="shared" si="1"/>
        <v>52756</v>
      </c>
      <c r="I32" s="511">
        <f t="shared" si="1"/>
        <v>52756</v>
      </c>
    </row>
    <row r="33" spans="1:10" ht="15" customHeight="1">
      <c r="A33" s="107" t="s">
        <v>32</v>
      </c>
      <c r="B33" s="1070">
        <f t="shared" ref="B33:G33" si="13">SUM(B34:B35)</f>
        <v>300</v>
      </c>
      <c r="C33" s="1059">
        <f t="shared" ref="C33" si="14">SUM(C34:C35)</f>
        <v>19300</v>
      </c>
      <c r="D33" s="516">
        <f t="shared" si="13"/>
        <v>0</v>
      </c>
      <c r="E33" s="805">
        <f t="shared" si="13"/>
        <v>0</v>
      </c>
      <c r="F33" s="516">
        <f t="shared" si="13"/>
        <v>0</v>
      </c>
      <c r="G33" s="795">
        <f t="shared" si="13"/>
        <v>0</v>
      </c>
      <c r="H33" s="498">
        <f t="shared" si="1"/>
        <v>300</v>
      </c>
      <c r="I33" s="438">
        <f t="shared" si="1"/>
        <v>19300</v>
      </c>
    </row>
    <row r="34" spans="1:10" s="22" customFormat="1" ht="15" customHeight="1">
      <c r="A34" s="106" t="s">
        <v>33</v>
      </c>
      <c r="B34" s="1067">
        <f>300</f>
        <v>300</v>
      </c>
      <c r="C34" s="1056">
        <v>19300</v>
      </c>
      <c r="D34" s="510"/>
      <c r="E34" s="802"/>
      <c r="F34" s="510"/>
      <c r="G34" s="792"/>
      <c r="H34" s="495">
        <f t="shared" si="1"/>
        <v>300</v>
      </c>
      <c r="I34" s="511">
        <f t="shared" si="1"/>
        <v>19300</v>
      </c>
    </row>
    <row r="35" spans="1:10" s="22" customFormat="1" ht="15" customHeight="1">
      <c r="A35" s="106" t="s">
        <v>323</v>
      </c>
      <c r="B35" s="1067"/>
      <c r="C35" s="1056"/>
      <c r="D35" s="510"/>
      <c r="E35" s="802"/>
      <c r="F35" s="510"/>
      <c r="G35" s="792"/>
      <c r="H35" s="495">
        <f t="shared" si="1"/>
        <v>0</v>
      </c>
      <c r="I35" s="511">
        <f t="shared" si="1"/>
        <v>0</v>
      </c>
    </row>
    <row r="36" spans="1:10" s="22" customFormat="1" ht="15" customHeight="1">
      <c r="A36" s="107" t="s">
        <v>35</v>
      </c>
      <c r="B36" s="1070">
        <f t="shared" ref="B36:G36" si="15">SUM(B37:B38)</f>
        <v>77549</v>
      </c>
      <c r="C36" s="1059">
        <f t="shared" ref="C36" si="16">SUM(C37:C38)</f>
        <v>110984</v>
      </c>
      <c r="D36" s="516">
        <f t="shared" si="15"/>
        <v>0</v>
      </c>
      <c r="E36" s="805">
        <f t="shared" si="15"/>
        <v>0</v>
      </c>
      <c r="F36" s="516">
        <f t="shared" si="15"/>
        <v>0</v>
      </c>
      <c r="G36" s="795">
        <f t="shared" si="15"/>
        <v>0</v>
      </c>
      <c r="H36" s="498">
        <f t="shared" si="1"/>
        <v>77549</v>
      </c>
      <c r="I36" s="438">
        <f t="shared" si="1"/>
        <v>110984</v>
      </c>
    </row>
    <row r="37" spans="1:10" s="22" customFormat="1" ht="15" customHeight="1">
      <c r="A37" s="106" t="s">
        <v>81</v>
      </c>
      <c r="B37" s="1067">
        <f>'11. melléklet'!B46</f>
        <v>77549</v>
      </c>
      <c r="C37" s="1056">
        <f>'11. melléklet'!C46</f>
        <v>77549</v>
      </c>
      <c r="D37" s="510"/>
      <c r="E37" s="802"/>
      <c r="F37" s="510"/>
      <c r="G37" s="792"/>
      <c r="H37" s="495">
        <f t="shared" si="1"/>
        <v>77549</v>
      </c>
      <c r="I37" s="511">
        <f t="shared" si="1"/>
        <v>77549</v>
      </c>
    </row>
    <row r="38" spans="1:10" s="22" customFormat="1" ht="15" customHeight="1">
      <c r="A38" s="106" t="s">
        <v>8</v>
      </c>
      <c r="B38" s="1067"/>
      <c r="C38" s="1056">
        <f>'11. melléklet'!C29</f>
        <v>33435</v>
      </c>
      <c r="D38" s="510"/>
      <c r="E38" s="802"/>
      <c r="F38" s="510"/>
      <c r="G38" s="792"/>
      <c r="H38" s="495">
        <f t="shared" si="1"/>
        <v>0</v>
      </c>
      <c r="I38" s="511">
        <f t="shared" si="1"/>
        <v>33435</v>
      </c>
    </row>
    <row r="39" spans="1:10" ht="15" customHeight="1">
      <c r="A39" s="112" t="s">
        <v>40</v>
      </c>
      <c r="B39" s="1070">
        <f t="shared" ref="B39:G39" si="17">SUM(B40:B41)</f>
        <v>360</v>
      </c>
      <c r="C39" s="1059">
        <f t="shared" ref="C39" si="18">SUM(C40:C41)</f>
        <v>194056</v>
      </c>
      <c r="D39" s="516">
        <f t="shared" si="17"/>
        <v>250</v>
      </c>
      <c r="E39" s="805">
        <f t="shared" si="17"/>
        <v>250</v>
      </c>
      <c r="F39" s="516">
        <f t="shared" si="17"/>
        <v>0</v>
      </c>
      <c r="G39" s="795">
        <f t="shared" si="17"/>
        <v>0</v>
      </c>
      <c r="H39" s="498">
        <f t="shared" si="1"/>
        <v>610</v>
      </c>
      <c r="I39" s="438">
        <f t="shared" si="1"/>
        <v>194306</v>
      </c>
    </row>
    <row r="40" spans="1:10" ht="15" customHeight="1">
      <c r="A40" s="113" t="s">
        <v>81</v>
      </c>
      <c r="B40" s="1067">
        <f>'11. melléklet'!B70</f>
        <v>360</v>
      </c>
      <c r="C40" s="1056">
        <f>'11. melléklet'!C70</f>
        <v>360</v>
      </c>
      <c r="D40" s="510">
        <f>'11. melléklet'!B83</f>
        <v>250</v>
      </c>
      <c r="E40" s="802">
        <v>250</v>
      </c>
      <c r="F40" s="510"/>
      <c r="G40" s="792"/>
      <c r="H40" s="495">
        <f t="shared" si="1"/>
        <v>610</v>
      </c>
      <c r="I40" s="511">
        <f t="shared" si="1"/>
        <v>610</v>
      </c>
    </row>
    <row r="41" spans="1:10" s="23" customFormat="1" ht="15" customHeight="1" thickBot="1">
      <c r="A41" s="114" t="s">
        <v>8</v>
      </c>
      <c r="B41" s="811"/>
      <c r="C41" s="1061">
        <f>'11. melléklet'!C62</f>
        <v>193696</v>
      </c>
      <c r="D41" s="811"/>
      <c r="E41" s="812"/>
      <c r="F41" s="811"/>
      <c r="G41" s="517"/>
      <c r="H41" s="499">
        <f t="shared" si="1"/>
        <v>0</v>
      </c>
      <c r="I41" s="517">
        <f t="shared" si="1"/>
        <v>193696</v>
      </c>
    </row>
    <row r="42" spans="1:10" s="22" customFormat="1" ht="15" customHeight="1" thickBot="1">
      <c r="A42" s="25" t="s">
        <v>48</v>
      </c>
      <c r="B42" s="89">
        <f>B5+B8+B11+B13+B24+B33+B36+B39</f>
        <v>6021568.4189999998</v>
      </c>
      <c r="C42" s="385">
        <f>C5+C8+C11+C13+C24+C33+C36+C39</f>
        <v>7185122</v>
      </c>
      <c r="D42" s="89">
        <f t="shared" ref="D42:G42" si="19">D5+D8+D11+D13+D24+D33+D36+D39</f>
        <v>95457</v>
      </c>
      <c r="E42" s="281">
        <f t="shared" si="19"/>
        <v>98086</v>
      </c>
      <c r="F42" s="89">
        <f t="shared" si="19"/>
        <v>550581</v>
      </c>
      <c r="G42" s="281">
        <f t="shared" si="19"/>
        <v>762880</v>
      </c>
      <c r="H42" s="158">
        <f t="shared" si="1"/>
        <v>6667606.4189999998</v>
      </c>
      <c r="I42" s="281">
        <f t="shared" si="1"/>
        <v>8046088</v>
      </c>
    </row>
    <row r="43" spans="1:10" s="22" customFormat="1" ht="15" customHeight="1">
      <c r="A43" s="115" t="s">
        <v>746</v>
      </c>
      <c r="B43" s="813">
        <f>'13. melléklet 3'!B10</f>
        <v>328519</v>
      </c>
      <c r="C43" s="1062">
        <f>'13. melléklet 3'!C10</f>
        <v>328519</v>
      </c>
      <c r="D43" s="813"/>
      <c r="E43" s="814"/>
      <c r="F43" s="813"/>
      <c r="G43" s="814"/>
      <c r="H43" s="500">
        <f t="shared" si="1"/>
        <v>328519</v>
      </c>
      <c r="I43" s="440">
        <f t="shared" si="1"/>
        <v>328519</v>
      </c>
    </row>
    <row r="44" spans="1:10" s="22" customFormat="1" ht="15" customHeight="1">
      <c r="A44" s="115" t="s">
        <v>798</v>
      </c>
      <c r="B44" s="1070">
        <v>2000000</v>
      </c>
      <c r="C44" s="1059">
        <v>2000000</v>
      </c>
      <c r="D44" s="516"/>
      <c r="E44" s="795"/>
      <c r="F44" s="516"/>
      <c r="G44" s="795"/>
      <c r="H44" s="809">
        <f t="shared" si="1"/>
        <v>2000000</v>
      </c>
      <c r="I44" s="438">
        <f t="shared" si="1"/>
        <v>2000000</v>
      </c>
    </row>
    <row r="45" spans="1:10" s="22" customFormat="1" ht="15" customHeight="1">
      <c r="A45" s="806" t="s">
        <v>82</v>
      </c>
      <c r="B45" s="1070">
        <v>60000</v>
      </c>
      <c r="C45" s="1059">
        <v>60000</v>
      </c>
      <c r="D45" s="516"/>
      <c r="E45" s="795"/>
      <c r="F45" s="516"/>
      <c r="G45" s="795"/>
      <c r="H45" s="809">
        <f t="shared" si="1"/>
        <v>60000</v>
      </c>
      <c r="I45" s="438">
        <f t="shared" si="1"/>
        <v>60000</v>
      </c>
    </row>
    <row r="46" spans="1:10" s="22" customFormat="1" ht="15" customHeight="1">
      <c r="A46" s="807" t="s">
        <v>319</v>
      </c>
      <c r="B46" s="1070">
        <f>'14. melléklet 1'!B20+'14. melléklet 2'!B26</f>
        <v>1909107</v>
      </c>
      <c r="C46" s="1059">
        <v>1733828</v>
      </c>
      <c r="D46" s="952">
        <f>'14. melléklet 3'!B14</f>
        <v>20000</v>
      </c>
      <c r="E46" s="795">
        <v>59403</v>
      </c>
      <c r="F46" s="516"/>
      <c r="G46" s="795">
        <v>148397</v>
      </c>
      <c r="H46" s="809">
        <f t="shared" si="1"/>
        <v>1929107</v>
      </c>
      <c r="I46" s="438">
        <f t="shared" si="1"/>
        <v>1941628</v>
      </c>
    </row>
    <row r="47" spans="1:10" s="22" customFormat="1" ht="15" customHeight="1" thickBot="1">
      <c r="A47" s="808" t="s">
        <v>53</v>
      </c>
      <c r="B47" s="747"/>
      <c r="C47" s="1063"/>
      <c r="D47" s="747">
        <v>882632</v>
      </c>
      <c r="E47" s="810">
        <v>883710</v>
      </c>
      <c r="F47" s="747">
        <v>1494639</v>
      </c>
      <c r="G47" s="810">
        <v>1428254</v>
      </c>
      <c r="H47" s="501">
        <f t="shared" si="1"/>
        <v>2377271</v>
      </c>
      <c r="I47" s="518">
        <f t="shared" si="1"/>
        <v>2311964</v>
      </c>
      <c r="J47" s="85"/>
    </row>
    <row r="48" spans="1:10" s="22" customFormat="1" ht="15" customHeight="1" thickBot="1">
      <c r="A48" s="27" t="s">
        <v>47</v>
      </c>
      <c r="B48" s="519">
        <f t="shared" ref="B48:G48" si="20">SUM(B43:B47)</f>
        <v>4297626</v>
      </c>
      <c r="C48" s="385">
        <f t="shared" si="20"/>
        <v>4122347</v>
      </c>
      <c r="D48" s="521">
        <f t="shared" si="20"/>
        <v>902632</v>
      </c>
      <c r="E48" s="521">
        <f t="shared" si="20"/>
        <v>943113</v>
      </c>
      <c r="F48" s="89">
        <f t="shared" si="20"/>
        <v>1494639</v>
      </c>
      <c r="G48" s="385">
        <f t="shared" si="20"/>
        <v>1576651</v>
      </c>
      <c r="H48" s="158">
        <f t="shared" si="1"/>
        <v>6694897</v>
      </c>
      <c r="I48" s="281">
        <f t="shared" si="1"/>
        <v>6642111</v>
      </c>
    </row>
    <row r="49" spans="1:9" s="22" customFormat="1" ht="15" customHeight="1" thickBot="1">
      <c r="A49" s="26" t="s">
        <v>45</v>
      </c>
      <c r="B49" s="519">
        <f t="shared" ref="B49:G49" si="21">B42+B48</f>
        <v>10319194.419</v>
      </c>
      <c r="C49" s="377">
        <f t="shared" si="21"/>
        <v>11307469</v>
      </c>
      <c r="D49" s="521">
        <f t="shared" si="21"/>
        <v>998089</v>
      </c>
      <c r="E49" s="521">
        <f t="shared" si="21"/>
        <v>1041199</v>
      </c>
      <c r="F49" s="519">
        <f t="shared" si="21"/>
        <v>2045220</v>
      </c>
      <c r="G49" s="377">
        <f t="shared" si="21"/>
        <v>2339531</v>
      </c>
      <c r="H49" s="521">
        <f t="shared" si="1"/>
        <v>13362503.419</v>
      </c>
      <c r="I49" s="520">
        <f t="shared" si="1"/>
        <v>14688199</v>
      </c>
    </row>
    <row r="50" spans="1:9" s="22" customFormat="1" ht="15" customHeight="1">
      <c r="A50" s="129"/>
      <c r="B50" s="85"/>
      <c r="C50" s="85"/>
      <c r="D50" s="85"/>
      <c r="E50" s="85"/>
      <c r="F50" s="85"/>
      <c r="G50" s="85"/>
      <c r="H50" s="85"/>
      <c r="I50" s="85"/>
    </row>
    <row r="51" spans="1:9">
      <c r="A51" s="128"/>
      <c r="B51" s="24"/>
      <c r="C51" s="24"/>
      <c r="D51" s="24"/>
      <c r="E51" s="24"/>
      <c r="F51" s="24"/>
      <c r="G51" s="24"/>
      <c r="H51" s="24"/>
      <c r="I51" s="24"/>
    </row>
    <row r="52" spans="1:9">
      <c r="A52" s="128"/>
    </row>
    <row r="53" spans="1:9">
      <c r="D53" s="24"/>
      <c r="E53" s="24"/>
      <c r="H53" s="24"/>
      <c r="I53" s="24"/>
    </row>
    <row r="55" spans="1:9">
      <c r="H55" s="24"/>
      <c r="I55" s="24"/>
    </row>
    <row r="58" spans="1:9">
      <c r="F58" s="24"/>
      <c r="G58" s="24"/>
    </row>
    <row r="66" spans="6:9">
      <c r="F66" s="24"/>
      <c r="G66" s="24"/>
      <c r="H66" s="24"/>
      <c r="I66" s="24"/>
    </row>
  </sheetData>
  <mergeCells count="6">
    <mergeCell ref="A1:I1"/>
    <mergeCell ref="A3:A4"/>
    <mergeCell ref="B3:C3"/>
    <mergeCell ref="D3:E3"/>
    <mergeCell ref="F3:G3"/>
    <mergeCell ref="H3:I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&amp;L&amp;"Times New Roman,Normál"3. melléklet a  17 /2020. (VII.9.) önkormányzati rendelethez</oddHeader>
    <oddFooter>&amp;L24/2019.(XII.19.)önk.rend. Hatályos:2020.01.01.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view="pageLayout" topLeftCell="C1" zoomScale="93" zoomScaleNormal="100" zoomScalePageLayoutView="93" workbookViewId="0">
      <selection activeCell="D39" sqref="D39"/>
    </sheetView>
  </sheetViews>
  <sheetFormatPr defaultRowHeight="25.5" customHeight="1"/>
  <cols>
    <col min="1" max="2" width="0" style="2" hidden="1" customWidth="1"/>
    <col min="3" max="3" width="62.7109375" style="2" customWidth="1"/>
    <col min="4" max="11" width="18.28515625" style="2" customWidth="1"/>
    <col min="12" max="16384" width="9.140625" style="2"/>
  </cols>
  <sheetData>
    <row r="1" spans="1:11" ht="15">
      <c r="C1" s="1504" t="s">
        <v>573</v>
      </c>
      <c r="D1" s="1504"/>
      <c r="E1" s="1504"/>
      <c r="F1" s="1504"/>
      <c r="G1" s="1504"/>
      <c r="H1" s="1504"/>
      <c r="I1" s="1504"/>
      <c r="J1" s="1504"/>
      <c r="K1" s="1504"/>
    </row>
    <row r="2" spans="1:11" ht="15">
      <c r="C2" s="1504" t="s">
        <v>940</v>
      </c>
      <c r="D2" s="1504"/>
      <c r="E2" s="1504"/>
      <c r="F2" s="1504"/>
      <c r="G2" s="1504"/>
      <c r="H2" s="1504"/>
      <c r="I2" s="1504"/>
      <c r="J2" s="1504"/>
      <c r="K2" s="1504"/>
    </row>
    <row r="3" spans="1:11" ht="15.75" thickBot="1">
      <c r="C3" s="30"/>
      <c r="D3" s="30"/>
      <c r="E3" s="437"/>
      <c r="F3" s="30"/>
      <c r="G3" s="437"/>
      <c r="H3" s="30"/>
      <c r="I3" s="437"/>
    </row>
    <row r="4" spans="1:11" ht="74.25" customHeight="1" thickBot="1">
      <c r="A4" s="31"/>
      <c r="C4" s="1516" t="s">
        <v>85</v>
      </c>
      <c r="D4" s="1518" t="s">
        <v>66</v>
      </c>
      <c r="E4" s="1519"/>
      <c r="F4" s="1520" t="s">
        <v>316</v>
      </c>
      <c r="G4" s="1521"/>
      <c r="H4" s="1520" t="s">
        <v>83</v>
      </c>
      <c r="I4" s="1521"/>
      <c r="J4" s="1518" t="s">
        <v>68</v>
      </c>
      <c r="K4" s="1519"/>
    </row>
    <row r="5" spans="1:11" ht="15.75" thickBot="1">
      <c r="A5" s="4"/>
      <c r="B5" s="32"/>
      <c r="C5" s="1517"/>
      <c r="D5" s="480" t="s">
        <v>3</v>
      </c>
      <c r="E5" s="1104" t="s">
        <v>912</v>
      </c>
      <c r="F5" s="819" t="s">
        <v>3</v>
      </c>
      <c r="G5" s="1104" t="s">
        <v>912</v>
      </c>
      <c r="H5" s="819" t="s">
        <v>3</v>
      </c>
      <c r="I5" s="1104" t="s">
        <v>912</v>
      </c>
      <c r="J5" s="480" t="s">
        <v>3</v>
      </c>
      <c r="K5" s="1104" t="s">
        <v>912</v>
      </c>
    </row>
    <row r="6" spans="1:11" s="28" customFormat="1" ht="15" customHeight="1">
      <c r="A6" s="33"/>
      <c r="C6" s="93" t="s">
        <v>6</v>
      </c>
      <c r="D6" s="820">
        <v>234169</v>
      </c>
      <c r="E6" s="1081">
        <v>242215</v>
      </c>
      <c r="F6" s="820">
        <v>689343</v>
      </c>
      <c r="G6" s="821">
        <v>698448</v>
      </c>
      <c r="H6" s="829">
        <v>929274</v>
      </c>
      <c r="I6" s="821">
        <v>936796</v>
      </c>
      <c r="J6" s="815">
        <f t="shared" ref="J6:K33" si="0">D6+F6+H6</f>
        <v>1852786</v>
      </c>
      <c r="K6" s="479">
        <f t="shared" si="0"/>
        <v>1877459</v>
      </c>
    </row>
    <row r="7" spans="1:11" s="28" customFormat="1" ht="15" customHeight="1">
      <c r="A7" s="33"/>
      <c r="C7" s="94" t="s">
        <v>86</v>
      </c>
      <c r="D7" s="1093">
        <v>45897</v>
      </c>
      <c r="E7" s="1082">
        <v>47164</v>
      </c>
      <c r="F7" s="467">
        <v>129767</v>
      </c>
      <c r="G7" s="822">
        <v>134215</v>
      </c>
      <c r="H7" s="830">
        <v>167273</v>
      </c>
      <c r="I7" s="822">
        <v>168104</v>
      </c>
      <c r="J7" s="816">
        <f t="shared" si="0"/>
        <v>342937</v>
      </c>
      <c r="K7" s="474">
        <f t="shared" si="0"/>
        <v>349483</v>
      </c>
    </row>
    <row r="8" spans="1:11" s="28" customFormat="1" ht="15" customHeight="1">
      <c r="A8" s="33"/>
      <c r="C8" s="95" t="s">
        <v>12</v>
      </c>
      <c r="D8" s="1094">
        <v>1407856</v>
      </c>
      <c r="E8" s="1083">
        <v>1636828</v>
      </c>
      <c r="F8" s="469">
        <v>161193</v>
      </c>
      <c r="G8" s="823">
        <v>166919</v>
      </c>
      <c r="H8" s="831">
        <v>841559</v>
      </c>
      <c r="I8" s="823">
        <v>1159423</v>
      </c>
      <c r="J8" s="816">
        <f t="shared" si="0"/>
        <v>2410608</v>
      </c>
      <c r="K8" s="474">
        <f t="shared" si="0"/>
        <v>2963170</v>
      </c>
    </row>
    <row r="9" spans="1:11" s="28" customFormat="1" ht="15" customHeight="1">
      <c r="A9" s="33"/>
      <c r="C9" s="96" t="s">
        <v>14</v>
      </c>
      <c r="D9" s="1094">
        <f>'9. melléklet'!B19</f>
        <v>64850</v>
      </c>
      <c r="E9" s="1083">
        <f>'9. melléklet'!C19</f>
        <v>63350</v>
      </c>
      <c r="F9" s="469"/>
      <c r="G9" s="823"/>
      <c r="H9" s="831"/>
      <c r="I9" s="823"/>
      <c r="J9" s="816">
        <f t="shared" si="0"/>
        <v>64850</v>
      </c>
      <c r="K9" s="474">
        <f t="shared" si="0"/>
        <v>63350</v>
      </c>
    </row>
    <row r="10" spans="1:11" s="28" customFormat="1" ht="15" customHeight="1">
      <c r="A10" s="33"/>
      <c r="C10" s="95" t="s">
        <v>16</v>
      </c>
      <c r="D10" s="1094">
        <f t="shared" ref="D10:I10" si="1">SUM(D11:D15)</f>
        <v>1323721</v>
      </c>
      <c r="E10" s="1083">
        <f t="shared" si="1"/>
        <v>1379719</v>
      </c>
      <c r="F10" s="469">
        <f t="shared" si="1"/>
        <v>0</v>
      </c>
      <c r="G10" s="823">
        <f t="shared" si="1"/>
        <v>23652</v>
      </c>
      <c r="H10" s="831">
        <f t="shared" si="1"/>
        <v>0</v>
      </c>
      <c r="I10" s="823">
        <f t="shared" si="1"/>
        <v>0</v>
      </c>
      <c r="J10" s="816">
        <f t="shared" si="0"/>
        <v>1323721</v>
      </c>
      <c r="K10" s="474">
        <f t="shared" si="0"/>
        <v>1403371</v>
      </c>
    </row>
    <row r="11" spans="1:11" ht="15" customHeight="1">
      <c r="A11" s="31"/>
      <c r="C11" s="97" t="s">
        <v>17</v>
      </c>
      <c r="D11" s="1095"/>
      <c r="E11" s="1084"/>
      <c r="F11" s="470"/>
      <c r="G11" s="824">
        <v>23652</v>
      </c>
      <c r="H11" s="832"/>
      <c r="I11" s="824"/>
      <c r="J11" s="816">
        <f t="shared" si="0"/>
        <v>0</v>
      </c>
      <c r="K11" s="474">
        <f t="shared" si="0"/>
        <v>23652</v>
      </c>
    </row>
    <row r="12" spans="1:11" ht="15" customHeight="1">
      <c r="A12" s="31"/>
      <c r="C12" s="97" t="s">
        <v>18</v>
      </c>
      <c r="D12" s="1095">
        <v>18000</v>
      </c>
      <c r="E12" s="1084">
        <v>18000</v>
      </c>
      <c r="F12" s="470"/>
      <c r="G12" s="824"/>
      <c r="H12" s="832"/>
      <c r="I12" s="824"/>
      <c r="J12" s="816">
        <f t="shared" si="0"/>
        <v>18000</v>
      </c>
      <c r="K12" s="474">
        <f t="shared" si="0"/>
        <v>18000</v>
      </c>
    </row>
    <row r="13" spans="1:11" ht="15" customHeight="1">
      <c r="A13" s="31"/>
      <c r="C13" s="98" t="s">
        <v>19</v>
      </c>
      <c r="D13" s="1096">
        <f>'10. melléklet'!B49</f>
        <v>20000</v>
      </c>
      <c r="E13" s="1085">
        <f>'10. melléklet'!C49</f>
        <v>20000</v>
      </c>
      <c r="F13" s="471"/>
      <c r="G13" s="825"/>
      <c r="H13" s="833"/>
      <c r="I13" s="825"/>
      <c r="J13" s="816">
        <f t="shared" si="0"/>
        <v>20000</v>
      </c>
      <c r="K13" s="474">
        <f t="shared" si="0"/>
        <v>20000</v>
      </c>
    </row>
    <row r="14" spans="1:11" ht="15" customHeight="1">
      <c r="A14" s="31"/>
      <c r="C14" s="98" t="s">
        <v>21</v>
      </c>
      <c r="D14" s="1096">
        <f>'10. melléklet'!B44</f>
        <v>1182077</v>
      </c>
      <c r="E14" s="1085">
        <f>'10. melléklet'!C44</f>
        <v>1203141</v>
      </c>
      <c r="F14" s="471"/>
      <c r="G14" s="825"/>
      <c r="H14" s="833"/>
      <c r="I14" s="825"/>
      <c r="J14" s="816">
        <f t="shared" si="0"/>
        <v>1182077</v>
      </c>
      <c r="K14" s="474">
        <f t="shared" si="0"/>
        <v>1203141</v>
      </c>
    </row>
    <row r="15" spans="1:11" ht="15" customHeight="1">
      <c r="A15" s="31"/>
      <c r="C15" s="97" t="s">
        <v>23</v>
      </c>
      <c r="D15" s="1096">
        <f t="shared" ref="D15:I15" si="2">SUM(D16:D18)</f>
        <v>103644</v>
      </c>
      <c r="E15" s="1085">
        <f t="shared" si="2"/>
        <v>138578</v>
      </c>
      <c r="F15" s="471">
        <f t="shared" si="2"/>
        <v>0</v>
      </c>
      <c r="G15" s="825">
        <f t="shared" si="2"/>
        <v>0</v>
      </c>
      <c r="H15" s="833">
        <f t="shared" si="2"/>
        <v>0</v>
      </c>
      <c r="I15" s="825">
        <f t="shared" si="2"/>
        <v>0</v>
      </c>
      <c r="J15" s="816">
        <f t="shared" si="0"/>
        <v>103644</v>
      </c>
      <c r="K15" s="474">
        <f t="shared" si="0"/>
        <v>138578</v>
      </c>
    </row>
    <row r="16" spans="1:11" s="35" customFormat="1" ht="15" customHeight="1">
      <c r="A16" s="34"/>
      <c r="C16" s="99" t="s">
        <v>25</v>
      </c>
      <c r="D16" s="1097">
        <f>'16. melléklet'!B8</f>
        <v>30000</v>
      </c>
      <c r="E16" s="1086">
        <f>'16. melléklet'!C8</f>
        <v>36643</v>
      </c>
      <c r="F16" s="472"/>
      <c r="G16" s="826"/>
      <c r="H16" s="834"/>
      <c r="I16" s="826"/>
      <c r="J16" s="817">
        <f t="shared" si="0"/>
        <v>30000</v>
      </c>
      <c r="K16" s="475">
        <f t="shared" si="0"/>
        <v>36643</v>
      </c>
    </row>
    <row r="17" spans="1:11" s="35" customFormat="1" ht="15" customHeight="1">
      <c r="A17" s="34"/>
      <c r="C17" s="99" t="s">
        <v>908</v>
      </c>
      <c r="D17" s="1097">
        <f>'16. melléklet'!B9</f>
        <v>0</v>
      </c>
      <c r="E17" s="1086">
        <f>'16. melléklet'!C9</f>
        <v>16623</v>
      </c>
      <c r="F17" s="472"/>
      <c r="G17" s="826"/>
      <c r="H17" s="834"/>
      <c r="I17" s="826"/>
      <c r="J17" s="817">
        <f t="shared" si="0"/>
        <v>0</v>
      </c>
      <c r="K17" s="475">
        <f t="shared" si="0"/>
        <v>16623</v>
      </c>
    </row>
    <row r="18" spans="1:11" s="35" customFormat="1" ht="15" customHeight="1">
      <c r="C18" s="99" t="s">
        <v>87</v>
      </c>
      <c r="D18" s="1097">
        <f>'16. melléklet'!B11</f>
        <v>73644</v>
      </c>
      <c r="E18" s="1086">
        <f>'16. melléklet'!C11</f>
        <v>85312</v>
      </c>
      <c r="F18" s="472"/>
      <c r="G18" s="826"/>
      <c r="H18" s="834"/>
      <c r="I18" s="826"/>
      <c r="J18" s="817">
        <f t="shared" si="0"/>
        <v>73644</v>
      </c>
      <c r="K18" s="475">
        <f t="shared" si="0"/>
        <v>85312</v>
      </c>
    </row>
    <row r="19" spans="1:11" s="28" customFormat="1" ht="15" customHeight="1">
      <c r="C19" s="96" t="s">
        <v>317</v>
      </c>
      <c r="D19" s="1093">
        <f>'7. melléklet'!B4</f>
        <v>2130929</v>
      </c>
      <c r="E19" s="1082">
        <f>'7. melléklet'!C4</f>
        <v>3009548</v>
      </c>
      <c r="F19" s="467">
        <f>'7. melléklet'!B64</f>
        <v>14659</v>
      </c>
      <c r="G19" s="822">
        <f>'7. melléklet'!C64</f>
        <v>14838</v>
      </c>
      <c r="H19" s="830">
        <v>50753</v>
      </c>
      <c r="I19" s="822">
        <v>50470</v>
      </c>
      <c r="J19" s="816">
        <f t="shared" si="0"/>
        <v>2196341</v>
      </c>
      <c r="K19" s="474">
        <f t="shared" si="0"/>
        <v>3074856</v>
      </c>
    </row>
    <row r="20" spans="1:11" s="28" customFormat="1" ht="15" customHeight="1">
      <c r="C20" s="96" t="s">
        <v>318</v>
      </c>
      <c r="D20" s="1093">
        <f>'8. melléklet'!B4</f>
        <v>544052</v>
      </c>
      <c r="E20" s="1082">
        <f>'8. melléklet'!C4</f>
        <v>423451</v>
      </c>
      <c r="F20" s="467">
        <f>'8. melléklet'!B41</f>
        <v>1927</v>
      </c>
      <c r="G20" s="822">
        <f>'8. melléklet'!C41</f>
        <v>1927</v>
      </c>
      <c r="H20" s="830">
        <v>56361</v>
      </c>
      <c r="I20" s="822">
        <v>24738</v>
      </c>
      <c r="J20" s="816">
        <f t="shared" si="0"/>
        <v>602340</v>
      </c>
      <c r="K20" s="474">
        <f t="shared" si="0"/>
        <v>450116</v>
      </c>
    </row>
    <row r="21" spans="1:11" s="28" customFormat="1" ht="15" customHeight="1">
      <c r="C21" s="96" t="s">
        <v>34</v>
      </c>
      <c r="D21" s="1093">
        <f t="shared" ref="D21:I21" si="3">SUM(D22:D24)</f>
        <v>23900</v>
      </c>
      <c r="E21" s="1082">
        <f t="shared" si="3"/>
        <v>26661</v>
      </c>
      <c r="F21" s="467">
        <f t="shared" si="3"/>
        <v>1200</v>
      </c>
      <c r="G21" s="822">
        <f t="shared" si="3"/>
        <v>1200</v>
      </c>
      <c r="H21" s="830">
        <f t="shared" si="3"/>
        <v>0</v>
      </c>
      <c r="I21" s="822">
        <f t="shared" si="3"/>
        <v>0</v>
      </c>
      <c r="J21" s="816">
        <f t="shared" si="0"/>
        <v>25100</v>
      </c>
      <c r="K21" s="474">
        <f t="shared" si="0"/>
        <v>27861</v>
      </c>
    </row>
    <row r="22" spans="1:11" ht="15" customHeight="1">
      <c r="C22" s="97" t="s">
        <v>19</v>
      </c>
      <c r="D22" s="1096">
        <f>'10. melléklet'!B67</f>
        <v>0</v>
      </c>
      <c r="E22" s="1085">
        <f>'10. melléklet'!C67</f>
        <v>0</v>
      </c>
      <c r="F22" s="471">
        <f>'10. melléklet'!B75</f>
        <v>1200</v>
      </c>
      <c r="G22" s="825">
        <f>'10. melléklet'!C75</f>
        <v>1200</v>
      </c>
      <c r="H22" s="833"/>
      <c r="I22" s="825"/>
      <c r="J22" s="816">
        <f t="shared" si="0"/>
        <v>1200</v>
      </c>
      <c r="K22" s="474">
        <f t="shared" si="0"/>
        <v>1200</v>
      </c>
    </row>
    <row r="23" spans="1:11" ht="15" customHeight="1">
      <c r="C23" s="98" t="s">
        <v>36</v>
      </c>
      <c r="D23" s="1096">
        <f>'10. melléklet'!B63</f>
        <v>13900</v>
      </c>
      <c r="E23" s="1085">
        <f>'10. melléklet'!C63</f>
        <v>16661</v>
      </c>
      <c r="F23" s="471"/>
      <c r="G23" s="825"/>
      <c r="H23" s="833"/>
      <c r="I23" s="825"/>
      <c r="J23" s="816">
        <f t="shared" si="0"/>
        <v>13900</v>
      </c>
      <c r="K23" s="474">
        <f t="shared" si="0"/>
        <v>16661</v>
      </c>
    </row>
    <row r="24" spans="1:11" ht="15" customHeight="1">
      <c r="C24" s="98" t="s">
        <v>88</v>
      </c>
      <c r="D24" s="1096">
        <f t="shared" ref="D24:I24" si="4">SUM(D25:D26)</f>
        <v>10000</v>
      </c>
      <c r="E24" s="1085">
        <f t="shared" si="4"/>
        <v>10000</v>
      </c>
      <c r="F24" s="471">
        <f t="shared" si="4"/>
        <v>0</v>
      </c>
      <c r="G24" s="825">
        <f t="shared" si="4"/>
        <v>0</v>
      </c>
      <c r="H24" s="833">
        <f t="shared" si="4"/>
        <v>0</v>
      </c>
      <c r="I24" s="825">
        <f t="shared" si="4"/>
        <v>0</v>
      </c>
      <c r="J24" s="816">
        <f t="shared" si="0"/>
        <v>10000</v>
      </c>
      <c r="K24" s="474">
        <f t="shared" si="0"/>
        <v>10000</v>
      </c>
    </row>
    <row r="25" spans="1:11" s="36" customFormat="1" ht="15" customHeight="1">
      <c r="C25" s="102" t="s">
        <v>39</v>
      </c>
      <c r="D25" s="1097">
        <f>'16. melléklet'!B24</f>
        <v>10000</v>
      </c>
      <c r="E25" s="1086">
        <f>'16. melléklet'!C24</f>
        <v>10000</v>
      </c>
      <c r="F25" s="472"/>
      <c r="G25" s="826"/>
      <c r="H25" s="834"/>
      <c r="I25" s="826"/>
      <c r="J25" s="817">
        <f t="shared" si="0"/>
        <v>10000</v>
      </c>
      <c r="K25" s="475">
        <f t="shared" si="0"/>
        <v>10000</v>
      </c>
    </row>
    <row r="26" spans="1:11" s="36" customFormat="1" ht="15" customHeight="1" thickBot="1">
      <c r="C26" s="100" t="s">
        <v>532</v>
      </c>
      <c r="D26" s="1098">
        <f>'16. melléklet'!B27</f>
        <v>0</v>
      </c>
      <c r="E26" s="1087">
        <f>'16. melléklet'!C27</f>
        <v>0</v>
      </c>
      <c r="F26" s="827"/>
      <c r="G26" s="828"/>
      <c r="H26" s="835"/>
      <c r="I26" s="828"/>
      <c r="J26" s="818">
        <f t="shared" si="0"/>
        <v>0</v>
      </c>
      <c r="K26" s="481">
        <f t="shared" si="0"/>
        <v>0</v>
      </c>
    </row>
    <row r="27" spans="1:11" s="28" customFormat="1" ht="15" customHeight="1" thickBot="1">
      <c r="C27" s="29" t="s">
        <v>49</v>
      </c>
      <c r="D27" s="482">
        <f t="shared" ref="D27:I27" si="5">D6+D7+D8+D9+D10+D19+D20+D21</f>
        <v>5775374</v>
      </c>
      <c r="E27" s="1088">
        <f t="shared" si="5"/>
        <v>6828936</v>
      </c>
      <c r="F27" s="482">
        <f t="shared" si="5"/>
        <v>998089</v>
      </c>
      <c r="G27" s="1101">
        <f t="shared" si="5"/>
        <v>1041199</v>
      </c>
      <c r="H27" s="482">
        <f t="shared" si="5"/>
        <v>2045220</v>
      </c>
      <c r="I27" s="1101">
        <f t="shared" si="5"/>
        <v>2339531</v>
      </c>
      <c r="J27" s="482">
        <f t="shared" si="0"/>
        <v>8818683</v>
      </c>
      <c r="K27" s="483">
        <f t="shared" si="0"/>
        <v>10209666</v>
      </c>
    </row>
    <row r="28" spans="1:11" s="28" customFormat="1" ht="15" customHeight="1">
      <c r="C28" s="93" t="s">
        <v>41</v>
      </c>
      <c r="D28" s="1099">
        <v>106549</v>
      </c>
      <c r="E28" s="1089">
        <v>106569</v>
      </c>
      <c r="F28" s="476"/>
      <c r="G28" s="477"/>
      <c r="H28" s="1099"/>
      <c r="I28" s="1089"/>
      <c r="J28" s="478">
        <f t="shared" si="0"/>
        <v>106549</v>
      </c>
      <c r="K28" s="479">
        <f t="shared" si="0"/>
        <v>106569</v>
      </c>
    </row>
    <row r="29" spans="1:11" s="28" customFormat="1" ht="15" customHeight="1">
      <c r="C29" s="96" t="s">
        <v>740</v>
      </c>
      <c r="D29" s="1093">
        <v>2000000</v>
      </c>
      <c r="E29" s="1090">
        <v>2000000</v>
      </c>
      <c r="F29" s="467"/>
      <c r="G29" s="468"/>
      <c r="H29" s="1093"/>
      <c r="I29" s="1090"/>
      <c r="J29" s="473">
        <f t="shared" si="0"/>
        <v>2000000</v>
      </c>
      <c r="K29" s="474">
        <f t="shared" si="0"/>
        <v>2000000</v>
      </c>
    </row>
    <row r="30" spans="1:11" s="28" customFormat="1" ht="15" customHeight="1">
      <c r="C30" s="96" t="s">
        <v>93</v>
      </c>
      <c r="D30" s="1093">
        <v>60000</v>
      </c>
      <c r="E30" s="1090">
        <v>60000</v>
      </c>
      <c r="F30" s="467"/>
      <c r="G30" s="468"/>
      <c r="H30" s="1093"/>
      <c r="I30" s="1090"/>
      <c r="J30" s="473">
        <f t="shared" si="0"/>
        <v>60000</v>
      </c>
      <c r="K30" s="474">
        <f t="shared" si="0"/>
        <v>60000</v>
      </c>
    </row>
    <row r="31" spans="1:11" s="28" customFormat="1" ht="15" customHeight="1" thickBot="1">
      <c r="C31" s="101" t="s">
        <v>94</v>
      </c>
      <c r="D31" s="1100">
        <v>2377271</v>
      </c>
      <c r="E31" s="610">
        <v>2311964</v>
      </c>
      <c r="F31" s="486"/>
      <c r="G31" s="487"/>
      <c r="H31" s="1103"/>
      <c r="I31" s="1102"/>
      <c r="J31" s="484">
        <f t="shared" si="0"/>
        <v>2377271</v>
      </c>
      <c r="K31" s="485">
        <f t="shared" si="0"/>
        <v>2311964</v>
      </c>
    </row>
    <row r="32" spans="1:11" s="28" customFormat="1" ht="15" customHeight="1" thickBot="1">
      <c r="C32" s="29" t="s">
        <v>50</v>
      </c>
      <c r="D32" s="490">
        <f t="shared" ref="D32:I32" si="6">SUM(D28:D31)</f>
        <v>4543820</v>
      </c>
      <c r="E32" s="1091">
        <f t="shared" si="6"/>
        <v>4478533</v>
      </c>
      <c r="F32" s="490">
        <f t="shared" si="6"/>
        <v>0</v>
      </c>
      <c r="G32" s="1091">
        <f t="shared" si="6"/>
        <v>0</v>
      </c>
      <c r="H32" s="490">
        <f t="shared" si="6"/>
        <v>0</v>
      </c>
      <c r="I32" s="1091">
        <f t="shared" si="6"/>
        <v>0</v>
      </c>
      <c r="J32" s="490">
        <f t="shared" si="0"/>
        <v>4543820</v>
      </c>
      <c r="K32" s="239">
        <f t="shared" si="0"/>
        <v>4478533</v>
      </c>
    </row>
    <row r="33" spans="3:11" s="28" customFormat="1" ht="15" customHeight="1" thickBot="1">
      <c r="C33" s="37" t="s">
        <v>46</v>
      </c>
      <c r="D33" s="488">
        <f t="shared" ref="D33:I33" si="7">D27+D32</f>
        <v>10319194</v>
      </c>
      <c r="E33" s="1092">
        <f t="shared" si="7"/>
        <v>11307469</v>
      </c>
      <c r="F33" s="488">
        <f t="shared" si="7"/>
        <v>998089</v>
      </c>
      <c r="G33" s="1092">
        <f t="shared" si="7"/>
        <v>1041199</v>
      </c>
      <c r="H33" s="488">
        <f t="shared" si="7"/>
        <v>2045220</v>
      </c>
      <c r="I33" s="1092">
        <f t="shared" si="7"/>
        <v>2339531</v>
      </c>
      <c r="J33" s="488">
        <f t="shared" si="0"/>
        <v>13362503</v>
      </c>
      <c r="K33" s="489">
        <f t="shared" si="0"/>
        <v>14688199</v>
      </c>
    </row>
    <row r="34" spans="3:11" ht="15">
      <c r="J34" s="256"/>
      <c r="K34" s="256"/>
    </row>
    <row r="35" spans="3:11" ht="15">
      <c r="C35" s="128"/>
      <c r="D35" s="3"/>
      <c r="E35" s="3"/>
    </row>
    <row r="36" spans="3:11" ht="15">
      <c r="C36" s="128"/>
    </row>
  </sheetData>
  <mergeCells count="7">
    <mergeCell ref="C1:K1"/>
    <mergeCell ref="C2:K2"/>
    <mergeCell ref="C4:C5"/>
    <mergeCell ref="J4:K4"/>
    <mergeCell ref="H4:I4"/>
    <mergeCell ref="F4:G4"/>
    <mergeCell ref="D4:E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r:id="rId1"/>
  <headerFooter>
    <oddHeader>&amp;L&amp;"Times New Roman,Normál"&amp;8 4. melléklet a   17 /2020. (VII.9.) önkormányzati rendelethez</oddHeader>
    <oddFooter>&amp;L24/2019.(XII.19.)önk.rend. Hatályos:2020.01.01.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0"/>
  <sheetViews>
    <sheetView view="pageLayout" zoomScale="84" zoomScaleNormal="75" zoomScaleSheetLayoutView="30" zoomScalePageLayoutView="84" workbookViewId="0">
      <selection activeCell="H121" sqref="H121"/>
    </sheetView>
  </sheetViews>
  <sheetFormatPr defaultRowHeight="15"/>
  <cols>
    <col min="1" max="1" width="14.28515625" style="38" customWidth="1"/>
    <col min="2" max="2" width="11.85546875" style="38" bestFit="1" customWidth="1"/>
    <col min="3" max="3" width="103.140625" style="38" customWidth="1"/>
    <col min="4" max="4" width="13.85546875" style="38" customWidth="1"/>
    <col min="5" max="18" width="14" style="38" customWidth="1"/>
    <col min="19" max="16384" width="9.140625" style="38"/>
  </cols>
  <sheetData>
    <row r="1" spans="1:18">
      <c r="A1" s="1535" t="s">
        <v>941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  <c r="R1" s="1535"/>
    </row>
    <row r="2" spans="1:18" ht="34.5" customHeight="1" thickBot="1">
      <c r="A2" s="1536"/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  <c r="Q2" s="1536"/>
      <c r="R2" s="1536"/>
    </row>
    <row r="3" spans="1:18">
      <c r="A3" s="1533" t="s">
        <v>2</v>
      </c>
      <c r="B3" s="1537"/>
      <c r="C3" s="1537"/>
      <c r="D3" s="1534"/>
      <c r="E3" s="1541" t="s">
        <v>95</v>
      </c>
      <c r="F3" s="1541" t="s">
        <v>96</v>
      </c>
      <c r="G3" s="1533" t="s">
        <v>97</v>
      </c>
      <c r="H3" s="1537"/>
      <c r="I3" s="1537"/>
      <c r="J3" s="1537"/>
      <c r="K3" s="1537"/>
      <c r="L3" s="1534"/>
      <c r="M3" s="1533" t="s">
        <v>98</v>
      </c>
      <c r="N3" s="1537"/>
      <c r="O3" s="1537"/>
      <c r="P3" s="1534"/>
      <c r="Q3" s="1533" t="s">
        <v>55</v>
      </c>
      <c r="R3" s="1534"/>
    </row>
    <row r="4" spans="1:18" ht="72" thickBot="1">
      <c r="A4" s="1538"/>
      <c r="B4" s="1539"/>
      <c r="C4" s="1539"/>
      <c r="D4" s="1540"/>
      <c r="E4" s="1542"/>
      <c r="F4" s="1542"/>
      <c r="G4" s="282" t="s">
        <v>315</v>
      </c>
      <c r="H4" s="283" t="s">
        <v>108</v>
      </c>
      <c r="I4" s="283" t="s">
        <v>109</v>
      </c>
      <c r="J4" s="283" t="s">
        <v>111</v>
      </c>
      <c r="K4" s="283" t="s">
        <v>16</v>
      </c>
      <c r="L4" s="284" t="s">
        <v>23</v>
      </c>
      <c r="M4" s="285" t="s">
        <v>56</v>
      </c>
      <c r="N4" s="286" t="s">
        <v>57</v>
      </c>
      <c r="O4" s="283" t="s">
        <v>112</v>
      </c>
      <c r="P4" s="287" t="s">
        <v>113</v>
      </c>
      <c r="Q4" s="288" t="s">
        <v>114</v>
      </c>
      <c r="R4" s="284" t="s">
        <v>115</v>
      </c>
    </row>
    <row r="5" spans="1:18" ht="18.75" customHeight="1">
      <c r="A5" s="1552" t="s">
        <v>100</v>
      </c>
      <c r="B5" s="1553" t="s">
        <v>413</v>
      </c>
      <c r="C5" s="1554" t="s">
        <v>346</v>
      </c>
      <c r="D5" s="1296" t="s">
        <v>3</v>
      </c>
      <c r="E5" s="204">
        <v>1909207</v>
      </c>
      <c r="F5" s="1298">
        <f t="shared" ref="F5:F136" si="0">SUM(G5:R5)</f>
        <v>553137</v>
      </c>
      <c r="G5" s="207">
        <v>86548</v>
      </c>
      <c r="H5" s="205">
        <v>18100</v>
      </c>
      <c r="I5" s="205">
        <v>342388</v>
      </c>
      <c r="J5" s="205">
        <v>0</v>
      </c>
      <c r="K5" s="205">
        <v>0</v>
      </c>
      <c r="L5" s="208">
        <v>73644</v>
      </c>
      <c r="M5" s="207">
        <v>15757</v>
      </c>
      <c r="N5" s="205">
        <v>6700</v>
      </c>
      <c r="O5" s="205">
        <v>0</v>
      </c>
      <c r="P5" s="208">
        <v>10000</v>
      </c>
      <c r="Q5" s="207">
        <v>0</v>
      </c>
      <c r="R5" s="206">
        <v>0</v>
      </c>
    </row>
    <row r="6" spans="1:18" ht="18.75" customHeight="1">
      <c r="A6" s="1544"/>
      <c r="B6" s="1546"/>
      <c r="C6" s="1551"/>
      <c r="D6" s="1272" t="s">
        <v>912</v>
      </c>
      <c r="E6" s="1267">
        <v>1733993</v>
      </c>
      <c r="F6" s="1299">
        <f t="shared" si="0"/>
        <v>547650</v>
      </c>
      <c r="G6" s="1278">
        <v>86548</v>
      </c>
      <c r="H6" s="450">
        <v>18100</v>
      </c>
      <c r="I6" s="450">
        <v>341288</v>
      </c>
      <c r="J6" s="450">
        <v>0</v>
      </c>
      <c r="K6" s="450">
        <v>0</v>
      </c>
      <c r="L6" s="1279">
        <v>85312</v>
      </c>
      <c r="M6" s="1278">
        <v>6252</v>
      </c>
      <c r="N6" s="450">
        <v>150</v>
      </c>
      <c r="O6" s="450">
        <v>0</v>
      </c>
      <c r="P6" s="1279">
        <v>10000</v>
      </c>
      <c r="Q6" s="1278">
        <v>0</v>
      </c>
      <c r="R6" s="1293">
        <v>0</v>
      </c>
    </row>
    <row r="7" spans="1:18" ht="18.75" customHeight="1">
      <c r="A7" s="1543" t="s">
        <v>100</v>
      </c>
      <c r="B7" s="1545" t="s">
        <v>412</v>
      </c>
      <c r="C7" s="1550" t="s">
        <v>561</v>
      </c>
      <c r="D7" s="1273" t="s">
        <v>3</v>
      </c>
      <c r="E7" s="1303">
        <v>1409779</v>
      </c>
      <c r="F7" s="1300">
        <f t="shared" si="0"/>
        <v>2455271</v>
      </c>
      <c r="G7" s="1280">
        <v>0</v>
      </c>
      <c r="H7" s="1281">
        <v>0</v>
      </c>
      <c r="I7" s="1281">
        <v>0</v>
      </c>
      <c r="J7" s="1281">
        <v>0</v>
      </c>
      <c r="K7" s="1282">
        <v>18000</v>
      </c>
      <c r="L7" s="1283">
        <v>0</v>
      </c>
      <c r="M7" s="1280">
        <v>0</v>
      </c>
      <c r="N7" s="1281">
        <v>0</v>
      </c>
      <c r="O7" s="1281">
        <v>0</v>
      </c>
      <c r="P7" s="1283">
        <v>0</v>
      </c>
      <c r="Q7" s="1280">
        <v>60000</v>
      </c>
      <c r="R7" s="1285">
        <v>2377271</v>
      </c>
    </row>
    <row r="8" spans="1:18" ht="18.75" customHeight="1">
      <c r="A8" s="1544"/>
      <c r="B8" s="1546"/>
      <c r="C8" s="1551"/>
      <c r="D8" s="1272" t="s">
        <v>912</v>
      </c>
      <c r="E8" s="1488">
        <v>1518958</v>
      </c>
      <c r="F8" s="1300">
        <f t="shared" si="0"/>
        <v>2389964</v>
      </c>
      <c r="G8" s="1280">
        <v>0</v>
      </c>
      <c r="H8" s="1281">
        <v>0</v>
      </c>
      <c r="I8" s="1281">
        <v>0</v>
      </c>
      <c r="J8" s="1281">
        <v>0</v>
      </c>
      <c r="K8" s="1282">
        <v>18000</v>
      </c>
      <c r="L8" s="1283">
        <v>0</v>
      </c>
      <c r="M8" s="1280">
        <v>0</v>
      </c>
      <c r="N8" s="1281">
        <v>0</v>
      </c>
      <c r="O8" s="1281">
        <v>0</v>
      </c>
      <c r="P8" s="1283">
        <v>0</v>
      </c>
      <c r="Q8" s="1280">
        <v>60000</v>
      </c>
      <c r="R8" s="1285">
        <v>2311964</v>
      </c>
    </row>
    <row r="9" spans="1:18" ht="18.75" customHeight="1">
      <c r="A9" s="1543" t="s">
        <v>100</v>
      </c>
      <c r="B9" s="1545" t="s">
        <v>354</v>
      </c>
      <c r="C9" s="1547" t="s">
        <v>352</v>
      </c>
      <c r="D9" s="1273" t="s">
        <v>3</v>
      </c>
      <c r="E9" s="1303">
        <v>2328519</v>
      </c>
      <c r="F9" s="1300">
        <f t="shared" si="0"/>
        <v>2131503</v>
      </c>
      <c r="G9" s="1280">
        <v>0</v>
      </c>
      <c r="H9" s="1281">
        <v>0</v>
      </c>
      <c r="I9" s="1281">
        <v>24954</v>
      </c>
      <c r="J9" s="1281">
        <v>0</v>
      </c>
      <c r="K9" s="1281">
        <v>0</v>
      </c>
      <c r="L9" s="1283">
        <v>0</v>
      </c>
      <c r="M9" s="1280">
        <v>0</v>
      </c>
      <c r="N9" s="1281">
        <v>0</v>
      </c>
      <c r="O9" s="1281">
        <v>0</v>
      </c>
      <c r="P9" s="1283">
        <v>0</v>
      </c>
      <c r="Q9" s="1280">
        <v>2106549</v>
      </c>
      <c r="R9" s="1294">
        <v>0</v>
      </c>
    </row>
    <row r="10" spans="1:18" ht="18.75" customHeight="1">
      <c r="A10" s="1544"/>
      <c r="B10" s="1546"/>
      <c r="C10" s="1548"/>
      <c r="D10" s="1272" t="s">
        <v>912</v>
      </c>
      <c r="E10" s="1304">
        <v>2328519</v>
      </c>
      <c r="F10" s="1300">
        <f t="shared" si="0"/>
        <v>2131523</v>
      </c>
      <c r="G10" s="1280">
        <v>0</v>
      </c>
      <c r="H10" s="1281">
        <v>0</v>
      </c>
      <c r="I10" s="1281">
        <v>24954</v>
      </c>
      <c r="J10" s="1281">
        <v>0</v>
      </c>
      <c r="K10" s="1281">
        <v>0</v>
      </c>
      <c r="L10" s="1283">
        <v>0</v>
      </c>
      <c r="M10" s="1280">
        <v>0</v>
      </c>
      <c r="N10" s="1281">
        <v>0</v>
      </c>
      <c r="O10" s="1281">
        <v>0</v>
      </c>
      <c r="P10" s="1283">
        <v>0</v>
      </c>
      <c r="Q10" s="1280">
        <v>2106569</v>
      </c>
      <c r="R10" s="1294">
        <v>0</v>
      </c>
    </row>
    <row r="11" spans="1:18" ht="18.75" customHeight="1">
      <c r="A11" s="1522" t="s">
        <v>101</v>
      </c>
      <c r="B11" s="1545" t="s">
        <v>355</v>
      </c>
      <c r="C11" s="1550" t="s">
        <v>353</v>
      </c>
      <c r="D11" s="1273" t="s">
        <v>3</v>
      </c>
      <c r="E11" s="1304">
        <v>2350000</v>
      </c>
      <c r="F11" s="1300">
        <f t="shared" si="0"/>
        <v>0</v>
      </c>
      <c r="G11" s="1284">
        <v>0</v>
      </c>
      <c r="H11" s="1282">
        <v>0</v>
      </c>
      <c r="I11" s="1282">
        <v>0</v>
      </c>
      <c r="J11" s="1282">
        <v>0</v>
      </c>
      <c r="K11" s="1282">
        <v>0</v>
      </c>
      <c r="L11" s="1285">
        <v>0</v>
      </c>
      <c r="M11" s="1284">
        <v>0</v>
      </c>
      <c r="N11" s="1282">
        <v>0</v>
      </c>
      <c r="O11" s="1282">
        <v>0</v>
      </c>
      <c r="P11" s="1285">
        <v>0</v>
      </c>
      <c r="Q11" s="1284">
        <v>0</v>
      </c>
      <c r="R11" s="1294">
        <v>0</v>
      </c>
    </row>
    <row r="12" spans="1:18" ht="18.75" customHeight="1">
      <c r="A12" s="1549"/>
      <c r="B12" s="1546"/>
      <c r="C12" s="1551"/>
      <c r="D12" s="1272" t="s">
        <v>912</v>
      </c>
      <c r="E12" s="1304">
        <v>2266202</v>
      </c>
      <c r="F12" s="1300">
        <f t="shared" si="0"/>
        <v>0</v>
      </c>
      <c r="G12" s="1284">
        <v>0</v>
      </c>
      <c r="H12" s="1282">
        <v>0</v>
      </c>
      <c r="I12" s="1282">
        <v>0</v>
      </c>
      <c r="J12" s="1282">
        <v>0</v>
      </c>
      <c r="K12" s="1282">
        <v>0</v>
      </c>
      <c r="L12" s="1285">
        <v>0</v>
      </c>
      <c r="M12" s="1284">
        <v>0</v>
      </c>
      <c r="N12" s="1282">
        <v>0</v>
      </c>
      <c r="O12" s="1282">
        <v>0</v>
      </c>
      <c r="P12" s="1285">
        <v>0</v>
      </c>
      <c r="Q12" s="1284">
        <v>0</v>
      </c>
      <c r="R12" s="1294">
        <v>0</v>
      </c>
    </row>
    <row r="13" spans="1:18" ht="18.75" customHeight="1">
      <c r="A13" s="1522" t="s">
        <v>101</v>
      </c>
      <c r="B13" s="1545" t="s">
        <v>356</v>
      </c>
      <c r="C13" s="1550" t="s">
        <v>102</v>
      </c>
      <c r="D13" s="1273" t="s">
        <v>3</v>
      </c>
      <c r="E13" s="1267">
        <v>10160</v>
      </c>
      <c r="F13" s="1301">
        <f t="shared" si="0"/>
        <v>34500</v>
      </c>
      <c r="G13" s="1268">
        <v>0</v>
      </c>
      <c r="H13" s="1269">
        <v>0</v>
      </c>
      <c r="I13" s="1269">
        <v>30000</v>
      </c>
      <c r="J13" s="1269">
        <v>0</v>
      </c>
      <c r="K13" s="1286">
        <v>0</v>
      </c>
      <c r="L13" s="1270">
        <v>0</v>
      </c>
      <c r="M13" s="1268">
        <v>2500</v>
      </c>
      <c r="N13" s="1269">
        <v>2000</v>
      </c>
      <c r="O13" s="1269">
        <v>0</v>
      </c>
      <c r="P13" s="1270">
        <v>0</v>
      </c>
      <c r="Q13" s="1268">
        <v>0</v>
      </c>
      <c r="R13" s="1271">
        <v>0</v>
      </c>
    </row>
    <row r="14" spans="1:18" ht="18.75" customHeight="1">
      <c r="A14" s="1549"/>
      <c r="B14" s="1546"/>
      <c r="C14" s="1551"/>
      <c r="D14" s="1272" t="s">
        <v>912</v>
      </c>
      <c r="E14" s="1267">
        <v>10160</v>
      </c>
      <c r="F14" s="1301">
        <f t="shared" si="0"/>
        <v>34500</v>
      </c>
      <c r="G14" s="1268">
        <v>0</v>
      </c>
      <c r="H14" s="1269">
        <v>0</v>
      </c>
      <c r="I14" s="1269">
        <v>30000</v>
      </c>
      <c r="J14" s="1269">
        <v>0</v>
      </c>
      <c r="K14" s="1286">
        <v>0</v>
      </c>
      <c r="L14" s="1270">
        <v>0</v>
      </c>
      <c r="M14" s="1268">
        <v>2500</v>
      </c>
      <c r="N14" s="1269">
        <v>2000</v>
      </c>
      <c r="O14" s="1269">
        <v>0</v>
      </c>
      <c r="P14" s="1270">
        <v>0</v>
      </c>
      <c r="Q14" s="1268">
        <v>0</v>
      </c>
      <c r="R14" s="1271">
        <v>0</v>
      </c>
    </row>
    <row r="15" spans="1:18" ht="18.75" customHeight="1">
      <c r="A15" s="1522" t="s">
        <v>101</v>
      </c>
      <c r="B15" s="1545" t="s">
        <v>414</v>
      </c>
      <c r="C15" s="1550" t="s">
        <v>415</v>
      </c>
      <c r="D15" s="1297" t="s">
        <v>3</v>
      </c>
      <c r="E15" s="1267">
        <v>1818197</v>
      </c>
      <c r="F15" s="1301">
        <f t="shared" si="0"/>
        <v>263998</v>
      </c>
      <c r="G15" s="1268">
        <v>0</v>
      </c>
      <c r="H15" s="1269">
        <v>0</v>
      </c>
      <c r="I15" s="1269">
        <v>138500</v>
      </c>
      <c r="J15" s="1269">
        <v>0</v>
      </c>
      <c r="K15" s="1269">
        <v>0</v>
      </c>
      <c r="L15" s="1270">
        <v>0</v>
      </c>
      <c r="M15" s="1268">
        <v>93453</v>
      </c>
      <c r="N15" s="1269">
        <v>32045</v>
      </c>
      <c r="O15" s="1269">
        <v>0</v>
      </c>
      <c r="P15" s="1270">
        <v>0</v>
      </c>
      <c r="Q15" s="1268">
        <v>0</v>
      </c>
      <c r="R15" s="1271">
        <v>0</v>
      </c>
    </row>
    <row r="16" spans="1:18" ht="18.75" customHeight="1">
      <c r="A16" s="1549"/>
      <c r="B16" s="1546"/>
      <c r="C16" s="1551"/>
      <c r="D16" s="1272" t="s">
        <v>912</v>
      </c>
      <c r="E16" s="1267">
        <v>1810377</v>
      </c>
      <c r="F16" s="1301">
        <f t="shared" si="0"/>
        <v>220687</v>
      </c>
      <c r="G16" s="1268">
        <v>0</v>
      </c>
      <c r="H16" s="1269">
        <v>0</v>
      </c>
      <c r="I16" s="1269">
        <v>117000</v>
      </c>
      <c r="J16" s="1269">
        <v>0</v>
      </c>
      <c r="K16" s="1269">
        <v>0</v>
      </c>
      <c r="L16" s="1270">
        <v>0</v>
      </c>
      <c r="M16" s="1268">
        <v>58642</v>
      </c>
      <c r="N16" s="1269">
        <v>45045</v>
      </c>
      <c r="O16" s="1269">
        <v>0</v>
      </c>
      <c r="P16" s="1270">
        <v>0</v>
      </c>
      <c r="Q16" s="1268">
        <v>0</v>
      </c>
      <c r="R16" s="1271">
        <v>0</v>
      </c>
    </row>
    <row r="17" spans="1:18" ht="18.75" customHeight="1">
      <c r="A17" s="1522" t="s">
        <v>101</v>
      </c>
      <c r="B17" s="1545" t="s">
        <v>357</v>
      </c>
      <c r="C17" s="1550" t="s">
        <v>358</v>
      </c>
      <c r="D17" s="1273" t="s">
        <v>3</v>
      </c>
      <c r="E17" s="1267">
        <v>46500</v>
      </c>
      <c r="F17" s="1301">
        <f t="shared" si="0"/>
        <v>57700</v>
      </c>
      <c r="G17" s="1268">
        <v>42000</v>
      </c>
      <c r="H17" s="1269">
        <v>3700</v>
      </c>
      <c r="I17" s="1269">
        <v>12000</v>
      </c>
      <c r="J17" s="1269">
        <v>0</v>
      </c>
      <c r="K17" s="1286">
        <v>0</v>
      </c>
      <c r="L17" s="1270">
        <v>0</v>
      </c>
      <c r="M17" s="1268">
        <v>0</v>
      </c>
      <c r="N17" s="1269">
        <v>0</v>
      </c>
      <c r="O17" s="1269">
        <v>0</v>
      </c>
      <c r="P17" s="1270">
        <v>0</v>
      </c>
      <c r="Q17" s="1268">
        <v>0</v>
      </c>
      <c r="R17" s="1271">
        <v>0</v>
      </c>
    </row>
    <row r="18" spans="1:18" ht="18.75" customHeight="1">
      <c r="A18" s="1549"/>
      <c r="B18" s="1546"/>
      <c r="C18" s="1551"/>
      <c r="D18" s="1272" t="s">
        <v>912</v>
      </c>
      <c r="E18" s="1267">
        <v>46500</v>
      </c>
      <c r="F18" s="1301">
        <f t="shared" si="0"/>
        <v>57700</v>
      </c>
      <c r="G18" s="1268">
        <v>42000</v>
      </c>
      <c r="H18" s="1269">
        <v>3700</v>
      </c>
      <c r="I18" s="1269">
        <v>12000</v>
      </c>
      <c r="J18" s="1269">
        <v>0</v>
      </c>
      <c r="K18" s="1286">
        <v>0</v>
      </c>
      <c r="L18" s="1270">
        <v>0</v>
      </c>
      <c r="M18" s="1268">
        <v>0</v>
      </c>
      <c r="N18" s="1269">
        <v>0</v>
      </c>
      <c r="O18" s="1269">
        <v>0</v>
      </c>
      <c r="P18" s="1270">
        <v>0</v>
      </c>
      <c r="Q18" s="1268">
        <v>0</v>
      </c>
      <c r="R18" s="1271">
        <v>0</v>
      </c>
    </row>
    <row r="19" spans="1:18" ht="18.75" customHeight="1">
      <c r="A19" s="1522" t="s">
        <v>101</v>
      </c>
      <c r="B19" s="1545" t="s">
        <v>359</v>
      </c>
      <c r="C19" s="1550" t="s">
        <v>104</v>
      </c>
      <c r="D19" s="1273" t="s">
        <v>3</v>
      </c>
      <c r="E19" s="1267">
        <v>0</v>
      </c>
      <c r="F19" s="1301">
        <f t="shared" si="0"/>
        <v>19000</v>
      </c>
      <c r="G19" s="1268">
        <v>0</v>
      </c>
      <c r="H19" s="1269">
        <v>0</v>
      </c>
      <c r="I19" s="1269">
        <v>19000</v>
      </c>
      <c r="J19" s="1269">
        <v>0</v>
      </c>
      <c r="K19" s="1269">
        <v>0</v>
      </c>
      <c r="L19" s="1270">
        <v>0</v>
      </c>
      <c r="M19" s="1268">
        <v>0</v>
      </c>
      <c r="N19" s="1269">
        <v>0</v>
      </c>
      <c r="O19" s="1269">
        <v>0</v>
      </c>
      <c r="P19" s="1270">
        <v>0</v>
      </c>
      <c r="Q19" s="1268">
        <v>0</v>
      </c>
      <c r="R19" s="1271">
        <v>0</v>
      </c>
    </row>
    <row r="20" spans="1:18" ht="18.75" customHeight="1">
      <c r="A20" s="1549"/>
      <c r="B20" s="1546"/>
      <c r="C20" s="1551"/>
      <c r="D20" s="1272" t="s">
        <v>912</v>
      </c>
      <c r="E20" s="1267">
        <v>0</v>
      </c>
      <c r="F20" s="1301">
        <f t="shared" si="0"/>
        <v>19000</v>
      </c>
      <c r="G20" s="1268">
        <v>0</v>
      </c>
      <c r="H20" s="1269">
        <v>0</v>
      </c>
      <c r="I20" s="1269">
        <v>19000</v>
      </c>
      <c r="J20" s="1269">
        <v>0</v>
      </c>
      <c r="K20" s="1269">
        <v>0</v>
      </c>
      <c r="L20" s="1270">
        <v>0</v>
      </c>
      <c r="M20" s="1268">
        <v>0</v>
      </c>
      <c r="N20" s="1269">
        <v>0</v>
      </c>
      <c r="O20" s="1269">
        <v>0</v>
      </c>
      <c r="P20" s="1270">
        <v>0</v>
      </c>
      <c r="Q20" s="1268">
        <v>0</v>
      </c>
      <c r="R20" s="1271">
        <v>0</v>
      </c>
    </row>
    <row r="21" spans="1:18" ht="18.75" customHeight="1">
      <c r="A21" s="1522" t="s">
        <v>101</v>
      </c>
      <c r="B21" s="1545" t="s">
        <v>361</v>
      </c>
      <c r="C21" s="1550" t="s">
        <v>360</v>
      </c>
      <c r="D21" s="1273" t="s">
        <v>3</v>
      </c>
      <c r="E21" s="1267">
        <v>0</v>
      </c>
      <c r="F21" s="1301">
        <f t="shared" si="0"/>
        <v>318131</v>
      </c>
      <c r="G21" s="1287">
        <v>0</v>
      </c>
      <c r="H21" s="1286">
        <v>0</v>
      </c>
      <c r="I21" s="1286">
        <v>135440</v>
      </c>
      <c r="J21" s="1286">
        <v>0</v>
      </c>
      <c r="K21" s="1286">
        <v>0</v>
      </c>
      <c r="L21" s="1288">
        <v>0</v>
      </c>
      <c r="M21" s="1287">
        <v>42691</v>
      </c>
      <c r="N21" s="1286">
        <v>140000</v>
      </c>
      <c r="O21" s="1286">
        <v>0</v>
      </c>
      <c r="P21" s="1288">
        <v>0</v>
      </c>
      <c r="Q21" s="1287">
        <v>0</v>
      </c>
      <c r="R21" s="1271">
        <v>0</v>
      </c>
    </row>
    <row r="22" spans="1:18" ht="18.75" customHeight="1">
      <c r="A22" s="1549"/>
      <c r="B22" s="1546"/>
      <c r="C22" s="1551"/>
      <c r="D22" s="1272" t="s">
        <v>912</v>
      </c>
      <c r="E22" s="1267">
        <v>0</v>
      </c>
      <c r="F22" s="1301">
        <f t="shared" si="0"/>
        <v>238059</v>
      </c>
      <c r="G22" s="1287">
        <v>0</v>
      </c>
      <c r="H22" s="1286">
        <v>0</v>
      </c>
      <c r="I22" s="1286">
        <v>135440</v>
      </c>
      <c r="J22" s="1286">
        <v>0</v>
      </c>
      <c r="K22" s="1286">
        <v>0</v>
      </c>
      <c r="L22" s="1288">
        <v>0</v>
      </c>
      <c r="M22" s="1287">
        <v>42619</v>
      </c>
      <c r="N22" s="1286">
        <v>60000</v>
      </c>
      <c r="O22" s="1286">
        <v>0</v>
      </c>
      <c r="P22" s="1288">
        <v>0</v>
      </c>
      <c r="Q22" s="1287">
        <v>0</v>
      </c>
      <c r="R22" s="1271">
        <v>0</v>
      </c>
    </row>
    <row r="23" spans="1:18" ht="18.75" customHeight="1">
      <c r="A23" s="1522" t="s">
        <v>101</v>
      </c>
      <c r="B23" s="1545" t="s">
        <v>362</v>
      </c>
      <c r="C23" s="1550" t="s">
        <v>363</v>
      </c>
      <c r="D23" s="1273" t="s">
        <v>3</v>
      </c>
      <c r="E23" s="1267">
        <v>0</v>
      </c>
      <c r="F23" s="1301">
        <f t="shared" si="0"/>
        <v>75000</v>
      </c>
      <c r="G23" s="1268">
        <v>0</v>
      </c>
      <c r="H23" s="1269">
        <v>0</v>
      </c>
      <c r="I23" s="1269">
        <v>75000</v>
      </c>
      <c r="J23" s="1269">
        <v>0</v>
      </c>
      <c r="K23" s="1269">
        <v>0</v>
      </c>
      <c r="L23" s="1270">
        <v>0</v>
      </c>
      <c r="M23" s="1268">
        <v>0</v>
      </c>
      <c r="N23" s="1269">
        <v>0</v>
      </c>
      <c r="O23" s="1269">
        <v>0</v>
      </c>
      <c r="P23" s="1270">
        <v>0</v>
      </c>
      <c r="Q23" s="1268">
        <v>0</v>
      </c>
      <c r="R23" s="1271">
        <v>0</v>
      </c>
    </row>
    <row r="24" spans="1:18" ht="18.75" customHeight="1">
      <c r="A24" s="1549"/>
      <c r="B24" s="1546"/>
      <c r="C24" s="1551"/>
      <c r="D24" s="1272" t="s">
        <v>912</v>
      </c>
      <c r="E24" s="1267">
        <v>0</v>
      </c>
      <c r="F24" s="1301">
        <f t="shared" si="0"/>
        <v>75000</v>
      </c>
      <c r="G24" s="1268">
        <v>0</v>
      </c>
      <c r="H24" s="1269">
        <v>0</v>
      </c>
      <c r="I24" s="1269">
        <v>75000</v>
      </c>
      <c r="J24" s="1269">
        <v>0</v>
      </c>
      <c r="K24" s="1269">
        <v>0</v>
      </c>
      <c r="L24" s="1270">
        <v>0</v>
      </c>
      <c r="M24" s="1268">
        <v>0</v>
      </c>
      <c r="N24" s="1269">
        <v>0</v>
      </c>
      <c r="O24" s="1269">
        <v>0</v>
      </c>
      <c r="P24" s="1270">
        <v>0</v>
      </c>
      <c r="Q24" s="1268">
        <v>0</v>
      </c>
      <c r="R24" s="1271">
        <v>0</v>
      </c>
    </row>
    <row r="25" spans="1:18" ht="18.75" customHeight="1">
      <c r="A25" s="1522" t="s">
        <v>101</v>
      </c>
      <c r="B25" s="1545" t="s">
        <v>364</v>
      </c>
      <c r="C25" s="1550" t="s">
        <v>365</v>
      </c>
      <c r="D25" s="1297" t="s">
        <v>3</v>
      </c>
      <c r="E25" s="1267">
        <v>0</v>
      </c>
      <c r="F25" s="1301">
        <f t="shared" si="0"/>
        <v>239440</v>
      </c>
      <c r="G25" s="1287">
        <v>0</v>
      </c>
      <c r="H25" s="1286">
        <v>0</v>
      </c>
      <c r="I25" s="1286">
        <v>68050</v>
      </c>
      <c r="J25" s="1286">
        <v>0</v>
      </c>
      <c r="K25" s="1286">
        <v>0</v>
      </c>
      <c r="L25" s="1288">
        <v>0</v>
      </c>
      <c r="M25" s="1287">
        <v>33350</v>
      </c>
      <c r="N25" s="1286">
        <v>138040</v>
      </c>
      <c r="O25" s="1286">
        <v>0</v>
      </c>
      <c r="P25" s="1288">
        <v>0</v>
      </c>
      <c r="Q25" s="1287">
        <v>0</v>
      </c>
      <c r="R25" s="1271">
        <v>0</v>
      </c>
    </row>
    <row r="26" spans="1:18" ht="18.75" customHeight="1">
      <c r="A26" s="1549"/>
      <c r="B26" s="1546"/>
      <c r="C26" s="1551"/>
      <c r="D26" s="1272" t="s">
        <v>912</v>
      </c>
      <c r="E26" s="1267">
        <v>0</v>
      </c>
      <c r="F26" s="1301">
        <f t="shared" si="0"/>
        <v>47700</v>
      </c>
      <c r="G26" s="1287">
        <v>0</v>
      </c>
      <c r="H26" s="1286">
        <v>0</v>
      </c>
      <c r="I26" s="1286">
        <v>21350</v>
      </c>
      <c r="J26" s="1286">
        <v>0</v>
      </c>
      <c r="K26" s="1286">
        <v>0</v>
      </c>
      <c r="L26" s="1288">
        <v>0</v>
      </c>
      <c r="M26" s="1287">
        <v>6350</v>
      </c>
      <c r="N26" s="1286">
        <v>20000</v>
      </c>
      <c r="O26" s="1286">
        <v>0</v>
      </c>
      <c r="P26" s="1288">
        <v>0</v>
      </c>
      <c r="Q26" s="1287">
        <v>0</v>
      </c>
      <c r="R26" s="1271">
        <v>0</v>
      </c>
    </row>
    <row r="27" spans="1:18" ht="18.75" customHeight="1">
      <c r="A27" s="1522" t="s">
        <v>101</v>
      </c>
      <c r="B27" s="1545" t="s">
        <v>366</v>
      </c>
      <c r="C27" s="1550" t="s">
        <v>105</v>
      </c>
      <c r="D27" s="1273" t="s">
        <v>3</v>
      </c>
      <c r="E27" s="1267">
        <v>0</v>
      </c>
      <c r="F27" s="1301">
        <f t="shared" si="0"/>
        <v>39438</v>
      </c>
      <c r="G27" s="1268">
        <v>0</v>
      </c>
      <c r="H27" s="1269">
        <v>0</v>
      </c>
      <c r="I27" s="1269">
        <v>22928</v>
      </c>
      <c r="J27" s="1269">
        <v>0</v>
      </c>
      <c r="K27" s="1269">
        <v>0</v>
      </c>
      <c r="L27" s="1270">
        <v>0</v>
      </c>
      <c r="M27" s="1268">
        <v>16510</v>
      </c>
      <c r="N27" s="1269">
        <v>0</v>
      </c>
      <c r="O27" s="1269">
        <v>0</v>
      </c>
      <c r="P27" s="1270">
        <v>0</v>
      </c>
      <c r="Q27" s="1268">
        <v>0</v>
      </c>
      <c r="R27" s="1271">
        <v>0</v>
      </c>
    </row>
    <row r="28" spans="1:18" ht="18.75" customHeight="1">
      <c r="A28" s="1549"/>
      <c r="B28" s="1546"/>
      <c r="C28" s="1551"/>
      <c r="D28" s="1272" t="s">
        <v>912</v>
      </c>
      <c r="E28" s="1267">
        <v>0</v>
      </c>
      <c r="F28" s="1301">
        <f t="shared" si="0"/>
        <v>23197</v>
      </c>
      <c r="G28" s="1268">
        <v>0</v>
      </c>
      <c r="H28" s="1269">
        <v>0</v>
      </c>
      <c r="I28" s="1269">
        <v>20347</v>
      </c>
      <c r="J28" s="1269">
        <v>0</v>
      </c>
      <c r="K28" s="1269">
        <v>0</v>
      </c>
      <c r="L28" s="1270">
        <v>0</v>
      </c>
      <c r="M28" s="1268">
        <v>2850</v>
      </c>
      <c r="N28" s="1269">
        <v>0</v>
      </c>
      <c r="O28" s="1269">
        <v>0</v>
      </c>
      <c r="P28" s="1270">
        <v>0</v>
      </c>
      <c r="Q28" s="1268">
        <v>0</v>
      </c>
      <c r="R28" s="1271">
        <v>0</v>
      </c>
    </row>
    <row r="29" spans="1:18" ht="18.75" customHeight="1">
      <c r="A29" s="1522" t="s">
        <v>101</v>
      </c>
      <c r="B29" s="1545" t="s">
        <v>367</v>
      </c>
      <c r="C29" s="1550" t="s">
        <v>368</v>
      </c>
      <c r="D29" s="1273" t="s">
        <v>3</v>
      </c>
      <c r="E29" s="1267">
        <v>0</v>
      </c>
      <c r="F29" s="1301">
        <f t="shared" si="0"/>
        <v>35500</v>
      </c>
      <c r="G29" s="1268">
        <v>0</v>
      </c>
      <c r="H29" s="1269">
        <v>0</v>
      </c>
      <c r="I29" s="1269">
        <v>6100</v>
      </c>
      <c r="J29" s="1269">
        <v>0</v>
      </c>
      <c r="K29" s="1269">
        <v>0</v>
      </c>
      <c r="L29" s="1270">
        <v>0</v>
      </c>
      <c r="M29" s="1268">
        <v>29400</v>
      </c>
      <c r="N29" s="1269">
        <v>0</v>
      </c>
      <c r="O29" s="1269">
        <v>0</v>
      </c>
      <c r="P29" s="1270">
        <v>0</v>
      </c>
      <c r="Q29" s="1268">
        <v>0</v>
      </c>
      <c r="R29" s="1271">
        <v>0</v>
      </c>
    </row>
    <row r="30" spans="1:18" ht="18.75" customHeight="1">
      <c r="A30" s="1549"/>
      <c r="B30" s="1546"/>
      <c r="C30" s="1551"/>
      <c r="D30" s="1272" t="s">
        <v>912</v>
      </c>
      <c r="E30" s="1267">
        <v>0</v>
      </c>
      <c r="F30" s="1301">
        <f t="shared" si="0"/>
        <v>156629</v>
      </c>
      <c r="G30" s="1268">
        <v>0</v>
      </c>
      <c r="H30" s="1269">
        <v>7</v>
      </c>
      <c r="I30" s="1269">
        <v>25134</v>
      </c>
      <c r="J30" s="1269">
        <v>0</v>
      </c>
      <c r="K30" s="1269">
        <v>0</v>
      </c>
      <c r="L30" s="1270">
        <v>0</v>
      </c>
      <c r="M30" s="1268">
        <v>76455</v>
      </c>
      <c r="N30" s="1269">
        <v>55033</v>
      </c>
      <c r="O30" s="1269">
        <v>0</v>
      </c>
      <c r="P30" s="1270">
        <v>0</v>
      </c>
      <c r="Q30" s="1268">
        <v>0</v>
      </c>
      <c r="R30" s="1271">
        <v>0</v>
      </c>
    </row>
    <row r="31" spans="1:18" ht="18.75" customHeight="1">
      <c r="A31" s="1522" t="s">
        <v>101</v>
      </c>
      <c r="B31" s="1545" t="s">
        <v>369</v>
      </c>
      <c r="C31" s="1550" t="s">
        <v>106</v>
      </c>
      <c r="D31" s="1273" t="s">
        <v>3</v>
      </c>
      <c r="E31" s="1267">
        <v>0</v>
      </c>
      <c r="F31" s="1301">
        <f t="shared" si="0"/>
        <v>105241</v>
      </c>
      <c r="G31" s="1287">
        <v>0</v>
      </c>
      <c r="H31" s="1286">
        <v>0</v>
      </c>
      <c r="I31" s="1286">
        <v>56252</v>
      </c>
      <c r="J31" s="1286">
        <v>0</v>
      </c>
      <c r="K31" s="1286">
        <v>0</v>
      </c>
      <c r="L31" s="1288">
        <v>0</v>
      </c>
      <c r="M31" s="1287">
        <v>13718</v>
      </c>
      <c r="N31" s="1286">
        <v>35271</v>
      </c>
      <c r="O31" s="1286">
        <v>0</v>
      </c>
      <c r="P31" s="1288">
        <v>0</v>
      </c>
      <c r="Q31" s="1287">
        <v>0</v>
      </c>
      <c r="R31" s="1288">
        <v>0</v>
      </c>
    </row>
    <row r="32" spans="1:18" ht="18.75" customHeight="1">
      <c r="A32" s="1549"/>
      <c r="B32" s="1546"/>
      <c r="C32" s="1551"/>
      <c r="D32" s="1272" t="s">
        <v>912</v>
      </c>
      <c r="E32" s="1267">
        <v>0</v>
      </c>
      <c r="F32" s="1301">
        <f t="shared" si="0"/>
        <v>115891</v>
      </c>
      <c r="G32" s="1287">
        <v>0</v>
      </c>
      <c r="H32" s="1286">
        <v>0</v>
      </c>
      <c r="I32" s="1286">
        <v>56252</v>
      </c>
      <c r="J32" s="1286">
        <v>0</v>
      </c>
      <c r="K32" s="1286">
        <v>0</v>
      </c>
      <c r="L32" s="1288">
        <v>0</v>
      </c>
      <c r="M32" s="1287">
        <v>24368</v>
      </c>
      <c r="N32" s="1286">
        <v>35271</v>
      </c>
      <c r="O32" s="1286">
        <v>0</v>
      </c>
      <c r="P32" s="1288">
        <v>0</v>
      </c>
      <c r="Q32" s="1287">
        <v>0</v>
      </c>
      <c r="R32" s="1288">
        <v>0</v>
      </c>
    </row>
    <row r="33" spans="1:18" ht="18.75" customHeight="1">
      <c r="A33" s="1522" t="s">
        <v>101</v>
      </c>
      <c r="B33" s="1545" t="s">
        <v>370</v>
      </c>
      <c r="C33" s="1550" t="s">
        <v>371</v>
      </c>
      <c r="D33" s="1273" t="s">
        <v>3</v>
      </c>
      <c r="E33" s="1267">
        <v>0</v>
      </c>
      <c r="F33" s="1301">
        <f t="shared" si="0"/>
        <v>34300</v>
      </c>
      <c r="G33" s="1268">
        <v>0</v>
      </c>
      <c r="H33" s="1269">
        <v>0</v>
      </c>
      <c r="I33" s="1269">
        <v>7300</v>
      </c>
      <c r="J33" s="1269">
        <v>0</v>
      </c>
      <c r="K33" s="1269">
        <v>0</v>
      </c>
      <c r="L33" s="1270">
        <v>0</v>
      </c>
      <c r="M33" s="1268">
        <v>3000</v>
      </c>
      <c r="N33" s="1269">
        <v>24000</v>
      </c>
      <c r="O33" s="1269">
        <v>0</v>
      </c>
      <c r="P33" s="1270">
        <v>0</v>
      </c>
      <c r="Q33" s="1268">
        <v>0</v>
      </c>
      <c r="R33" s="1271">
        <v>0</v>
      </c>
    </row>
    <row r="34" spans="1:18" ht="18.75" customHeight="1">
      <c r="A34" s="1549"/>
      <c r="B34" s="1546"/>
      <c r="C34" s="1551"/>
      <c r="D34" s="1272" t="s">
        <v>912</v>
      </c>
      <c r="E34" s="1267">
        <v>0</v>
      </c>
      <c r="F34" s="1301">
        <f t="shared" si="0"/>
        <v>33300</v>
      </c>
      <c r="G34" s="1268">
        <v>0</v>
      </c>
      <c r="H34" s="1269">
        <v>0</v>
      </c>
      <c r="I34" s="1269">
        <v>7300</v>
      </c>
      <c r="J34" s="1269">
        <v>0</v>
      </c>
      <c r="K34" s="1269">
        <v>0</v>
      </c>
      <c r="L34" s="1270">
        <v>0</v>
      </c>
      <c r="M34" s="1268">
        <v>2000</v>
      </c>
      <c r="N34" s="1269">
        <v>24000</v>
      </c>
      <c r="O34" s="1269">
        <v>0</v>
      </c>
      <c r="P34" s="1270">
        <v>0</v>
      </c>
      <c r="Q34" s="1268">
        <v>0</v>
      </c>
      <c r="R34" s="1271">
        <v>0</v>
      </c>
    </row>
    <row r="35" spans="1:18" ht="18.75" customHeight="1">
      <c r="A35" s="1522" t="s">
        <v>101</v>
      </c>
      <c r="B35" s="1545" t="s">
        <v>372</v>
      </c>
      <c r="C35" s="1550" t="s">
        <v>373</v>
      </c>
      <c r="D35" s="1273" t="s">
        <v>3</v>
      </c>
      <c r="E35" s="1267">
        <v>0</v>
      </c>
      <c r="F35" s="1301">
        <f t="shared" si="0"/>
        <v>115710</v>
      </c>
      <c r="G35" s="1268">
        <v>0</v>
      </c>
      <c r="H35" s="1269">
        <v>0</v>
      </c>
      <c r="I35" s="1269">
        <v>102210</v>
      </c>
      <c r="J35" s="1269">
        <v>0</v>
      </c>
      <c r="K35" s="1286">
        <v>0</v>
      </c>
      <c r="L35" s="1270">
        <v>0</v>
      </c>
      <c r="M35" s="1268">
        <v>0</v>
      </c>
      <c r="N35" s="1269">
        <v>13500</v>
      </c>
      <c r="O35" s="1269">
        <v>0</v>
      </c>
      <c r="P35" s="1270">
        <v>0</v>
      </c>
      <c r="Q35" s="1268">
        <v>0</v>
      </c>
      <c r="R35" s="1271">
        <v>0</v>
      </c>
    </row>
    <row r="36" spans="1:18" ht="18.75" customHeight="1">
      <c r="A36" s="1549"/>
      <c r="B36" s="1546"/>
      <c r="C36" s="1551"/>
      <c r="D36" s="1272" t="s">
        <v>912</v>
      </c>
      <c r="E36" s="1267">
        <v>0</v>
      </c>
      <c r="F36" s="1301">
        <f t="shared" si="0"/>
        <v>112710</v>
      </c>
      <c r="G36" s="1268">
        <v>0</v>
      </c>
      <c r="H36" s="1269">
        <v>0</v>
      </c>
      <c r="I36" s="1269">
        <v>99210</v>
      </c>
      <c r="J36" s="1269">
        <v>0</v>
      </c>
      <c r="K36" s="1286">
        <v>0</v>
      </c>
      <c r="L36" s="1270">
        <v>0</v>
      </c>
      <c r="M36" s="1268">
        <v>0</v>
      </c>
      <c r="N36" s="1269">
        <v>13500</v>
      </c>
      <c r="O36" s="1269">
        <v>0</v>
      </c>
      <c r="P36" s="1270">
        <v>0</v>
      </c>
      <c r="Q36" s="1268">
        <v>0</v>
      </c>
      <c r="R36" s="1271">
        <v>0</v>
      </c>
    </row>
    <row r="37" spans="1:18" ht="18.75" customHeight="1">
      <c r="A37" s="1522" t="s">
        <v>101</v>
      </c>
      <c r="B37" s="1545" t="s">
        <v>377</v>
      </c>
      <c r="C37" s="1550" t="s">
        <v>376</v>
      </c>
      <c r="D37" s="1273" t="s">
        <v>3</v>
      </c>
      <c r="E37" s="1267">
        <v>160</v>
      </c>
      <c r="F37" s="1301">
        <f t="shared" si="0"/>
        <v>34000</v>
      </c>
      <c r="G37" s="1268">
        <v>1181</v>
      </c>
      <c r="H37" s="1269">
        <v>319</v>
      </c>
      <c r="I37" s="1269">
        <v>500</v>
      </c>
      <c r="J37" s="1269">
        <v>0</v>
      </c>
      <c r="K37" s="1286">
        <v>0</v>
      </c>
      <c r="L37" s="1270">
        <v>0</v>
      </c>
      <c r="M37" s="1268">
        <v>25000</v>
      </c>
      <c r="N37" s="1269">
        <v>0</v>
      </c>
      <c r="O37" s="1269">
        <v>7000</v>
      </c>
      <c r="P37" s="1270">
        <v>0</v>
      </c>
      <c r="Q37" s="1268">
        <v>0</v>
      </c>
      <c r="R37" s="1271">
        <v>0</v>
      </c>
    </row>
    <row r="38" spans="1:18" ht="18.75" customHeight="1">
      <c r="A38" s="1549"/>
      <c r="B38" s="1546"/>
      <c r="C38" s="1551"/>
      <c r="D38" s="1272" t="s">
        <v>912</v>
      </c>
      <c r="E38" s="1267">
        <v>160</v>
      </c>
      <c r="F38" s="1301">
        <f t="shared" si="0"/>
        <v>30000</v>
      </c>
      <c r="G38" s="1268">
        <v>1181</v>
      </c>
      <c r="H38" s="1269">
        <v>319</v>
      </c>
      <c r="I38" s="1269">
        <v>500</v>
      </c>
      <c r="J38" s="1269">
        <v>0</v>
      </c>
      <c r="K38" s="1286">
        <v>0</v>
      </c>
      <c r="L38" s="1270">
        <v>0</v>
      </c>
      <c r="M38" s="1268">
        <v>21000</v>
      </c>
      <c r="N38" s="1269">
        <v>0</v>
      </c>
      <c r="O38" s="1269">
        <v>7000</v>
      </c>
      <c r="P38" s="1270">
        <v>0</v>
      </c>
      <c r="Q38" s="1268">
        <v>0</v>
      </c>
      <c r="R38" s="1271">
        <v>0</v>
      </c>
    </row>
    <row r="39" spans="1:18" ht="18.75" customHeight="1">
      <c r="A39" s="1522" t="s">
        <v>101</v>
      </c>
      <c r="B39" s="1545" t="s">
        <v>374</v>
      </c>
      <c r="C39" s="1550" t="s">
        <v>375</v>
      </c>
      <c r="D39" s="1273" t="s">
        <v>3</v>
      </c>
      <c r="E39" s="1267">
        <v>0</v>
      </c>
      <c r="F39" s="1301">
        <f t="shared" si="0"/>
        <v>8020</v>
      </c>
      <c r="G39" s="1268">
        <v>0</v>
      </c>
      <c r="H39" s="1269">
        <v>0</v>
      </c>
      <c r="I39" s="1269">
        <v>8020</v>
      </c>
      <c r="J39" s="1269">
        <v>0</v>
      </c>
      <c r="K39" s="1269">
        <v>0</v>
      </c>
      <c r="L39" s="1270">
        <v>0</v>
      </c>
      <c r="M39" s="1268">
        <v>0</v>
      </c>
      <c r="N39" s="1269">
        <v>0</v>
      </c>
      <c r="O39" s="1269">
        <v>0</v>
      </c>
      <c r="P39" s="1270">
        <v>0</v>
      </c>
      <c r="Q39" s="1268">
        <v>0</v>
      </c>
      <c r="R39" s="1271">
        <v>0</v>
      </c>
    </row>
    <row r="40" spans="1:18" ht="18.75" customHeight="1">
      <c r="A40" s="1549"/>
      <c r="B40" s="1546"/>
      <c r="C40" s="1551"/>
      <c r="D40" s="1272" t="s">
        <v>912</v>
      </c>
      <c r="E40" s="1267">
        <v>0</v>
      </c>
      <c r="F40" s="1301">
        <f t="shared" si="0"/>
        <v>8020</v>
      </c>
      <c r="G40" s="1268">
        <v>0</v>
      </c>
      <c r="H40" s="1269">
        <v>0</v>
      </c>
      <c r="I40" s="1269">
        <v>8020</v>
      </c>
      <c r="J40" s="1269">
        <v>0</v>
      </c>
      <c r="K40" s="1269">
        <v>0</v>
      </c>
      <c r="L40" s="1270">
        <v>0</v>
      </c>
      <c r="M40" s="1268">
        <v>0</v>
      </c>
      <c r="N40" s="1269">
        <v>0</v>
      </c>
      <c r="O40" s="1269">
        <v>0</v>
      </c>
      <c r="P40" s="1270">
        <v>0</v>
      </c>
      <c r="Q40" s="1268">
        <v>0</v>
      </c>
      <c r="R40" s="1271">
        <v>0</v>
      </c>
    </row>
    <row r="41" spans="1:18" ht="18.75" customHeight="1">
      <c r="A41" s="1522" t="s">
        <v>101</v>
      </c>
      <c r="B41" s="1545" t="s">
        <v>378</v>
      </c>
      <c r="C41" s="1550" t="s">
        <v>379</v>
      </c>
      <c r="D41" s="1273" t="s">
        <v>3</v>
      </c>
      <c r="E41" s="1267">
        <v>0</v>
      </c>
      <c r="F41" s="1301">
        <f t="shared" si="0"/>
        <v>37850</v>
      </c>
      <c r="G41" s="1287">
        <v>0</v>
      </c>
      <c r="H41" s="1286">
        <v>0</v>
      </c>
      <c r="I41" s="1286">
        <v>29500</v>
      </c>
      <c r="J41" s="1286">
        <v>0</v>
      </c>
      <c r="K41" s="1286">
        <v>0</v>
      </c>
      <c r="L41" s="1288">
        <v>0</v>
      </c>
      <c r="M41" s="1287">
        <v>0</v>
      </c>
      <c r="N41" s="1286">
        <v>8350</v>
      </c>
      <c r="O41" s="1286">
        <v>0</v>
      </c>
      <c r="P41" s="1288">
        <v>0</v>
      </c>
      <c r="Q41" s="1287">
        <v>0</v>
      </c>
      <c r="R41" s="1271">
        <v>0</v>
      </c>
    </row>
    <row r="42" spans="1:18" ht="18.75" customHeight="1">
      <c r="A42" s="1549"/>
      <c r="B42" s="1546"/>
      <c r="C42" s="1551"/>
      <c r="D42" s="1272" t="s">
        <v>912</v>
      </c>
      <c r="E42" s="1267">
        <v>0</v>
      </c>
      <c r="F42" s="1301">
        <f t="shared" si="0"/>
        <v>49878</v>
      </c>
      <c r="G42" s="1287">
        <v>0</v>
      </c>
      <c r="H42" s="1286">
        <v>28</v>
      </c>
      <c r="I42" s="1286">
        <v>29500</v>
      </c>
      <c r="J42" s="1286">
        <v>0</v>
      </c>
      <c r="K42" s="1286">
        <v>0</v>
      </c>
      <c r="L42" s="1288">
        <v>0</v>
      </c>
      <c r="M42" s="1287">
        <v>12000</v>
      </c>
      <c r="N42" s="1286">
        <v>8350</v>
      </c>
      <c r="O42" s="1286">
        <v>0</v>
      </c>
      <c r="P42" s="1288">
        <v>0</v>
      </c>
      <c r="Q42" s="1287">
        <v>0</v>
      </c>
      <c r="R42" s="1271">
        <v>0</v>
      </c>
    </row>
    <row r="43" spans="1:18" ht="18.75" customHeight="1">
      <c r="A43" s="1522" t="s">
        <v>344</v>
      </c>
      <c r="B43" s="1545" t="s">
        <v>380</v>
      </c>
      <c r="C43" s="1550" t="s">
        <v>381</v>
      </c>
      <c r="D43" s="1273" t="s">
        <v>3</v>
      </c>
      <c r="E43" s="1267">
        <v>0</v>
      </c>
      <c r="F43" s="1301">
        <f t="shared" si="0"/>
        <v>25100</v>
      </c>
      <c r="G43" s="1268">
        <v>0</v>
      </c>
      <c r="H43" s="1269">
        <v>0</v>
      </c>
      <c r="I43" s="1269">
        <v>25100</v>
      </c>
      <c r="J43" s="1269">
        <v>0</v>
      </c>
      <c r="K43" s="1269">
        <v>0</v>
      </c>
      <c r="L43" s="1270">
        <v>0</v>
      </c>
      <c r="M43" s="1268">
        <v>0</v>
      </c>
      <c r="N43" s="1269">
        <v>0</v>
      </c>
      <c r="O43" s="1269">
        <v>0</v>
      </c>
      <c r="P43" s="1270">
        <v>0</v>
      </c>
      <c r="Q43" s="1268">
        <v>0</v>
      </c>
      <c r="R43" s="1271">
        <v>0</v>
      </c>
    </row>
    <row r="44" spans="1:18" ht="18.75" customHeight="1">
      <c r="A44" s="1549"/>
      <c r="B44" s="1546"/>
      <c r="C44" s="1551"/>
      <c r="D44" s="1272" t="s">
        <v>912</v>
      </c>
      <c r="E44" s="1267">
        <v>0</v>
      </c>
      <c r="F44" s="1301">
        <f t="shared" si="0"/>
        <v>35177</v>
      </c>
      <c r="G44" s="1268">
        <v>0</v>
      </c>
      <c r="H44" s="1269">
        <v>0</v>
      </c>
      <c r="I44" s="1269">
        <v>27188</v>
      </c>
      <c r="J44" s="1269">
        <v>0</v>
      </c>
      <c r="K44" s="1269">
        <v>0</v>
      </c>
      <c r="L44" s="1270">
        <v>0</v>
      </c>
      <c r="M44" s="1268">
        <v>7989</v>
      </c>
      <c r="N44" s="1269">
        <v>0</v>
      </c>
      <c r="O44" s="1269">
        <v>0</v>
      </c>
      <c r="P44" s="1270">
        <v>0</v>
      </c>
      <c r="Q44" s="1268">
        <v>0</v>
      </c>
      <c r="R44" s="1271">
        <v>0</v>
      </c>
    </row>
    <row r="45" spans="1:18" ht="18.75" customHeight="1">
      <c r="A45" s="1522" t="s">
        <v>101</v>
      </c>
      <c r="B45" s="1545" t="s">
        <v>397</v>
      </c>
      <c r="C45" s="1550" t="s">
        <v>398</v>
      </c>
      <c r="D45" s="1273" t="s">
        <v>3</v>
      </c>
      <c r="E45" s="1267">
        <v>0</v>
      </c>
      <c r="F45" s="1301">
        <f t="shared" si="0"/>
        <v>72730</v>
      </c>
      <c r="G45" s="1287">
        <v>600</v>
      </c>
      <c r="H45" s="1286">
        <v>230</v>
      </c>
      <c r="I45" s="1286">
        <v>7200</v>
      </c>
      <c r="J45" s="1286">
        <v>64700</v>
      </c>
      <c r="K45" s="1286">
        <v>0</v>
      </c>
      <c r="L45" s="1288">
        <v>0</v>
      </c>
      <c r="M45" s="1287">
        <v>0</v>
      </c>
      <c r="N45" s="1286">
        <v>0</v>
      </c>
      <c r="O45" s="1286">
        <v>0</v>
      </c>
      <c r="P45" s="1288">
        <v>0</v>
      </c>
      <c r="Q45" s="1287">
        <v>0</v>
      </c>
      <c r="R45" s="1271">
        <v>0</v>
      </c>
    </row>
    <row r="46" spans="1:18" ht="18.75" customHeight="1">
      <c r="A46" s="1549"/>
      <c r="B46" s="1546"/>
      <c r="C46" s="1551"/>
      <c r="D46" s="1272" t="s">
        <v>912</v>
      </c>
      <c r="E46" s="1267">
        <v>0</v>
      </c>
      <c r="F46" s="1301">
        <f t="shared" si="0"/>
        <v>68730</v>
      </c>
      <c r="G46" s="1287">
        <v>600</v>
      </c>
      <c r="H46" s="1286">
        <v>230</v>
      </c>
      <c r="I46" s="1286">
        <v>3200</v>
      </c>
      <c r="J46" s="1286">
        <v>63200</v>
      </c>
      <c r="K46" s="1286">
        <v>1500</v>
      </c>
      <c r="L46" s="1288">
        <v>0</v>
      </c>
      <c r="M46" s="1287">
        <v>0</v>
      </c>
      <c r="N46" s="1286">
        <v>0</v>
      </c>
      <c r="O46" s="1286">
        <v>0</v>
      </c>
      <c r="P46" s="1288">
        <v>0</v>
      </c>
      <c r="Q46" s="1287">
        <v>0</v>
      </c>
      <c r="R46" s="1271">
        <v>0</v>
      </c>
    </row>
    <row r="47" spans="1:18" ht="18.75" customHeight="1">
      <c r="A47" s="1522" t="s">
        <v>101</v>
      </c>
      <c r="B47" s="1545" t="s">
        <v>400</v>
      </c>
      <c r="C47" s="1550" t="s">
        <v>399</v>
      </c>
      <c r="D47" s="1273" t="s">
        <v>3</v>
      </c>
      <c r="E47" s="1267">
        <v>60000</v>
      </c>
      <c r="F47" s="1301">
        <f t="shared" si="0"/>
        <v>68000</v>
      </c>
      <c r="G47" s="1268">
        <v>0</v>
      </c>
      <c r="H47" s="1269">
        <v>0</v>
      </c>
      <c r="I47" s="1269">
        <v>60500</v>
      </c>
      <c r="J47" s="1269">
        <v>0</v>
      </c>
      <c r="K47" s="1269">
        <v>0</v>
      </c>
      <c r="L47" s="1270">
        <v>0</v>
      </c>
      <c r="M47" s="1268">
        <v>0</v>
      </c>
      <c r="N47" s="1269">
        <v>7500</v>
      </c>
      <c r="O47" s="1269">
        <v>0</v>
      </c>
      <c r="P47" s="1270">
        <v>0</v>
      </c>
      <c r="Q47" s="1268">
        <v>0</v>
      </c>
      <c r="R47" s="1271">
        <v>0</v>
      </c>
    </row>
    <row r="48" spans="1:18" ht="18.75" customHeight="1">
      <c r="A48" s="1549"/>
      <c r="B48" s="1546"/>
      <c r="C48" s="1551"/>
      <c r="D48" s="1272" t="s">
        <v>912</v>
      </c>
      <c r="E48" s="1267">
        <v>60000</v>
      </c>
      <c r="F48" s="1301">
        <f t="shared" si="0"/>
        <v>82500</v>
      </c>
      <c r="G48" s="1268">
        <v>0</v>
      </c>
      <c r="H48" s="1269">
        <v>0</v>
      </c>
      <c r="I48" s="1269">
        <v>60500</v>
      </c>
      <c r="J48" s="1269">
        <v>0</v>
      </c>
      <c r="K48" s="1269">
        <v>0</v>
      </c>
      <c r="L48" s="1270">
        <v>0</v>
      </c>
      <c r="M48" s="1268">
        <v>0</v>
      </c>
      <c r="N48" s="1269">
        <v>22000</v>
      </c>
      <c r="O48" s="1269">
        <v>0</v>
      </c>
      <c r="P48" s="1270">
        <v>0</v>
      </c>
      <c r="Q48" s="1268">
        <v>0</v>
      </c>
      <c r="R48" s="1271">
        <v>0</v>
      </c>
    </row>
    <row r="49" spans="1:18" ht="18.75" customHeight="1">
      <c r="A49" s="1522" t="s">
        <v>101</v>
      </c>
      <c r="B49" s="1545" t="s">
        <v>416</v>
      </c>
      <c r="C49" s="1550" t="s">
        <v>417</v>
      </c>
      <c r="D49" s="1297" t="s">
        <v>3</v>
      </c>
      <c r="E49" s="1267">
        <v>34211</v>
      </c>
      <c r="F49" s="1301">
        <f t="shared" si="0"/>
        <v>1059172</v>
      </c>
      <c r="G49" s="1268">
        <v>0</v>
      </c>
      <c r="H49" s="1269">
        <v>0</v>
      </c>
      <c r="I49" s="1269">
        <v>19315</v>
      </c>
      <c r="J49" s="1269">
        <v>0</v>
      </c>
      <c r="K49" s="1286">
        <v>1033257</v>
      </c>
      <c r="L49" s="1270">
        <v>0</v>
      </c>
      <c r="M49" s="1268">
        <v>0</v>
      </c>
      <c r="N49" s="1269">
        <v>0</v>
      </c>
      <c r="O49" s="1269">
        <v>6600</v>
      </c>
      <c r="P49" s="1270">
        <v>0</v>
      </c>
      <c r="Q49" s="1268">
        <v>0</v>
      </c>
      <c r="R49" s="1271">
        <v>0</v>
      </c>
    </row>
    <row r="50" spans="1:18" ht="18.75" customHeight="1">
      <c r="A50" s="1549"/>
      <c r="B50" s="1546"/>
      <c r="C50" s="1551"/>
      <c r="D50" s="1272" t="s">
        <v>912</v>
      </c>
      <c r="E50" s="1267">
        <v>42278</v>
      </c>
      <c r="F50" s="1301">
        <f t="shared" si="0"/>
        <v>1099486</v>
      </c>
      <c r="G50" s="1268">
        <v>0</v>
      </c>
      <c r="H50" s="1269">
        <v>0</v>
      </c>
      <c r="I50" s="1269">
        <v>19315</v>
      </c>
      <c r="J50" s="1269">
        <v>0</v>
      </c>
      <c r="K50" s="1286">
        <v>1073571</v>
      </c>
      <c r="L50" s="1270">
        <v>0</v>
      </c>
      <c r="M50" s="1268">
        <v>0</v>
      </c>
      <c r="N50" s="1269">
        <v>0</v>
      </c>
      <c r="O50" s="1269">
        <v>6600</v>
      </c>
      <c r="P50" s="1270">
        <v>0</v>
      </c>
      <c r="Q50" s="1268">
        <v>0</v>
      </c>
      <c r="R50" s="1271">
        <v>0</v>
      </c>
    </row>
    <row r="51" spans="1:18" ht="18.75" customHeight="1">
      <c r="A51" s="1522" t="s">
        <v>344</v>
      </c>
      <c r="B51" s="1545" t="s">
        <v>410</v>
      </c>
      <c r="C51" s="1550" t="s">
        <v>411</v>
      </c>
      <c r="D51" s="1273" t="s">
        <v>3</v>
      </c>
      <c r="E51" s="1267">
        <v>92560</v>
      </c>
      <c r="F51" s="1301">
        <f t="shared" si="0"/>
        <v>20000</v>
      </c>
      <c r="G51" s="1268">
        <v>0</v>
      </c>
      <c r="H51" s="1269">
        <v>0</v>
      </c>
      <c r="I51" s="1269">
        <v>0</v>
      </c>
      <c r="J51" s="1269">
        <v>0</v>
      </c>
      <c r="K51" s="1269">
        <v>20000</v>
      </c>
      <c r="L51" s="1270">
        <v>0</v>
      </c>
      <c r="M51" s="1268">
        <v>0</v>
      </c>
      <c r="N51" s="1269">
        <v>0</v>
      </c>
      <c r="O51" s="1269">
        <v>0</v>
      </c>
      <c r="P51" s="1270">
        <v>0</v>
      </c>
      <c r="Q51" s="1268">
        <v>0</v>
      </c>
      <c r="R51" s="1271">
        <v>0</v>
      </c>
    </row>
    <row r="52" spans="1:18" ht="18.75" customHeight="1">
      <c r="A52" s="1549"/>
      <c r="B52" s="1546"/>
      <c r="C52" s="1551"/>
      <c r="D52" s="1272" t="s">
        <v>912</v>
      </c>
      <c r="E52" s="1267">
        <v>92560</v>
      </c>
      <c r="F52" s="1301">
        <f t="shared" si="0"/>
        <v>20000</v>
      </c>
      <c r="G52" s="1268">
        <v>0</v>
      </c>
      <c r="H52" s="1269">
        <v>0</v>
      </c>
      <c r="I52" s="1269">
        <v>0</v>
      </c>
      <c r="J52" s="1269">
        <v>0</v>
      </c>
      <c r="K52" s="1269">
        <v>20000</v>
      </c>
      <c r="L52" s="1270">
        <v>0</v>
      </c>
      <c r="M52" s="1268">
        <v>0</v>
      </c>
      <c r="N52" s="1269">
        <v>0</v>
      </c>
      <c r="O52" s="1269">
        <v>0</v>
      </c>
      <c r="P52" s="1270">
        <v>0</v>
      </c>
      <c r="Q52" s="1268">
        <v>0</v>
      </c>
      <c r="R52" s="1271">
        <v>0</v>
      </c>
    </row>
    <row r="53" spans="1:18" ht="18.75" customHeight="1">
      <c r="A53" s="1522" t="s">
        <v>344</v>
      </c>
      <c r="B53" s="1545" t="s">
        <v>382</v>
      </c>
      <c r="C53" s="1550" t="s">
        <v>383</v>
      </c>
      <c r="D53" s="1273" t="s">
        <v>3</v>
      </c>
      <c r="E53" s="1267">
        <v>0</v>
      </c>
      <c r="F53" s="1301">
        <f t="shared" si="0"/>
        <v>136620</v>
      </c>
      <c r="G53" s="1268">
        <v>0</v>
      </c>
      <c r="H53" s="1269">
        <v>0</v>
      </c>
      <c r="I53" s="1269">
        <v>0</v>
      </c>
      <c r="J53" s="1269">
        <v>0</v>
      </c>
      <c r="K53" s="1286">
        <v>136320</v>
      </c>
      <c r="L53" s="1270">
        <v>0</v>
      </c>
      <c r="M53" s="1268">
        <v>0</v>
      </c>
      <c r="N53" s="1269">
        <v>0</v>
      </c>
      <c r="O53" s="1292">
        <v>300</v>
      </c>
      <c r="P53" s="1270">
        <v>0</v>
      </c>
      <c r="Q53" s="1268">
        <v>0</v>
      </c>
      <c r="R53" s="1271">
        <v>0</v>
      </c>
    </row>
    <row r="54" spans="1:18" ht="18.75" customHeight="1">
      <c r="A54" s="1549"/>
      <c r="B54" s="1546"/>
      <c r="C54" s="1551"/>
      <c r="D54" s="1272" t="s">
        <v>912</v>
      </c>
      <c r="E54" s="1267">
        <v>0</v>
      </c>
      <c r="F54" s="1301">
        <f t="shared" si="0"/>
        <v>116620</v>
      </c>
      <c r="G54" s="1268">
        <v>0</v>
      </c>
      <c r="H54" s="1269">
        <v>0</v>
      </c>
      <c r="I54" s="1269">
        <v>0</v>
      </c>
      <c r="J54" s="1269">
        <v>0</v>
      </c>
      <c r="K54" s="1286">
        <v>113820</v>
      </c>
      <c r="L54" s="1270">
        <v>0</v>
      </c>
      <c r="M54" s="1268">
        <v>0</v>
      </c>
      <c r="N54" s="1269">
        <v>0</v>
      </c>
      <c r="O54" s="1292">
        <v>2800</v>
      </c>
      <c r="P54" s="1270">
        <v>0</v>
      </c>
      <c r="Q54" s="1268">
        <v>0</v>
      </c>
      <c r="R54" s="1271">
        <v>0</v>
      </c>
    </row>
    <row r="55" spans="1:18" ht="18.75" customHeight="1">
      <c r="A55" s="1522" t="s">
        <v>344</v>
      </c>
      <c r="B55" s="1545" t="s">
        <v>384</v>
      </c>
      <c r="C55" s="1550" t="s">
        <v>166</v>
      </c>
      <c r="D55" s="1273" t="s">
        <v>3</v>
      </c>
      <c r="E55" s="1267">
        <v>0</v>
      </c>
      <c r="F55" s="1301">
        <f t="shared" si="0"/>
        <v>4000</v>
      </c>
      <c r="G55" s="1268">
        <v>0</v>
      </c>
      <c r="H55" s="1269">
        <v>0</v>
      </c>
      <c r="I55" s="1269">
        <v>0</v>
      </c>
      <c r="J55" s="1269">
        <v>0</v>
      </c>
      <c r="K55" s="1286">
        <v>4000</v>
      </c>
      <c r="L55" s="1270">
        <v>0</v>
      </c>
      <c r="M55" s="1268">
        <v>0</v>
      </c>
      <c r="N55" s="1269">
        <v>0</v>
      </c>
      <c r="O55" s="1292">
        <v>0</v>
      </c>
      <c r="P55" s="1270">
        <v>0</v>
      </c>
      <c r="Q55" s="1268">
        <v>0</v>
      </c>
      <c r="R55" s="1271">
        <v>0</v>
      </c>
    </row>
    <row r="56" spans="1:18" ht="18.75" customHeight="1">
      <c r="A56" s="1549"/>
      <c r="B56" s="1546"/>
      <c r="C56" s="1551"/>
      <c r="D56" s="1272" t="s">
        <v>912</v>
      </c>
      <c r="E56" s="1267">
        <v>0</v>
      </c>
      <c r="F56" s="1301">
        <f t="shared" si="0"/>
        <v>4000</v>
      </c>
      <c r="G56" s="1268">
        <v>0</v>
      </c>
      <c r="H56" s="1269">
        <v>0</v>
      </c>
      <c r="I56" s="1269">
        <v>0</v>
      </c>
      <c r="J56" s="1269">
        <v>0</v>
      </c>
      <c r="K56" s="1286">
        <v>4000</v>
      </c>
      <c r="L56" s="1270">
        <v>0</v>
      </c>
      <c r="M56" s="1268">
        <v>0</v>
      </c>
      <c r="N56" s="1269">
        <v>0</v>
      </c>
      <c r="O56" s="1292">
        <v>0</v>
      </c>
      <c r="P56" s="1270">
        <v>0</v>
      </c>
      <c r="Q56" s="1268">
        <v>0</v>
      </c>
      <c r="R56" s="1271">
        <v>0</v>
      </c>
    </row>
    <row r="57" spans="1:18" ht="18.75" customHeight="1">
      <c r="A57" s="1522" t="s">
        <v>344</v>
      </c>
      <c r="B57" s="1545" t="s">
        <v>407</v>
      </c>
      <c r="C57" s="1550" t="s">
        <v>409</v>
      </c>
      <c r="D57" s="1297" t="s">
        <v>3</v>
      </c>
      <c r="E57" s="1267">
        <v>0</v>
      </c>
      <c r="F57" s="1301">
        <f t="shared" si="0"/>
        <v>5500</v>
      </c>
      <c r="G57" s="1268">
        <v>0</v>
      </c>
      <c r="H57" s="1269">
        <v>0</v>
      </c>
      <c r="I57" s="1269">
        <v>0</v>
      </c>
      <c r="J57" s="1269">
        <v>0</v>
      </c>
      <c r="K57" s="1286">
        <v>5500</v>
      </c>
      <c r="L57" s="1270">
        <v>0</v>
      </c>
      <c r="M57" s="1268">
        <v>0</v>
      </c>
      <c r="N57" s="1269">
        <v>0</v>
      </c>
      <c r="O57" s="1292">
        <v>0</v>
      </c>
      <c r="P57" s="1270">
        <v>0</v>
      </c>
      <c r="Q57" s="1268">
        <v>0</v>
      </c>
      <c r="R57" s="1271">
        <v>0</v>
      </c>
    </row>
    <row r="58" spans="1:18" ht="18.75" customHeight="1">
      <c r="A58" s="1549"/>
      <c r="B58" s="1546"/>
      <c r="C58" s="1551"/>
      <c r="D58" s="1272" t="s">
        <v>912</v>
      </c>
      <c r="E58" s="1267">
        <v>0</v>
      </c>
      <c r="F58" s="1301">
        <f t="shared" si="0"/>
        <v>0</v>
      </c>
      <c r="G58" s="1268">
        <v>0</v>
      </c>
      <c r="H58" s="1269">
        <v>0</v>
      </c>
      <c r="I58" s="1269">
        <v>0</v>
      </c>
      <c r="J58" s="1269">
        <v>0</v>
      </c>
      <c r="K58" s="1286">
        <v>0</v>
      </c>
      <c r="L58" s="1270">
        <v>0</v>
      </c>
      <c r="M58" s="1268">
        <v>0</v>
      </c>
      <c r="N58" s="1269">
        <v>0</v>
      </c>
      <c r="O58" s="1292">
        <v>0</v>
      </c>
      <c r="P58" s="1270">
        <v>0</v>
      </c>
      <c r="Q58" s="1268">
        <v>0</v>
      </c>
      <c r="R58" s="1271">
        <v>0</v>
      </c>
    </row>
    <row r="59" spans="1:18" ht="18.75" customHeight="1">
      <c r="A59" s="1522" t="s">
        <v>344</v>
      </c>
      <c r="B59" s="1545" t="s">
        <v>408</v>
      </c>
      <c r="C59" s="1550" t="s">
        <v>324</v>
      </c>
      <c r="D59" s="1273" t="s">
        <v>3</v>
      </c>
      <c r="E59" s="1267">
        <v>0</v>
      </c>
      <c r="F59" s="1301">
        <f t="shared" si="0"/>
        <v>3000</v>
      </c>
      <c r="G59" s="1268">
        <v>0</v>
      </c>
      <c r="H59" s="1269">
        <v>0</v>
      </c>
      <c r="I59" s="1269">
        <v>0</v>
      </c>
      <c r="J59" s="1269">
        <v>0</v>
      </c>
      <c r="K59" s="1269">
        <v>3000</v>
      </c>
      <c r="L59" s="1270">
        <v>0</v>
      </c>
      <c r="M59" s="1268">
        <v>0</v>
      </c>
      <c r="N59" s="1269">
        <v>0</v>
      </c>
      <c r="O59" s="1269">
        <v>0</v>
      </c>
      <c r="P59" s="1270">
        <v>0</v>
      </c>
      <c r="Q59" s="1268">
        <v>0</v>
      </c>
      <c r="R59" s="1271">
        <v>0</v>
      </c>
    </row>
    <row r="60" spans="1:18" ht="18.75" customHeight="1">
      <c r="A60" s="1549"/>
      <c r="B60" s="1546"/>
      <c r="C60" s="1551"/>
      <c r="D60" s="1272" t="s">
        <v>912</v>
      </c>
      <c r="E60" s="1267">
        <v>0</v>
      </c>
      <c r="F60" s="1301">
        <f t="shared" si="0"/>
        <v>0</v>
      </c>
      <c r="G60" s="1268">
        <v>0</v>
      </c>
      <c r="H60" s="1269">
        <v>0</v>
      </c>
      <c r="I60" s="1269">
        <v>0</v>
      </c>
      <c r="J60" s="1269">
        <v>0</v>
      </c>
      <c r="K60" s="1269">
        <v>0</v>
      </c>
      <c r="L60" s="1270">
        <v>0</v>
      </c>
      <c r="M60" s="1268">
        <v>0</v>
      </c>
      <c r="N60" s="1269">
        <v>0</v>
      </c>
      <c r="O60" s="1269">
        <v>0</v>
      </c>
      <c r="P60" s="1270">
        <v>0</v>
      </c>
      <c r="Q60" s="1268">
        <v>0</v>
      </c>
      <c r="R60" s="1271">
        <v>0</v>
      </c>
    </row>
    <row r="61" spans="1:18" ht="18.75" customHeight="1">
      <c r="A61" s="1522" t="s">
        <v>344</v>
      </c>
      <c r="B61" s="1545" t="s">
        <v>386</v>
      </c>
      <c r="C61" s="1550" t="s">
        <v>385</v>
      </c>
      <c r="D61" s="1297" t="s">
        <v>3</v>
      </c>
      <c r="E61" s="1267">
        <v>0</v>
      </c>
      <c r="F61" s="1301">
        <f t="shared" si="0"/>
        <v>2836</v>
      </c>
      <c r="G61" s="1268">
        <v>2050</v>
      </c>
      <c r="H61" s="1269">
        <v>786</v>
      </c>
      <c r="I61" s="1269">
        <v>0</v>
      </c>
      <c r="J61" s="1269">
        <v>0</v>
      </c>
      <c r="K61" s="1269">
        <v>0</v>
      </c>
      <c r="L61" s="1270">
        <v>0</v>
      </c>
      <c r="M61" s="1268">
        <v>0</v>
      </c>
      <c r="N61" s="1269">
        <v>0</v>
      </c>
      <c r="O61" s="1269">
        <v>0</v>
      </c>
      <c r="P61" s="1270">
        <v>0</v>
      </c>
      <c r="Q61" s="1268">
        <v>0</v>
      </c>
      <c r="R61" s="1271">
        <v>0</v>
      </c>
    </row>
    <row r="62" spans="1:18" ht="18.75" customHeight="1">
      <c r="A62" s="1549"/>
      <c r="B62" s="1546"/>
      <c r="C62" s="1551"/>
      <c r="D62" s="1272" t="s">
        <v>912</v>
      </c>
      <c r="E62" s="1267">
        <v>0</v>
      </c>
      <c r="F62" s="1301">
        <f t="shared" si="0"/>
        <v>2836</v>
      </c>
      <c r="G62" s="1268">
        <v>2030</v>
      </c>
      <c r="H62" s="1269">
        <v>786</v>
      </c>
      <c r="I62" s="1269">
        <v>20</v>
      </c>
      <c r="J62" s="1269">
        <v>0</v>
      </c>
      <c r="K62" s="1269">
        <v>0</v>
      </c>
      <c r="L62" s="1270">
        <v>0</v>
      </c>
      <c r="M62" s="1268">
        <v>0</v>
      </c>
      <c r="N62" s="1269">
        <v>0</v>
      </c>
      <c r="O62" s="1269">
        <v>0</v>
      </c>
      <c r="P62" s="1270">
        <v>0</v>
      </c>
      <c r="Q62" s="1268">
        <v>0</v>
      </c>
      <c r="R62" s="1271">
        <v>0</v>
      </c>
    </row>
    <row r="63" spans="1:18" ht="18.75" customHeight="1">
      <c r="A63" s="1522" t="s">
        <v>344</v>
      </c>
      <c r="B63" s="1545" t="s">
        <v>387</v>
      </c>
      <c r="C63" s="1550" t="s">
        <v>388</v>
      </c>
      <c r="D63" s="1273" t="s">
        <v>3</v>
      </c>
      <c r="E63" s="1267">
        <v>0</v>
      </c>
      <c r="F63" s="1301">
        <f t="shared" si="0"/>
        <v>11663</v>
      </c>
      <c r="G63" s="1268">
        <v>8430</v>
      </c>
      <c r="H63" s="1269">
        <v>3233</v>
      </c>
      <c r="I63" s="1269">
        <v>0</v>
      </c>
      <c r="J63" s="1269">
        <v>0</v>
      </c>
      <c r="K63" s="1269">
        <v>0</v>
      </c>
      <c r="L63" s="1270">
        <v>0</v>
      </c>
      <c r="M63" s="1268">
        <v>0</v>
      </c>
      <c r="N63" s="1269">
        <v>0</v>
      </c>
      <c r="O63" s="1269">
        <v>0</v>
      </c>
      <c r="P63" s="1270">
        <v>0</v>
      </c>
      <c r="Q63" s="1268">
        <v>0</v>
      </c>
      <c r="R63" s="1271">
        <v>0</v>
      </c>
    </row>
    <row r="64" spans="1:18" ht="18.75" customHeight="1">
      <c r="A64" s="1549"/>
      <c r="B64" s="1546"/>
      <c r="C64" s="1551"/>
      <c r="D64" s="1297" t="s">
        <v>804</v>
      </c>
      <c r="E64" s="1267">
        <v>0</v>
      </c>
      <c r="F64" s="1301">
        <f t="shared" si="0"/>
        <v>9113</v>
      </c>
      <c r="G64" s="1268">
        <v>6080</v>
      </c>
      <c r="H64" s="1269">
        <v>2458</v>
      </c>
      <c r="I64" s="1269">
        <v>575</v>
      </c>
      <c r="J64" s="1269">
        <v>0</v>
      </c>
      <c r="K64" s="1269">
        <v>0</v>
      </c>
      <c r="L64" s="1270">
        <v>0</v>
      </c>
      <c r="M64" s="1268">
        <v>0</v>
      </c>
      <c r="N64" s="1269">
        <v>0</v>
      </c>
      <c r="O64" s="1269">
        <v>0</v>
      </c>
      <c r="P64" s="1270">
        <v>0</v>
      </c>
      <c r="Q64" s="1268">
        <v>0</v>
      </c>
      <c r="R64" s="1271">
        <v>0</v>
      </c>
    </row>
    <row r="65" spans="1:18" ht="18.75" customHeight="1">
      <c r="A65" s="1522" t="s">
        <v>344</v>
      </c>
      <c r="B65" s="1545" t="s">
        <v>389</v>
      </c>
      <c r="C65" s="1550" t="s">
        <v>390</v>
      </c>
      <c r="D65" s="1273" t="s">
        <v>3</v>
      </c>
      <c r="E65" s="1267">
        <v>0</v>
      </c>
      <c r="F65" s="1301">
        <f t="shared" si="0"/>
        <v>4842</v>
      </c>
      <c r="G65" s="1287">
        <v>3500</v>
      </c>
      <c r="H65" s="1286">
        <v>1342</v>
      </c>
      <c r="I65" s="1286">
        <v>0</v>
      </c>
      <c r="J65" s="1286">
        <v>0</v>
      </c>
      <c r="K65" s="1286">
        <v>0</v>
      </c>
      <c r="L65" s="1288">
        <v>0</v>
      </c>
      <c r="M65" s="1287">
        <v>0</v>
      </c>
      <c r="N65" s="1286">
        <v>0</v>
      </c>
      <c r="O65" s="1286">
        <v>0</v>
      </c>
      <c r="P65" s="1288">
        <v>0</v>
      </c>
      <c r="Q65" s="1287">
        <v>0</v>
      </c>
      <c r="R65" s="1271">
        <v>0</v>
      </c>
    </row>
    <row r="66" spans="1:18" ht="18.75" customHeight="1">
      <c r="A66" s="1549"/>
      <c r="B66" s="1546"/>
      <c r="C66" s="1551"/>
      <c r="D66" s="1272" t="s">
        <v>912</v>
      </c>
      <c r="E66" s="1267">
        <v>0</v>
      </c>
      <c r="F66" s="1301">
        <f t="shared" si="0"/>
        <v>4842</v>
      </c>
      <c r="G66" s="1287">
        <v>3500</v>
      </c>
      <c r="H66" s="1286">
        <v>1342</v>
      </c>
      <c r="I66" s="1286">
        <v>0</v>
      </c>
      <c r="J66" s="1286">
        <v>0</v>
      </c>
      <c r="K66" s="1286">
        <v>0</v>
      </c>
      <c r="L66" s="1288">
        <v>0</v>
      </c>
      <c r="M66" s="1287">
        <v>0</v>
      </c>
      <c r="N66" s="1286">
        <v>0</v>
      </c>
      <c r="O66" s="1286">
        <v>0</v>
      </c>
      <c r="P66" s="1288">
        <v>0</v>
      </c>
      <c r="Q66" s="1287">
        <v>0</v>
      </c>
      <c r="R66" s="1271">
        <v>0</v>
      </c>
    </row>
    <row r="67" spans="1:18" ht="18.75" customHeight="1">
      <c r="A67" s="1522" t="s">
        <v>344</v>
      </c>
      <c r="B67" s="1545" t="s">
        <v>391</v>
      </c>
      <c r="C67" s="1550" t="s">
        <v>392</v>
      </c>
      <c r="D67" s="1273" t="s">
        <v>3</v>
      </c>
      <c r="E67" s="1267">
        <v>0</v>
      </c>
      <c r="F67" s="1301">
        <f t="shared" si="0"/>
        <v>692</v>
      </c>
      <c r="G67" s="1287">
        <v>500</v>
      </c>
      <c r="H67" s="1286">
        <v>192</v>
      </c>
      <c r="I67" s="1286">
        <v>0</v>
      </c>
      <c r="J67" s="1286">
        <v>0</v>
      </c>
      <c r="K67" s="1286">
        <v>0</v>
      </c>
      <c r="L67" s="1288">
        <v>0</v>
      </c>
      <c r="M67" s="1287">
        <v>0</v>
      </c>
      <c r="N67" s="1286">
        <v>0</v>
      </c>
      <c r="O67" s="1286">
        <v>0</v>
      </c>
      <c r="P67" s="1288">
        <v>0</v>
      </c>
      <c r="Q67" s="1287">
        <v>0</v>
      </c>
      <c r="R67" s="1271">
        <v>0</v>
      </c>
    </row>
    <row r="68" spans="1:18" ht="18.75" customHeight="1">
      <c r="A68" s="1549"/>
      <c r="B68" s="1546"/>
      <c r="C68" s="1551"/>
      <c r="D68" s="1272" t="s">
        <v>912</v>
      </c>
      <c r="E68" s="1267">
        <v>0</v>
      </c>
      <c r="F68" s="1301">
        <f t="shared" si="0"/>
        <v>692</v>
      </c>
      <c r="G68" s="1287">
        <v>500</v>
      </c>
      <c r="H68" s="1286">
        <v>192</v>
      </c>
      <c r="I68" s="1286">
        <v>0</v>
      </c>
      <c r="J68" s="1286">
        <v>0</v>
      </c>
      <c r="K68" s="1286">
        <v>0</v>
      </c>
      <c r="L68" s="1288">
        <v>0</v>
      </c>
      <c r="M68" s="1287">
        <v>0</v>
      </c>
      <c r="N68" s="1286">
        <v>0</v>
      </c>
      <c r="O68" s="1286">
        <v>0</v>
      </c>
      <c r="P68" s="1288">
        <v>0</v>
      </c>
      <c r="Q68" s="1287">
        <v>0</v>
      </c>
      <c r="R68" s="1271">
        <v>0</v>
      </c>
    </row>
    <row r="69" spans="1:18" ht="18.75" customHeight="1">
      <c r="A69" s="1522" t="s">
        <v>344</v>
      </c>
      <c r="B69" s="1545" t="s">
        <v>401</v>
      </c>
      <c r="C69" s="1550" t="s">
        <v>402</v>
      </c>
      <c r="D69" s="1273" t="s">
        <v>3</v>
      </c>
      <c r="E69" s="1267">
        <v>0</v>
      </c>
      <c r="F69" s="1301">
        <f t="shared" si="0"/>
        <v>21978</v>
      </c>
      <c r="G69" s="1287">
        <v>11500</v>
      </c>
      <c r="H69" s="1286">
        <v>4098</v>
      </c>
      <c r="I69" s="1286">
        <v>6380</v>
      </c>
      <c r="J69" s="1286">
        <v>0</v>
      </c>
      <c r="K69" s="1286">
        <v>0</v>
      </c>
      <c r="L69" s="1288">
        <v>0</v>
      </c>
      <c r="M69" s="1287">
        <v>0</v>
      </c>
      <c r="N69" s="1286">
        <v>0</v>
      </c>
      <c r="O69" s="1286">
        <v>0</v>
      </c>
      <c r="P69" s="1288">
        <v>0</v>
      </c>
      <c r="Q69" s="1287">
        <v>0</v>
      </c>
      <c r="R69" s="1271">
        <v>0</v>
      </c>
    </row>
    <row r="70" spans="1:18" ht="18.75" customHeight="1">
      <c r="A70" s="1549"/>
      <c r="B70" s="1546"/>
      <c r="C70" s="1551"/>
      <c r="D70" s="1272" t="s">
        <v>912</v>
      </c>
      <c r="E70" s="1267">
        <v>1250</v>
      </c>
      <c r="F70" s="1301">
        <f t="shared" si="0"/>
        <v>15978</v>
      </c>
      <c r="G70" s="1287">
        <v>7200</v>
      </c>
      <c r="H70" s="1286">
        <v>2398</v>
      </c>
      <c r="I70" s="1286">
        <v>6380</v>
      </c>
      <c r="J70" s="1286">
        <v>0</v>
      </c>
      <c r="K70" s="1286">
        <v>0</v>
      </c>
      <c r="L70" s="1288">
        <v>0</v>
      </c>
      <c r="M70" s="1287">
        <v>0</v>
      </c>
      <c r="N70" s="1286">
        <v>0</v>
      </c>
      <c r="O70" s="1286">
        <v>0</v>
      </c>
      <c r="P70" s="1288">
        <v>0</v>
      </c>
      <c r="Q70" s="1287">
        <v>0</v>
      </c>
      <c r="R70" s="1271">
        <v>0</v>
      </c>
    </row>
    <row r="71" spans="1:18" ht="18.75" customHeight="1">
      <c r="A71" s="1522" t="s">
        <v>344</v>
      </c>
      <c r="B71" s="1545" t="s">
        <v>403</v>
      </c>
      <c r="C71" s="1550" t="s">
        <v>404</v>
      </c>
      <c r="D71" s="1273" t="s">
        <v>3</v>
      </c>
      <c r="E71" s="1267">
        <v>0</v>
      </c>
      <c r="F71" s="1301">
        <f t="shared" si="0"/>
        <v>28707</v>
      </c>
      <c r="G71" s="1268">
        <v>3800</v>
      </c>
      <c r="H71" s="1269">
        <v>767</v>
      </c>
      <c r="I71" s="1269">
        <v>18200</v>
      </c>
      <c r="J71" s="1269">
        <v>0</v>
      </c>
      <c r="K71" s="1269">
        <v>0</v>
      </c>
      <c r="L71" s="1270">
        <v>0</v>
      </c>
      <c r="M71" s="1268">
        <v>5940</v>
      </c>
      <c r="N71" s="1269">
        <v>0</v>
      </c>
      <c r="O71" s="1269">
        <v>0</v>
      </c>
      <c r="P71" s="1270">
        <v>0</v>
      </c>
      <c r="Q71" s="1268">
        <v>0</v>
      </c>
      <c r="R71" s="1271">
        <v>0</v>
      </c>
    </row>
    <row r="72" spans="1:18" ht="18.75" customHeight="1">
      <c r="A72" s="1549"/>
      <c r="B72" s="1546"/>
      <c r="C72" s="1551"/>
      <c r="D72" s="1272" t="s">
        <v>912</v>
      </c>
      <c r="E72" s="1267">
        <v>0</v>
      </c>
      <c r="F72" s="1301">
        <f t="shared" si="0"/>
        <v>28707</v>
      </c>
      <c r="G72" s="1268">
        <v>3800</v>
      </c>
      <c r="H72" s="1269">
        <v>1204</v>
      </c>
      <c r="I72" s="1269">
        <v>17763</v>
      </c>
      <c r="J72" s="1269">
        <v>0</v>
      </c>
      <c r="K72" s="1269">
        <v>0</v>
      </c>
      <c r="L72" s="1270">
        <v>0</v>
      </c>
      <c r="M72" s="1268">
        <v>5940</v>
      </c>
      <c r="N72" s="1269">
        <v>0</v>
      </c>
      <c r="O72" s="1269">
        <v>0</v>
      </c>
      <c r="P72" s="1270">
        <v>0</v>
      </c>
      <c r="Q72" s="1268">
        <v>0</v>
      </c>
      <c r="R72" s="1271">
        <v>0</v>
      </c>
    </row>
    <row r="73" spans="1:18" ht="18.75" customHeight="1">
      <c r="A73" s="1522" t="s">
        <v>344</v>
      </c>
      <c r="B73" s="1545" t="s">
        <v>393</v>
      </c>
      <c r="C73" s="1550" t="s">
        <v>107</v>
      </c>
      <c r="D73" s="1273" t="s">
        <v>3</v>
      </c>
      <c r="E73" s="1267">
        <v>0</v>
      </c>
      <c r="F73" s="1301">
        <f t="shared" si="0"/>
        <v>22921</v>
      </c>
      <c r="G73" s="1268">
        <v>0</v>
      </c>
      <c r="H73" s="1269">
        <v>0</v>
      </c>
      <c r="I73" s="1269">
        <v>1571</v>
      </c>
      <c r="J73" s="1269">
        <v>0</v>
      </c>
      <c r="K73" s="1269">
        <v>0</v>
      </c>
      <c r="L73" s="1270">
        <v>0</v>
      </c>
      <c r="M73" s="1268">
        <v>21350</v>
      </c>
      <c r="N73" s="1269">
        <v>0</v>
      </c>
      <c r="O73" s="1269">
        <v>0</v>
      </c>
      <c r="P73" s="1270">
        <v>0</v>
      </c>
      <c r="Q73" s="1268">
        <v>0</v>
      </c>
      <c r="R73" s="1271">
        <v>0</v>
      </c>
    </row>
    <row r="74" spans="1:18" ht="18.75" customHeight="1">
      <c r="A74" s="1549"/>
      <c r="B74" s="1546"/>
      <c r="C74" s="1551"/>
      <c r="D74" s="1272" t="s">
        <v>912</v>
      </c>
      <c r="E74" s="1267">
        <v>0</v>
      </c>
      <c r="F74" s="1301">
        <f t="shared" si="0"/>
        <v>1571</v>
      </c>
      <c r="G74" s="1268">
        <v>0</v>
      </c>
      <c r="H74" s="1269">
        <v>0</v>
      </c>
      <c r="I74" s="1269">
        <v>1571</v>
      </c>
      <c r="J74" s="1269">
        <v>0</v>
      </c>
      <c r="K74" s="1269">
        <v>0</v>
      </c>
      <c r="L74" s="1270">
        <v>0</v>
      </c>
      <c r="M74" s="1268">
        <v>0</v>
      </c>
      <c r="N74" s="1269">
        <v>0</v>
      </c>
      <c r="O74" s="1269">
        <v>0</v>
      </c>
      <c r="P74" s="1270">
        <v>0</v>
      </c>
      <c r="Q74" s="1268">
        <v>0</v>
      </c>
      <c r="R74" s="1271">
        <v>0</v>
      </c>
    </row>
    <row r="75" spans="1:18" ht="18.75" customHeight="1">
      <c r="A75" s="1522" t="s">
        <v>344</v>
      </c>
      <c r="B75" s="1545" t="s">
        <v>395</v>
      </c>
      <c r="C75" s="1550" t="s">
        <v>394</v>
      </c>
      <c r="D75" s="1273" t="s">
        <v>3</v>
      </c>
      <c r="E75" s="1267">
        <v>0</v>
      </c>
      <c r="F75" s="1301">
        <f t="shared" si="0"/>
        <v>9053</v>
      </c>
      <c r="G75" s="1268">
        <v>0</v>
      </c>
      <c r="H75" s="1269">
        <v>0</v>
      </c>
      <c r="I75" s="1269">
        <v>9053</v>
      </c>
      <c r="J75" s="1269">
        <v>0</v>
      </c>
      <c r="K75" s="1269">
        <v>0</v>
      </c>
      <c r="L75" s="1270">
        <v>0</v>
      </c>
      <c r="M75" s="1268">
        <v>0</v>
      </c>
      <c r="N75" s="1269">
        <v>0</v>
      </c>
      <c r="O75" s="1269">
        <v>0</v>
      </c>
      <c r="P75" s="1270">
        <v>0</v>
      </c>
      <c r="Q75" s="1268">
        <v>0</v>
      </c>
      <c r="R75" s="1271">
        <v>0</v>
      </c>
    </row>
    <row r="76" spans="1:18" ht="18.75" customHeight="1">
      <c r="A76" s="1549"/>
      <c r="B76" s="1546"/>
      <c r="C76" s="1551"/>
      <c r="D76" s="1272" t="s">
        <v>912</v>
      </c>
      <c r="E76" s="1267">
        <v>0</v>
      </c>
      <c r="F76" s="1301">
        <f t="shared" si="0"/>
        <v>9053</v>
      </c>
      <c r="G76" s="1268">
        <v>0</v>
      </c>
      <c r="H76" s="1269">
        <v>0</v>
      </c>
      <c r="I76" s="1269">
        <v>9053</v>
      </c>
      <c r="J76" s="1269">
        <v>0</v>
      </c>
      <c r="K76" s="1269">
        <v>0</v>
      </c>
      <c r="L76" s="1270">
        <v>0</v>
      </c>
      <c r="M76" s="1268">
        <v>0</v>
      </c>
      <c r="N76" s="1269">
        <v>0</v>
      </c>
      <c r="O76" s="1269">
        <v>0</v>
      </c>
      <c r="P76" s="1270">
        <v>0</v>
      </c>
      <c r="Q76" s="1268">
        <v>0</v>
      </c>
      <c r="R76" s="1271">
        <v>0</v>
      </c>
    </row>
    <row r="77" spans="1:18" ht="18.75" customHeight="1">
      <c r="A77" s="1522" t="s">
        <v>344</v>
      </c>
      <c r="B77" s="1545" t="s">
        <v>405</v>
      </c>
      <c r="C77" s="1550" t="s">
        <v>406</v>
      </c>
      <c r="D77" s="1273" t="s">
        <v>3</v>
      </c>
      <c r="E77" s="1267">
        <v>0</v>
      </c>
      <c r="F77" s="1301">
        <f t="shared" si="0"/>
        <v>5230</v>
      </c>
      <c r="G77" s="1268">
        <v>0</v>
      </c>
      <c r="H77" s="1269">
        <v>0</v>
      </c>
      <c r="I77" s="1269">
        <v>5230</v>
      </c>
      <c r="J77" s="1269">
        <v>0</v>
      </c>
      <c r="K77" s="1269">
        <v>0</v>
      </c>
      <c r="L77" s="1270">
        <v>0</v>
      </c>
      <c r="M77" s="1268">
        <v>0</v>
      </c>
      <c r="N77" s="1269">
        <v>0</v>
      </c>
      <c r="O77" s="1269">
        <v>0</v>
      </c>
      <c r="P77" s="1270">
        <v>0</v>
      </c>
      <c r="Q77" s="1268">
        <v>0</v>
      </c>
      <c r="R77" s="1271">
        <v>0</v>
      </c>
    </row>
    <row r="78" spans="1:18" ht="18.75" customHeight="1">
      <c r="A78" s="1549"/>
      <c r="B78" s="1546"/>
      <c r="C78" s="1551"/>
      <c r="D78" s="1272" t="s">
        <v>912</v>
      </c>
      <c r="E78" s="1267">
        <v>2000</v>
      </c>
      <c r="F78" s="1301">
        <f t="shared" si="0"/>
        <v>3230</v>
      </c>
      <c r="G78" s="1268">
        <v>33</v>
      </c>
      <c r="H78" s="1269">
        <v>60</v>
      </c>
      <c r="I78" s="1269">
        <v>1899</v>
      </c>
      <c r="J78" s="1269">
        <v>0</v>
      </c>
      <c r="K78" s="1269">
        <v>0</v>
      </c>
      <c r="L78" s="1270">
        <v>0</v>
      </c>
      <c r="M78" s="1268">
        <v>1238</v>
      </c>
      <c r="N78" s="1269">
        <v>0</v>
      </c>
      <c r="O78" s="1269">
        <v>0</v>
      </c>
      <c r="P78" s="1270">
        <v>0</v>
      </c>
      <c r="Q78" s="1268">
        <v>0</v>
      </c>
      <c r="R78" s="1271">
        <v>0</v>
      </c>
    </row>
    <row r="79" spans="1:18" ht="18.75" customHeight="1">
      <c r="A79" s="1522" t="s">
        <v>344</v>
      </c>
      <c r="B79" s="1545" t="s">
        <v>396</v>
      </c>
      <c r="C79" s="1550" t="s">
        <v>275</v>
      </c>
      <c r="D79" s="1297" t="s">
        <v>3</v>
      </c>
      <c r="E79" s="1267">
        <v>0</v>
      </c>
      <c r="F79" s="1301">
        <f t="shared" si="0"/>
        <v>30000</v>
      </c>
      <c r="G79" s="1268">
        <v>0</v>
      </c>
      <c r="H79" s="1269">
        <v>0</v>
      </c>
      <c r="I79" s="1269">
        <v>0</v>
      </c>
      <c r="J79" s="1269">
        <v>0</v>
      </c>
      <c r="K79" s="1269">
        <v>0</v>
      </c>
      <c r="L79" s="1270">
        <v>30000</v>
      </c>
      <c r="M79" s="1268">
        <v>0</v>
      </c>
      <c r="N79" s="1269">
        <v>0</v>
      </c>
      <c r="O79" s="1269">
        <v>0</v>
      </c>
      <c r="P79" s="1270">
        <v>0</v>
      </c>
      <c r="Q79" s="1268">
        <v>0</v>
      </c>
      <c r="R79" s="1271">
        <v>0</v>
      </c>
    </row>
    <row r="80" spans="1:18" ht="18.75" customHeight="1">
      <c r="A80" s="1549"/>
      <c r="B80" s="1546"/>
      <c r="C80" s="1551"/>
      <c r="D80" s="1272" t="s">
        <v>912</v>
      </c>
      <c r="E80" s="1267">
        <v>0</v>
      </c>
      <c r="F80" s="1301">
        <f t="shared" si="0"/>
        <v>46893</v>
      </c>
      <c r="G80" s="1268">
        <v>1454</v>
      </c>
      <c r="H80" s="1269">
        <v>2366</v>
      </c>
      <c r="I80" s="1269">
        <v>568</v>
      </c>
      <c r="J80" s="1269">
        <v>0</v>
      </c>
      <c r="K80" s="1269">
        <v>5000</v>
      </c>
      <c r="L80" s="1270">
        <v>36643</v>
      </c>
      <c r="M80" s="1268">
        <v>862</v>
      </c>
      <c r="N80" s="1269">
        <v>0</v>
      </c>
      <c r="O80" s="1269">
        <v>0</v>
      </c>
      <c r="P80" s="1270">
        <v>0</v>
      </c>
      <c r="Q80" s="1268">
        <v>0</v>
      </c>
      <c r="R80" s="1271">
        <v>0</v>
      </c>
    </row>
    <row r="81" spans="1:18" ht="18.75" customHeight="1">
      <c r="A81" s="1522" t="s">
        <v>101</v>
      </c>
      <c r="B81" s="1545" t="s">
        <v>943</v>
      </c>
      <c r="C81" s="1557" t="s">
        <v>859</v>
      </c>
      <c r="D81" s="1297" t="s">
        <v>3</v>
      </c>
      <c r="E81" s="1267">
        <v>0</v>
      </c>
      <c r="F81" s="1301">
        <f t="shared" si="0"/>
        <v>0</v>
      </c>
      <c r="G81" s="1268">
        <v>0</v>
      </c>
      <c r="H81" s="1269">
        <v>0</v>
      </c>
      <c r="I81" s="1269">
        <v>0</v>
      </c>
      <c r="J81" s="1269">
        <v>0</v>
      </c>
      <c r="K81" s="1269">
        <v>0</v>
      </c>
      <c r="L81" s="1270">
        <v>0</v>
      </c>
      <c r="M81" s="1268">
        <v>0</v>
      </c>
      <c r="N81" s="1269">
        <v>0</v>
      </c>
      <c r="O81" s="1269">
        <v>0</v>
      </c>
      <c r="P81" s="1270">
        <v>0</v>
      </c>
      <c r="Q81" s="1268">
        <v>0</v>
      </c>
      <c r="R81" s="1271">
        <v>0</v>
      </c>
    </row>
    <row r="82" spans="1:18" ht="18.75" customHeight="1">
      <c r="A82" s="1523"/>
      <c r="B82" s="1546"/>
      <c r="C82" s="1558"/>
      <c r="D82" s="1272" t="s">
        <v>912</v>
      </c>
      <c r="E82" s="1267">
        <v>13780</v>
      </c>
      <c r="F82" s="1301">
        <f t="shared" si="0"/>
        <v>31605</v>
      </c>
      <c r="G82" s="1268">
        <v>346</v>
      </c>
      <c r="H82" s="1269">
        <v>131</v>
      </c>
      <c r="I82" s="1269">
        <v>8369</v>
      </c>
      <c r="J82" s="1269">
        <v>0</v>
      </c>
      <c r="K82" s="1269">
        <v>5250</v>
      </c>
      <c r="L82" s="1270">
        <v>16623</v>
      </c>
      <c r="M82" s="1268">
        <v>625</v>
      </c>
      <c r="N82" s="1269">
        <v>0</v>
      </c>
      <c r="O82" s="1269">
        <v>261</v>
      </c>
      <c r="P82" s="1270">
        <v>0</v>
      </c>
      <c r="Q82" s="1268">
        <v>0</v>
      </c>
      <c r="R82" s="1271">
        <v>0</v>
      </c>
    </row>
    <row r="83" spans="1:18" ht="18.75" customHeight="1">
      <c r="A83" s="1522" t="s">
        <v>344</v>
      </c>
      <c r="B83" s="1524" t="s">
        <v>333</v>
      </c>
      <c r="C83" s="1555" t="s">
        <v>418</v>
      </c>
      <c r="D83" s="1273" t="s">
        <v>3</v>
      </c>
      <c r="E83" s="1267">
        <v>74274</v>
      </c>
      <c r="F83" s="1301">
        <f t="shared" si="0"/>
        <v>125751</v>
      </c>
      <c r="G83" s="1268">
        <v>39862</v>
      </c>
      <c r="H83" s="1269">
        <v>6849</v>
      </c>
      <c r="I83" s="1269">
        <v>78890</v>
      </c>
      <c r="J83" s="1269">
        <v>150</v>
      </c>
      <c r="K83" s="1269">
        <v>0</v>
      </c>
      <c r="L83" s="1270">
        <v>0</v>
      </c>
      <c r="M83" s="1268">
        <v>0</v>
      </c>
      <c r="N83" s="1269">
        <v>0</v>
      </c>
      <c r="O83" s="1269">
        <v>0</v>
      </c>
      <c r="P83" s="1270">
        <v>0</v>
      </c>
      <c r="Q83" s="1268">
        <v>0</v>
      </c>
      <c r="R83" s="1271">
        <v>0</v>
      </c>
    </row>
    <row r="84" spans="1:18" ht="18.75" customHeight="1">
      <c r="A84" s="1549"/>
      <c r="B84" s="1525"/>
      <c r="C84" s="1556"/>
      <c r="D84" s="1272" t="s">
        <v>912</v>
      </c>
      <c r="E84" s="1267">
        <v>240088</v>
      </c>
      <c r="F84" s="1301">
        <f t="shared" si="0"/>
        <v>226498</v>
      </c>
      <c r="G84" s="1268">
        <v>39862</v>
      </c>
      <c r="H84" s="1269">
        <v>6849</v>
      </c>
      <c r="I84" s="1269">
        <v>179637</v>
      </c>
      <c r="J84" s="1269">
        <v>150</v>
      </c>
      <c r="K84" s="1269">
        <v>0</v>
      </c>
      <c r="L84" s="1270">
        <v>0</v>
      </c>
      <c r="M84" s="1268">
        <v>0</v>
      </c>
      <c r="N84" s="1269">
        <v>0</v>
      </c>
      <c r="O84" s="1269">
        <v>0</v>
      </c>
      <c r="P84" s="1270">
        <v>0</v>
      </c>
      <c r="Q84" s="1268">
        <v>0</v>
      </c>
      <c r="R84" s="1271">
        <v>0</v>
      </c>
    </row>
    <row r="85" spans="1:18" ht="18.75" customHeight="1">
      <c r="A85" s="1522" t="s">
        <v>344</v>
      </c>
      <c r="B85" s="1524" t="s">
        <v>334</v>
      </c>
      <c r="C85" s="1555" t="s">
        <v>419</v>
      </c>
      <c r="D85" s="1273" t="s">
        <v>3</v>
      </c>
      <c r="E85" s="1267">
        <v>984</v>
      </c>
      <c r="F85" s="1301">
        <f t="shared" si="0"/>
        <v>994</v>
      </c>
      <c r="G85" s="1268">
        <v>846</v>
      </c>
      <c r="H85" s="1269">
        <v>148</v>
      </c>
      <c r="I85" s="1269">
        <v>0</v>
      </c>
      <c r="J85" s="1269">
        <v>0</v>
      </c>
      <c r="K85" s="1269">
        <v>0</v>
      </c>
      <c r="L85" s="1270">
        <v>0</v>
      </c>
      <c r="M85" s="1268">
        <v>0</v>
      </c>
      <c r="N85" s="1269">
        <v>0</v>
      </c>
      <c r="O85" s="1269">
        <v>0</v>
      </c>
      <c r="P85" s="1270">
        <v>0</v>
      </c>
      <c r="Q85" s="1268">
        <v>0</v>
      </c>
      <c r="R85" s="1271">
        <v>0</v>
      </c>
    </row>
    <row r="86" spans="1:18" ht="18.75" customHeight="1">
      <c r="A86" s="1549"/>
      <c r="B86" s="1525"/>
      <c r="C86" s="1556"/>
      <c r="D86" s="1272" t="s">
        <v>912</v>
      </c>
      <c r="E86" s="1267">
        <v>0</v>
      </c>
      <c r="F86" s="1301">
        <f t="shared" si="0"/>
        <v>3571</v>
      </c>
      <c r="G86" s="1268">
        <v>2500</v>
      </c>
      <c r="H86" s="1269">
        <v>431</v>
      </c>
      <c r="I86" s="1269">
        <v>640</v>
      </c>
      <c r="J86" s="1269">
        <v>0</v>
      </c>
      <c r="K86" s="1269">
        <v>0</v>
      </c>
      <c r="L86" s="1270">
        <v>0</v>
      </c>
      <c r="M86" s="1268">
        <v>0</v>
      </c>
      <c r="N86" s="1269">
        <v>0</v>
      </c>
      <c r="O86" s="1269">
        <v>0</v>
      </c>
      <c r="P86" s="1270">
        <v>0</v>
      </c>
      <c r="Q86" s="1268">
        <v>0</v>
      </c>
      <c r="R86" s="1271">
        <v>0</v>
      </c>
    </row>
    <row r="87" spans="1:18" ht="18.75" customHeight="1">
      <c r="A87" s="1522" t="s">
        <v>344</v>
      </c>
      <c r="B87" s="1524" t="s">
        <v>335</v>
      </c>
      <c r="C87" s="1555" t="s">
        <v>420</v>
      </c>
      <c r="D87" s="1273" t="s">
        <v>3</v>
      </c>
      <c r="E87" s="1267">
        <v>15838</v>
      </c>
      <c r="F87" s="1301">
        <f t="shared" si="0"/>
        <v>16338</v>
      </c>
      <c r="G87" s="1268">
        <v>8936</v>
      </c>
      <c r="H87" s="1269">
        <v>514</v>
      </c>
      <c r="I87" s="1269">
        <v>6888</v>
      </c>
      <c r="J87" s="1269">
        <v>0</v>
      </c>
      <c r="K87" s="1269">
        <v>0</v>
      </c>
      <c r="L87" s="1270">
        <v>0</v>
      </c>
      <c r="M87" s="1268">
        <v>0</v>
      </c>
      <c r="N87" s="1269">
        <v>0</v>
      </c>
      <c r="O87" s="1269">
        <v>0</v>
      </c>
      <c r="P87" s="1270">
        <v>0</v>
      </c>
      <c r="Q87" s="1268">
        <v>0</v>
      </c>
      <c r="R87" s="1271">
        <v>0</v>
      </c>
    </row>
    <row r="88" spans="1:18" ht="18.75" customHeight="1">
      <c r="A88" s="1549"/>
      <c r="B88" s="1525"/>
      <c r="C88" s="1556"/>
      <c r="D88" s="1272" t="s">
        <v>912</v>
      </c>
      <c r="E88" s="1267">
        <v>18922</v>
      </c>
      <c r="F88" s="1301">
        <f t="shared" si="0"/>
        <v>18160</v>
      </c>
      <c r="G88" s="1268">
        <v>11258</v>
      </c>
      <c r="H88" s="1269">
        <v>514</v>
      </c>
      <c r="I88" s="1269">
        <v>6388</v>
      </c>
      <c r="J88" s="1269">
        <v>0</v>
      </c>
      <c r="K88" s="1269">
        <v>0</v>
      </c>
      <c r="L88" s="1270">
        <v>0</v>
      </c>
      <c r="M88" s="1268">
        <v>0</v>
      </c>
      <c r="N88" s="1269">
        <v>0</v>
      </c>
      <c r="O88" s="1269">
        <v>0</v>
      </c>
      <c r="P88" s="1270">
        <v>0</v>
      </c>
      <c r="Q88" s="1268">
        <v>0</v>
      </c>
      <c r="R88" s="1271">
        <v>0</v>
      </c>
    </row>
    <row r="89" spans="1:18" ht="18.75" customHeight="1">
      <c r="A89" s="1522" t="s">
        <v>344</v>
      </c>
      <c r="B89" s="1524" t="s">
        <v>336</v>
      </c>
      <c r="C89" s="1555" t="s">
        <v>421</v>
      </c>
      <c r="D89" s="1273" t="s">
        <v>3</v>
      </c>
      <c r="E89" s="449">
        <v>3601</v>
      </c>
      <c r="F89" s="1301">
        <f t="shared" si="0"/>
        <v>11601</v>
      </c>
      <c r="G89" s="1268">
        <v>4720</v>
      </c>
      <c r="H89" s="1269">
        <v>1000</v>
      </c>
      <c r="I89" s="1269">
        <v>4061</v>
      </c>
      <c r="J89" s="1269">
        <v>0</v>
      </c>
      <c r="K89" s="1269">
        <v>0</v>
      </c>
      <c r="L89" s="1270">
        <v>0</v>
      </c>
      <c r="M89" s="1268">
        <v>1820</v>
      </c>
      <c r="N89" s="1269">
        <v>0</v>
      </c>
      <c r="O89" s="1269">
        <v>0</v>
      </c>
      <c r="P89" s="1270">
        <v>0</v>
      </c>
      <c r="Q89" s="1268">
        <v>0</v>
      </c>
      <c r="R89" s="1271">
        <v>0</v>
      </c>
    </row>
    <row r="90" spans="1:18" ht="18.75" customHeight="1">
      <c r="A90" s="1549"/>
      <c r="B90" s="1525"/>
      <c r="C90" s="1556"/>
      <c r="D90" s="1272" t="s">
        <v>912</v>
      </c>
      <c r="E90" s="1267">
        <v>17476</v>
      </c>
      <c r="F90" s="1301">
        <f t="shared" si="0"/>
        <v>21888</v>
      </c>
      <c r="G90" s="1268">
        <v>9770</v>
      </c>
      <c r="H90" s="1269">
        <v>642</v>
      </c>
      <c r="I90" s="1269">
        <v>9656</v>
      </c>
      <c r="J90" s="1269">
        <v>0</v>
      </c>
      <c r="K90" s="1269">
        <v>0</v>
      </c>
      <c r="L90" s="1270">
        <v>0</v>
      </c>
      <c r="M90" s="1268">
        <v>1820</v>
      </c>
      <c r="N90" s="1269">
        <v>0</v>
      </c>
      <c r="O90" s="1269">
        <v>0</v>
      </c>
      <c r="P90" s="1270">
        <v>0</v>
      </c>
      <c r="Q90" s="1268">
        <v>0</v>
      </c>
      <c r="R90" s="1271">
        <v>0</v>
      </c>
    </row>
    <row r="91" spans="1:18" ht="18.75" customHeight="1">
      <c r="A91" s="1522" t="s">
        <v>344</v>
      </c>
      <c r="B91" s="1524" t="s">
        <v>944</v>
      </c>
      <c r="C91" s="1526" t="s">
        <v>945</v>
      </c>
      <c r="D91" s="1272" t="s">
        <v>3</v>
      </c>
      <c r="E91" s="1267">
        <v>0</v>
      </c>
      <c r="F91" s="1301">
        <f t="shared" si="0"/>
        <v>0</v>
      </c>
      <c r="G91" s="1268">
        <v>0</v>
      </c>
      <c r="H91" s="1269">
        <v>0</v>
      </c>
      <c r="I91" s="1269">
        <v>0</v>
      </c>
      <c r="J91" s="1269">
        <v>0</v>
      </c>
      <c r="K91" s="1269">
        <v>0</v>
      </c>
      <c r="L91" s="1270">
        <v>0</v>
      </c>
      <c r="M91" s="1268">
        <v>0</v>
      </c>
      <c r="N91" s="1269">
        <v>0</v>
      </c>
      <c r="O91" s="1269">
        <v>0</v>
      </c>
      <c r="P91" s="1270">
        <v>0</v>
      </c>
      <c r="Q91" s="1268">
        <v>0</v>
      </c>
      <c r="R91" s="1271">
        <v>0</v>
      </c>
    </row>
    <row r="92" spans="1:18" ht="18.75" customHeight="1">
      <c r="A92" s="1523"/>
      <c r="B92" s="1525"/>
      <c r="C92" s="1527"/>
      <c r="D92" s="1272" t="s">
        <v>912</v>
      </c>
      <c r="E92" s="1267">
        <v>1251</v>
      </c>
      <c r="F92" s="1301">
        <f t="shared" si="0"/>
        <v>17</v>
      </c>
      <c r="G92" s="1268">
        <v>0</v>
      </c>
      <c r="H92" s="1269">
        <v>0</v>
      </c>
      <c r="I92" s="1269">
        <v>17</v>
      </c>
      <c r="J92" s="1269">
        <v>0</v>
      </c>
      <c r="K92" s="1269">
        <v>0</v>
      </c>
      <c r="L92" s="1270">
        <v>0</v>
      </c>
      <c r="M92" s="1268">
        <v>0</v>
      </c>
      <c r="N92" s="1269">
        <v>0</v>
      </c>
      <c r="O92" s="1269">
        <v>0</v>
      </c>
      <c r="P92" s="1270">
        <v>0</v>
      </c>
      <c r="Q92" s="1268">
        <v>0</v>
      </c>
      <c r="R92" s="1271">
        <v>0</v>
      </c>
    </row>
    <row r="93" spans="1:18" ht="18.75" customHeight="1">
      <c r="A93" s="1559" t="s">
        <v>344</v>
      </c>
      <c r="B93" s="1561" t="s">
        <v>946</v>
      </c>
      <c r="C93" s="1563" t="s">
        <v>947</v>
      </c>
      <c r="D93" s="1272" t="s">
        <v>3</v>
      </c>
      <c r="E93" s="1267">
        <v>0</v>
      </c>
      <c r="F93" s="1301">
        <f t="shared" si="0"/>
        <v>0</v>
      </c>
      <c r="G93" s="1268">
        <v>0</v>
      </c>
      <c r="H93" s="1269">
        <v>0</v>
      </c>
      <c r="I93" s="1269">
        <v>0</v>
      </c>
      <c r="J93" s="1269">
        <v>0</v>
      </c>
      <c r="K93" s="1269">
        <v>0</v>
      </c>
      <c r="L93" s="1270">
        <v>0</v>
      </c>
      <c r="M93" s="1268">
        <v>0</v>
      </c>
      <c r="N93" s="1269">
        <v>0</v>
      </c>
      <c r="O93" s="1269">
        <v>0</v>
      </c>
      <c r="P93" s="1270">
        <v>0</v>
      </c>
      <c r="Q93" s="1268">
        <v>0</v>
      </c>
      <c r="R93" s="1271">
        <v>0</v>
      </c>
    </row>
    <row r="94" spans="1:18" ht="18.75" customHeight="1">
      <c r="A94" s="1560"/>
      <c r="B94" s="1562"/>
      <c r="C94" s="1564"/>
      <c r="D94" s="1272" t="s">
        <v>912</v>
      </c>
      <c r="E94" s="1267">
        <v>0</v>
      </c>
      <c r="F94" s="1301">
        <f t="shared" si="0"/>
        <v>436</v>
      </c>
      <c r="G94" s="1268">
        <v>373</v>
      </c>
      <c r="H94" s="1269">
        <v>63</v>
      </c>
      <c r="I94" s="1269">
        <v>0</v>
      </c>
      <c r="J94" s="1269">
        <v>0</v>
      </c>
      <c r="K94" s="1269">
        <v>0</v>
      </c>
      <c r="L94" s="1270">
        <v>0</v>
      </c>
      <c r="M94" s="1268">
        <v>0</v>
      </c>
      <c r="N94" s="1269">
        <v>0</v>
      </c>
      <c r="O94" s="1269">
        <v>0</v>
      </c>
      <c r="P94" s="1270">
        <v>0</v>
      </c>
      <c r="Q94" s="1268">
        <v>0</v>
      </c>
      <c r="R94" s="1271">
        <v>0</v>
      </c>
    </row>
    <row r="95" spans="1:18" ht="18.75" customHeight="1">
      <c r="A95" s="1528" t="s">
        <v>344</v>
      </c>
      <c r="B95" s="1530" t="s">
        <v>948</v>
      </c>
      <c r="C95" s="1532" t="s">
        <v>949</v>
      </c>
      <c r="D95" s="1272" t="s">
        <v>3</v>
      </c>
      <c r="E95" s="1267">
        <v>0</v>
      </c>
      <c r="F95" s="1301">
        <f t="shared" si="0"/>
        <v>0</v>
      </c>
      <c r="G95" s="1268">
        <v>0</v>
      </c>
      <c r="H95" s="1269">
        <v>0</v>
      </c>
      <c r="I95" s="1269">
        <v>0</v>
      </c>
      <c r="J95" s="1269">
        <v>0</v>
      </c>
      <c r="K95" s="1269">
        <v>0</v>
      </c>
      <c r="L95" s="1270">
        <v>0</v>
      </c>
      <c r="M95" s="1268">
        <v>0</v>
      </c>
      <c r="N95" s="1269">
        <v>0</v>
      </c>
      <c r="O95" s="1269">
        <v>0</v>
      </c>
      <c r="P95" s="1270">
        <v>0</v>
      </c>
      <c r="Q95" s="1268">
        <v>0</v>
      </c>
      <c r="R95" s="1271">
        <v>0</v>
      </c>
    </row>
    <row r="96" spans="1:18" ht="18.75" customHeight="1">
      <c r="A96" s="1523"/>
      <c r="B96" s="1525"/>
      <c r="C96" s="1527"/>
      <c r="D96" s="1272" t="s">
        <v>912</v>
      </c>
      <c r="E96" s="1267">
        <v>0</v>
      </c>
      <c r="F96" s="1301">
        <f t="shared" si="0"/>
        <v>506</v>
      </c>
      <c r="G96" s="1268">
        <v>0</v>
      </c>
      <c r="H96" s="1269">
        <v>0</v>
      </c>
      <c r="I96" s="1269">
        <v>506</v>
      </c>
      <c r="J96" s="1269">
        <v>0</v>
      </c>
      <c r="K96" s="1269">
        <v>0</v>
      </c>
      <c r="L96" s="1270">
        <v>0</v>
      </c>
      <c r="M96" s="1268">
        <v>0</v>
      </c>
      <c r="N96" s="1269">
        <v>0</v>
      </c>
      <c r="O96" s="1269">
        <v>0</v>
      </c>
      <c r="P96" s="1270">
        <v>0</v>
      </c>
      <c r="Q96" s="1268">
        <v>0</v>
      </c>
      <c r="R96" s="1271">
        <v>0</v>
      </c>
    </row>
    <row r="97" spans="1:18" ht="18.75" customHeight="1">
      <c r="A97" s="1522" t="s">
        <v>344</v>
      </c>
      <c r="B97" s="1524" t="s">
        <v>338</v>
      </c>
      <c r="C97" s="1555" t="s">
        <v>486</v>
      </c>
      <c r="D97" s="1273" t="s">
        <v>3</v>
      </c>
      <c r="E97" s="1267">
        <v>14320</v>
      </c>
      <c r="F97" s="1301">
        <f t="shared" si="0"/>
        <v>104320</v>
      </c>
      <c r="G97" s="1268">
        <v>0</v>
      </c>
      <c r="H97" s="1269">
        <v>0</v>
      </c>
      <c r="I97" s="1269">
        <v>6050</v>
      </c>
      <c r="J97" s="1269">
        <v>0</v>
      </c>
      <c r="K97" s="1269">
        <v>0</v>
      </c>
      <c r="L97" s="1270">
        <v>0</v>
      </c>
      <c r="M97" s="1268">
        <v>98270</v>
      </c>
      <c r="N97" s="1269">
        <v>0</v>
      </c>
      <c r="O97" s="1269">
        <v>0</v>
      </c>
      <c r="P97" s="1270">
        <v>0</v>
      </c>
      <c r="Q97" s="1268">
        <v>0</v>
      </c>
      <c r="R97" s="1271">
        <v>0</v>
      </c>
    </row>
    <row r="98" spans="1:18" ht="18.75" customHeight="1">
      <c r="A98" s="1549"/>
      <c r="B98" s="1525"/>
      <c r="C98" s="1556"/>
      <c r="D98" s="1272" t="s">
        <v>912</v>
      </c>
      <c r="E98" s="1267">
        <v>96602</v>
      </c>
      <c r="F98" s="1301">
        <f t="shared" si="0"/>
        <v>104706</v>
      </c>
      <c r="G98" s="1268">
        <v>0</v>
      </c>
      <c r="H98" s="1269">
        <v>16</v>
      </c>
      <c r="I98" s="1269">
        <v>13050</v>
      </c>
      <c r="J98" s="1269">
        <v>0</v>
      </c>
      <c r="K98" s="1269">
        <v>0</v>
      </c>
      <c r="L98" s="1270">
        <v>0</v>
      </c>
      <c r="M98" s="1268">
        <v>91640</v>
      </c>
      <c r="N98" s="1269">
        <v>0</v>
      </c>
      <c r="O98" s="1269">
        <v>0</v>
      </c>
      <c r="P98" s="1270">
        <v>0</v>
      </c>
      <c r="Q98" s="1268">
        <v>0</v>
      </c>
      <c r="R98" s="1271">
        <v>0</v>
      </c>
    </row>
    <row r="99" spans="1:18" ht="18.75" customHeight="1">
      <c r="A99" s="1522" t="s">
        <v>344</v>
      </c>
      <c r="B99" s="1524" t="s">
        <v>340</v>
      </c>
      <c r="C99" s="1555" t="s">
        <v>487</v>
      </c>
      <c r="D99" s="1273" t="s">
        <v>3</v>
      </c>
      <c r="E99" s="449">
        <v>0</v>
      </c>
      <c r="F99" s="1301">
        <f t="shared" si="0"/>
        <v>6469</v>
      </c>
      <c r="G99" s="1268">
        <v>0</v>
      </c>
      <c r="H99" s="1269">
        <v>0</v>
      </c>
      <c r="I99" s="1269">
        <v>2308</v>
      </c>
      <c r="J99" s="1269">
        <v>0</v>
      </c>
      <c r="K99" s="1269">
        <v>0</v>
      </c>
      <c r="L99" s="1270">
        <v>0</v>
      </c>
      <c r="M99" s="1268">
        <v>4161</v>
      </c>
      <c r="N99" s="1269">
        <v>0</v>
      </c>
      <c r="O99" s="1269">
        <v>0</v>
      </c>
      <c r="P99" s="1270">
        <v>0</v>
      </c>
      <c r="Q99" s="1268">
        <v>0</v>
      </c>
      <c r="R99" s="1271">
        <v>0</v>
      </c>
    </row>
    <row r="100" spans="1:18" ht="18.75" customHeight="1">
      <c r="A100" s="1549"/>
      <c r="B100" s="1525"/>
      <c r="C100" s="1556"/>
      <c r="D100" s="1272" t="s">
        <v>912</v>
      </c>
      <c r="E100" s="1267">
        <v>10639</v>
      </c>
      <c r="F100" s="1301">
        <f t="shared" si="0"/>
        <v>24765</v>
      </c>
      <c r="G100" s="1268">
        <v>0</v>
      </c>
      <c r="H100" s="1269">
        <v>0</v>
      </c>
      <c r="I100" s="1269">
        <v>5308</v>
      </c>
      <c r="J100" s="1269">
        <v>0</v>
      </c>
      <c r="K100" s="1269">
        <v>0</v>
      </c>
      <c r="L100" s="1270">
        <v>0</v>
      </c>
      <c r="M100" s="1268">
        <v>19457</v>
      </c>
      <c r="N100" s="1269">
        <v>0</v>
      </c>
      <c r="O100" s="1269">
        <v>0</v>
      </c>
      <c r="P100" s="1270">
        <v>0</v>
      </c>
      <c r="Q100" s="1268">
        <v>0</v>
      </c>
      <c r="R100" s="1271">
        <v>0</v>
      </c>
    </row>
    <row r="101" spans="1:18" ht="18.75" customHeight="1">
      <c r="A101" s="1522" t="s">
        <v>344</v>
      </c>
      <c r="B101" s="1524" t="s">
        <v>342</v>
      </c>
      <c r="C101" s="1555" t="s">
        <v>422</v>
      </c>
      <c r="D101" s="1273" t="s">
        <v>3</v>
      </c>
      <c r="E101" s="1267">
        <v>0</v>
      </c>
      <c r="F101" s="1301">
        <f t="shared" si="0"/>
        <v>385776</v>
      </c>
      <c r="G101" s="1268">
        <v>6219</v>
      </c>
      <c r="H101" s="1269">
        <v>1565</v>
      </c>
      <c r="I101" s="1269">
        <v>14104</v>
      </c>
      <c r="J101" s="1269">
        <v>0</v>
      </c>
      <c r="K101" s="1269">
        <v>0</v>
      </c>
      <c r="L101" s="1270">
        <v>0</v>
      </c>
      <c r="M101" s="1268">
        <v>363888</v>
      </c>
      <c r="N101" s="1269">
        <v>0</v>
      </c>
      <c r="O101" s="1269">
        <v>0</v>
      </c>
      <c r="P101" s="1270">
        <v>0</v>
      </c>
      <c r="Q101" s="1268">
        <v>0</v>
      </c>
      <c r="R101" s="1271">
        <v>0</v>
      </c>
    </row>
    <row r="102" spans="1:18" ht="18.75" customHeight="1">
      <c r="A102" s="1549"/>
      <c r="B102" s="1525"/>
      <c r="C102" s="1556"/>
      <c r="D102" s="1272" t="s">
        <v>912</v>
      </c>
      <c r="E102" s="1267">
        <v>3000</v>
      </c>
      <c r="F102" s="1301">
        <f t="shared" si="0"/>
        <v>378841</v>
      </c>
      <c r="G102" s="1268">
        <v>6219</v>
      </c>
      <c r="H102" s="1269">
        <v>1565</v>
      </c>
      <c r="I102" s="1269">
        <v>14104</v>
      </c>
      <c r="J102" s="1269">
        <v>0</v>
      </c>
      <c r="K102" s="1269">
        <v>0</v>
      </c>
      <c r="L102" s="1270">
        <v>0</v>
      </c>
      <c r="M102" s="1268">
        <v>356953</v>
      </c>
      <c r="N102" s="1269">
        <v>0</v>
      </c>
      <c r="O102" s="1269">
        <v>0</v>
      </c>
      <c r="P102" s="1270">
        <v>0</v>
      </c>
      <c r="Q102" s="1268">
        <v>0</v>
      </c>
      <c r="R102" s="1271">
        <v>0</v>
      </c>
    </row>
    <row r="103" spans="1:18" ht="18.75" customHeight="1">
      <c r="A103" s="1522" t="s">
        <v>344</v>
      </c>
      <c r="B103" s="1524" t="s">
        <v>345</v>
      </c>
      <c r="C103" s="1555" t="s">
        <v>423</v>
      </c>
      <c r="D103" s="1273" t="s">
        <v>3</v>
      </c>
      <c r="E103" s="1305">
        <v>0</v>
      </c>
      <c r="F103" s="1301">
        <f t="shared" si="0"/>
        <v>199043</v>
      </c>
      <c r="G103" s="1268">
        <v>1169</v>
      </c>
      <c r="H103" s="1269">
        <v>205</v>
      </c>
      <c r="I103" s="1269">
        <v>4070</v>
      </c>
      <c r="J103" s="1269">
        <v>0</v>
      </c>
      <c r="K103" s="1269">
        <v>0</v>
      </c>
      <c r="L103" s="1270">
        <v>0</v>
      </c>
      <c r="M103" s="1268">
        <v>193599</v>
      </c>
      <c r="N103" s="1269">
        <v>0</v>
      </c>
      <c r="O103" s="1269">
        <v>0</v>
      </c>
      <c r="P103" s="1270">
        <v>0</v>
      </c>
      <c r="Q103" s="1268">
        <v>0</v>
      </c>
      <c r="R103" s="1271">
        <v>0</v>
      </c>
    </row>
    <row r="104" spans="1:18" ht="18.75" customHeight="1">
      <c r="A104" s="1549"/>
      <c r="B104" s="1525"/>
      <c r="C104" s="1556"/>
      <c r="D104" s="1272" t="s">
        <v>912</v>
      </c>
      <c r="E104" s="1267">
        <v>0</v>
      </c>
      <c r="F104" s="1301">
        <f t="shared" si="0"/>
        <v>197234</v>
      </c>
      <c r="G104" s="1268">
        <v>1169</v>
      </c>
      <c r="H104" s="1269">
        <v>205</v>
      </c>
      <c r="I104" s="1269">
        <v>4070</v>
      </c>
      <c r="J104" s="1269">
        <v>0</v>
      </c>
      <c r="K104" s="1269">
        <v>0</v>
      </c>
      <c r="L104" s="1270">
        <v>0</v>
      </c>
      <c r="M104" s="1268">
        <v>191790</v>
      </c>
      <c r="N104" s="1269">
        <v>0</v>
      </c>
      <c r="O104" s="1269">
        <v>0</v>
      </c>
      <c r="P104" s="1270">
        <v>0</v>
      </c>
      <c r="Q104" s="1268">
        <v>0</v>
      </c>
      <c r="R104" s="1271">
        <v>0</v>
      </c>
    </row>
    <row r="105" spans="1:18" ht="18.75" customHeight="1">
      <c r="A105" s="1522" t="s">
        <v>344</v>
      </c>
      <c r="B105" s="1524" t="s">
        <v>432</v>
      </c>
      <c r="C105" s="1555" t="s">
        <v>424</v>
      </c>
      <c r="D105" s="1273" t="s">
        <v>3</v>
      </c>
      <c r="E105" s="1267">
        <v>0</v>
      </c>
      <c r="F105" s="1301">
        <f t="shared" si="0"/>
        <v>201410</v>
      </c>
      <c r="G105" s="1268">
        <v>1353</v>
      </c>
      <c r="H105" s="1269">
        <v>213</v>
      </c>
      <c r="I105" s="1269">
        <v>5534</v>
      </c>
      <c r="J105" s="1269">
        <v>0</v>
      </c>
      <c r="K105" s="1269">
        <v>0</v>
      </c>
      <c r="L105" s="1270">
        <v>0</v>
      </c>
      <c r="M105" s="1268">
        <v>194310</v>
      </c>
      <c r="N105" s="1269">
        <v>0</v>
      </c>
      <c r="O105" s="1269">
        <v>0</v>
      </c>
      <c r="P105" s="1270">
        <v>0</v>
      </c>
      <c r="Q105" s="1268">
        <v>0</v>
      </c>
      <c r="R105" s="1271">
        <v>0</v>
      </c>
    </row>
    <row r="106" spans="1:18" ht="18.75" customHeight="1">
      <c r="A106" s="1549"/>
      <c r="B106" s="1525"/>
      <c r="C106" s="1556"/>
      <c r="D106" s="1272" t="s">
        <v>912</v>
      </c>
      <c r="E106" s="1267">
        <v>33542</v>
      </c>
      <c r="F106" s="1301">
        <f t="shared" si="0"/>
        <v>268767</v>
      </c>
      <c r="G106" s="1268">
        <v>1353</v>
      </c>
      <c r="H106" s="1269">
        <v>213</v>
      </c>
      <c r="I106" s="1269">
        <v>5534</v>
      </c>
      <c r="J106" s="1269">
        <v>0</v>
      </c>
      <c r="K106" s="1269">
        <v>0</v>
      </c>
      <c r="L106" s="1270">
        <v>0</v>
      </c>
      <c r="M106" s="1268">
        <v>261667</v>
      </c>
      <c r="N106" s="1269">
        <v>0</v>
      </c>
      <c r="O106" s="1269">
        <v>0</v>
      </c>
      <c r="P106" s="1270">
        <v>0</v>
      </c>
      <c r="Q106" s="1268">
        <v>0</v>
      </c>
      <c r="R106" s="1271">
        <v>0</v>
      </c>
    </row>
    <row r="107" spans="1:18" ht="18.75" customHeight="1">
      <c r="A107" s="1522" t="s">
        <v>344</v>
      </c>
      <c r="B107" s="1524" t="s">
        <v>433</v>
      </c>
      <c r="C107" s="1555" t="s">
        <v>425</v>
      </c>
      <c r="D107" s="1273" t="s">
        <v>3</v>
      </c>
      <c r="E107" s="1267">
        <v>0</v>
      </c>
      <c r="F107" s="1301">
        <f t="shared" si="0"/>
        <v>150304</v>
      </c>
      <c r="G107" s="1268">
        <v>340</v>
      </c>
      <c r="H107" s="1269">
        <v>0</v>
      </c>
      <c r="I107" s="1269">
        <v>5354</v>
      </c>
      <c r="J107" s="1269">
        <v>0</v>
      </c>
      <c r="K107" s="1269">
        <v>0</v>
      </c>
      <c r="L107" s="1270">
        <v>0</v>
      </c>
      <c r="M107" s="1268">
        <v>144610</v>
      </c>
      <c r="N107" s="1269">
        <v>0</v>
      </c>
      <c r="O107" s="1269">
        <v>0</v>
      </c>
      <c r="P107" s="1270">
        <v>0</v>
      </c>
      <c r="Q107" s="1268">
        <v>0</v>
      </c>
      <c r="R107" s="1271">
        <v>0</v>
      </c>
    </row>
    <row r="108" spans="1:18" ht="18.75" customHeight="1">
      <c r="A108" s="1549"/>
      <c r="B108" s="1525"/>
      <c r="C108" s="1556"/>
      <c r="D108" s="1272" t="s">
        <v>912</v>
      </c>
      <c r="E108" s="1267">
        <v>103250</v>
      </c>
      <c r="F108" s="1301">
        <f t="shared" si="0"/>
        <v>354558</v>
      </c>
      <c r="G108" s="1268">
        <v>340</v>
      </c>
      <c r="H108" s="1269">
        <v>0</v>
      </c>
      <c r="I108" s="1269">
        <v>19934</v>
      </c>
      <c r="J108" s="1269">
        <v>0</v>
      </c>
      <c r="K108" s="1269">
        <v>0</v>
      </c>
      <c r="L108" s="1270">
        <v>0</v>
      </c>
      <c r="M108" s="1268">
        <v>334284</v>
      </c>
      <c r="N108" s="1269">
        <v>0</v>
      </c>
      <c r="O108" s="1269">
        <v>0</v>
      </c>
      <c r="P108" s="1270">
        <v>0</v>
      </c>
      <c r="Q108" s="1268">
        <v>0</v>
      </c>
      <c r="R108" s="1271">
        <v>0</v>
      </c>
    </row>
    <row r="109" spans="1:18" ht="18.75" customHeight="1">
      <c r="A109" s="1522" t="s">
        <v>344</v>
      </c>
      <c r="B109" s="1524" t="s">
        <v>434</v>
      </c>
      <c r="C109" s="1555" t="s">
        <v>426</v>
      </c>
      <c r="D109" s="1273" t="s">
        <v>3</v>
      </c>
      <c r="E109" s="1267">
        <v>0</v>
      </c>
      <c r="F109" s="1301">
        <f t="shared" si="0"/>
        <v>413129</v>
      </c>
      <c r="G109" s="1268">
        <v>1925</v>
      </c>
      <c r="H109" s="1269">
        <v>472</v>
      </c>
      <c r="I109" s="1269">
        <v>9698</v>
      </c>
      <c r="J109" s="1269">
        <v>0</v>
      </c>
      <c r="K109" s="1269">
        <v>0</v>
      </c>
      <c r="L109" s="1270">
        <v>0</v>
      </c>
      <c r="M109" s="1268">
        <v>401034</v>
      </c>
      <c r="N109" s="1269">
        <v>0</v>
      </c>
      <c r="O109" s="1269">
        <v>0</v>
      </c>
      <c r="P109" s="1270">
        <v>0</v>
      </c>
      <c r="Q109" s="1268">
        <v>0</v>
      </c>
      <c r="R109" s="1271">
        <v>0</v>
      </c>
    </row>
    <row r="110" spans="1:18" ht="18.75" customHeight="1">
      <c r="A110" s="1549"/>
      <c r="B110" s="1525"/>
      <c r="C110" s="1556"/>
      <c r="D110" s="1272" t="s">
        <v>912</v>
      </c>
      <c r="E110" s="1267">
        <v>0</v>
      </c>
      <c r="F110" s="1301">
        <f t="shared" si="0"/>
        <v>412800</v>
      </c>
      <c r="G110" s="1268">
        <v>1925</v>
      </c>
      <c r="H110" s="1269">
        <v>472</v>
      </c>
      <c r="I110" s="1269">
        <v>9369</v>
      </c>
      <c r="J110" s="1269">
        <v>0</v>
      </c>
      <c r="K110" s="1269">
        <v>0</v>
      </c>
      <c r="L110" s="1270">
        <v>0</v>
      </c>
      <c r="M110" s="1268">
        <v>401034</v>
      </c>
      <c r="N110" s="1269">
        <v>0</v>
      </c>
      <c r="O110" s="1269">
        <v>0</v>
      </c>
      <c r="P110" s="1270">
        <v>0</v>
      </c>
      <c r="Q110" s="1268">
        <v>0</v>
      </c>
      <c r="R110" s="1271">
        <v>0</v>
      </c>
    </row>
    <row r="111" spans="1:18" ht="18.75" customHeight="1">
      <c r="A111" s="1522" t="s">
        <v>344</v>
      </c>
      <c r="B111" s="1524" t="s">
        <v>792</v>
      </c>
      <c r="C111" s="1555" t="s">
        <v>427</v>
      </c>
      <c r="D111" s="1273" t="s">
        <v>3</v>
      </c>
      <c r="E111" s="1267">
        <v>10399</v>
      </c>
      <c r="F111" s="1301">
        <f t="shared" si="0"/>
        <v>147045</v>
      </c>
      <c r="G111" s="1268">
        <v>2738</v>
      </c>
      <c r="H111" s="1269">
        <v>1013</v>
      </c>
      <c r="I111" s="1269">
        <v>6648</v>
      </c>
      <c r="J111" s="1269">
        <v>0</v>
      </c>
      <c r="K111" s="1269">
        <v>0</v>
      </c>
      <c r="L111" s="1270">
        <v>0</v>
      </c>
      <c r="M111" s="1268">
        <v>0</v>
      </c>
      <c r="N111" s="1269">
        <v>136646</v>
      </c>
      <c r="O111" s="1269">
        <v>0</v>
      </c>
      <c r="P111" s="1270">
        <v>0</v>
      </c>
      <c r="Q111" s="1268">
        <v>0</v>
      </c>
      <c r="R111" s="1271">
        <v>0</v>
      </c>
    </row>
    <row r="112" spans="1:18" ht="18.75" customHeight="1">
      <c r="A112" s="1549"/>
      <c r="B112" s="1525"/>
      <c r="C112" s="1556"/>
      <c r="D112" s="1272" t="s">
        <v>912</v>
      </c>
      <c r="E112" s="1267">
        <v>0</v>
      </c>
      <c r="F112" s="1301">
        <f t="shared" si="0"/>
        <v>148501</v>
      </c>
      <c r="G112" s="1268">
        <v>2738</v>
      </c>
      <c r="H112" s="1269">
        <v>1013</v>
      </c>
      <c r="I112" s="1269">
        <v>6648</v>
      </c>
      <c r="J112" s="1269">
        <v>0</v>
      </c>
      <c r="K112" s="1269">
        <v>0</v>
      </c>
      <c r="L112" s="1270">
        <v>0</v>
      </c>
      <c r="M112" s="1268">
        <v>0</v>
      </c>
      <c r="N112" s="1269">
        <v>138102</v>
      </c>
      <c r="O112" s="1269">
        <v>0</v>
      </c>
      <c r="P112" s="1270">
        <v>0</v>
      </c>
      <c r="Q112" s="1268">
        <v>0</v>
      </c>
      <c r="R112" s="1271">
        <v>0</v>
      </c>
    </row>
    <row r="113" spans="1:18" ht="18.75" customHeight="1">
      <c r="A113" s="1522" t="s">
        <v>344</v>
      </c>
      <c r="B113" s="1524" t="s">
        <v>950</v>
      </c>
      <c r="C113" s="1526" t="s">
        <v>830</v>
      </c>
      <c r="D113" s="1272" t="s">
        <v>3</v>
      </c>
      <c r="E113" s="1267">
        <v>0</v>
      </c>
      <c r="F113" s="1301">
        <f t="shared" si="0"/>
        <v>0</v>
      </c>
      <c r="G113" s="1268">
        <v>0</v>
      </c>
      <c r="H113" s="1269">
        <v>0</v>
      </c>
      <c r="I113" s="1269">
        <v>0</v>
      </c>
      <c r="J113" s="1269">
        <v>0</v>
      </c>
      <c r="K113" s="1269">
        <v>0</v>
      </c>
      <c r="L113" s="1270">
        <v>0</v>
      </c>
      <c r="M113" s="1268">
        <v>0</v>
      </c>
      <c r="N113" s="1269">
        <v>0</v>
      </c>
      <c r="O113" s="1269">
        <v>0</v>
      </c>
      <c r="P113" s="1270">
        <v>0</v>
      </c>
      <c r="Q113" s="1268">
        <v>0</v>
      </c>
      <c r="R113" s="1271">
        <v>0</v>
      </c>
    </row>
    <row r="114" spans="1:18" ht="18.75" customHeight="1">
      <c r="A114" s="1523"/>
      <c r="B114" s="1525"/>
      <c r="C114" s="1527"/>
      <c r="D114" s="1272" t="s">
        <v>912</v>
      </c>
      <c r="E114" s="1267">
        <v>104463</v>
      </c>
      <c r="F114" s="1301">
        <f t="shared" si="0"/>
        <v>100799</v>
      </c>
      <c r="G114" s="1268">
        <v>346</v>
      </c>
      <c r="H114" s="1269">
        <v>189</v>
      </c>
      <c r="I114" s="1269">
        <v>0</v>
      </c>
      <c r="J114" s="1269">
        <v>0</v>
      </c>
      <c r="K114" s="1269">
        <v>0</v>
      </c>
      <c r="L114" s="1270">
        <v>0</v>
      </c>
      <c r="M114" s="1268">
        <v>100264</v>
      </c>
      <c r="N114" s="1269">
        <v>0</v>
      </c>
      <c r="O114" s="1269">
        <v>0</v>
      </c>
      <c r="P114" s="1270">
        <v>0</v>
      </c>
      <c r="Q114" s="1268">
        <v>0</v>
      </c>
      <c r="R114" s="1271">
        <v>0</v>
      </c>
    </row>
    <row r="115" spans="1:18" ht="18.75" customHeight="1">
      <c r="A115" s="1522" t="s">
        <v>344</v>
      </c>
      <c r="B115" s="1524" t="s">
        <v>435</v>
      </c>
      <c r="C115" s="1555" t="s">
        <v>428</v>
      </c>
      <c r="D115" s="1273" t="s">
        <v>3</v>
      </c>
      <c r="E115" s="1267">
        <v>11345</v>
      </c>
      <c r="F115" s="1301">
        <f t="shared" si="0"/>
        <v>235862</v>
      </c>
      <c r="G115" s="1268">
        <v>2765</v>
      </c>
      <c r="H115" s="1269">
        <v>485</v>
      </c>
      <c r="I115" s="1269">
        <v>8095</v>
      </c>
      <c r="J115" s="1269">
        <v>0</v>
      </c>
      <c r="K115" s="1269">
        <v>0</v>
      </c>
      <c r="L115" s="1270">
        <v>0</v>
      </c>
      <c r="M115" s="1268">
        <v>224517</v>
      </c>
      <c r="N115" s="1269">
        <v>0</v>
      </c>
      <c r="O115" s="1269">
        <v>0</v>
      </c>
      <c r="P115" s="1270">
        <v>0</v>
      </c>
      <c r="Q115" s="1268">
        <v>0</v>
      </c>
      <c r="R115" s="1271">
        <v>0</v>
      </c>
    </row>
    <row r="116" spans="1:18" ht="18.75" customHeight="1">
      <c r="A116" s="1549"/>
      <c r="B116" s="1525"/>
      <c r="C116" s="1556"/>
      <c r="D116" s="1272" t="s">
        <v>912</v>
      </c>
      <c r="E116" s="1267">
        <v>0</v>
      </c>
      <c r="F116" s="1301">
        <f t="shared" si="0"/>
        <v>299196</v>
      </c>
      <c r="G116" s="1268">
        <v>2765</v>
      </c>
      <c r="H116" s="1269">
        <v>485</v>
      </c>
      <c r="I116" s="1269">
        <v>8095</v>
      </c>
      <c r="J116" s="1269">
        <v>0</v>
      </c>
      <c r="K116" s="1269">
        <v>0</v>
      </c>
      <c r="L116" s="1270">
        <v>0</v>
      </c>
      <c r="M116" s="1268">
        <v>287851</v>
      </c>
      <c r="N116" s="1269">
        <v>0</v>
      </c>
      <c r="O116" s="1269">
        <v>0</v>
      </c>
      <c r="P116" s="1270">
        <v>0</v>
      </c>
      <c r="Q116" s="1268">
        <v>0</v>
      </c>
      <c r="R116" s="1271">
        <v>0</v>
      </c>
    </row>
    <row r="117" spans="1:18" ht="18.75" customHeight="1">
      <c r="A117" s="1522" t="s">
        <v>344</v>
      </c>
      <c r="B117" s="1524" t="s">
        <v>436</v>
      </c>
      <c r="C117" s="1555" t="s">
        <v>429</v>
      </c>
      <c r="D117" s="1273" t="s">
        <v>3</v>
      </c>
      <c r="E117" s="1267">
        <v>0</v>
      </c>
      <c r="F117" s="1301">
        <f t="shared" si="0"/>
        <v>51584</v>
      </c>
      <c r="G117" s="1268">
        <v>840</v>
      </c>
      <c r="H117" s="1269">
        <v>197</v>
      </c>
      <c r="I117" s="1269">
        <v>1182</v>
      </c>
      <c r="J117" s="1269">
        <v>0</v>
      </c>
      <c r="K117" s="1269">
        <v>0</v>
      </c>
      <c r="L117" s="1270">
        <v>0</v>
      </c>
      <c r="M117" s="1268">
        <v>49365</v>
      </c>
      <c r="N117" s="1269">
        <v>0</v>
      </c>
      <c r="O117" s="1269">
        <v>0</v>
      </c>
      <c r="P117" s="1270">
        <v>0</v>
      </c>
      <c r="Q117" s="1268">
        <v>0</v>
      </c>
      <c r="R117" s="1271">
        <v>0</v>
      </c>
    </row>
    <row r="118" spans="1:18" ht="18.75" customHeight="1">
      <c r="A118" s="1549"/>
      <c r="B118" s="1525"/>
      <c r="C118" s="1556"/>
      <c r="D118" s="1272" t="s">
        <v>912</v>
      </c>
      <c r="E118" s="1267">
        <v>0</v>
      </c>
      <c r="F118" s="1301">
        <f t="shared" si="0"/>
        <v>51217</v>
      </c>
      <c r="G118" s="1268">
        <v>840</v>
      </c>
      <c r="H118" s="1269">
        <v>197</v>
      </c>
      <c r="I118" s="1269">
        <v>1183</v>
      </c>
      <c r="J118" s="1269">
        <v>0</v>
      </c>
      <c r="K118" s="1269">
        <v>0</v>
      </c>
      <c r="L118" s="1270">
        <v>0</v>
      </c>
      <c r="M118" s="1268">
        <v>48997</v>
      </c>
      <c r="N118" s="1269">
        <v>0</v>
      </c>
      <c r="O118" s="1269">
        <v>0</v>
      </c>
      <c r="P118" s="1270">
        <v>0</v>
      </c>
      <c r="Q118" s="1268">
        <v>0</v>
      </c>
      <c r="R118" s="1271">
        <v>0</v>
      </c>
    </row>
    <row r="119" spans="1:18" ht="18.75" customHeight="1">
      <c r="A119" s="1522" t="s">
        <v>344</v>
      </c>
      <c r="B119" s="1524" t="s">
        <v>437</v>
      </c>
      <c r="C119" s="1555" t="s">
        <v>430</v>
      </c>
      <c r="D119" s="1273" t="s">
        <v>3</v>
      </c>
      <c r="E119" s="1267">
        <v>0</v>
      </c>
      <c r="F119" s="1301">
        <f t="shared" si="0"/>
        <v>50645</v>
      </c>
      <c r="G119" s="1268">
        <v>307</v>
      </c>
      <c r="H119" s="1269">
        <v>112</v>
      </c>
      <c r="I119" s="1269">
        <v>669</v>
      </c>
      <c r="J119" s="1269">
        <v>0</v>
      </c>
      <c r="K119" s="1269">
        <v>0</v>
      </c>
      <c r="L119" s="1270">
        <v>0</v>
      </c>
      <c r="M119" s="1268">
        <v>49557</v>
      </c>
      <c r="N119" s="1269">
        <v>0</v>
      </c>
      <c r="O119" s="1269">
        <v>0</v>
      </c>
      <c r="P119" s="1270">
        <v>0</v>
      </c>
      <c r="Q119" s="1268">
        <v>0</v>
      </c>
      <c r="R119" s="1271">
        <v>0</v>
      </c>
    </row>
    <row r="120" spans="1:18" ht="18.75" customHeight="1">
      <c r="A120" s="1549"/>
      <c r="B120" s="1525"/>
      <c r="C120" s="1556"/>
      <c r="D120" s="1272" t="s">
        <v>912</v>
      </c>
      <c r="E120" s="451">
        <v>0</v>
      </c>
      <c r="F120" s="1302">
        <f t="shared" si="0"/>
        <v>32474</v>
      </c>
      <c r="G120" s="452">
        <v>370</v>
      </c>
      <c r="H120" s="453">
        <v>112</v>
      </c>
      <c r="I120" s="453">
        <v>669</v>
      </c>
      <c r="J120" s="453">
        <v>0</v>
      </c>
      <c r="K120" s="453">
        <v>0</v>
      </c>
      <c r="L120" s="454">
        <v>0</v>
      </c>
      <c r="M120" s="452">
        <v>31323</v>
      </c>
      <c r="N120" s="453">
        <v>0</v>
      </c>
      <c r="O120" s="453">
        <v>0</v>
      </c>
      <c r="P120" s="454">
        <v>0</v>
      </c>
      <c r="Q120" s="452">
        <v>0</v>
      </c>
      <c r="R120" s="455">
        <v>0</v>
      </c>
    </row>
    <row r="121" spans="1:18" ht="18.75" customHeight="1">
      <c r="A121" s="1522" t="s">
        <v>344</v>
      </c>
      <c r="B121" s="1524" t="s">
        <v>438</v>
      </c>
      <c r="C121" s="1555" t="s">
        <v>431</v>
      </c>
      <c r="D121" s="1273" t="s">
        <v>3</v>
      </c>
      <c r="E121" s="451">
        <v>23371</v>
      </c>
      <c r="F121" s="1302">
        <f t="shared" si="0"/>
        <v>23371</v>
      </c>
      <c r="G121" s="452">
        <v>2040</v>
      </c>
      <c r="H121" s="453">
        <v>357</v>
      </c>
      <c r="I121" s="453">
        <v>20974</v>
      </c>
      <c r="J121" s="453">
        <v>0</v>
      </c>
      <c r="K121" s="453">
        <v>0</v>
      </c>
      <c r="L121" s="454">
        <v>0</v>
      </c>
      <c r="M121" s="452">
        <v>0</v>
      </c>
      <c r="N121" s="453">
        <v>0</v>
      </c>
      <c r="O121" s="453">
        <v>0</v>
      </c>
      <c r="P121" s="454">
        <v>0</v>
      </c>
      <c r="Q121" s="452">
        <v>0</v>
      </c>
      <c r="R121" s="455">
        <v>0</v>
      </c>
    </row>
    <row r="122" spans="1:18" ht="18.75" customHeight="1">
      <c r="A122" s="1549"/>
      <c r="B122" s="1525"/>
      <c r="C122" s="1556"/>
      <c r="D122" s="1272" t="s">
        <v>912</v>
      </c>
      <c r="E122" s="451">
        <v>29545</v>
      </c>
      <c r="F122" s="1302">
        <f t="shared" si="0"/>
        <v>48140</v>
      </c>
      <c r="G122" s="452">
        <v>5115</v>
      </c>
      <c r="H122" s="453">
        <v>877</v>
      </c>
      <c r="I122" s="453">
        <v>42148</v>
      </c>
      <c r="J122" s="453">
        <v>0</v>
      </c>
      <c r="K122" s="453">
        <v>0</v>
      </c>
      <c r="L122" s="454">
        <v>0</v>
      </c>
      <c r="M122" s="452">
        <v>0</v>
      </c>
      <c r="N122" s="453">
        <v>0</v>
      </c>
      <c r="O122" s="453">
        <v>0</v>
      </c>
      <c r="P122" s="454">
        <v>0</v>
      </c>
      <c r="Q122" s="452">
        <v>0</v>
      </c>
      <c r="R122" s="455">
        <v>0</v>
      </c>
    </row>
    <row r="123" spans="1:18" ht="18.75" customHeight="1">
      <c r="A123" s="1522" t="s">
        <v>344</v>
      </c>
      <c r="B123" s="1524" t="s">
        <v>793</v>
      </c>
      <c r="C123" s="1526" t="s">
        <v>794</v>
      </c>
      <c r="D123" s="1273" t="s">
        <v>3</v>
      </c>
      <c r="E123" s="1267">
        <v>105769</v>
      </c>
      <c r="F123" s="1301">
        <f t="shared" si="0"/>
        <v>105769</v>
      </c>
      <c r="G123" s="1268">
        <v>0</v>
      </c>
      <c r="H123" s="1269">
        <v>0</v>
      </c>
      <c r="I123" s="1269">
        <v>2640</v>
      </c>
      <c r="J123" s="1269">
        <v>0</v>
      </c>
      <c r="K123" s="1269">
        <v>0</v>
      </c>
      <c r="L123" s="1270">
        <v>0</v>
      </c>
      <c r="M123" s="1268">
        <v>103129</v>
      </c>
      <c r="N123" s="1269">
        <v>0</v>
      </c>
      <c r="O123" s="1269">
        <v>0</v>
      </c>
      <c r="P123" s="1270">
        <v>0</v>
      </c>
      <c r="Q123" s="1268">
        <v>0</v>
      </c>
      <c r="R123" s="1271">
        <v>0</v>
      </c>
    </row>
    <row r="124" spans="1:18" ht="18.75" customHeight="1">
      <c r="A124" s="1523"/>
      <c r="B124" s="1525"/>
      <c r="C124" s="1527"/>
      <c r="D124" s="1272" t="s">
        <v>912</v>
      </c>
      <c r="E124" s="1267">
        <v>110546</v>
      </c>
      <c r="F124" s="1301">
        <f t="shared" si="0"/>
        <v>110546</v>
      </c>
      <c r="G124" s="1268">
        <v>0</v>
      </c>
      <c r="H124" s="1269">
        <v>0</v>
      </c>
      <c r="I124" s="1269">
        <v>2640</v>
      </c>
      <c r="J124" s="1269">
        <v>0</v>
      </c>
      <c r="K124" s="1269">
        <v>0</v>
      </c>
      <c r="L124" s="1270">
        <v>0</v>
      </c>
      <c r="M124" s="1268">
        <v>107906</v>
      </c>
      <c r="N124" s="1269">
        <v>0</v>
      </c>
      <c r="O124" s="1269">
        <v>0</v>
      </c>
      <c r="P124" s="1270">
        <v>0</v>
      </c>
      <c r="Q124" s="1268">
        <v>0</v>
      </c>
      <c r="R124" s="1271">
        <v>0</v>
      </c>
    </row>
    <row r="125" spans="1:18" ht="18.75" customHeight="1">
      <c r="A125" s="1522" t="s">
        <v>344</v>
      </c>
      <c r="B125" s="1524" t="s">
        <v>951</v>
      </c>
      <c r="C125" s="1526" t="s">
        <v>952</v>
      </c>
      <c r="D125" s="1273" t="s">
        <v>3</v>
      </c>
      <c r="E125" s="1267">
        <v>0</v>
      </c>
      <c r="F125" s="1301">
        <f t="shared" si="0"/>
        <v>0</v>
      </c>
      <c r="G125" s="1268">
        <v>0</v>
      </c>
      <c r="H125" s="1269">
        <v>0</v>
      </c>
      <c r="I125" s="1269">
        <v>0</v>
      </c>
      <c r="J125" s="1269">
        <v>0</v>
      </c>
      <c r="K125" s="1269">
        <v>0</v>
      </c>
      <c r="L125" s="1270">
        <v>0</v>
      </c>
      <c r="M125" s="1268">
        <v>0</v>
      </c>
      <c r="N125" s="1269">
        <v>0</v>
      </c>
      <c r="O125" s="1269">
        <v>0</v>
      </c>
      <c r="P125" s="1270">
        <v>0</v>
      </c>
      <c r="Q125" s="1268">
        <v>0</v>
      </c>
      <c r="R125" s="1271">
        <v>0</v>
      </c>
    </row>
    <row r="126" spans="1:18" ht="18.75" customHeight="1">
      <c r="A126" s="1523"/>
      <c r="B126" s="1525"/>
      <c r="C126" s="1527"/>
      <c r="D126" s="1272" t="s">
        <v>912</v>
      </c>
      <c r="E126" s="1267">
        <v>0</v>
      </c>
      <c r="F126" s="1301">
        <f t="shared" si="0"/>
        <v>20000</v>
      </c>
      <c r="G126" s="1268">
        <v>0</v>
      </c>
      <c r="H126" s="1269">
        <v>0</v>
      </c>
      <c r="I126" s="1269">
        <v>20000</v>
      </c>
      <c r="J126" s="1269">
        <v>0</v>
      </c>
      <c r="K126" s="1269">
        <v>0</v>
      </c>
      <c r="L126" s="1270">
        <v>0</v>
      </c>
      <c r="M126" s="1268">
        <v>0</v>
      </c>
      <c r="N126" s="1269">
        <v>0</v>
      </c>
      <c r="O126" s="1269">
        <v>0</v>
      </c>
      <c r="P126" s="1270">
        <v>0</v>
      </c>
      <c r="Q126" s="1268">
        <v>0</v>
      </c>
      <c r="R126" s="1271">
        <v>0</v>
      </c>
    </row>
    <row r="127" spans="1:18" ht="18.75" customHeight="1">
      <c r="A127" s="1522" t="s">
        <v>344</v>
      </c>
      <c r="B127" s="1524" t="s">
        <v>953</v>
      </c>
      <c r="C127" s="1526" t="s">
        <v>954</v>
      </c>
      <c r="D127" s="1273" t="s">
        <v>3</v>
      </c>
      <c r="E127" s="1267">
        <v>0</v>
      </c>
      <c r="F127" s="1301">
        <f t="shared" si="0"/>
        <v>0</v>
      </c>
      <c r="G127" s="1268">
        <v>0</v>
      </c>
      <c r="H127" s="1269">
        <v>0</v>
      </c>
      <c r="I127" s="1269">
        <v>0</v>
      </c>
      <c r="J127" s="1269">
        <v>0</v>
      </c>
      <c r="K127" s="1269">
        <v>0</v>
      </c>
      <c r="L127" s="1270">
        <v>0</v>
      </c>
      <c r="M127" s="1268">
        <v>0</v>
      </c>
      <c r="N127" s="1269">
        <v>0</v>
      </c>
      <c r="O127" s="1269">
        <v>0</v>
      </c>
      <c r="P127" s="1270">
        <v>0</v>
      </c>
      <c r="Q127" s="1268">
        <v>0</v>
      </c>
      <c r="R127" s="1271">
        <v>0</v>
      </c>
    </row>
    <row r="128" spans="1:18" ht="18.75" customHeight="1">
      <c r="A128" s="1523"/>
      <c r="B128" s="1525"/>
      <c r="C128" s="1527"/>
      <c r="D128" s="1272" t="s">
        <v>912</v>
      </c>
      <c r="E128" s="1267">
        <v>340998</v>
      </c>
      <c r="F128" s="1301">
        <f t="shared" si="0"/>
        <v>340998</v>
      </c>
      <c r="G128" s="1268">
        <v>0</v>
      </c>
      <c r="H128" s="1269">
        <v>0</v>
      </c>
      <c r="I128" s="1269">
        <v>73041</v>
      </c>
      <c r="J128" s="1269">
        <v>0</v>
      </c>
      <c r="K128" s="1269">
        <v>0</v>
      </c>
      <c r="L128" s="1270">
        <v>0</v>
      </c>
      <c r="M128" s="1268">
        <v>267957</v>
      </c>
      <c r="N128" s="1269">
        <v>0</v>
      </c>
      <c r="O128" s="1269">
        <v>0</v>
      </c>
      <c r="P128" s="1270">
        <v>0</v>
      </c>
      <c r="Q128" s="1268">
        <v>0</v>
      </c>
      <c r="R128" s="1271">
        <v>0</v>
      </c>
    </row>
    <row r="129" spans="1:18" ht="18.75" customHeight="1">
      <c r="A129" s="1528" t="s">
        <v>344</v>
      </c>
      <c r="B129" s="1530" t="s">
        <v>955</v>
      </c>
      <c r="C129" s="1532" t="s">
        <v>956</v>
      </c>
      <c r="D129" s="1273" t="s">
        <v>3</v>
      </c>
      <c r="E129" s="1267">
        <v>0</v>
      </c>
      <c r="F129" s="1301">
        <f t="shared" si="0"/>
        <v>0</v>
      </c>
      <c r="G129" s="1268">
        <v>0</v>
      </c>
      <c r="H129" s="1269">
        <v>0</v>
      </c>
      <c r="I129" s="1269">
        <v>0</v>
      </c>
      <c r="J129" s="1269">
        <v>0</v>
      </c>
      <c r="K129" s="1269">
        <v>0</v>
      </c>
      <c r="L129" s="1270">
        <v>0</v>
      </c>
      <c r="M129" s="1268">
        <v>0</v>
      </c>
      <c r="N129" s="1269">
        <v>0</v>
      </c>
      <c r="O129" s="1269">
        <v>0</v>
      </c>
      <c r="P129" s="1270">
        <v>0</v>
      </c>
      <c r="Q129" s="1268">
        <v>0</v>
      </c>
      <c r="R129" s="1271">
        <v>0</v>
      </c>
    </row>
    <row r="130" spans="1:18" ht="18.75" customHeight="1" thickBot="1">
      <c r="A130" s="1529"/>
      <c r="B130" s="1531"/>
      <c r="C130" s="1532"/>
      <c r="D130" s="1274" t="s">
        <v>912</v>
      </c>
      <c r="E130" s="290">
        <v>270410</v>
      </c>
      <c r="F130" s="1302">
        <f t="shared" si="0"/>
        <v>270410</v>
      </c>
      <c r="G130" s="1289">
        <v>0</v>
      </c>
      <c r="H130" s="1290">
        <v>0</v>
      </c>
      <c r="I130" s="1290">
        <v>35495</v>
      </c>
      <c r="J130" s="1290">
        <v>0</v>
      </c>
      <c r="K130" s="1290">
        <v>0</v>
      </c>
      <c r="L130" s="1291">
        <v>0</v>
      </c>
      <c r="M130" s="1289">
        <v>234915</v>
      </c>
      <c r="N130" s="1290">
        <v>0</v>
      </c>
      <c r="O130" s="1290">
        <v>0</v>
      </c>
      <c r="P130" s="1291">
        <v>0</v>
      </c>
      <c r="Q130" s="1289">
        <v>0</v>
      </c>
      <c r="R130" s="1295">
        <v>0</v>
      </c>
    </row>
    <row r="131" spans="1:18" ht="18.75" customHeight="1">
      <c r="A131" s="1565"/>
      <c r="B131" s="1572"/>
      <c r="C131" s="1574" t="s">
        <v>61</v>
      </c>
      <c r="D131" s="465" t="s">
        <v>3</v>
      </c>
      <c r="E131" s="204">
        <f>E5+E7+E9+E11+E13+E15+E17+E19+E21+E23+E25+E27+E29+E31+E33+E35+E37+E39+E41+E43+E45+E47+E49+E51+E53+E55+E57+E59+E61+E63+E65+E67+E69+E71+E73+E75+E77+E79+E81+E83+E85+E87+E89+E91+E93+E95+E97+E99+E101++E103+E105+E107+E109+E111+E115+E117+E119+E121+E123+E125+E127+E129</f>
        <v>10319194</v>
      </c>
      <c r="F131" s="204">
        <f t="shared" ref="F131" si="1">F5+F7+F9+F11+F13+F15+F17+F19+F21+F23+F25+F27+F29+F31+F33+F35+F37+F39+F41+F43+F45+F47+F49+F51+F53+F55+F57+F59+F61+F63+F65+F67+F69+F71+F73+F75+F77+F79+F83+F85+F87+F89+F97+F99+F101++F103+F105+F107+F109+F111+F115+F117+F119+F121+F123</f>
        <v>10319194</v>
      </c>
      <c r="G131" s="209">
        <f t="shared" ref="G131:R131" si="2">G5+G7+G9+G11+G13+G15+G17+G19+G21+G23+G25+G27+G29+G31+G33+G35+G37+G39+G41+G43+G45+G47+G49+G51+G53+G55+G57+G59+G61+G63+G65+G67+G69+G71+G73+G75+G77+G79+G81+G83+G85+G87+G89+G91+G93+G95+G97+G99+G101++G103+G105+G107+G109+G111+G115+G117+G119+G121+G123+G125+G127+G129</f>
        <v>234169</v>
      </c>
      <c r="H131" s="210">
        <f t="shared" si="2"/>
        <v>45897</v>
      </c>
      <c r="I131" s="210">
        <f t="shared" si="2"/>
        <v>1407856</v>
      </c>
      <c r="J131" s="210">
        <f t="shared" si="2"/>
        <v>64850</v>
      </c>
      <c r="K131" s="210">
        <f t="shared" si="2"/>
        <v>1220077</v>
      </c>
      <c r="L131" s="211">
        <f t="shared" si="2"/>
        <v>103644</v>
      </c>
      <c r="M131" s="209">
        <f t="shared" si="2"/>
        <v>2130929</v>
      </c>
      <c r="N131" s="210">
        <f t="shared" si="2"/>
        <v>544052</v>
      </c>
      <c r="O131" s="210">
        <f t="shared" si="2"/>
        <v>13900</v>
      </c>
      <c r="P131" s="211">
        <f t="shared" si="2"/>
        <v>10000</v>
      </c>
      <c r="Q131" s="289">
        <f t="shared" si="2"/>
        <v>2166549</v>
      </c>
      <c r="R131" s="211">
        <f t="shared" si="2"/>
        <v>2377271</v>
      </c>
    </row>
    <row r="132" spans="1:18" ht="18.75" customHeight="1" thickBot="1">
      <c r="A132" s="1522"/>
      <c r="B132" s="1573"/>
      <c r="C132" s="1575"/>
      <c r="D132" s="1306" t="s">
        <v>912</v>
      </c>
      <c r="E132" s="449">
        <f>E6+E8+E10+E12+E14+E16+E18+E20+E22+E24+E26+E28+E30+E32+E34+E36+E38+E40+E42+E44+E46+E48+E50+E52+E54+E56+E58+E60+E62+E64+E66+E68+E70+E72+E74+E76+E78+E80+E82+E84+E86+E88+E90+E92+E94+E96+E98+E100+E102++E104+E106+E108+E110+E112+E114+E116+E118+E120+E122+E124+E126+E128+E130</f>
        <v>11307469</v>
      </c>
      <c r="F132" s="290">
        <f t="shared" si="0"/>
        <v>11307469</v>
      </c>
      <c r="G132" s="1275">
        <f t="shared" ref="G132:R132" si="3">G6+G8+G10+G12+G14+G16+G18+G20+G22+G24+G26+G28+G30+G32+G34+G36+G38+G40+G42+G44+G46+G48+G50+G52+G54+G56+G58+G60+G62+G64+G66+G68+G70+G72+G74+G76+G78+G80+G82+G84+G86+G88+G90+G92+G94+G96+G98+G100+G102++G104+G106+G108+G110+G112+G114+G116+G118+G120+G122+G124+G126+G128+G130</f>
        <v>242215</v>
      </c>
      <c r="H132" s="464">
        <f t="shared" si="3"/>
        <v>47164</v>
      </c>
      <c r="I132" s="464">
        <f t="shared" si="3"/>
        <v>1636828</v>
      </c>
      <c r="J132" s="464">
        <f t="shared" si="3"/>
        <v>63350</v>
      </c>
      <c r="K132" s="464">
        <f t="shared" si="3"/>
        <v>1241141</v>
      </c>
      <c r="L132" s="1276">
        <f t="shared" si="3"/>
        <v>138578</v>
      </c>
      <c r="M132" s="1275">
        <f t="shared" si="3"/>
        <v>3009548</v>
      </c>
      <c r="N132" s="464">
        <f t="shared" si="3"/>
        <v>423451</v>
      </c>
      <c r="O132" s="464">
        <f t="shared" si="3"/>
        <v>16661</v>
      </c>
      <c r="P132" s="1276">
        <f t="shared" si="3"/>
        <v>10000</v>
      </c>
      <c r="Q132" s="1277">
        <f t="shared" si="3"/>
        <v>2166569</v>
      </c>
      <c r="R132" s="1276">
        <f t="shared" si="3"/>
        <v>2311964</v>
      </c>
    </row>
    <row r="133" spans="1:18" ht="18.75" customHeight="1">
      <c r="A133" s="1565"/>
      <c r="B133" s="1537"/>
      <c r="C133" s="1568" t="s">
        <v>116</v>
      </c>
      <c r="D133" s="1307" t="s">
        <v>3</v>
      </c>
      <c r="E133" s="204">
        <f>E11+E13+E15+E17+E19+E21+E23+E25+E27+E29+E31+E33+E35+E37+E39+E41+E45+E47+E49+E81</f>
        <v>4319228</v>
      </c>
      <c r="F133" s="204">
        <f t="shared" ref="F133" si="4">F11+F13+F15+F17+F19+F21+F23+F25+F27+F29+F31+F33+F35+F37+F39+F41+F45+F47+F49</f>
        <v>2617730</v>
      </c>
      <c r="G133" s="209">
        <f t="shared" ref="G133:R133" si="5">G11+G13+G15+G17+G19+G21+G23+G25+G27+G29+G31+G33+G35+G37+G39+G41+G45+G47+G49+G81</f>
        <v>43781</v>
      </c>
      <c r="H133" s="210">
        <f t="shared" si="5"/>
        <v>4249</v>
      </c>
      <c r="I133" s="210">
        <f t="shared" si="5"/>
        <v>797815</v>
      </c>
      <c r="J133" s="210">
        <f t="shared" si="5"/>
        <v>64700</v>
      </c>
      <c r="K133" s="210">
        <f t="shared" si="5"/>
        <v>1033257</v>
      </c>
      <c r="L133" s="211">
        <f t="shared" si="5"/>
        <v>0</v>
      </c>
      <c r="M133" s="209">
        <f t="shared" si="5"/>
        <v>259622</v>
      </c>
      <c r="N133" s="210">
        <f t="shared" si="5"/>
        <v>400706</v>
      </c>
      <c r="O133" s="210">
        <f t="shared" si="5"/>
        <v>13600</v>
      </c>
      <c r="P133" s="211">
        <f t="shared" si="5"/>
        <v>0</v>
      </c>
      <c r="Q133" s="289">
        <f t="shared" si="5"/>
        <v>0</v>
      </c>
      <c r="R133" s="211">
        <f t="shared" si="5"/>
        <v>0</v>
      </c>
    </row>
    <row r="134" spans="1:18" ht="18.75" customHeight="1" thickBot="1">
      <c r="A134" s="1566"/>
      <c r="B134" s="1567"/>
      <c r="C134" s="1569"/>
      <c r="D134" s="1266" t="s">
        <v>912</v>
      </c>
      <c r="E134" s="290">
        <f>E12+E14+E16+E18+E20+E22+E24+E26+E28+E30+E32+E34+E36+E38+E40+E42+E46+E48+E50+E82</f>
        <v>4249457</v>
      </c>
      <c r="F134" s="290">
        <f t="shared" si="0"/>
        <v>2504592</v>
      </c>
      <c r="G134" s="291">
        <f t="shared" ref="G134:R134" si="6">G12+G14+G16+G18+G20+G22+G24+G26+G28+G30+G32+G34+G36+G38+G40+G42+G46+G48+G50+G82</f>
        <v>44127</v>
      </c>
      <c r="H134" s="464">
        <f t="shared" si="6"/>
        <v>4415</v>
      </c>
      <c r="I134" s="464">
        <f t="shared" si="6"/>
        <v>747437</v>
      </c>
      <c r="J134" s="464">
        <f t="shared" si="6"/>
        <v>63200</v>
      </c>
      <c r="K134" s="464">
        <f t="shared" si="6"/>
        <v>1080321</v>
      </c>
      <c r="L134" s="292">
        <f t="shared" si="6"/>
        <v>16623</v>
      </c>
      <c r="M134" s="460">
        <f t="shared" si="6"/>
        <v>249409</v>
      </c>
      <c r="N134" s="461">
        <f t="shared" si="6"/>
        <v>285199</v>
      </c>
      <c r="O134" s="461">
        <f t="shared" si="6"/>
        <v>13861</v>
      </c>
      <c r="P134" s="462">
        <f t="shared" si="6"/>
        <v>0</v>
      </c>
      <c r="Q134" s="463">
        <f t="shared" si="6"/>
        <v>0</v>
      </c>
      <c r="R134" s="462">
        <f t="shared" si="6"/>
        <v>0</v>
      </c>
    </row>
    <row r="135" spans="1:18" ht="18.75" customHeight="1">
      <c r="A135" s="1565"/>
      <c r="B135" s="1537"/>
      <c r="C135" s="1568" t="s">
        <v>449</v>
      </c>
      <c r="D135" s="1307" t="s">
        <v>3</v>
      </c>
      <c r="E135" s="204">
        <f>E43+E51+E53+E55+E57+E59+E61+E63+E65+E67+E69+E71+E73+E75+E77+E79+E83+E85+E87+E89+E97+E99+E101+E103+E105+E107+E109+E111+E115+E117+E119+E121+E123+E125+E127+E129</f>
        <v>352461</v>
      </c>
      <c r="F135" s="204">
        <f t="shared" ref="F135" si="7">F43+F51+F53+F55+F57+F59+F61+F63+F65+F67+F69+F71+F73+F75+F77+F79+F83+F85+F87+F89+F97+F99+F101+F103+F105+F107+F109+F111+F115+F117+F119+F121+F123</f>
        <v>2561553</v>
      </c>
      <c r="G135" s="209">
        <f t="shared" ref="G135:R135" si="8">G43+G51+G53+G55+G57+G59+G61+G63+G65+G67+G69+G71+G73+G75+G77+G79+G83+G85+G87+G89+G97+G99+G101+G103+G105+G107+G109+G111+G115+G117+G119+G121+G123+G125+G127+G129</f>
        <v>103840</v>
      </c>
      <c r="H135" s="1298">
        <f t="shared" si="8"/>
        <v>23548</v>
      </c>
      <c r="I135" s="210">
        <f t="shared" si="8"/>
        <v>242699</v>
      </c>
      <c r="J135" s="1298">
        <f t="shared" si="8"/>
        <v>150</v>
      </c>
      <c r="K135" s="210">
        <f t="shared" si="8"/>
        <v>168820</v>
      </c>
      <c r="L135" s="1298">
        <f t="shared" si="8"/>
        <v>30000</v>
      </c>
      <c r="M135" s="209">
        <f t="shared" si="8"/>
        <v>1855550</v>
      </c>
      <c r="N135" s="210">
        <f t="shared" si="8"/>
        <v>136646</v>
      </c>
      <c r="O135" s="210">
        <f t="shared" si="8"/>
        <v>300</v>
      </c>
      <c r="P135" s="1311">
        <f t="shared" si="8"/>
        <v>0</v>
      </c>
      <c r="Q135" s="209">
        <f t="shared" si="8"/>
        <v>0</v>
      </c>
      <c r="R135" s="211">
        <f t="shared" si="8"/>
        <v>0</v>
      </c>
    </row>
    <row r="136" spans="1:18" ht="18.75" customHeight="1" thickBot="1">
      <c r="A136" s="1566"/>
      <c r="B136" s="1567"/>
      <c r="C136" s="1569"/>
      <c r="D136" s="1308" t="s">
        <v>912</v>
      </c>
      <c r="E136" s="290">
        <f>E44+E52+E54+E56+E58+E60+E62+E64+E66+E68+E70+E72+E74+E76+E78+E80+E84+E86+E88+E90+E92+E94+E96+E98+E100+E102+E104+E106+E108+E110+E112+E114+E116+E118+E120+E122+E124+E126+E128+E130</f>
        <v>1476542</v>
      </c>
      <c r="F136" s="290">
        <f t="shared" si="0"/>
        <v>3733740</v>
      </c>
      <c r="G136" s="1275">
        <f>G44+G52+G54+G56+G58+G60+G62+G64+G66+G68+G70+G72+G74+G76+G78+G80+G84+G86+G88+G90+G92+G94+G96+G98+G100+G102+G104+G106+G108+G110+G112+G114+G116+G118+G120+G122+G124+G126+G128+G130</f>
        <v>111540</v>
      </c>
      <c r="H136" s="1310">
        <f t="shared" ref="H136:R136" si="9">H44+H52+H54+H56+H58+H60+H62+H64+H66+H68+H70+H72+H74+H76+H78+H80+H84+H86+H88+H90+H92+H94+H96+H98+H100+H102+H104+H106+H108+H110+H112+H114+H116+H118+H120+H122+H124+H126+H128+H130</f>
        <v>24649</v>
      </c>
      <c r="I136" s="464">
        <f t="shared" si="9"/>
        <v>523149</v>
      </c>
      <c r="J136" s="1310">
        <f t="shared" si="9"/>
        <v>150</v>
      </c>
      <c r="K136" s="464">
        <f t="shared" si="9"/>
        <v>142820</v>
      </c>
      <c r="L136" s="1310">
        <f t="shared" si="9"/>
        <v>36643</v>
      </c>
      <c r="M136" s="1275">
        <f t="shared" si="9"/>
        <v>2753887</v>
      </c>
      <c r="N136" s="464">
        <f t="shared" si="9"/>
        <v>138102</v>
      </c>
      <c r="O136" s="464">
        <f t="shared" si="9"/>
        <v>2800</v>
      </c>
      <c r="P136" s="1312">
        <f t="shared" si="9"/>
        <v>0</v>
      </c>
      <c r="Q136" s="1275">
        <f t="shared" si="9"/>
        <v>0</v>
      </c>
      <c r="R136" s="1276">
        <f t="shared" si="9"/>
        <v>0</v>
      </c>
    </row>
    <row r="137" spans="1:18" ht="18.75" customHeight="1">
      <c r="A137" s="1549"/>
      <c r="B137" s="1571"/>
      <c r="C137" s="1570" t="s">
        <v>117</v>
      </c>
      <c r="D137" s="1309" t="s">
        <v>3</v>
      </c>
      <c r="E137" s="449">
        <f>E5+E7+E9</f>
        <v>5647505</v>
      </c>
      <c r="F137" s="449">
        <f t="shared" ref="F137:R138" si="10">F5+F7+F9</f>
        <v>5139911</v>
      </c>
      <c r="G137" s="456">
        <f t="shared" si="10"/>
        <v>86548</v>
      </c>
      <c r="H137" s="457">
        <f t="shared" si="10"/>
        <v>18100</v>
      </c>
      <c r="I137" s="457">
        <f t="shared" si="10"/>
        <v>367342</v>
      </c>
      <c r="J137" s="457">
        <f t="shared" si="10"/>
        <v>0</v>
      </c>
      <c r="K137" s="457">
        <f t="shared" si="10"/>
        <v>18000</v>
      </c>
      <c r="L137" s="458">
        <f t="shared" si="10"/>
        <v>73644</v>
      </c>
      <c r="M137" s="456">
        <f t="shared" si="10"/>
        <v>15757</v>
      </c>
      <c r="N137" s="457">
        <f t="shared" si="10"/>
        <v>6700</v>
      </c>
      <c r="O137" s="457">
        <f t="shared" si="10"/>
        <v>0</v>
      </c>
      <c r="P137" s="458">
        <f t="shared" si="10"/>
        <v>10000</v>
      </c>
      <c r="Q137" s="459">
        <f t="shared" si="10"/>
        <v>2166549</v>
      </c>
      <c r="R137" s="458">
        <f t="shared" si="10"/>
        <v>2377271</v>
      </c>
    </row>
    <row r="138" spans="1:18" ht="18.75" customHeight="1" thickBot="1">
      <c r="A138" s="1566"/>
      <c r="B138" s="1567"/>
      <c r="C138" s="1569"/>
      <c r="D138" s="1308" t="s">
        <v>912</v>
      </c>
      <c r="E138" s="290">
        <f>E6+E8+E10</f>
        <v>5581470</v>
      </c>
      <c r="F138" s="290">
        <f t="shared" si="10"/>
        <v>5069137</v>
      </c>
      <c r="G138" s="291">
        <f t="shared" si="10"/>
        <v>86548</v>
      </c>
      <c r="H138" s="464">
        <f t="shared" si="10"/>
        <v>18100</v>
      </c>
      <c r="I138" s="464">
        <f t="shared" si="10"/>
        <v>366242</v>
      </c>
      <c r="J138" s="464">
        <f t="shared" si="10"/>
        <v>0</v>
      </c>
      <c r="K138" s="464">
        <f t="shared" si="10"/>
        <v>18000</v>
      </c>
      <c r="L138" s="292">
        <f t="shared" si="10"/>
        <v>85312</v>
      </c>
      <c r="M138" s="291">
        <f t="shared" si="10"/>
        <v>6252</v>
      </c>
      <c r="N138" s="464">
        <f t="shared" si="10"/>
        <v>150</v>
      </c>
      <c r="O138" s="464">
        <f t="shared" si="10"/>
        <v>0</v>
      </c>
      <c r="P138" s="292">
        <f t="shared" si="10"/>
        <v>10000</v>
      </c>
      <c r="Q138" s="293">
        <f t="shared" si="10"/>
        <v>2166569</v>
      </c>
      <c r="R138" s="292">
        <f t="shared" si="10"/>
        <v>2311964</v>
      </c>
    </row>
    <row r="139" spans="1:18">
      <c r="A139" s="128"/>
    </row>
    <row r="140" spans="1:18">
      <c r="A140" s="128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</row>
  </sheetData>
  <mergeCells count="209">
    <mergeCell ref="A135:A136"/>
    <mergeCell ref="B135:B136"/>
    <mergeCell ref="C135:C136"/>
    <mergeCell ref="C137:C138"/>
    <mergeCell ref="A137:A138"/>
    <mergeCell ref="B137:B138"/>
    <mergeCell ref="A131:A132"/>
    <mergeCell ref="B131:B132"/>
    <mergeCell ref="C131:C132"/>
    <mergeCell ref="A133:A134"/>
    <mergeCell ref="B133:B134"/>
    <mergeCell ref="C133:C134"/>
    <mergeCell ref="C121:C122"/>
    <mergeCell ref="B121:B122"/>
    <mergeCell ref="A121:A122"/>
    <mergeCell ref="A123:A124"/>
    <mergeCell ref="C123:C124"/>
    <mergeCell ref="B123:B124"/>
    <mergeCell ref="C117:C118"/>
    <mergeCell ref="B117:B118"/>
    <mergeCell ref="A117:A118"/>
    <mergeCell ref="C119:C120"/>
    <mergeCell ref="B119:B120"/>
    <mergeCell ref="A119:A120"/>
    <mergeCell ref="C111:C112"/>
    <mergeCell ref="B111:B112"/>
    <mergeCell ref="A111:A112"/>
    <mergeCell ref="C115:C116"/>
    <mergeCell ref="B115:B116"/>
    <mergeCell ref="A115:A116"/>
    <mergeCell ref="C107:C108"/>
    <mergeCell ref="B107:B108"/>
    <mergeCell ref="A107:A108"/>
    <mergeCell ref="C109:C110"/>
    <mergeCell ref="B109:B110"/>
    <mergeCell ref="A109:A110"/>
    <mergeCell ref="A113:A114"/>
    <mergeCell ref="B113:B114"/>
    <mergeCell ref="C113:C114"/>
    <mergeCell ref="A103:A104"/>
    <mergeCell ref="B103:B104"/>
    <mergeCell ref="C103:C104"/>
    <mergeCell ref="C105:C106"/>
    <mergeCell ref="B105:B106"/>
    <mergeCell ref="A105:A106"/>
    <mergeCell ref="B99:B100"/>
    <mergeCell ref="A99:A100"/>
    <mergeCell ref="C99:C100"/>
    <mergeCell ref="C101:C102"/>
    <mergeCell ref="B101:B102"/>
    <mergeCell ref="A101:A102"/>
    <mergeCell ref="C89:C90"/>
    <mergeCell ref="B89:B90"/>
    <mergeCell ref="A89:A90"/>
    <mergeCell ref="C97:C98"/>
    <mergeCell ref="B97:B98"/>
    <mergeCell ref="A97:A98"/>
    <mergeCell ref="C85:C86"/>
    <mergeCell ref="B85:B86"/>
    <mergeCell ref="A85:A86"/>
    <mergeCell ref="C87:C88"/>
    <mergeCell ref="B87:B88"/>
    <mergeCell ref="A87:A88"/>
    <mergeCell ref="A91:A92"/>
    <mergeCell ref="B91:B92"/>
    <mergeCell ref="C91:C92"/>
    <mergeCell ref="A93:A94"/>
    <mergeCell ref="B93:B94"/>
    <mergeCell ref="C93:C94"/>
    <mergeCell ref="A95:A96"/>
    <mergeCell ref="B95:B96"/>
    <mergeCell ref="C95:C96"/>
    <mergeCell ref="C79:C80"/>
    <mergeCell ref="B79:B80"/>
    <mergeCell ref="A79:A80"/>
    <mergeCell ref="C83:C84"/>
    <mergeCell ref="B83:B84"/>
    <mergeCell ref="A83:A84"/>
    <mergeCell ref="C75:C76"/>
    <mergeCell ref="B75:B76"/>
    <mergeCell ref="A75:A76"/>
    <mergeCell ref="B77:B78"/>
    <mergeCell ref="A77:A78"/>
    <mergeCell ref="C77:C78"/>
    <mergeCell ref="A81:A82"/>
    <mergeCell ref="B81:B82"/>
    <mergeCell ref="C81:C82"/>
    <mergeCell ref="C71:C72"/>
    <mergeCell ref="B71:B72"/>
    <mergeCell ref="A71:A72"/>
    <mergeCell ref="C73:C74"/>
    <mergeCell ref="B73:B74"/>
    <mergeCell ref="A73:A74"/>
    <mergeCell ref="C67:C68"/>
    <mergeCell ref="B67:B68"/>
    <mergeCell ref="A67:A68"/>
    <mergeCell ref="C69:C70"/>
    <mergeCell ref="B69:B70"/>
    <mergeCell ref="A69:A70"/>
    <mergeCell ref="C63:C64"/>
    <mergeCell ref="B63:B64"/>
    <mergeCell ref="A63:A64"/>
    <mergeCell ref="C65:C66"/>
    <mergeCell ref="B65:B66"/>
    <mergeCell ref="A65:A66"/>
    <mergeCell ref="C59:C60"/>
    <mergeCell ref="B59:B60"/>
    <mergeCell ref="A59:A60"/>
    <mergeCell ref="C61:C62"/>
    <mergeCell ref="B61:B62"/>
    <mergeCell ref="A61:A62"/>
    <mergeCell ref="C55:C56"/>
    <mergeCell ref="B55:B56"/>
    <mergeCell ref="A55:A56"/>
    <mergeCell ref="C57:C58"/>
    <mergeCell ref="B57:B58"/>
    <mergeCell ref="A57:A58"/>
    <mergeCell ref="C51:C52"/>
    <mergeCell ref="B51:B52"/>
    <mergeCell ref="A51:A52"/>
    <mergeCell ref="C53:C54"/>
    <mergeCell ref="B53:B54"/>
    <mergeCell ref="A53:A54"/>
    <mergeCell ref="C45:C46"/>
    <mergeCell ref="B45:B46"/>
    <mergeCell ref="A45:A46"/>
    <mergeCell ref="C49:C50"/>
    <mergeCell ref="B49:B50"/>
    <mergeCell ref="A49:A50"/>
    <mergeCell ref="C47:C48"/>
    <mergeCell ref="B47:B48"/>
    <mergeCell ref="A47:A48"/>
    <mergeCell ref="C41:C42"/>
    <mergeCell ref="B41:B42"/>
    <mergeCell ref="A41:A42"/>
    <mergeCell ref="C43:C44"/>
    <mergeCell ref="B43:B44"/>
    <mergeCell ref="A43:A44"/>
    <mergeCell ref="C37:C38"/>
    <mergeCell ref="B37:B38"/>
    <mergeCell ref="A37:A38"/>
    <mergeCell ref="C39:C40"/>
    <mergeCell ref="B39:B40"/>
    <mergeCell ref="A39:A40"/>
    <mergeCell ref="C33:C34"/>
    <mergeCell ref="B33:B34"/>
    <mergeCell ref="A33:A34"/>
    <mergeCell ref="C35:C36"/>
    <mergeCell ref="B35:B36"/>
    <mergeCell ref="A35:A36"/>
    <mergeCell ref="A29:A30"/>
    <mergeCell ref="C29:C30"/>
    <mergeCell ref="B29:B30"/>
    <mergeCell ref="A31:A32"/>
    <mergeCell ref="B31:B32"/>
    <mergeCell ref="C31:C32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11:A12"/>
    <mergeCell ref="B11:B12"/>
    <mergeCell ref="C11:C12"/>
    <mergeCell ref="A5:A6"/>
    <mergeCell ref="B5:B6"/>
    <mergeCell ref="C5:C6"/>
    <mergeCell ref="A7:A8"/>
    <mergeCell ref="B7:B8"/>
    <mergeCell ref="C7:C8"/>
    <mergeCell ref="Q3:R3"/>
    <mergeCell ref="A1:R1"/>
    <mergeCell ref="A2:R2"/>
    <mergeCell ref="A3:D4"/>
    <mergeCell ref="E3:E4"/>
    <mergeCell ref="F3:F4"/>
    <mergeCell ref="G3:L3"/>
    <mergeCell ref="M3:P3"/>
    <mergeCell ref="A9:A10"/>
    <mergeCell ref="B9:B10"/>
    <mergeCell ref="C9:C10"/>
    <mergeCell ref="A125:A126"/>
    <mergeCell ref="B125:B126"/>
    <mergeCell ref="C125:C126"/>
    <mergeCell ref="A127:A128"/>
    <mergeCell ref="B127:B128"/>
    <mergeCell ref="C127:C128"/>
    <mergeCell ref="A129:A130"/>
    <mergeCell ref="B129:B130"/>
    <mergeCell ref="C129:C130"/>
  </mergeCells>
  <printOptions horizontalCentered="1"/>
  <pageMargins left="0.16" right="0.16" top="0.69" bottom="0.75" header="0.23" footer="0.3"/>
  <pageSetup paperSize="9" scale="43" fitToHeight="0" orientation="landscape" r:id="rId1"/>
  <headerFooter>
    <oddHeader>&amp;L&amp;"Times New Roman,Normál"5. melléklet   a    17 /2020. (VII.9.) önkormányzati rendelethez</oddHeader>
    <oddFooter>&amp;L24/2019.(XII.19.)önk.rend. Hatályos:2020.01.01.</oddFooter>
  </headerFooter>
  <rowBreaks count="2" manualBreakCount="2">
    <brk id="56" max="17" man="1"/>
    <brk id="104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view="pageLayout" zoomScale="140" zoomScaleNormal="160" zoomScaleSheetLayoutView="100" zoomScalePageLayoutView="140" workbookViewId="0">
      <selection activeCell="E17" sqref="E17"/>
    </sheetView>
  </sheetViews>
  <sheetFormatPr defaultRowHeight="15"/>
  <cols>
    <col min="3" max="3" width="9.85546875" customWidth="1"/>
    <col min="4" max="4" width="9.140625" style="1030"/>
  </cols>
  <sheetData>
    <row r="1" spans="1:18" s="1264" customFormat="1" ht="15" customHeight="1">
      <c r="A1" s="1615" t="s">
        <v>942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5"/>
    </row>
    <row r="2" spans="1:18" s="1264" customFormat="1" ht="15" customHeight="1" thickBot="1">
      <c r="A2" s="1265"/>
      <c r="B2" s="1265"/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5"/>
      <c r="P2" s="1265"/>
      <c r="Q2" s="1265"/>
      <c r="R2" s="1265"/>
    </row>
    <row r="3" spans="1:18">
      <c r="A3" s="1605" t="s">
        <v>2</v>
      </c>
      <c r="B3" s="1606"/>
      <c r="C3" s="1606"/>
      <c r="D3" s="1609"/>
      <c r="E3" s="1613" t="s">
        <v>95</v>
      </c>
      <c r="F3" s="1621" t="s">
        <v>96</v>
      </c>
      <c r="G3" s="1605" t="s">
        <v>97</v>
      </c>
      <c r="H3" s="1606"/>
      <c r="I3" s="1606"/>
      <c r="J3" s="1606"/>
      <c r="K3" s="1606"/>
      <c r="L3" s="1607"/>
      <c r="M3" s="1605" t="s">
        <v>98</v>
      </c>
      <c r="N3" s="1606"/>
      <c r="O3" s="1606"/>
      <c r="P3" s="1607"/>
      <c r="Q3" s="1605" t="s">
        <v>55</v>
      </c>
      <c r="R3" s="1607"/>
    </row>
    <row r="4" spans="1:18" ht="39.75" thickBot="1">
      <c r="A4" s="1610"/>
      <c r="B4" s="1611"/>
      <c r="C4" s="1611"/>
      <c r="D4" s="1612"/>
      <c r="E4" s="1614"/>
      <c r="F4" s="1622"/>
      <c r="G4" s="1003" t="s">
        <v>315</v>
      </c>
      <c r="H4" s="1004" t="s">
        <v>565</v>
      </c>
      <c r="I4" s="1004" t="s">
        <v>109</v>
      </c>
      <c r="J4" s="1004" t="s">
        <v>110</v>
      </c>
      <c r="K4" s="1004" t="s">
        <v>111</v>
      </c>
      <c r="L4" s="1005" t="s">
        <v>23</v>
      </c>
      <c r="M4" s="1006" t="s">
        <v>56</v>
      </c>
      <c r="N4" s="1007" t="s">
        <v>57</v>
      </c>
      <c r="O4" s="1004" t="s">
        <v>112</v>
      </c>
      <c r="P4" s="1008" t="s">
        <v>113</v>
      </c>
      <c r="Q4" s="1009" t="s">
        <v>114</v>
      </c>
      <c r="R4" s="1005" t="s">
        <v>115</v>
      </c>
    </row>
    <row r="5" spans="1:18">
      <c r="A5" s="1616" t="s">
        <v>118</v>
      </c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8"/>
    </row>
    <row r="6" spans="1:18">
      <c r="A6" s="1619" t="s">
        <v>100</v>
      </c>
      <c r="B6" s="1620" t="s">
        <v>911</v>
      </c>
      <c r="C6" s="1608" t="s">
        <v>346</v>
      </c>
      <c r="D6" s="1010" t="s">
        <v>3</v>
      </c>
      <c r="E6" s="442">
        <v>856632</v>
      </c>
      <c r="F6" s="443">
        <f>SUM(G6:R6)</f>
        <v>574616</v>
      </c>
      <c r="G6" s="444">
        <v>365713</v>
      </c>
      <c r="H6" s="444">
        <v>72231</v>
      </c>
      <c r="I6" s="444">
        <v>121686</v>
      </c>
      <c r="J6" s="444">
        <v>0</v>
      </c>
      <c r="K6" s="444">
        <v>0</v>
      </c>
      <c r="L6" s="444">
        <v>0</v>
      </c>
      <c r="M6" s="444">
        <v>13059</v>
      </c>
      <c r="N6" s="444">
        <v>1927</v>
      </c>
      <c r="O6" s="444">
        <v>0</v>
      </c>
      <c r="P6" s="444">
        <v>0</v>
      </c>
      <c r="Q6" s="444">
        <v>0</v>
      </c>
      <c r="R6" s="1011">
        <v>0</v>
      </c>
    </row>
    <row r="7" spans="1:18">
      <c r="A7" s="1581"/>
      <c r="B7" s="1579"/>
      <c r="C7" s="1577"/>
      <c r="D7" s="1010" t="s">
        <v>912</v>
      </c>
      <c r="E7" s="442">
        <f>856632+230+1175+27-20000+34490+279</f>
        <v>872833</v>
      </c>
      <c r="F7" s="443">
        <f>SUM(G7:R7)</f>
        <v>569012</v>
      </c>
      <c r="G7" s="444">
        <f>365713-2640-20000+10280</f>
        <v>353353</v>
      </c>
      <c r="H7" s="444">
        <f>72231+1796</f>
        <v>74027</v>
      </c>
      <c r="I7" s="444">
        <f>121686+2640+230+1811</f>
        <v>126367</v>
      </c>
      <c r="J7" s="444">
        <v>0</v>
      </c>
      <c r="K7" s="444">
        <v>0</v>
      </c>
      <c r="L7" s="444">
        <v>0</v>
      </c>
      <c r="M7" s="444">
        <f>13059+279</f>
        <v>13338</v>
      </c>
      <c r="N7" s="444">
        <v>1927</v>
      </c>
      <c r="O7" s="444">
        <v>0</v>
      </c>
      <c r="P7" s="444">
        <v>0</v>
      </c>
      <c r="Q7" s="444">
        <v>0</v>
      </c>
      <c r="R7" s="1011">
        <v>0</v>
      </c>
    </row>
    <row r="8" spans="1:18">
      <c r="A8" s="1580" t="s">
        <v>100</v>
      </c>
      <c r="B8" s="1578" t="s">
        <v>913</v>
      </c>
      <c r="C8" s="1576" t="s">
        <v>347</v>
      </c>
      <c r="D8" s="1012" t="s">
        <v>3</v>
      </c>
      <c r="E8" s="442"/>
      <c r="F8" s="1013">
        <f t="shared" ref="F8:F29" si="0">SUM(G8:R8)</f>
        <v>60947</v>
      </c>
      <c r="G8" s="1014">
        <v>50608</v>
      </c>
      <c r="H8" s="1014">
        <v>9339</v>
      </c>
      <c r="I8" s="1014">
        <v>1000</v>
      </c>
      <c r="J8" s="1014">
        <v>0</v>
      </c>
      <c r="K8" s="1014">
        <v>0</v>
      </c>
      <c r="L8" s="1014">
        <v>0</v>
      </c>
      <c r="M8" s="1014">
        <v>0</v>
      </c>
      <c r="N8" s="1014">
        <v>0</v>
      </c>
      <c r="O8" s="1014">
        <v>0</v>
      </c>
      <c r="P8" s="1014">
        <v>0</v>
      </c>
      <c r="Q8" s="1014">
        <v>0</v>
      </c>
      <c r="R8" s="1015">
        <v>0</v>
      </c>
    </row>
    <row r="9" spans="1:18">
      <c r="A9" s="1581"/>
      <c r="B9" s="1579"/>
      <c r="C9" s="1577"/>
      <c r="D9" s="1010" t="s">
        <v>912</v>
      </c>
      <c r="E9" s="1016"/>
      <c r="F9" s="1013">
        <f t="shared" si="0"/>
        <v>60947</v>
      </c>
      <c r="G9" s="1014">
        <v>50608</v>
      </c>
      <c r="H9" s="1014">
        <v>9339</v>
      </c>
      <c r="I9" s="1014">
        <v>1000</v>
      </c>
      <c r="J9" s="1014">
        <v>0</v>
      </c>
      <c r="K9" s="1014">
        <v>0</v>
      </c>
      <c r="L9" s="1014">
        <v>0</v>
      </c>
      <c r="M9" s="1014">
        <v>0</v>
      </c>
      <c r="N9" s="1014">
        <v>0</v>
      </c>
      <c r="O9" s="1014">
        <v>0</v>
      </c>
      <c r="P9" s="1014">
        <v>0</v>
      </c>
      <c r="Q9" s="1014">
        <v>0</v>
      </c>
      <c r="R9" s="1015">
        <v>0</v>
      </c>
    </row>
    <row r="10" spans="1:18">
      <c r="A10" s="1580" t="s">
        <v>100</v>
      </c>
      <c r="B10" s="1578" t="s">
        <v>914</v>
      </c>
      <c r="C10" s="1576" t="s">
        <v>348</v>
      </c>
      <c r="D10" s="1012" t="s">
        <v>3</v>
      </c>
      <c r="E10" s="1016">
        <v>3700</v>
      </c>
      <c r="F10" s="1013">
        <f t="shared" si="0"/>
        <v>13896</v>
      </c>
      <c r="G10" s="1014">
        <v>11369</v>
      </c>
      <c r="H10" s="1014">
        <v>2127</v>
      </c>
      <c r="I10" s="1014">
        <v>400</v>
      </c>
      <c r="J10" s="1014">
        <v>0</v>
      </c>
      <c r="K10" s="1014">
        <v>0</v>
      </c>
      <c r="L10" s="1014">
        <v>0</v>
      </c>
      <c r="M10" s="1014">
        <v>0</v>
      </c>
      <c r="N10" s="1014">
        <v>0</v>
      </c>
      <c r="O10" s="1014">
        <v>0</v>
      </c>
      <c r="P10" s="1014">
        <v>0</v>
      </c>
      <c r="Q10" s="1014">
        <v>0</v>
      </c>
      <c r="R10" s="1015">
        <v>0</v>
      </c>
    </row>
    <row r="11" spans="1:18">
      <c r="A11" s="1581"/>
      <c r="B11" s="1579"/>
      <c r="C11" s="1577"/>
      <c r="D11" s="1010" t="s">
        <v>912</v>
      </c>
      <c r="E11" s="1016">
        <v>3700</v>
      </c>
      <c r="F11" s="1013">
        <f t="shared" si="0"/>
        <v>13896</v>
      </c>
      <c r="G11" s="1014">
        <v>11369</v>
      </c>
      <c r="H11" s="1014">
        <v>2127</v>
      </c>
      <c r="I11" s="1014">
        <v>400</v>
      </c>
      <c r="J11" s="1014">
        <v>0</v>
      </c>
      <c r="K11" s="1014">
        <v>0</v>
      </c>
      <c r="L11" s="1014">
        <v>0</v>
      </c>
      <c r="M11" s="1014">
        <v>0</v>
      </c>
      <c r="N11" s="1014">
        <v>0</v>
      </c>
      <c r="O11" s="1014">
        <v>0</v>
      </c>
      <c r="P11" s="1014">
        <v>0</v>
      </c>
      <c r="Q11" s="1014">
        <v>0</v>
      </c>
      <c r="R11" s="1015">
        <v>0</v>
      </c>
    </row>
    <row r="12" spans="1:18">
      <c r="A12" s="1580" t="s">
        <v>344</v>
      </c>
      <c r="B12" s="1578" t="s">
        <v>915</v>
      </c>
      <c r="C12" s="1576" t="s">
        <v>103</v>
      </c>
      <c r="D12" s="1012" t="s">
        <v>3</v>
      </c>
      <c r="E12" s="1016">
        <v>0</v>
      </c>
      <c r="F12" s="1013">
        <f t="shared" si="0"/>
        <v>35743</v>
      </c>
      <c r="G12" s="1014">
        <v>22669</v>
      </c>
      <c r="H12" s="1014">
        <v>4167</v>
      </c>
      <c r="I12" s="1014">
        <v>8707</v>
      </c>
      <c r="J12" s="1014">
        <v>0</v>
      </c>
      <c r="K12" s="1014">
        <v>0</v>
      </c>
      <c r="L12" s="1014">
        <v>0</v>
      </c>
      <c r="M12" s="1014">
        <v>200</v>
      </c>
      <c r="N12" s="1014">
        <v>0</v>
      </c>
      <c r="O12" s="1014">
        <v>0</v>
      </c>
      <c r="P12" s="1014">
        <v>0</v>
      </c>
      <c r="Q12" s="1014">
        <v>0</v>
      </c>
      <c r="R12" s="1015">
        <v>0</v>
      </c>
    </row>
    <row r="13" spans="1:18">
      <c r="A13" s="1581"/>
      <c r="B13" s="1579"/>
      <c r="C13" s="1577"/>
      <c r="D13" s="1010" t="s">
        <v>912</v>
      </c>
      <c r="E13" s="1016"/>
      <c r="F13" s="1013">
        <f t="shared" si="0"/>
        <v>35770</v>
      </c>
      <c r="G13" s="1014">
        <v>22669</v>
      </c>
      <c r="H13" s="1014">
        <v>4167</v>
      </c>
      <c r="I13" s="1014">
        <f>8707+27</f>
        <v>8734</v>
      </c>
      <c r="J13" s="1014">
        <v>0</v>
      </c>
      <c r="K13" s="1014">
        <v>0</v>
      </c>
      <c r="L13" s="1014">
        <v>0</v>
      </c>
      <c r="M13" s="1014">
        <v>200</v>
      </c>
      <c r="N13" s="1014">
        <v>0</v>
      </c>
      <c r="O13" s="1014">
        <v>0</v>
      </c>
      <c r="P13" s="1014">
        <v>0</v>
      </c>
      <c r="Q13" s="1014">
        <v>0</v>
      </c>
      <c r="R13" s="1015">
        <v>0</v>
      </c>
    </row>
    <row r="14" spans="1:18">
      <c r="A14" s="1580" t="s">
        <v>100</v>
      </c>
      <c r="B14" s="1578" t="s">
        <v>916</v>
      </c>
      <c r="C14" s="1576" t="s">
        <v>351</v>
      </c>
      <c r="D14" s="1012" t="s">
        <v>3</v>
      </c>
      <c r="E14" s="1016">
        <v>0</v>
      </c>
      <c r="F14" s="1013">
        <f t="shared" si="0"/>
        <v>46549</v>
      </c>
      <c r="G14" s="1014">
        <v>38893</v>
      </c>
      <c r="H14" s="1014">
        <v>7300</v>
      </c>
      <c r="I14" s="1014">
        <v>356</v>
      </c>
      <c r="J14" s="1014">
        <v>0</v>
      </c>
      <c r="K14" s="1014">
        <v>0</v>
      </c>
      <c r="L14" s="1014">
        <v>0</v>
      </c>
      <c r="M14" s="1014">
        <v>0</v>
      </c>
      <c r="N14" s="1014">
        <v>0</v>
      </c>
      <c r="O14" s="1014">
        <v>0</v>
      </c>
      <c r="P14" s="1014">
        <v>0</v>
      </c>
      <c r="Q14" s="1014">
        <v>0</v>
      </c>
      <c r="R14" s="1015">
        <v>0</v>
      </c>
    </row>
    <row r="15" spans="1:18">
      <c r="A15" s="1581"/>
      <c r="B15" s="1579"/>
      <c r="C15" s="1577"/>
      <c r="D15" s="1010" t="s">
        <v>912</v>
      </c>
      <c r="E15" s="1016"/>
      <c r="F15" s="1013">
        <f t="shared" si="0"/>
        <v>46549</v>
      </c>
      <c r="G15" s="1014">
        <v>38893</v>
      </c>
      <c r="H15" s="1014">
        <v>7300</v>
      </c>
      <c r="I15" s="1014">
        <v>356</v>
      </c>
      <c r="J15" s="1014">
        <v>0</v>
      </c>
      <c r="K15" s="1014">
        <v>0</v>
      </c>
      <c r="L15" s="1014">
        <v>0</v>
      </c>
      <c r="M15" s="1014">
        <v>0</v>
      </c>
      <c r="N15" s="1014">
        <v>0</v>
      </c>
      <c r="O15" s="1014">
        <v>0</v>
      </c>
      <c r="P15" s="1014">
        <v>0</v>
      </c>
      <c r="Q15" s="1014">
        <v>0</v>
      </c>
      <c r="R15" s="1015">
        <v>0</v>
      </c>
    </row>
    <row r="16" spans="1:18">
      <c r="A16" s="1580" t="s">
        <v>344</v>
      </c>
      <c r="B16" s="1578" t="s">
        <v>917</v>
      </c>
      <c r="C16" s="1576" t="s">
        <v>349</v>
      </c>
      <c r="D16" s="1012" t="s">
        <v>3</v>
      </c>
      <c r="E16" s="1016">
        <v>250</v>
      </c>
      <c r="F16" s="1013">
        <f t="shared" si="0"/>
        <v>1200</v>
      </c>
      <c r="G16" s="1017">
        <v>0</v>
      </c>
      <c r="H16" s="1017">
        <v>0</v>
      </c>
      <c r="I16" s="1017">
        <v>0</v>
      </c>
      <c r="J16" s="1017">
        <v>0</v>
      </c>
      <c r="K16" s="1017">
        <v>0</v>
      </c>
      <c r="L16" s="1017">
        <v>0</v>
      </c>
      <c r="M16" s="1017">
        <v>0</v>
      </c>
      <c r="N16" s="1017">
        <v>0</v>
      </c>
      <c r="O16" s="1017">
        <v>1200</v>
      </c>
      <c r="P16" s="1017">
        <v>0</v>
      </c>
      <c r="Q16" s="1017">
        <v>0</v>
      </c>
      <c r="R16" s="1015">
        <v>0</v>
      </c>
    </row>
    <row r="17" spans="1:18">
      <c r="A17" s="1581"/>
      <c r="B17" s="1579"/>
      <c r="C17" s="1577"/>
      <c r="D17" s="1010" t="s">
        <v>912</v>
      </c>
      <c r="E17" s="1016">
        <v>250</v>
      </c>
      <c r="F17" s="1013">
        <f t="shared" si="0"/>
        <v>1200</v>
      </c>
      <c r="G17" s="1017">
        <v>0</v>
      </c>
      <c r="H17" s="1017">
        <v>0</v>
      </c>
      <c r="I17" s="1017">
        <v>0</v>
      </c>
      <c r="J17" s="1017">
        <v>0</v>
      </c>
      <c r="K17" s="1017">
        <v>0</v>
      </c>
      <c r="L17" s="1017">
        <v>0</v>
      </c>
      <c r="M17" s="1017">
        <v>0</v>
      </c>
      <c r="N17" s="1017">
        <v>0</v>
      </c>
      <c r="O17" s="1017">
        <v>1200</v>
      </c>
      <c r="P17" s="1017">
        <v>0</v>
      </c>
      <c r="Q17" s="1017">
        <v>0</v>
      </c>
      <c r="R17" s="1015">
        <v>0</v>
      </c>
    </row>
    <row r="18" spans="1:18">
      <c r="A18" s="1580" t="s">
        <v>100</v>
      </c>
      <c r="B18" s="1578" t="s">
        <v>918</v>
      </c>
      <c r="C18" s="1576" t="s">
        <v>337</v>
      </c>
      <c r="D18" s="1012" t="s">
        <v>3</v>
      </c>
      <c r="E18" s="1016">
        <v>0</v>
      </c>
      <c r="F18" s="1013">
        <f>SUM(G18:R18)</f>
        <v>104362</v>
      </c>
      <c r="G18" s="1014">
        <v>87994</v>
      </c>
      <c r="H18" s="1014">
        <v>16368</v>
      </c>
      <c r="I18" s="1014">
        <v>0</v>
      </c>
      <c r="J18" s="1014">
        <v>0</v>
      </c>
      <c r="K18" s="1014">
        <v>0</v>
      </c>
      <c r="L18" s="1014">
        <v>0</v>
      </c>
      <c r="M18" s="1014">
        <v>0</v>
      </c>
      <c r="N18" s="1014">
        <v>0</v>
      </c>
      <c r="O18" s="1014">
        <v>0</v>
      </c>
      <c r="P18" s="1014">
        <v>0</v>
      </c>
      <c r="Q18" s="1014">
        <v>0</v>
      </c>
      <c r="R18" s="1015">
        <v>0</v>
      </c>
    </row>
    <row r="19" spans="1:18">
      <c r="A19" s="1581"/>
      <c r="B19" s="1579"/>
      <c r="C19" s="1577"/>
      <c r="D19" s="1010" t="s">
        <v>912</v>
      </c>
      <c r="E19" s="1016"/>
      <c r="F19" s="1013">
        <f>SUM(G19:R19)</f>
        <v>104362</v>
      </c>
      <c r="G19" s="1014">
        <v>87994</v>
      </c>
      <c r="H19" s="1014">
        <v>16368</v>
      </c>
      <c r="I19" s="1014">
        <v>0</v>
      </c>
      <c r="J19" s="1014">
        <v>0</v>
      </c>
      <c r="K19" s="1014">
        <v>0</v>
      </c>
      <c r="L19" s="1014">
        <v>0</v>
      </c>
      <c r="M19" s="1014">
        <v>0</v>
      </c>
      <c r="N19" s="1014">
        <v>0</v>
      </c>
      <c r="O19" s="1014">
        <v>0</v>
      </c>
      <c r="P19" s="1014">
        <v>0</v>
      </c>
      <c r="Q19" s="1014">
        <v>0</v>
      </c>
      <c r="R19" s="1015">
        <v>0</v>
      </c>
    </row>
    <row r="20" spans="1:18">
      <c r="A20" s="1580" t="s">
        <v>344</v>
      </c>
      <c r="B20" s="1578" t="s">
        <v>919</v>
      </c>
      <c r="C20" s="1576" t="s">
        <v>339</v>
      </c>
      <c r="D20" s="1012" t="s">
        <v>3</v>
      </c>
      <c r="E20" s="1016">
        <v>2400</v>
      </c>
      <c r="F20" s="1013">
        <f t="shared" si="0"/>
        <v>4010</v>
      </c>
      <c r="G20" s="1014">
        <v>0</v>
      </c>
      <c r="H20" s="1014">
        <v>0</v>
      </c>
      <c r="I20" s="1014">
        <v>2960</v>
      </c>
      <c r="J20" s="1014">
        <v>0</v>
      </c>
      <c r="K20" s="1014">
        <v>0</v>
      </c>
      <c r="L20" s="1014">
        <v>0</v>
      </c>
      <c r="M20" s="1014">
        <v>1050</v>
      </c>
      <c r="N20" s="1014">
        <v>0</v>
      </c>
      <c r="O20" s="1014">
        <v>0</v>
      </c>
      <c r="P20" s="1014">
        <v>0</v>
      </c>
      <c r="Q20" s="1014">
        <v>0</v>
      </c>
      <c r="R20" s="1015">
        <v>0</v>
      </c>
    </row>
    <row r="21" spans="1:18">
      <c r="A21" s="1581"/>
      <c r="B21" s="1579"/>
      <c r="C21" s="1577"/>
      <c r="D21" s="1010" t="s">
        <v>912</v>
      </c>
      <c r="E21" s="1016">
        <v>2400</v>
      </c>
      <c r="F21" s="1013">
        <f t="shared" si="0"/>
        <v>4010</v>
      </c>
      <c r="G21" s="1014">
        <v>0</v>
      </c>
      <c r="H21" s="1014">
        <v>0</v>
      </c>
      <c r="I21" s="1014">
        <v>2960</v>
      </c>
      <c r="J21" s="1014">
        <v>0</v>
      </c>
      <c r="K21" s="1014">
        <v>0</v>
      </c>
      <c r="L21" s="1014">
        <v>0</v>
      </c>
      <c r="M21" s="1014">
        <v>1050</v>
      </c>
      <c r="N21" s="1014">
        <v>0</v>
      </c>
      <c r="O21" s="1014">
        <v>0</v>
      </c>
      <c r="P21" s="1014">
        <v>0</v>
      </c>
      <c r="Q21" s="1014">
        <v>0</v>
      </c>
      <c r="R21" s="1015">
        <v>0</v>
      </c>
    </row>
    <row r="22" spans="1:18">
      <c r="A22" s="1580" t="s">
        <v>344</v>
      </c>
      <c r="B22" s="1578" t="s">
        <v>920</v>
      </c>
      <c r="C22" s="1576" t="s">
        <v>341</v>
      </c>
      <c r="D22" s="1012" t="s">
        <v>3</v>
      </c>
      <c r="E22" s="1016">
        <v>250</v>
      </c>
      <c r="F22" s="1013">
        <f t="shared" si="0"/>
        <v>595</v>
      </c>
      <c r="G22" s="1014">
        <v>0</v>
      </c>
      <c r="H22" s="1014">
        <v>0</v>
      </c>
      <c r="I22" s="1014">
        <v>345</v>
      </c>
      <c r="J22" s="1014">
        <v>0</v>
      </c>
      <c r="K22" s="1014">
        <v>0</v>
      </c>
      <c r="L22" s="1014">
        <v>0</v>
      </c>
      <c r="M22" s="1014">
        <v>250</v>
      </c>
      <c r="N22" s="1014">
        <v>0</v>
      </c>
      <c r="O22" s="1014">
        <v>0</v>
      </c>
      <c r="P22" s="1014">
        <v>0</v>
      </c>
      <c r="Q22" s="1014">
        <v>0</v>
      </c>
      <c r="R22" s="1015">
        <v>0</v>
      </c>
    </row>
    <row r="23" spans="1:18">
      <c r="A23" s="1581"/>
      <c r="B23" s="1579"/>
      <c r="C23" s="1577"/>
      <c r="D23" s="1010" t="s">
        <v>912</v>
      </c>
      <c r="E23" s="1016">
        <v>250</v>
      </c>
      <c r="F23" s="1013">
        <f t="shared" si="0"/>
        <v>595</v>
      </c>
      <c r="G23" s="1014">
        <v>0</v>
      </c>
      <c r="H23" s="1014">
        <v>0</v>
      </c>
      <c r="I23" s="1014">
        <v>345</v>
      </c>
      <c r="J23" s="1014">
        <v>0</v>
      </c>
      <c r="K23" s="1014">
        <v>0</v>
      </c>
      <c r="L23" s="1014">
        <v>0</v>
      </c>
      <c r="M23" s="1014">
        <v>250</v>
      </c>
      <c r="N23" s="1014">
        <v>0</v>
      </c>
      <c r="O23" s="1014">
        <v>0</v>
      </c>
      <c r="P23" s="1014">
        <v>0</v>
      </c>
      <c r="Q23" s="1014">
        <v>0</v>
      </c>
      <c r="R23" s="1015">
        <v>0</v>
      </c>
    </row>
    <row r="24" spans="1:18">
      <c r="A24" s="1580" t="s">
        <v>344</v>
      </c>
      <c r="B24" s="1578" t="s">
        <v>921</v>
      </c>
      <c r="C24" s="1576" t="s">
        <v>343</v>
      </c>
      <c r="D24" s="1012" t="s">
        <v>3</v>
      </c>
      <c r="E24" s="1016">
        <v>240</v>
      </c>
      <c r="F24" s="1013">
        <f t="shared" si="0"/>
        <v>720</v>
      </c>
      <c r="G24" s="1014">
        <v>0</v>
      </c>
      <c r="H24" s="1014">
        <v>0</v>
      </c>
      <c r="I24" s="1014">
        <v>720</v>
      </c>
      <c r="J24" s="1014">
        <v>0</v>
      </c>
      <c r="K24" s="1014">
        <v>0</v>
      </c>
      <c r="L24" s="1014">
        <v>0</v>
      </c>
      <c r="M24" s="1014">
        <v>0</v>
      </c>
      <c r="N24" s="1014">
        <v>0</v>
      </c>
      <c r="O24" s="1014">
        <v>0</v>
      </c>
      <c r="P24" s="1014">
        <v>0</v>
      </c>
      <c r="Q24" s="1014">
        <v>0</v>
      </c>
      <c r="R24" s="1015">
        <v>0</v>
      </c>
    </row>
    <row r="25" spans="1:18">
      <c r="A25" s="1581"/>
      <c r="B25" s="1579"/>
      <c r="C25" s="1577"/>
      <c r="D25" s="1010" t="s">
        <v>912</v>
      </c>
      <c r="E25" s="1016">
        <v>240</v>
      </c>
      <c r="F25" s="1013">
        <f t="shared" si="0"/>
        <v>720</v>
      </c>
      <c r="G25" s="1014">
        <v>0</v>
      </c>
      <c r="H25" s="1014">
        <v>0</v>
      </c>
      <c r="I25" s="1014">
        <v>720</v>
      </c>
      <c r="J25" s="1014">
        <v>0</v>
      </c>
      <c r="K25" s="1014">
        <v>0</v>
      </c>
      <c r="L25" s="1014">
        <v>0</v>
      </c>
      <c r="M25" s="1014">
        <v>0</v>
      </c>
      <c r="N25" s="1014">
        <v>0</v>
      </c>
      <c r="O25" s="1014">
        <v>0</v>
      </c>
      <c r="P25" s="1014">
        <v>0</v>
      </c>
      <c r="Q25" s="1014">
        <v>0</v>
      </c>
      <c r="R25" s="1015">
        <v>0</v>
      </c>
    </row>
    <row r="26" spans="1:18" ht="18.75" customHeight="1">
      <c r="A26" s="1580" t="s">
        <v>344</v>
      </c>
      <c r="B26" s="1578" t="s">
        <v>922</v>
      </c>
      <c r="C26" s="1576" t="s">
        <v>450</v>
      </c>
      <c r="D26" s="1012" t="s">
        <v>3</v>
      </c>
      <c r="E26" s="1016">
        <v>33410</v>
      </c>
      <c r="F26" s="1013">
        <f t="shared" si="0"/>
        <v>54244</v>
      </c>
      <c r="G26" s="1014">
        <v>30791</v>
      </c>
      <c r="H26" s="1014">
        <v>4167</v>
      </c>
      <c r="I26" s="1014">
        <v>19286</v>
      </c>
      <c r="J26" s="1014">
        <v>0</v>
      </c>
      <c r="K26" s="1014">
        <v>0</v>
      </c>
      <c r="L26" s="1014">
        <v>0</v>
      </c>
      <c r="M26" s="1014">
        <v>0</v>
      </c>
      <c r="N26" s="1014">
        <v>0</v>
      </c>
      <c r="O26" s="1014">
        <v>0</v>
      </c>
      <c r="P26" s="1014">
        <v>0</v>
      </c>
      <c r="Q26" s="1014">
        <v>0</v>
      </c>
      <c r="R26" s="1015">
        <v>0</v>
      </c>
    </row>
    <row r="27" spans="1:18" ht="18.75" customHeight="1">
      <c r="A27" s="1581"/>
      <c r="B27" s="1579"/>
      <c r="C27" s="1577"/>
      <c r="D27" s="1010" t="s">
        <v>912</v>
      </c>
      <c r="E27" s="1016">
        <f>33410+2372</f>
        <v>35782</v>
      </c>
      <c r="F27" s="1013">
        <f t="shared" si="0"/>
        <v>77219</v>
      </c>
      <c r="G27" s="1014">
        <f>30791+1614+18842</f>
        <v>51247</v>
      </c>
      <c r="H27" s="1014">
        <f>4167+758+1761</f>
        <v>6686</v>
      </c>
      <c r="I27" s="1014">
        <v>19286</v>
      </c>
      <c r="J27" s="1014">
        <v>0</v>
      </c>
      <c r="K27" s="1014">
        <v>0</v>
      </c>
      <c r="L27" s="1014">
        <v>0</v>
      </c>
      <c r="M27" s="1014">
        <v>0</v>
      </c>
      <c r="N27" s="1014">
        <v>0</v>
      </c>
      <c r="O27" s="1014">
        <v>0</v>
      </c>
      <c r="P27" s="1014">
        <v>0</v>
      </c>
      <c r="Q27" s="1014">
        <v>0</v>
      </c>
      <c r="R27" s="1015">
        <v>0</v>
      </c>
    </row>
    <row r="28" spans="1:18" ht="15" customHeight="1">
      <c r="A28" s="1580" t="s">
        <v>100</v>
      </c>
      <c r="B28" s="1578" t="s">
        <v>923</v>
      </c>
      <c r="C28" s="1603" t="s">
        <v>924</v>
      </c>
      <c r="D28" s="1012" t="s">
        <v>3</v>
      </c>
      <c r="E28" s="1016"/>
      <c r="F28" s="1013">
        <f t="shared" si="0"/>
        <v>0</v>
      </c>
      <c r="G28" s="1014"/>
      <c r="H28" s="1014"/>
      <c r="I28" s="1014"/>
      <c r="J28" s="1014"/>
      <c r="K28" s="1014"/>
      <c r="L28" s="1014"/>
      <c r="M28" s="1014"/>
      <c r="N28" s="1014"/>
      <c r="O28" s="1014"/>
      <c r="P28" s="1014"/>
      <c r="Q28" s="1014"/>
      <c r="R28" s="1015"/>
    </row>
    <row r="29" spans="1:18">
      <c r="A29" s="1581"/>
      <c r="B29" s="1579"/>
      <c r="C29" s="1604"/>
      <c r="D29" s="1010" t="s">
        <v>912</v>
      </c>
      <c r="E29" s="1016"/>
      <c r="F29" s="1013">
        <f t="shared" si="0"/>
        <v>1175</v>
      </c>
      <c r="G29" s="1014">
        <v>135</v>
      </c>
      <c r="H29" s="1014">
        <v>22</v>
      </c>
      <c r="I29" s="1014">
        <v>1018</v>
      </c>
      <c r="J29" s="1014"/>
      <c r="K29" s="1014"/>
      <c r="L29" s="1014"/>
      <c r="M29" s="1014"/>
      <c r="N29" s="1014"/>
      <c r="O29" s="1014"/>
      <c r="P29" s="1014"/>
      <c r="Q29" s="1014"/>
      <c r="R29" s="1015"/>
    </row>
    <row r="30" spans="1:18">
      <c r="A30" s="1018"/>
      <c r="B30" s="1586" t="s">
        <v>119</v>
      </c>
      <c r="C30" s="1587"/>
      <c r="D30" s="1019" t="s">
        <v>3</v>
      </c>
      <c r="E30" s="1013">
        <f t="shared" ref="E30:R30" si="1">E6+E8+E10+E12+E14+E16+E18+E20+E22+E24+E26</f>
        <v>896882</v>
      </c>
      <c r="F30" s="1013">
        <f t="shared" si="1"/>
        <v>896882</v>
      </c>
      <c r="G30" s="1013">
        <f t="shared" si="1"/>
        <v>608037</v>
      </c>
      <c r="H30" s="1013">
        <f t="shared" si="1"/>
        <v>115699</v>
      </c>
      <c r="I30" s="1013">
        <f t="shared" si="1"/>
        <v>155460</v>
      </c>
      <c r="J30" s="1013">
        <f t="shared" si="1"/>
        <v>0</v>
      </c>
      <c r="K30" s="1013">
        <f t="shared" si="1"/>
        <v>0</v>
      </c>
      <c r="L30" s="1013">
        <f t="shared" si="1"/>
        <v>0</v>
      </c>
      <c r="M30" s="1013">
        <f t="shared" si="1"/>
        <v>14559</v>
      </c>
      <c r="N30" s="1013">
        <f t="shared" si="1"/>
        <v>1927</v>
      </c>
      <c r="O30" s="1013">
        <f t="shared" si="1"/>
        <v>1200</v>
      </c>
      <c r="P30" s="1013">
        <f t="shared" si="1"/>
        <v>0</v>
      </c>
      <c r="Q30" s="1013">
        <f t="shared" si="1"/>
        <v>0</v>
      </c>
      <c r="R30" s="1020">
        <f t="shared" si="1"/>
        <v>0</v>
      </c>
    </row>
    <row r="31" spans="1:18" ht="15.75" thickBot="1">
      <c r="A31" s="445"/>
      <c r="B31" s="1588"/>
      <c r="C31" s="1589"/>
      <c r="D31" s="1010" t="s">
        <v>912</v>
      </c>
      <c r="E31" s="1013">
        <f>E7+E9+E11+E13+E15+E17+E19+E21+E23+E25+E27</f>
        <v>915455</v>
      </c>
      <c r="F31" s="1013">
        <f>F7+F9+F11+F13+F15+F17+F19+F21+F23+F25+F27+F29</f>
        <v>915455</v>
      </c>
      <c r="G31" s="1013">
        <f>G7+G9+G11+G13+G15+G17+G19+G21+G23+G25+G27+G29</f>
        <v>616268</v>
      </c>
      <c r="H31" s="1013">
        <f t="shared" ref="H31:R31" si="2">H7+H9+H11+H13+H15+H17+H19+H21+H23+H25+H27+H29</f>
        <v>120036</v>
      </c>
      <c r="I31" s="1013">
        <f t="shared" si="2"/>
        <v>161186</v>
      </c>
      <c r="J31" s="1013">
        <f t="shared" si="2"/>
        <v>0</v>
      </c>
      <c r="K31" s="1013">
        <f t="shared" si="2"/>
        <v>0</v>
      </c>
      <c r="L31" s="1013">
        <f t="shared" si="2"/>
        <v>0</v>
      </c>
      <c r="M31" s="1013">
        <f t="shared" si="2"/>
        <v>14838</v>
      </c>
      <c r="N31" s="1013">
        <f t="shared" si="2"/>
        <v>1927</v>
      </c>
      <c r="O31" s="1013">
        <f t="shared" si="2"/>
        <v>1200</v>
      </c>
      <c r="P31" s="1013">
        <f t="shared" si="2"/>
        <v>0</v>
      </c>
      <c r="Q31" s="1013">
        <f t="shared" si="2"/>
        <v>0</v>
      </c>
      <c r="R31" s="1013">
        <f t="shared" si="2"/>
        <v>0</v>
      </c>
    </row>
    <row r="32" spans="1:18">
      <c r="A32" s="1582" t="s">
        <v>121</v>
      </c>
      <c r="B32" s="1583"/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1594"/>
    </row>
    <row r="33" spans="1:18">
      <c r="A33" s="1580" t="s">
        <v>100</v>
      </c>
      <c r="B33" s="1578" t="s">
        <v>795</v>
      </c>
      <c r="C33" s="1576" t="s">
        <v>121</v>
      </c>
      <c r="D33" s="1012" t="s">
        <v>3</v>
      </c>
      <c r="E33" s="1016">
        <v>36297</v>
      </c>
      <c r="F33" s="1013">
        <f>SUM(G33:R33)</f>
        <v>36297</v>
      </c>
      <c r="G33" s="1014">
        <v>28887</v>
      </c>
      <c r="H33" s="1014">
        <v>4569</v>
      </c>
      <c r="I33" s="1014">
        <v>2741</v>
      </c>
      <c r="J33" s="1014">
        <v>0</v>
      </c>
      <c r="K33" s="1014">
        <v>0</v>
      </c>
      <c r="L33" s="1014">
        <v>0</v>
      </c>
      <c r="M33" s="1014">
        <v>100</v>
      </c>
      <c r="N33" s="1014">
        <v>0</v>
      </c>
      <c r="O33" s="1014">
        <v>0</v>
      </c>
      <c r="P33" s="1014">
        <v>0</v>
      </c>
      <c r="Q33" s="1014">
        <v>0</v>
      </c>
      <c r="R33" s="1015">
        <v>0</v>
      </c>
    </row>
    <row r="34" spans="1:18">
      <c r="A34" s="1581"/>
      <c r="B34" s="1579"/>
      <c r="C34" s="1577"/>
      <c r="D34" s="1012" t="s">
        <v>912</v>
      </c>
      <c r="E34" s="1016">
        <f>36297+992-100</f>
        <v>37189</v>
      </c>
      <c r="F34" s="1013">
        <f>SUM(G34:R34)</f>
        <v>37189</v>
      </c>
      <c r="G34" s="1014">
        <v>28887</v>
      </c>
      <c r="H34" s="1014">
        <v>4569</v>
      </c>
      <c r="I34" s="1014">
        <v>2741</v>
      </c>
      <c r="J34" s="1014">
        <v>992</v>
      </c>
      <c r="K34" s="1014">
        <v>0</v>
      </c>
      <c r="L34" s="1014">
        <v>0</v>
      </c>
      <c r="M34" s="1014">
        <f>100-100</f>
        <v>0</v>
      </c>
      <c r="N34" s="1014">
        <v>0</v>
      </c>
      <c r="O34" s="1014">
        <v>0</v>
      </c>
      <c r="P34" s="1014">
        <v>0</v>
      </c>
      <c r="Q34" s="1014">
        <v>0</v>
      </c>
      <c r="R34" s="1015">
        <v>0</v>
      </c>
    </row>
    <row r="35" spans="1:18">
      <c r="A35" s="1021"/>
      <c r="B35" s="1590" t="s">
        <v>567</v>
      </c>
      <c r="C35" s="1591"/>
      <c r="D35" s="1019" t="s">
        <v>3</v>
      </c>
      <c r="E35" s="1016">
        <f>E33</f>
        <v>36297</v>
      </c>
      <c r="F35" s="1016">
        <f t="shared" ref="F35:R36" si="3">F33</f>
        <v>36297</v>
      </c>
      <c r="G35" s="1016">
        <f t="shared" si="3"/>
        <v>28887</v>
      </c>
      <c r="H35" s="1016">
        <f t="shared" si="3"/>
        <v>4569</v>
      </c>
      <c r="I35" s="1016">
        <f t="shared" si="3"/>
        <v>2741</v>
      </c>
      <c r="J35" s="1016">
        <f t="shared" si="3"/>
        <v>0</v>
      </c>
      <c r="K35" s="1016">
        <f t="shared" si="3"/>
        <v>0</v>
      </c>
      <c r="L35" s="1016">
        <f t="shared" si="3"/>
        <v>0</v>
      </c>
      <c r="M35" s="1016">
        <f t="shared" si="3"/>
        <v>100</v>
      </c>
      <c r="N35" s="1016">
        <f t="shared" si="3"/>
        <v>0</v>
      </c>
      <c r="O35" s="1016">
        <f t="shared" si="3"/>
        <v>0</v>
      </c>
      <c r="P35" s="1016">
        <f t="shared" si="3"/>
        <v>0</v>
      </c>
      <c r="Q35" s="1016">
        <f t="shared" si="3"/>
        <v>0</v>
      </c>
      <c r="R35" s="1022">
        <f t="shared" si="3"/>
        <v>0</v>
      </c>
    </row>
    <row r="36" spans="1:18" ht="15.75" thickBot="1">
      <c r="A36" s="1031"/>
      <c r="B36" s="1592"/>
      <c r="C36" s="1593"/>
      <c r="D36" s="1032" t="s">
        <v>912</v>
      </c>
      <c r="E36" s="1033">
        <f>E34</f>
        <v>37189</v>
      </c>
      <c r="F36" s="1033">
        <f t="shared" si="3"/>
        <v>37189</v>
      </c>
      <c r="G36" s="1033">
        <f t="shared" si="3"/>
        <v>28887</v>
      </c>
      <c r="H36" s="1033">
        <f t="shared" si="3"/>
        <v>4569</v>
      </c>
      <c r="I36" s="1033">
        <f t="shared" si="3"/>
        <v>2741</v>
      </c>
      <c r="J36" s="1033">
        <f t="shared" si="3"/>
        <v>992</v>
      </c>
      <c r="K36" s="1033">
        <f t="shared" si="3"/>
        <v>0</v>
      </c>
      <c r="L36" s="1033">
        <f t="shared" si="3"/>
        <v>0</v>
      </c>
      <c r="M36" s="1033">
        <f t="shared" si="3"/>
        <v>0</v>
      </c>
      <c r="N36" s="1033">
        <f t="shared" si="3"/>
        <v>0</v>
      </c>
      <c r="O36" s="1033">
        <f t="shared" si="3"/>
        <v>0</v>
      </c>
      <c r="P36" s="1033">
        <f t="shared" si="3"/>
        <v>0</v>
      </c>
      <c r="Q36" s="1033">
        <f t="shared" si="3"/>
        <v>0</v>
      </c>
      <c r="R36" s="1034">
        <f t="shared" si="3"/>
        <v>0</v>
      </c>
    </row>
    <row r="37" spans="1:18">
      <c r="A37" s="1582" t="s">
        <v>796</v>
      </c>
      <c r="B37" s="1583"/>
      <c r="C37" s="1583"/>
      <c r="D37" s="1583"/>
      <c r="E37" s="1583"/>
      <c r="F37" s="1583"/>
      <c r="G37" s="1583"/>
      <c r="H37" s="1583"/>
      <c r="I37" s="1583"/>
      <c r="J37" s="1583"/>
      <c r="K37" s="1583"/>
      <c r="L37" s="1583"/>
      <c r="M37" s="1583"/>
      <c r="N37" s="1583"/>
      <c r="O37" s="1583"/>
      <c r="P37" s="1583"/>
      <c r="Q37" s="1583"/>
      <c r="R37" s="1594"/>
    </row>
    <row r="38" spans="1:18">
      <c r="A38" s="1580" t="s">
        <v>100</v>
      </c>
      <c r="B38" s="1578" t="s">
        <v>350</v>
      </c>
      <c r="C38" s="1576" t="s">
        <v>122</v>
      </c>
      <c r="D38" s="1012" t="s">
        <v>3</v>
      </c>
      <c r="E38" s="1016">
        <v>19890</v>
      </c>
      <c r="F38" s="1013">
        <f>SUM(G38:R38)</f>
        <v>19890</v>
      </c>
      <c r="G38" s="1014">
        <v>15383</v>
      </c>
      <c r="H38" s="1014">
        <v>2842</v>
      </c>
      <c r="I38" s="1014">
        <v>1665</v>
      </c>
      <c r="J38" s="1014">
        <v>0</v>
      </c>
      <c r="K38" s="1014">
        <v>0</v>
      </c>
      <c r="L38" s="1014">
        <v>0</v>
      </c>
      <c r="M38" s="1014">
        <v>0</v>
      </c>
      <c r="N38" s="1014">
        <v>0</v>
      </c>
      <c r="O38" s="1014">
        <v>0</v>
      </c>
      <c r="P38" s="1014">
        <v>0</v>
      </c>
      <c r="Q38" s="1014">
        <v>0</v>
      </c>
      <c r="R38" s="1015">
        <v>0</v>
      </c>
    </row>
    <row r="39" spans="1:18">
      <c r="A39" s="1581"/>
      <c r="B39" s="1579"/>
      <c r="C39" s="1577"/>
      <c r="D39" s="1012" t="s">
        <v>912</v>
      </c>
      <c r="E39" s="1016">
        <f>19890+3+9015</f>
        <v>28908</v>
      </c>
      <c r="F39" s="1013">
        <f>SUM(G39:R39)</f>
        <v>28908</v>
      </c>
      <c r="G39" s="1014">
        <f>15383+3+62</f>
        <v>15448</v>
      </c>
      <c r="H39" s="1014">
        <f>2842+8</f>
        <v>2850</v>
      </c>
      <c r="I39" s="1014">
        <v>1665</v>
      </c>
      <c r="J39" s="1014">
        <v>8945</v>
      </c>
      <c r="K39" s="1014">
        <v>0</v>
      </c>
      <c r="L39" s="1014">
        <v>0</v>
      </c>
      <c r="M39" s="1014">
        <v>0</v>
      </c>
      <c r="N39" s="1014">
        <v>0</v>
      </c>
      <c r="O39" s="1014">
        <v>0</v>
      </c>
      <c r="P39" s="1014">
        <v>0</v>
      </c>
      <c r="Q39" s="1014">
        <v>0</v>
      </c>
      <c r="R39" s="1015">
        <v>0</v>
      </c>
    </row>
    <row r="40" spans="1:18">
      <c r="A40" s="1021"/>
      <c r="B40" s="1590" t="s">
        <v>568</v>
      </c>
      <c r="C40" s="1591"/>
      <c r="D40" s="1019" t="s">
        <v>3</v>
      </c>
      <c r="E40" s="1016">
        <f>E38</f>
        <v>19890</v>
      </c>
      <c r="F40" s="1013">
        <f t="shared" ref="F40:R41" si="4">F38</f>
        <v>19890</v>
      </c>
      <c r="G40" s="1014">
        <f t="shared" si="4"/>
        <v>15383</v>
      </c>
      <c r="H40" s="1014">
        <f t="shared" si="4"/>
        <v>2842</v>
      </c>
      <c r="I40" s="1014">
        <f t="shared" si="4"/>
        <v>1665</v>
      </c>
      <c r="J40" s="1014">
        <f t="shared" si="4"/>
        <v>0</v>
      </c>
      <c r="K40" s="1014">
        <f t="shared" si="4"/>
        <v>0</v>
      </c>
      <c r="L40" s="1014">
        <f t="shared" si="4"/>
        <v>0</v>
      </c>
      <c r="M40" s="1014">
        <f t="shared" si="4"/>
        <v>0</v>
      </c>
      <c r="N40" s="1014">
        <f t="shared" si="4"/>
        <v>0</v>
      </c>
      <c r="O40" s="1014">
        <f t="shared" si="4"/>
        <v>0</v>
      </c>
      <c r="P40" s="1014">
        <f t="shared" si="4"/>
        <v>0</v>
      </c>
      <c r="Q40" s="1014">
        <f t="shared" si="4"/>
        <v>0</v>
      </c>
      <c r="R40" s="1015">
        <f t="shared" si="4"/>
        <v>0</v>
      </c>
    </row>
    <row r="41" spans="1:18" ht="15.75" thickBot="1">
      <c r="A41" s="1031"/>
      <c r="B41" s="1592"/>
      <c r="C41" s="1593"/>
      <c r="D41" s="1032" t="s">
        <v>912</v>
      </c>
      <c r="E41" s="1035">
        <f>E39</f>
        <v>28908</v>
      </c>
      <c r="F41" s="447">
        <f t="shared" si="4"/>
        <v>28908</v>
      </c>
      <c r="G41" s="1036">
        <f t="shared" si="4"/>
        <v>15448</v>
      </c>
      <c r="H41" s="1036">
        <f t="shared" si="4"/>
        <v>2850</v>
      </c>
      <c r="I41" s="1036">
        <f t="shared" si="4"/>
        <v>1665</v>
      </c>
      <c r="J41" s="1036">
        <f t="shared" si="4"/>
        <v>8945</v>
      </c>
      <c r="K41" s="1036">
        <f t="shared" si="4"/>
        <v>0</v>
      </c>
      <c r="L41" s="1036">
        <f t="shared" si="4"/>
        <v>0</v>
      </c>
      <c r="M41" s="1036">
        <f t="shared" si="4"/>
        <v>0</v>
      </c>
      <c r="N41" s="1036">
        <f t="shared" si="4"/>
        <v>0</v>
      </c>
      <c r="O41" s="1036">
        <f t="shared" si="4"/>
        <v>0</v>
      </c>
      <c r="P41" s="1036">
        <f t="shared" si="4"/>
        <v>0</v>
      </c>
      <c r="Q41" s="1036">
        <f t="shared" si="4"/>
        <v>0</v>
      </c>
      <c r="R41" s="1037">
        <f t="shared" si="4"/>
        <v>0</v>
      </c>
    </row>
    <row r="42" spans="1:18">
      <c r="A42" s="1582" t="s">
        <v>120</v>
      </c>
      <c r="B42" s="1583"/>
      <c r="C42" s="1583"/>
      <c r="D42" s="1583"/>
      <c r="E42" s="1583"/>
      <c r="F42" s="1583"/>
      <c r="G42" s="1583"/>
      <c r="H42" s="1583"/>
      <c r="I42" s="1583"/>
      <c r="J42" s="1583"/>
      <c r="K42" s="1583"/>
      <c r="L42" s="1583"/>
      <c r="M42" s="1583"/>
      <c r="N42" s="1583"/>
      <c r="O42" s="1583"/>
      <c r="P42" s="1583"/>
      <c r="Q42" s="1583"/>
      <c r="R42" s="1594"/>
    </row>
    <row r="43" spans="1:18">
      <c r="A43" s="1580" t="s">
        <v>100</v>
      </c>
      <c r="B43" s="1578" t="s">
        <v>551</v>
      </c>
      <c r="C43" s="1576" t="s">
        <v>120</v>
      </c>
      <c r="D43" s="1012" t="s">
        <v>3</v>
      </c>
      <c r="E43" s="1016">
        <v>45020</v>
      </c>
      <c r="F43" s="1013">
        <f>SUM(G43:R43)</f>
        <v>45020</v>
      </c>
      <c r="G43" s="1014">
        <v>37036</v>
      </c>
      <c r="H43" s="1014">
        <v>6657</v>
      </c>
      <c r="I43" s="1014">
        <v>1327</v>
      </c>
      <c r="J43" s="1014">
        <v>0</v>
      </c>
      <c r="K43" s="1014">
        <v>0</v>
      </c>
      <c r="L43" s="1014">
        <v>0</v>
      </c>
      <c r="M43" s="1014">
        <v>0</v>
      </c>
      <c r="N43" s="1014">
        <v>0</v>
      </c>
      <c r="O43" s="1014">
        <v>0</v>
      </c>
      <c r="P43" s="1014">
        <v>0</v>
      </c>
      <c r="Q43" s="1014">
        <v>0</v>
      </c>
      <c r="R43" s="1015">
        <v>0</v>
      </c>
    </row>
    <row r="44" spans="1:18">
      <c r="A44" s="1581"/>
      <c r="B44" s="1579"/>
      <c r="C44" s="1577"/>
      <c r="D44" s="1012" t="s">
        <v>912</v>
      </c>
      <c r="E44" s="1016">
        <f>45020+14627</f>
        <v>59647</v>
      </c>
      <c r="F44" s="1013">
        <f>SUM(G44:R44)</f>
        <v>59647</v>
      </c>
      <c r="G44" s="1014">
        <f>37036+809</f>
        <v>37845</v>
      </c>
      <c r="H44" s="1014">
        <f>6657+103</f>
        <v>6760</v>
      </c>
      <c r="I44" s="1014">
        <v>1327</v>
      </c>
      <c r="J44" s="1014">
        <v>13715</v>
      </c>
      <c r="K44" s="1014">
        <v>0</v>
      </c>
      <c r="L44" s="1014">
        <v>0</v>
      </c>
      <c r="M44" s="1014">
        <v>0</v>
      </c>
      <c r="N44" s="1014">
        <v>0</v>
      </c>
      <c r="O44" s="1014">
        <v>0</v>
      </c>
      <c r="P44" s="1014">
        <v>0</v>
      </c>
      <c r="Q44" s="1014">
        <v>0</v>
      </c>
      <c r="R44" s="1015">
        <v>0</v>
      </c>
    </row>
    <row r="45" spans="1:18">
      <c r="A45" s="1021"/>
      <c r="B45" s="1590" t="s">
        <v>566</v>
      </c>
      <c r="C45" s="1591"/>
      <c r="D45" s="1019" t="s">
        <v>3</v>
      </c>
      <c r="E45" s="1016">
        <f>E43</f>
        <v>45020</v>
      </c>
      <c r="F45" s="1013">
        <f t="shared" ref="F45:R46" si="5">F43</f>
        <v>45020</v>
      </c>
      <c r="G45" s="1014">
        <f t="shared" si="5"/>
        <v>37036</v>
      </c>
      <c r="H45" s="1014">
        <f t="shared" si="5"/>
        <v>6657</v>
      </c>
      <c r="I45" s="1014">
        <f t="shared" si="5"/>
        <v>1327</v>
      </c>
      <c r="J45" s="1014">
        <f t="shared" si="5"/>
        <v>0</v>
      </c>
      <c r="K45" s="1014">
        <f t="shared" si="5"/>
        <v>0</v>
      </c>
      <c r="L45" s="1014">
        <f t="shared" si="5"/>
        <v>0</v>
      </c>
      <c r="M45" s="1014">
        <f t="shared" si="5"/>
        <v>0</v>
      </c>
      <c r="N45" s="1014">
        <f t="shared" si="5"/>
        <v>0</v>
      </c>
      <c r="O45" s="1014">
        <f t="shared" si="5"/>
        <v>0</v>
      </c>
      <c r="P45" s="1014">
        <f t="shared" si="5"/>
        <v>0</v>
      </c>
      <c r="Q45" s="1014">
        <f t="shared" si="5"/>
        <v>0</v>
      </c>
      <c r="R45" s="1015">
        <f t="shared" si="5"/>
        <v>0</v>
      </c>
    </row>
    <row r="46" spans="1:18" ht="15.75" thickBot="1">
      <c r="A46" s="997"/>
      <c r="B46" s="1592"/>
      <c r="C46" s="1593"/>
      <c r="D46" s="1010" t="s">
        <v>912</v>
      </c>
      <c r="E46" s="1016">
        <f>E44</f>
        <v>59647</v>
      </c>
      <c r="F46" s="1013">
        <f t="shared" si="5"/>
        <v>59647</v>
      </c>
      <c r="G46" s="1014">
        <f t="shared" si="5"/>
        <v>37845</v>
      </c>
      <c r="H46" s="1014">
        <f t="shared" si="5"/>
        <v>6760</v>
      </c>
      <c r="I46" s="1014">
        <f t="shared" si="5"/>
        <v>1327</v>
      </c>
      <c r="J46" s="1014">
        <f t="shared" si="5"/>
        <v>13715</v>
      </c>
      <c r="K46" s="1014">
        <f t="shared" si="5"/>
        <v>0</v>
      </c>
      <c r="L46" s="1014">
        <f t="shared" si="5"/>
        <v>0</v>
      </c>
      <c r="M46" s="1014">
        <f t="shared" si="5"/>
        <v>0</v>
      </c>
      <c r="N46" s="1014">
        <f t="shared" si="5"/>
        <v>0</v>
      </c>
      <c r="O46" s="1014">
        <f t="shared" si="5"/>
        <v>0</v>
      </c>
      <c r="P46" s="1014">
        <f t="shared" si="5"/>
        <v>0</v>
      </c>
      <c r="Q46" s="1014">
        <f t="shared" si="5"/>
        <v>0</v>
      </c>
      <c r="R46" s="1015">
        <f t="shared" si="5"/>
        <v>0</v>
      </c>
    </row>
    <row r="47" spans="1:18">
      <c r="A47" s="1595" t="s">
        <v>123</v>
      </c>
      <c r="B47" s="1596"/>
      <c r="C47" s="1597"/>
      <c r="D47" s="1023" t="s">
        <v>3</v>
      </c>
      <c r="E47" s="212">
        <f t="shared" ref="E47:R48" si="6">E35+E40+E45</f>
        <v>101207</v>
      </c>
      <c r="F47" s="212">
        <f t="shared" si="6"/>
        <v>101207</v>
      </c>
      <c r="G47" s="212">
        <f t="shared" si="6"/>
        <v>81306</v>
      </c>
      <c r="H47" s="212">
        <f t="shared" si="6"/>
        <v>14068</v>
      </c>
      <c r="I47" s="212">
        <f t="shared" si="6"/>
        <v>5733</v>
      </c>
      <c r="J47" s="212">
        <f t="shared" si="6"/>
        <v>0</v>
      </c>
      <c r="K47" s="212">
        <f t="shared" si="6"/>
        <v>0</v>
      </c>
      <c r="L47" s="212">
        <f t="shared" si="6"/>
        <v>0</v>
      </c>
      <c r="M47" s="212">
        <f t="shared" si="6"/>
        <v>100</v>
      </c>
      <c r="N47" s="212">
        <f t="shared" si="6"/>
        <v>0</v>
      </c>
      <c r="O47" s="212">
        <f t="shared" si="6"/>
        <v>0</v>
      </c>
      <c r="P47" s="212">
        <f t="shared" si="6"/>
        <v>0</v>
      </c>
      <c r="Q47" s="212">
        <f t="shared" si="6"/>
        <v>0</v>
      </c>
      <c r="R47" s="446">
        <f t="shared" si="6"/>
        <v>0</v>
      </c>
    </row>
    <row r="48" spans="1:18" ht="15.75" thickBot="1">
      <c r="A48" s="1598"/>
      <c r="B48" s="1599"/>
      <c r="C48" s="1600"/>
      <c r="D48" s="1024" t="s">
        <v>912</v>
      </c>
      <c r="E48" s="227">
        <f t="shared" si="6"/>
        <v>125744</v>
      </c>
      <c r="F48" s="227">
        <f t="shared" si="6"/>
        <v>125744</v>
      </c>
      <c r="G48" s="227">
        <f t="shared" si="6"/>
        <v>82180</v>
      </c>
      <c r="H48" s="227">
        <f t="shared" si="6"/>
        <v>14179</v>
      </c>
      <c r="I48" s="227">
        <f t="shared" si="6"/>
        <v>5733</v>
      </c>
      <c r="J48" s="227">
        <f t="shared" si="6"/>
        <v>23652</v>
      </c>
      <c r="K48" s="227">
        <f t="shared" si="6"/>
        <v>0</v>
      </c>
      <c r="L48" s="227">
        <f t="shared" si="6"/>
        <v>0</v>
      </c>
      <c r="M48" s="227">
        <f t="shared" si="6"/>
        <v>0</v>
      </c>
      <c r="N48" s="227">
        <f t="shared" si="6"/>
        <v>0</v>
      </c>
      <c r="O48" s="227">
        <f t="shared" si="6"/>
        <v>0</v>
      </c>
      <c r="P48" s="227">
        <f t="shared" si="6"/>
        <v>0</v>
      </c>
      <c r="Q48" s="227">
        <f t="shared" si="6"/>
        <v>0</v>
      </c>
      <c r="R48" s="228">
        <f t="shared" si="6"/>
        <v>0</v>
      </c>
    </row>
    <row r="49" spans="1:18">
      <c r="A49" s="1582" t="s">
        <v>124</v>
      </c>
      <c r="B49" s="1583"/>
      <c r="C49" s="1583"/>
      <c r="D49" s="1025" t="s">
        <v>3</v>
      </c>
      <c r="E49" s="212">
        <f t="shared" ref="E49:R50" si="7">E30+E35+E40+E45</f>
        <v>998089</v>
      </c>
      <c r="F49" s="212">
        <f t="shared" si="7"/>
        <v>998089</v>
      </c>
      <c r="G49" s="212">
        <f t="shared" si="7"/>
        <v>689343</v>
      </c>
      <c r="H49" s="212">
        <f t="shared" si="7"/>
        <v>129767</v>
      </c>
      <c r="I49" s="212">
        <f t="shared" si="7"/>
        <v>161193</v>
      </c>
      <c r="J49" s="212">
        <f t="shared" si="7"/>
        <v>0</v>
      </c>
      <c r="K49" s="212">
        <f t="shared" si="7"/>
        <v>0</v>
      </c>
      <c r="L49" s="212">
        <f t="shared" si="7"/>
        <v>0</v>
      </c>
      <c r="M49" s="212">
        <f t="shared" si="7"/>
        <v>14659</v>
      </c>
      <c r="N49" s="212">
        <f t="shared" si="7"/>
        <v>1927</v>
      </c>
      <c r="O49" s="212">
        <f t="shared" si="7"/>
        <v>1200</v>
      </c>
      <c r="P49" s="212">
        <f t="shared" si="7"/>
        <v>0</v>
      </c>
      <c r="Q49" s="212">
        <f t="shared" si="7"/>
        <v>0</v>
      </c>
      <c r="R49" s="446">
        <f t="shared" si="7"/>
        <v>0</v>
      </c>
    </row>
    <row r="50" spans="1:18" ht="15.75" thickBot="1">
      <c r="A50" s="1584"/>
      <c r="B50" s="1585"/>
      <c r="C50" s="1585"/>
      <c r="D50" s="1026" t="s">
        <v>912</v>
      </c>
      <c r="E50" s="447">
        <f t="shared" si="7"/>
        <v>1041199</v>
      </c>
      <c r="F50" s="447">
        <f>F31+F36+F41+F46</f>
        <v>1041199</v>
      </c>
      <c r="G50" s="447">
        <f t="shared" si="7"/>
        <v>698448</v>
      </c>
      <c r="H50" s="447">
        <f t="shared" si="7"/>
        <v>134215</v>
      </c>
      <c r="I50" s="447">
        <f t="shared" si="7"/>
        <v>166919</v>
      </c>
      <c r="J50" s="447">
        <f t="shared" si="7"/>
        <v>23652</v>
      </c>
      <c r="K50" s="447">
        <f t="shared" si="7"/>
        <v>0</v>
      </c>
      <c r="L50" s="447">
        <f t="shared" si="7"/>
        <v>0</v>
      </c>
      <c r="M50" s="447">
        <f t="shared" si="7"/>
        <v>14838</v>
      </c>
      <c r="N50" s="447">
        <f t="shared" si="7"/>
        <v>1927</v>
      </c>
      <c r="O50" s="447">
        <f t="shared" si="7"/>
        <v>1200</v>
      </c>
      <c r="P50" s="447">
        <f t="shared" si="7"/>
        <v>0</v>
      </c>
      <c r="Q50" s="447">
        <f t="shared" si="7"/>
        <v>0</v>
      </c>
      <c r="R50" s="448">
        <f t="shared" si="7"/>
        <v>0</v>
      </c>
    </row>
    <row r="51" spans="1:18">
      <c r="A51" s="1595" t="s">
        <v>116</v>
      </c>
      <c r="B51" s="1596"/>
      <c r="C51" s="1597"/>
      <c r="D51" s="1025" t="s">
        <v>3</v>
      </c>
      <c r="E51" s="212">
        <v>0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2">
        <v>0</v>
      </c>
      <c r="L51" s="212">
        <v>0</v>
      </c>
      <c r="M51" s="212">
        <v>0</v>
      </c>
      <c r="N51" s="212">
        <v>0</v>
      </c>
      <c r="O51" s="212">
        <v>0</v>
      </c>
      <c r="P51" s="212">
        <v>0</v>
      </c>
      <c r="Q51" s="212">
        <v>0</v>
      </c>
      <c r="R51" s="446">
        <v>0</v>
      </c>
    </row>
    <row r="52" spans="1:18" ht="15.75" thickBot="1">
      <c r="A52" s="1598"/>
      <c r="B52" s="1599"/>
      <c r="C52" s="1600"/>
      <c r="D52" s="1024" t="s">
        <v>912</v>
      </c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8"/>
    </row>
    <row r="53" spans="1:18">
      <c r="A53" s="1582" t="s">
        <v>449</v>
      </c>
      <c r="B53" s="1583"/>
      <c r="C53" s="1583"/>
      <c r="D53" s="1025" t="s">
        <v>3</v>
      </c>
      <c r="E53" s="212">
        <f t="shared" ref="E53:R53" si="8">SUM(E12+E20+E22+E24+E26+E16)</f>
        <v>36550</v>
      </c>
      <c r="F53" s="212">
        <f t="shared" si="8"/>
        <v>96512</v>
      </c>
      <c r="G53" s="212">
        <f t="shared" si="8"/>
        <v>53460</v>
      </c>
      <c r="H53" s="212">
        <f t="shared" si="8"/>
        <v>8334</v>
      </c>
      <c r="I53" s="212">
        <f t="shared" si="8"/>
        <v>32018</v>
      </c>
      <c r="J53" s="212">
        <f t="shared" si="8"/>
        <v>0</v>
      </c>
      <c r="K53" s="212">
        <f t="shared" si="8"/>
        <v>0</v>
      </c>
      <c r="L53" s="212">
        <f t="shared" si="8"/>
        <v>0</v>
      </c>
      <c r="M53" s="212">
        <f t="shared" si="8"/>
        <v>1500</v>
      </c>
      <c r="N53" s="212">
        <f t="shared" si="8"/>
        <v>0</v>
      </c>
      <c r="O53" s="212">
        <f t="shared" si="8"/>
        <v>1200</v>
      </c>
      <c r="P53" s="212">
        <f t="shared" si="8"/>
        <v>0</v>
      </c>
      <c r="Q53" s="212">
        <f t="shared" si="8"/>
        <v>0</v>
      </c>
      <c r="R53" s="446">
        <f t="shared" si="8"/>
        <v>0</v>
      </c>
    </row>
    <row r="54" spans="1:18" ht="15.75" thickBot="1">
      <c r="A54" s="1601"/>
      <c r="B54" s="1602"/>
      <c r="C54" s="1602"/>
      <c r="D54" s="1027" t="s">
        <v>912</v>
      </c>
      <c r="E54" s="1028">
        <f t="shared" ref="E54:R54" si="9">SUM(E13+E21+E23+E25+E27+E17)</f>
        <v>38922</v>
      </c>
      <c r="F54" s="1028">
        <f t="shared" si="9"/>
        <v>119514</v>
      </c>
      <c r="G54" s="1028">
        <f t="shared" si="9"/>
        <v>73916</v>
      </c>
      <c r="H54" s="1028">
        <f t="shared" si="9"/>
        <v>10853</v>
      </c>
      <c r="I54" s="1028">
        <f t="shared" si="9"/>
        <v>32045</v>
      </c>
      <c r="J54" s="1028">
        <f t="shared" si="9"/>
        <v>0</v>
      </c>
      <c r="K54" s="1028">
        <f t="shared" si="9"/>
        <v>0</v>
      </c>
      <c r="L54" s="1028">
        <f t="shared" si="9"/>
        <v>0</v>
      </c>
      <c r="M54" s="1028">
        <f t="shared" si="9"/>
        <v>1500</v>
      </c>
      <c r="N54" s="1028">
        <f t="shared" si="9"/>
        <v>0</v>
      </c>
      <c r="O54" s="1028">
        <f t="shared" si="9"/>
        <v>1200</v>
      </c>
      <c r="P54" s="1028">
        <f t="shared" si="9"/>
        <v>0</v>
      </c>
      <c r="Q54" s="1028">
        <f t="shared" si="9"/>
        <v>0</v>
      </c>
      <c r="R54" s="1029">
        <f t="shared" si="9"/>
        <v>0</v>
      </c>
    </row>
    <row r="55" spans="1:18">
      <c r="A55" s="1582" t="s">
        <v>117</v>
      </c>
      <c r="B55" s="1583"/>
      <c r="C55" s="1583"/>
      <c r="D55" s="1025" t="s">
        <v>3</v>
      </c>
      <c r="E55" s="212">
        <f t="shared" ref="E55:R55" si="10">E6+E8+E10+E14+E18+E33+E38+E43</f>
        <v>961539</v>
      </c>
      <c r="F55" s="212">
        <f t="shared" si="10"/>
        <v>901577</v>
      </c>
      <c r="G55" s="212">
        <f t="shared" si="10"/>
        <v>635883</v>
      </c>
      <c r="H55" s="212">
        <f t="shared" si="10"/>
        <v>121433</v>
      </c>
      <c r="I55" s="212">
        <f t="shared" si="10"/>
        <v>129175</v>
      </c>
      <c r="J55" s="212">
        <f t="shared" si="10"/>
        <v>0</v>
      </c>
      <c r="K55" s="212">
        <f t="shared" si="10"/>
        <v>0</v>
      </c>
      <c r="L55" s="212">
        <f t="shared" si="10"/>
        <v>0</v>
      </c>
      <c r="M55" s="212">
        <f t="shared" si="10"/>
        <v>13159</v>
      </c>
      <c r="N55" s="212">
        <f t="shared" si="10"/>
        <v>1927</v>
      </c>
      <c r="O55" s="212">
        <f t="shared" si="10"/>
        <v>0</v>
      </c>
      <c r="P55" s="212">
        <f t="shared" si="10"/>
        <v>0</v>
      </c>
      <c r="Q55" s="212">
        <f t="shared" si="10"/>
        <v>0</v>
      </c>
      <c r="R55" s="446">
        <f t="shared" si="10"/>
        <v>0</v>
      </c>
    </row>
    <row r="56" spans="1:18" ht="15.75" thickBot="1">
      <c r="A56" s="1584"/>
      <c r="B56" s="1585"/>
      <c r="C56" s="1585"/>
      <c r="D56" s="1026" t="s">
        <v>912</v>
      </c>
      <c r="E56" s="447">
        <f>E7+E9+E11+E15+E19+E34+E39+E44</f>
        <v>1002277</v>
      </c>
      <c r="F56" s="447">
        <f>F7+F9+F11+F15+F19+F34+F39+F44+F29</f>
        <v>921685</v>
      </c>
      <c r="G56" s="447">
        <f t="shared" ref="G56:R56" si="11">G7+G9+G11+G15+G19+G34+G39+G44+G29</f>
        <v>624532</v>
      </c>
      <c r="H56" s="447">
        <f t="shared" si="11"/>
        <v>123362</v>
      </c>
      <c r="I56" s="447">
        <f t="shared" si="11"/>
        <v>134874</v>
      </c>
      <c r="J56" s="447">
        <f t="shared" si="11"/>
        <v>23652</v>
      </c>
      <c r="K56" s="447">
        <f t="shared" si="11"/>
        <v>0</v>
      </c>
      <c r="L56" s="447">
        <f t="shared" si="11"/>
        <v>0</v>
      </c>
      <c r="M56" s="447">
        <f t="shared" si="11"/>
        <v>13338</v>
      </c>
      <c r="N56" s="447">
        <f t="shared" si="11"/>
        <v>1927</v>
      </c>
      <c r="O56" s="447">
        <f t="shared" si="11"/>
        <v>0</v>
      </c>
      <c r="P56" s="447">
        <f t="shared" si="11"/>
        <v>0</v>
      </c>
      <c r="Q56" s="447">
        <f t="shared" si="11"/>
        <v>0</v>
      </c>
      <c r="R56" s="447">
        <f t="shared" si="11"/>
        <v>0</v>
      </c>
    </row>
  </sheetData>
  <mergeCells count="65">
    <mergeCell ref="A1:R1"/>
    <mergeCell ref="A10:A11"/>
    <mergeCell ref="B10:B11"/>
    <mergeCell ref="C10:C11"/>
    <mergeCell ref="C14:C15"/>
    <mergeCell ref="B14:B15"/>
    <mergeCell ref="A14:A15"/>
    <mergeCell ref="C12:C13"/>
    <mergeCell ref="B12:B13"/>
    <mergeCell ref="A12:A13"/>
    <mergeCell ref="Q3:R3"/>
    <mergeCell ref="A5:R5"/>
    <mergeCell ref="A6:A7"/>
    <mergeCell ref="B6:B7"/>
    <mergeCell ref="F3:F4"/>
    <mergeCell ref="G3:L3"/>
    <mergeCell ref="C16:C17"/>
    <mergeCell ref="B16:B17"/>
    <mergeCell ref="A16:A17"/>
    <mergeCell ref="A3:D4"/>
    <mergeCell ref="E3:E4"/>
    <mergeCell ref="M3:P3"/>
    <mergeCell ref="C6:C7"/>
    <mergeCell ref="A8:A9"/>
    <mergeCell ref="B8:B9"/>
    <mergeCell ref="C8:C9"/>
    <mergeCell ref="C24:C25"/>
    <mergeCell ref="B24:B25"/>
    <mergeCell ref="A24:A25"/>
    <mergeCell ref="C22:C23"/>
    <mergeCell ref="B22:B23"/>
    <mergeCell ref="A22:A23"/>
    <mergeCell ref="B20:B21"/>
    <mergeCell ref="A20:A21"/>
    <mergeCell ref="C18:C19"/>
    <mergeCell ref="B18:B19"/>
    <mergeCell ref="A18:A19"/>
    <mergeCell ref="C20:C21"/>
    <mergeCell ref="C38:C39"/>
    <mergeCell ref="B38:B39"/>
    <mergeCell ref="A38:A39"/>
    <mergeCell ref="C26:C27"/>
    <mergeCell ref="B26:B27"/>
    <mergeCell ref="A26:A27"/>
    <mergeCell ref="C28:C29"/>
    <mergeCell ref="B28:B29"/>
    <mergeCell ref="A28:A29"/>
    <mergeCell ref="A32:R32"/>
    <mergeCell ref="A37:R37"/>
    <mergeCell ref="C43:C44"/>
    <mergeCell ref="B43:B44"/>
    <mergeCell ref="A43:A44"/>
    <mergeCell ref="A55:C56"/>
    <mergeCell ref="B30:C31"/>
    <mergeCell ref="B35:C36"/>
    <mergeCell ref="C33:C34"/>
    <mergeCell ref="B33:B34"/>
    <mergeCell ref="A33:A34"/>
    <mergeCell ref="A42:R42"/>
    <mergeCell ref="B45:C46"/>
    <mergeCell ref="A47:C48"/>
    <mergeCell ref="A49:C50"/>
    <mergeCell ref="A51:C52"/>
    <mergeCell ref="A53:C54"/>
    <mergeCell ref="B40:C4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6" fitToHeight="2" orientation="landscape" r:id="rId1"/>
  <headerFooter>
    <oddHeader>&amp;L&amp;"Times New Roman,Normál"&amp;8 5. melléklet a   17 /2020. (VII.9.) önkormányzati rendelethez</oddHeader>
    <oddFooter>&amp;L24/2019.(XII.19.)önk.rend. Hatályos:2020.01.01.</oddFooter>
  </headerFooter>
  <rowBreaks count="1" manualBreakCount="1">
    <brk id="36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view="pageLayout" zoomScale="80" zoomScaleNormal="59" zoomScalePageLayoutView="80" workbookViewId="0">
      <selection activeCell="H32" sqref="H32"/>
    </sheetView>
  </sheetViews>
  <sheetFormatPr defaultColWidth="9" defaultRowHeight="15"/>
  <cols>
    <col min="1" max="1" width="20.85546875" style="45" customWidth="1"/>
    <col min="2" max="2" width="10.140625" style="45" customWidth="1"/>
    <col min="3" max="3" width="14.7109375" style="1368" bestFit="1" customWidth="1"/>
    <col min="4" max="4" width="9.85546875" style="45" customWidth="1"/>
    <col min="5" max="5" width="9.28515625" style="45" bestFit="1" customWidth="1"/>
    <col min="6" max="6" width="11.7109375" style="45" customWidth="1"/>
    <col min="7" max="8" width="9.28515625" style="45" bestFit="1" customWidth="1"/>
    <col min="9" max="9" width="12.5703125" style="45" customWidth="1"/>
    <col min="10" max="10" width="10.28515625" style="45" customWidth="1"/>
    <col min="11" max="11" width="10.85546875" style="45" customWidth="1"/>
    <col min="12" max="12" width="11.85546875" style="45" customWidth="1"/>
    <col min="13" max="13" width="13.28515625" style="45" customWidth="1"/>
    <col min="14" max="14" width="9.7109375" style="45" customWidth="1"/>
    <col min="15" max="15" width="9.140625" style="45" customWidth="1"/>
    <col min="16" max="16" width="14.85546875" style="45" customWidth="1"/>
    <col min="17" max="17" width="12" style="45" customWidth="1"/>
    <col min="18" max="18" width="14.42578125" style="45" customWidth="1"/>
    <col min="19" max="16384" width="9" style="45"/>
  </cols>
  <sheetData>
    <row r="1" spans="1:21" ht="21" customHeight="1">
      <c r="A1" s="1641" t="s">
        <v>957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1"/>
    </row>
    <row r="2" spans="1:21" ht="12.75" customHeight="1" thickBot="1">
      <c r="A2" s="1641"/>
      <c r="B2" s="1641"/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1641"/>
    </row>
    <row r="3" spans="1:21" ht="27.75" customHeight="1">
      <c r="A3" s="1512" t="s">
        <v>125</v>
      </c>
      <c r="B3" s="1643" t="s">
        <v>126</v>
      </c>
      <c r="C3" s="1645"/>
      <c r="D3" s="1515" t="s">
        <v>20</v>
      </c>
      <c r="E3" s="1649"/>
      <c r="F3" s="1649"/>
      <c r="G3" s="1649"/>
      <c r="H3" s="1649"/>
      <c r="I3" s="1649"/>
      <c r="J3" s="1643" t="s">
        <v>538</v>
      </c>
      <c r="K3" s="1643"/>
      <c r="L3" s="1643"/>
      <c r="M3" s="1643"/>
      <c r="N3" s="1643" t="s">
        <v>966</v>
      </c>
      <c r="O3" s="1647" t="s">
        <v>967</v>
      </c>
      <c r="P3" s="1647" t="s">
        <v>968</v>
      </c>
      <c r="Q3" s="1643" t="s">
        <v>969</v>
      </c>
      <c r="R3" s="1513" t="s">
        <v>539</v>
      </c>
    </row>
    <row r="4" spans="1:21" ht="120.75" customHeight="1" thickBot="1">
      <c r="A4" s="1642"/>
      <c r="B4" s="1644"/>
      <c r="C4" s="1646"/>
      <c r="D4" s="1333" t="s">
        <v>970</v>
      </c>
      <c r="E4" s="1333" t="s">
        <v>971</v>
      </c>
      <c r="F4" s="1333" t="s">
        <v>976</v>
      </c>
      <c r="G4" s="1333" t="s">
        <v>28</v>
      </c>
      <c r="H4" s="1333" t="s">
        <v>127</v>
      </c>
      <c r="I4" s="1333" t="s">
        <v>972</v>
      </c>
      <c r="J4" s="1333" t="s">
        <v>973</v>
      </c>
      <c r="K4" s="1333" t="s">
        <v>745</v>
      </c>
      <c r="L4" s="1333" t="s">
        <v>974</v>
      </c>
      <c r="M4" s="1333" t="s">
        <v>975</v>
      </c>
      <c r="N4" s="1644"/>
      <c r="O4" s="1650"/>
      <c r="P4" s="1648"/>
      <c r="Q4" s="1644"/>
      <c r="R4" s="1640"/>
      <c r="T4" s="120"/>
      <c r="U4" s="120"/>
    </row>
    <row r="5" spans="1:21" ht="24" customHeight="1">
      <c r="A5" s="1638" t="s">
        <v>789</v>
      </c>
      <c r="B5" s="1639" t="s">
        <v>101</v>
      </c>
      <c r="C5" s="1363" t="s">
        <v>3</v>
      </c>
      <c r="D5" s="224"/>
      <c r="E5" s="225">
        <v>329</v>
      </c>
      <c r="F5" s="225"/>
      <c r="G5" s="225">
        <v>2141</v>
      </c>
      <c r="H5" s="225">
        <v>665</v>
      </c>
      <c r="I5" s="225"/>
      <c r="J5" s="225"/>
      <c r="K5" s="225"/>
      <c r="L5" s="225"/>
      <c r="M5" s="225"/>
      <c r="N5" s="225"/>
      <c r="O5" s="225"/>
      <c r="P5" s="225">
        <v>117641</v>
      </c>
      <c r="Q5" s="225">
        <f>SUM(D5:O5)</f>
        <v>3135</v>
      </c>
      <c r="R5" s="226">
        <f>P5+Q5</f>
        <v>120776</v>
      </c>
      <c r="S5" s="90"/>
      <c r="U5" s="90"/>
    </row>
    <row r="6" spans="1:21" ht="24" customHeight="1">
      <c r="A6" s="1623"/>
      <c r="B6" s="1626"/>
      <c r="C6" s="1364" t="s">
        <v>912</v>
      </c>
      <c r="D6" s="1335"/>
      <c r="E6" s="1336">
        <v>329</v>
      </c>
      <c r="F6" s="1336"/>
      <c r="G6" s="1336">
        <v>2141</v>
      </c>
      <c r="H6" s="1336">
        <v>665</v>
      </c>
      <c r="I6" s="1336"/>
      <c r="J6" s="1336"/>
      <c r="K6" s="1336"/>
      <c r="L6" s="1336"/>
      <c r="M6" s="1336"/>
      <c r="N6" s="1336"/>
      <c r="O6" s="1336">
        <v>80</v>
      </c>
      <c r="P6" s="1336">
        <v>110565</v>
      </c>
      <c r="Q6" s="1336">
        <f t="shared" ref="Q6:Q59" si="0">SUM(D6:O6)</f>
        <v>3215</v>
      </c>
      <c r="R6" s="795">
        <f t="shared" ref="R6:R54" si="1">P6+Q6</f>
        <v>113780</v>
      </c>
      <c r="S6" s="90"/>
      <c r="U6" s="90"/>
    </row>
    <row r="7" spans="1:21" ht="24" customHeight="1">
      <c r="A7" s="1623" t="s">
        <v>129</v>
      </c>
      <c r="B7" s="1626" t="s">
        <v>101</v>
      </c>
      <c r="C7" s="1364" t="s">
        <v>3</v>
      </c>
      <c r="D7" s="1335"/>
      <c r="E7" s="1336">
        <v>43</v>
      </c>
      <c r="F7" s="1336"/>
      <c r="G7" s="1336">
        <v>229</v>
      </c>
      <c r="H7" s="1336">
        <v>72</v>
      </c>
      <c r="I7" s="1336"/>
      <c r="J7" s="1336"/>
      <c r="K7" s="1336"/>
      <c r="L7" s="1336"/>
      <c r="M7" s="1336"/>
      <c r="N7" s="1336"/>
      <c r="O7" s="1336"/>
      <c r="P7" s="1336">
        <v>43587</v>
      </c>
      <c r="Q7" s="1336">
        <f t="shared" si="0"/>
        <v>344</v>
      </c>
      <c r="R7" s="795">
        <f t="shared" si="1"/>
        <v>43931</v>
      </c>
      <c r="S7" s="90"/>
      <c r="U7" s="90"/>
    </row>
    <row r="8" spans="1:21" ht="24" customHeight="1">
      <c r="A8" s="1623"/>
      <c r="B8" s="1626"/>
      <c r="C8" s="1364" t="s">
        <v>912</v>
      </c>
      <c r="D8" s="1335"/>
      <c r="E8" s="1336">
        <v>43</v>
      </c>
      <c r="F8" s="1336"/>
      <c r="G8" s="1336">
        <v>229</v>
      </c>
      <c r="H8" s="1336">
        <v>72</v>
      </c>
      <c r="I8" s="1336"/>
      <c r="J8" s="1336"/>
      <c r="K8" s="1336"/>
      <c r="L8" s="1336"/>
      <c r="M8" s="1336"/>
      <c r="N8" s="1336"/>
      <c r="O8" s="1336"/>
      <c r="P8" s="1336">
        <v>44587</v>
      </c>
      <c r="Q8" s="1336">
        <f t="shared" si="0"/>
        <v>344</v>
      </c>
      <c r="R8" s="795">
        <f t="shared" si="1"/>
        <v>44931</v>
      </c>
      <c r="S8" s="90"/>
      <c r="U8" s="90"/>
    </row>
    <row r="9" spans="1:21" ht="24" customHeight="1">
      <c r="A9" s="1623" t="s">
        <v>130</v>
      </c>
      <c r="B9" s="1626" t="s">
        <v>101</v>
      </c>
      <c r="C9" s="1364" t="s">
        <v>3</v>
      </c>
      <c r="D9" s="1335"/>
      <c r="E9" s="1336">
        <v>416</v>
      </c>
      <c r="F9" s="1336"/>
      <c r="G9" s="1336">
        <v>2371</v>
      </c>
      <c r="H9" s="1336">
        <v>751</v>
      </c>
      <c r="I9" s="1336"/>
      <c r="J9" s="1336"/>
      <c r="K9" s="1336"/>
      <c r="L9" s="1336"/>
      <c r="M9" s="1336"/>
      <c r="N9" s="1336"/>
      <c r="O9" s="1336"/>
      <c r="P9" s="1336">
        <v>99725</v>
      </c>
      <c r="Q9" s="1336">
        <f t="shared" si="0"/>
        <v>3538</v>
      </c>
      <c r="R9" s="795">
        <f t="shared" si="1"/>
        <v>103263</v>
      </c>
      <c r="S9" s="90"/>
      <c r="U9" s="90"/>
    </row>
    <row r="10" spans="1:21" ht="24" customHeight="1">
      <c r="A10" s="1623"/>
      <c r="B10" s="1626"/>
      <c r="C10" s="1364" t="s">
        <v>912</v>
      </c>
      <c r="D10" s="1335"/>
      <c r="E10" s="1336">
        <v>416</v>
      </c>
      <c r="F10" s="1336"/>
      <c r="G10" s="1336">
        <v>2371</v>
      </c>
      <c r="H10" s="1336">
        <v>751</v>
      </c>
      <c r="I10" s="1336"/>
      <c r="J10" s="1336"/>
      <c r="K10" s="1336"/>
      <c r="L10" s="1336"/>
      <c r="M10" s="1336"/>
      <c r="N10" s="1336"/>
      <c r="O10" s="1336">
        <v>14</v>
      </c>
      <c r="P10" s="1336">
        <v>98188</v>
      </c>
      <c r="Q10" s="1336">
        <f t="shared" si="0"/>
        <v>3552</v>
      </c>
      <c r="R10" s="795">
        <f t="shared" si="1"/>
        <v>101740</v>
      </c>
      <c r="S10" s="90"/>
      <c r="U10" s="90"/>
    </row>
    <row r="11" spans="1:21" ht="24" customHeight="1">
      <c r="A11" s="1623" t="s">
        <v>131</v>
      </c>
      <c r="B11" s="1626" t="s">
        <v>101</v>
      </c>
      <c r="C11" s="1364" t="s">
        <v>3</v>
      </c>
      <c r="D11" s="1335"/>
      <c r="E11" s="1336">
        <v>1984</v>
      </c>
      <c r="F11" s="1336"/>
      <c r="G11" s="1336">
        <v>2218</v>
      </c>
      <c r="H11" s="1336">
        <v>1134</v>
      </c>
      <c r="I11" s="1336"/>
      <c r="J11" s="1336"/>
      <c r="K11" s="1336">
        <v>1512</v>
      </c>
      <c r="L11" s="1336"/>
      <c r="M11" s="1336"/>
      <c r="N11" s="1336"/>
      <c r="O11" s="1336"/>
      <c r="P11" s="1336">
        <v>145739</v>
      </c>
      <c r="Q11" s="1336">
        <f t="shared" si="0"/>
        <v>6848</v>
      </c>
      <c r="R11" s="795">
        <f t="shared" si="1"/>
        <v>152587</v>
      </c>
      <c r="S11" s="90"/>
      <c r="U11" s="90"/>
    </row>
    <row r="12" spans="1:21" ht="24" customHeight="1">
      <c r="A12" s="1623"/>
      <c r="B12" s="1626"/>
      <c r="C12" s="1364" t="s">
        <v>912</v>
      </c>
      <c r="D12" s="1335"/>
      <c r="E12" s="1336">
        <v>1984</v>
      </c>
      <c r="F12" s="1336"/>
      <c r="G12" s="1336">
        <v>2218</v>
      </c>
      <c r="H12" s="1336">
        <v>1134</v>
      </c>
      <c r="I12" s="1336"/>
      <c r="J12" s="1336"/>
      <c r="K12" s="1336">
        <v>1512</v>
      </c>
      <c r="L12" s="1336"/>
      <c r="M12" s="1336"/>
      <c r="N12" s="1336"/>
      <c r="O12" s="1336">
        <v>129</v>
      </c>
      <c r="P12" s="1336">
        <v>132113</v>
      </c>
      <c r="Q12" s="1336">
        <f t="shared" si="0"/>
        <v>6977</v>
      </c>
      <c r="R12" s="795">
        <f t="shared" si="1"/>
        <v>139090</v>
      </c>
      <c r="S12" s="90"/>
      <c r="U12" s="90"/>
    </row>
    <row r="13" spans="1:21" ht="24" customHeight="1">
      <c r="A13" s="1623" t="s">
        <v>132</v>
      </c>
      <c r="B13" s="1626" t="s">
        <v>101</v>
      </c>
      <c r="C13" s="1364" t="s">
        <v>3</v>
      </c>
      <c r="D13" s="1335"/>
      <c r="E13" s="1336">
        <v>5</v>
      </c>
      <c r="F13" s="1336"/>
      <c r="G13" s="1336">
        <v>2447</v>
      </c>
      <c r="H13" s="1336">
        <v>662</v>
      </c>
      <c r="I13" s="1336"/>
      <c r="J13" s="1336"/>
      <c r="K13" s="1336"/>
      <c r="L13" s="1336"/>
      <c r="M13" s="1336"/>
      <c r="N13" s="1336"/>
      <c r="O13" s="1336"/>
      <c r="P13" s="1336">
        <v>81304</v>
      </c>
      <c r="Q13" s="1336">
        <f t="shared" si="0"/>
        <v>3114</v>
      </c>
      <c r="R13" s="795">
        <f t="shared" si="1"/>
        <v>84418</v>
      </c>
      <c r="S13" s="90"/>
      <c r="U13" s="90"/>
    </row>
    <row r="14" spans="1:21" ht="24" customHeight="1">
      <c r="A14" s="1623"/>
      <c r="B14" s="1626"/>
      <c r="C14" s="1364" t="s">
        <v>912</v>
      </c>
      <c r="D14" s="1335"/>
      <c r="E14" s="1336">
        <v>5</v>
      </c>
      <c r="F14" s="1336"/>
      <c r="G14" s="1336">
        <v>2447</v>
      </c>
      <c r="H14" s="1336">
        <v>662</v>
      </c>
      <c r="I14" s="1336"/>
      <c r="J14" s="1336"/>
      <c r="K14" s="1336"/>
      <c r="L14" s="1336"/>
      <c r="M14" s="1336"/>
      <c r="N14" s="1336"/>
      <c r="O14" s="1336">
        <v>65</v>
      </c>
      <c r="P14" s="1336">
        <v>77228</v>
      </c>
      <c r="Q14" s="1336">
        <f t="shared" si="0"/>
        <v>3179</v>
      </c>
      <c r="R14" s="795">
        <f t="shared" si="1"/>
        <v>80407</v>
      </c>
      <c r="S14" s="90"/>
      <c r="U14" s="90"/>
    </row>
    <row r="15" spans="1:21" ht="24" customHeight="1">
      <c r="A15" s="1623" t="s">
        <v>133</v>
      </c>
      <c r="B15" s="1626" t="s">
        <v>101</v>
      </c>
      <c r="C15" s="1364" t="s">
        <v>3</v>
      </c>
      <c r="D15" s="1335"/>
      <c r="E15" s="1336">
        <v>160</v>
      </c>
      <c r="F15" s="1336"/>
      <c r="G15" s="1336">
        <v>1530</v>
      </c>
      <c r="H15" s="1336">
        <v>455</v>
      </c>
      <c r="I15" s="1336"/>
      <c r="J15" s="1336"/>
      <c r="K15" s="1336"/>
      <c r="L15" s="1336"/>
      <c r="M15" s="1336"/>
      <c r="N15" s="1336"/>
      <c r="O15" s="1336"/>
      <c r="P15" s="1336">
        <v>123431</v>
      </c>
      <c r="Q15" s="1336">
        <f t="shared" si="0"/>
        <v>2145</v>
      </c>
      <c r="R15" s="795">
        <f t="shared" si="1"/>
        <v>125576</v>
      </c>
      <c r="S15" s="90"/>
      <c r="U15" s="90"/>
    </row>
    <row r="16" spans="1:21" ht="24" customHeight="1">
      <c r="A16" s="1623"/>
      <c r="B16" s="1626"/>
      <c r="C16" s="1364" t="s">
        <v>912</v>
      </c>
      <c r="D16" s="1335"/>
      <c r="E16" s="1336">
        <v>160</v>
      </c>
      <c r="F16" s="1336"/>
      <c r="G16" s="1336">
        <v>1530</v>
      </c>
      <c r="H16" s="1336">
        <v>455</v>
      </c>
      <c r="I16" s="1336"/>
      <c r="J16" s="1336"/>
      <c r="K16" s="1336"/>
      <c r="L16" s="1336"/>
      <c r="M16" s="1336"/>
      <c r="N16" s="1336"/>
      <c r="O16" s="1336">
        <v>32</v>
      </c>
      <c r="P16" s="1336">
        <v>113179</v>
      </c>
      <c r="Q16" s="1336">
        <f t="shared" si="0"/>
        <v>2177</v>
      </c>
      <c r="R16" s="795">
        <f t="shared" si="1"/>
        <v>115356</v>
      </c>
      <c r="S16" s="90"/>
      <c r="U16" s="90"/>
    </row>
    <row r="17" spans="1:21" s="121" customFormat="1" ht="24" customHeight="1">
      <c r="A17" s="1625" t="s">
        <v>134</v>
      </c>
      <c r="B17" s="1626" t="s">
        <v>101</v>
      </c>
      <c r="C17" s="1364" t="s">
        <v>3</v>
      </c>
      <c r="D17" s="1335"/>
      <c r="E17" s="1336">
        <v>2</v>
      </c>
      <c r="F17" s="1336"/>
      <c r="G17" s="1336">
        <v>229</v>
      </c>
      <c r="H17" s="1336">
        <v>63</v>
      </c>
      <c r="I17" s="1336"/>
      <c r="J17" s="1336"/>
      <c r="K17" s="1336"/>
      <c r="L17" s="1336"/>
      <c r="M17" s="1336"/>
      <c r="N17" s="1336"/>
      <c r="O17" s="1336"/>
      <c r="P17" s="1336">
        <v>21282</v>
      </c>
      <c r="Q17" s="1336">
        <f t="shared" si="0"/>
        <v>294</v>
      </c>
      <c r="R17" s="795">
        <f t="shared" si="1"/>
        <v>21576</v>
      </c>
      <c r="S17" s="90"/>
      <c r="U17" s="90"/>
    </row>
    <row r="18" spans="1:21" s="121" customFormat="1" ht="24" customHeight="1">
      <c r="A18" s="1625"/>
      <c r="B18" s="1626"/>
      <c r="C18" s="1364" t="s">
        <v>912</v>
      </c>
      <c r="D18" s="1335"/>
      <c r="E18" s="1336">
        <v>2</v>
      </c>
      <c r="F18" s="1336"/>
      <c r="G18" s="1336">
        <v>229</v>
      </c>
      <c r="H18" s="1336">
        <v>63</v>
      </c>
      <c r="I18" s="1336"/>
      <c r="J18" s="1336"/>
      <c r="K18" s="1336"/>
      <c r="L18" s="1336"/>
      <c r="M18" s="1336"/>
      <c r="N18" s="1336"/>
      <c r="O18" s="1336"/>
      <c r="P18" s="1336">
        <v>21282</v>
      </c>
      <c r="Q18" s="1336">
        <f t="shared" si="0"/>
        <v>294</v>
      </c>
      <c r="R18" s="795">
        <f t="shared" si="1"/>
        <v>21576</v>
      </c>
      <c r="S18" s="90"/>
      <c r="U18" s="90"/>
    </row>
    <row r="19" spans="1:21" ht="24" customHeight="1">
      <c r="A19" s="1623" t="s">
        <v>135</v>
      </c>
      <c r="B19" s="1626" t="s">
        <v>101</v>
      </c>
      <c r="C19" s="1364" t="s">
        <v>3</v>
      </c>
      <c r="D19" s="1335"/>
      <c r="E19" s="1336">
        <v>14900</v>
      </c>
      <c r="F19" s="1336"/>
      <c r="G19" s="1336">
        <v>7337</v>
      </c>
      <c r="H19" s="1336">
        <v>4649</v>
      </c>
      <c r="I19" s="1336"/>
      <c r="J19" s="1336"/>
      <c r="K19" s="1336"/>
      <c r="L19" s="1336"/>
      <c r="M19" s="1336"/>
      <c r="N19" s="1336"/>
      <c r="O19" s="1336"/>
      <c r="P19" s="1336">
        <v>198995</v>
      </c>
      <c r="Q19" s="1336">
        <f t="shared" si="0"/>
        <v>26886</v>
      </c>
      <c r="R19" s="795">
        <f t="shared" si="1"/>
        <v>225881</v>
      </c>
      <c r="S19" s="90"/>
      <c r="U19" s="90"/>
    </row>
    <row r="20" spans="1:21" ht="24" customHeight="1">
      <c r="A20" s="1623"/>
      <c r="B20" s="1626"/>
      <c r="C20" s="1364" t="s">
        <v>912</v>
      </c>
      <c r="D20" s="1335"/>
      <c r="E20" s="1336">
        <v>14900</v>
      </c>
      <c r="F20" s="1336"/>
      <c r="G20" s="1336">
        <v>7337</v>
      </c>
      <c r="H20" s="1336">
        <v>4649</v>
      </c>
      <c r="I20" s="1336"/>
      <c r="J20" s="1336"/>
      <c r="K20" s="1336"/>
      <c r="L20" s="1336"/>
      <c r="M20" s="1336"/>
      <c r="N20" s="1336"/>
      <c r="O20" s="1336">
        <v>216</v>
      </c>
      <c r="P20" s="1336">
        <v>198793</v>
      </c>
      <c r="Q20" s="1336">
        <f t="shared" si="0"/>
        <v>27102</v>
      </c>
      <c r="R20" s="795">
        <f t="shared" si="1"/>
        <v>225895</v>
      </c>
      <c r="S20" s="90"/>
      <c r="U20" s="90"/>
    </row>
    <row r="21" spans="1:21" ht="24" customHeight="1">
      <c r="A21" s="1637" t="s">
        <v>545</v>
      </c>
      <c r="B21" s="1626" t="s">
        <v>101</v>
      </c>
      <c r="C21" s="1364" t="s">
        <v>3</v>
      </c>
      <c r="D21" s="1335"/>
      <c r="E21" s="1336">
        <v>0</v>
      </c>
      <c r="F21" s="1336"/>
      <c r="G21" s="1336">
        <v>19048</v>
      </c>
      <c r="H21" s="1336">
        <v>5143</v>
      </c>
      <c r="I21" s="1336"/>
      <c r="J21" s="1336"/>
      <c r="K21" s="1336"/>
      <c r="L21" s="1336"/>
      <c r="M21" s="1336"/>
      <c r="N21" s="1336"/>
      <c r="O21" s="1336"/>
      <c r="P21" s="1336">
        <v>37032</v>
      </c>
      <c r="Q21" s="1336">
        <f t="shared" si="0"/>
        <v>24191</v>
      </c>
      <c r="R21" s="795">
        <f t="shared" si="1"/>
        <v>61223</v>
      </c>
      <c r="S21" s="90"/>
      <c r="U21" s="90"/>
    </row>
    <row r="22" spans="1:21" ht="24" customHeight="1">
      <c r="A22" s="1637"/>
      <c r="B22" s="1626"/>
      <c r="C22" s="1364" t="s">
        <v>912</v>
      </c>
      <c r="D22" s="1335"/>
      <c r="E22" s="1336">
        <v>0</v>
      </c>
      <c r="F22" s="1336"/>
      <c r="G22" s="1336">
        <v>19048</v>
      </c>
      <c r="H22" s="1336">
        <v>5143</v>
      </c>
      <c r="I22" s="1336"/>
      <c r="J22" s="1336"/>
      <c r="K22" s="1336"/>
      <c r="L22" s="1336"/>
      <c r="M22" s="1336"/>
      <c r="N22" s="1336"/>
      <c r="O22" s="1336"/>
      <c r="P22" s="1336">
        <v>33826</v>
      </c>
      <c r="Q22" s="1336">
        <f t="shared" si="0"/>
        <v>24191</v>
      </c>
      <c r="R22" s="795">
        <f t="shared" si="1"/>
        <v>58017</v>
      </c>
      <c r="S22" s="90"/>
      <c r="U22" s="90"/>
    </row>
    <row r="23" spans="1:21" ht="24" customHeight="1">
      <c r="A23" s="1637" t="s">
        <v>137</v>
      </c>
      <c r="B23" s="1626" t="s">
        <v>101</v>
      </c>
      <c r="C23" s="1364" t="s">
        <v>3</v>
      </c>
      <c r="D23" s="1335"/>
      <c r="E23" s="1336">
        <v>0</v>
      </c>
      <c r="F23" s="1336"/>
      <c r="G23" s="1336">
        <v>13637</v>
      </c>
      <c r="H23" s="1336">
        <v>3682</v>
      </c>
      <c r="I23" s="1336"/>
      <c r="J23" s="1336"/>
      <c r="K23" s="1336"/>
      <c r="L23" s="1336"/>
      <c r="M23" s="1336"/>
      <c r="N23" s="1336"/>
      <c r="O23" s="1336"/>
      <c r="P23" s="1336">
        <v>18079</v>
      </c>
      <c r="Q23" s="1336">
        <f t="shared" si="0"/>
        <v>17319</v>
      </c>
      <c r="R23" s="795">
        <f t="shared" si="1"/>
        <v>35398</v>
      </c>
      <c r="S23" s="90"/>
      <c r="U23" s="90"/>
    </row>
    <row r="24" spans="1:21" ht="24" customHeight="1">
      <c r="A24" s="1637"/>
      <c r="B24" s="1626"/>
      <c r="C24" s="1364" t="s">
        <v>912</v>
      </c>
      <c r="D24" s="1335"/>
      <c r="E24" s="1336">
        <v>0</v>
      </c>
      <c r="F24" s="1336"/>
      <c r="G24" s="1336">
        <v>13637</v>
      </c>
      <c r="H24" s="1336">
        <v>3682</v>
      </c>
      <c r="I24" s="1336"/>
      <c r="J24" s="1336"/>
      <c r="K24" s="1336"/>
      <c r="L24" s="1336"/>
      <c r="M24" s="1336"/>
      <c r="N24" s="1336"/>
      <c r="O24" s="1336"/>
      <c r="P24" s="1336">
        <v>16392</v>
      </c>
      <c r="Q24" s="1336">
        <f t="shared" si="0"/>
        <v>17319</v>
      </c>
      <c r="R24" s="795">
        <f t="shared" si="1"/>
        <v>33711</v>
      </c>
      <c r="S24" s="90"/>
      <c r="U24" s="90"/>
    </row>
    <row r="25" spans="1:21" s="122" customFormat="1" ht="24" customHeight="1">
      <c r="A25" s="1623" t="s">
        <v>803</v>
      </c>
      <c r="B25" s="1624" t="s">
        <v>101</v>
      </c>
      <c r="C25" s="1365" t="s">
        <v>3</v>
      </c>
      <c r="D25" s="1337">
        <f>D21+D23</f>
        <v>0</v>
      </c>
      <c r="E25" s="1337">
        <f t="shared" ref="E25:P26" si="2">E21+E23</f>
        <v>0</v>
      </c>
      <c r="F25" s="1337">
        <f t="shared" si="2"/>
        <v>0</v>
      </c>
      <c r="G25" s="1337">
        <f t="shared" si="2"/>
        <v>32685</v>
      </c>
      <c r="H25" s="1337">
        <f t="shared" si="2"/>
        <v>8825</v>
      </c>
      <c r="I25" s="1337"/>
      <c r="J25" s="1337">
        <f t="shared" si="2"/>
        <v>0</v>
      </c>
      <c r="K25" s="1337">
        <f t="shared" si="2"/>
        <v>0</v>
      </c>
      <c r="L25" s="1337">
        <f t="shared" si="2"/>
        <v>0</v>
      </c>
      <c r="M25" s="1337">
        <f t="shared" si="2"/>
        <v>0</v>
      </c>
      <c r="N25" s="1337">
        <f t="shared" si="2"/>
        <v>0</v>
      </c>
      <c r="O25" s="1337">
        <f t="shared" si="2"/>
        <v>0</v>
      </c>
      <c r="P25" s="1337">
        <f t="shared" si="2"/>
        <v>55111</v>
      </c>
      <c r="Q25" s="1336">
        <f t="shared" si="0"/>
        <v>41510</v>
      </c>
      <c r="R25" s="795">
        <f t="shared" si="1"/>
        <v>96621</v>
      </c>
      <c r="S25" s="123"/>
      <c r="U25" s="123"/>
    </row>
    <row r="26" spans="1:21" s="122" customFormat="1" ht="24" customHeight="1">
      <c r="A26" s="1623"/>
      <c r="B26" s="1624"/>
      <c r="C26" s="1365" t="s">
        <v>912</v>
      </c>
      <c r="D26" s="1337">
        <f>D22+D24</f>
        <v>0</v>
      </c>
      <c r="E26" s="1337">
        <f t="shared" si="2"/>
        <v>0</v>
      </c>
      <c r="F26" s="1337">
        <f t="shared" si="2"/>
        <v>0</v>
      </c>
      <c r="G26" s="1337">
        <f t="shared" si="2"/>
        <v>32685</v>
      </c>
      <c r="H26" s="1337">
        <f t="shared" si="2"/>
        <v>8825</v>
      </c>
      <c r="I26" s="1337">
        <f t="shared" si="2"/>
        <v>0</v>
      </c>
      <c r="J26" s="1337">
        <f t="shared" si="2"/>
        <v>0</v>
      </c>
      <c r="K26" s="1337">
        <f t="shared" si="2"/>
        <v>0</v>
      </c>
      <c r="L26" s="1337">
        <f t="shared" si="2"/>
        <v>0</v>
      </c>
      <c r="M26" s="1337">
        <f t="shared" si="2"/>
        <v>0</v>
      </c>
      <c r="N26" s="1337">
        <f t="shared" si="2"/>
        <v>0</v>
      </c>
      <c r="O26" s="1337">
        <f t="shared" si="2"/>
        <v>0</v>
      </c>
      <c r="P26" s="1337">
        <f t="shared" si="2"/>
        <v>50218</v>
      </c>
      <c r="Q26" s="1336">
        <f t="shared" si="0"/>
        <v>41510</v>
      </c>
      <c r="R26" s="795">
        <f t="shared" si="1"/>
        <v>91728</v>
      </c>
      <c r="S26" s="123"/>
      <c r="U26" s="123"/>
    </row>
    <row r="27" spans="1:21" ht="24" customHeight="1">
      <c r="A27" s="1635" t="s">
        <v>139</v>
      </c>
      <c r="B27" s="1626" t="s">
        <v>101</v>
      </c>
      <c r="C27" s="1364" t="s">
        <v>3</v>
      </c>
      <c r="D27" s="1335"/>
      <c r="E27" s="1336"/>
      <c r="F27" s="1336"/>
      <c r="G27" s="1336">
        <v>18004</v>
      </c>
      <c r="H27" s="1336">
        <v>4861</v>
      </c>
      <c r="I27" s="1336"/>
      <c r="J27" s="1336"/>
      <c r="K27" s="1336"/>
      <c r="L27" s="1336"/>
      <c r="M27" s="1336"/>
      <c r="N27" s="1336"/>
      <c r="O27" s="1336"/>
      <c r="P27" s="1336">
        <v>35782</v>
      </c>
      <c r="Q27" s="1336">
        <f t="shared" si="0"/>
        <v>22865</v>
      </c>
      <c r="R27" s="795">
        <f t="shared" si="1"/>
        <v>58647</v>
      </c>
      <c r="S27" s="90"/>
      <c r="U27" s="90"/>
    </row>
    <row r="28" spans="1:21" ht="24" customHeight="1">
      <c r="A28" s="1635"/>
      <c r="B28" s="1626"/>
      <c r="C28" s="1364" t="s">
        <v>912</v>
      </c>
      <c r="D28" s="1335"/>
      <c r="E28" s="1336"/>
      <c r="F28" s="1336"/>
      <c r="G28" s="1336">
        <v>18004</v>
      </c>
      <c r="H28" s="1336">
        <v>4861</v>
      </c>
      <c r="I28" s="1336"/>
      <c r="J28" s="1336"/>
      <c r="K28" s="1336"/>
      <c r="L28" s="1336"/>
      <c r="M28" s="1336"/>
      <c r="N28" s="1336"/>
      <c r="O28" s="1336"/>
      <c r="P28" s="1336">
        <v>32450</v>
      </c>
      <c r="Q28" s="1336">
        <f t="shared" si="0"/>
        <v>22865</v>
      </c>
      <c r="R28" s="795">
        <f t="shared" si="1"/>
        <v>55315</v>
      </c>
      <c r="S28" s="90"/>
      <c r="U28" s="90"/>
    </row>
    <row r="29" spans="1:21" ht="24" customHeight="1">
      <c r="A29" s="1635" t="s">
        <v>140</v>
      </c>
      <c r="B29" s="1626" t="s">
        <v>101</v>
      </c>
      <c r="C29" s="1364" t="s">
        <v>3</v>
      </c>
      <c r="D29" s="1335"/>
      <c r="E29" s="1336"/>
      <c r="F29" s="1336"/>
      <c r="G29" s="1336">
        <v>7735</v>
      </c>
      <c r="H29" s="1336">
        <v>2088</v>
      </c>
      <c r="I29" s="1336"/>
      <c r="J29" s="1336"/>
      <c r="K29" s="1336"/>
      <c r="L29" s="1336"/>
      <c r="M29" s="1336"/>
      <c r="N29" s="1336"/>
      <c r="O29" s="1336"/>
      <c r="P29" s="1336">
        <v>13467</v>
      </c>
      <c r="Q29" s="1336">
        <f t="shared" si="0"/>
        <v>9823</v>
      </c>
      <c r="R29" s="795">
        <f t="shared" si="1"/>
        <v>23290</v>
      </c>
      <c r="S29" s="90"/>
      <c r="U29" s="90"/>
    </row>
    <row r="30" spans="1:21" ht="24" customHeight="1">
      <c r="A30" s="1635"/>
      <c r="B30" s="1626"/>
      <c r="C30" s="1364" t="s">
        <v>912</v>
      </c>
      <c r="D30" s="1335"/>
      <c r="E30" s="1336"/>
      <c r="F30" s="1336"/>
      <c r="G30" s="1336">
        <v>7735</v>
      </c>
      <c r="H30" s="1336">
        <v>2088</v>
      </c>
      <c r="I30" s="1336"/>
      <c r="J30" s="1336"/>
      <c r="K30" s="1336"/>
      <c r="L30" s="1336"/>
      <c r="M30" s="1336"/>
      <c r="N30" s="1336"/>
      <c r="O30" s="1336"/>
      <c r="P30" s="1336">
        <v>12287</v>
      </c>
      <c r="Q30" s="1336">
        <f t="shared" si="0"/>
        <v>9823</v>
      </c>
      <c r="R30" s="795">
        <f t="shared" si="1"/>
        <v>22110</v>
      </c>
      <c r="S30" s="90"/>
      <c r="U30" s="90"/>
    </row>
    <row r="31" spans="1:21" s="124" customFormat="1" ht="24" customHeight="1">
      <c r="A31" s="1623" t="s">
        <v>141</v>
      </c>
      <c r="B31" s="1624" t="s">
        <v>101</v>
      </c>
      <c r="C31" s="1365" t="s">
        <v>3</v>
      </c>
      <c r="D31" s="1337">
        <f>D27+D29</f>
        <v>0</v>
      </c>
      <c r="E31" s="1337">
        <f t="shared" ref="E31:P32" si="3">E27+E29</f>
        <v>0</v>
      </c>
      <c r="F31" s="1337">
        <f t="shared" si="3"/>
        <v>0</v>
      </c>
      <c r="G31" s="1337">
        <f t="shared" si="3"/>
        <v>25739</v>
      </c>
      <c r="H31" s="1337">
        <f t="shared" si="3"/>
        <v>6949</v>
      </c>
      <c r="I31" s="1337"/>
      <c r="J31" s="1337">
        <f t="shared" si="3"/>
        <v>0</v>
      </c>
      <c r="K31" s="1337">
        <f t="shared" si="3"/>
        <v>0</v>
      </c>
      <c r="L31" s="1337">
        <f t="shared" si="3"/>
        <v>0</v>
      </c>
      <c r="M31" s="1337">
        <f t="shared" si="3"/>
        <v>0</v>
      </c>
      <c r="N31" s="1337">
        <f t="shared" si="3"/>
        <v>0</v>
      </c>
      <c r="O31" s="1337">
        <f t="shared" si="3"/>
        <v>0</v>
      </c>
      <c r="P31" s="1337">
        <f t="shared" si="3"/>
        <v>49249</v>
      </c>
      <c r="Q31" s="1336">
        <f t="shared" si="0"/>
        <v>32688</v>
      </c>
      <c r="R31" s="795">
        <f t="shared" si="1"/>
        <v>81937</v>
      </c>
      <c r="S31" s="123"/>
      <c r="U31" s="123"/>
    </row>
    <row r="32" spans="1:21" s="124" customFormat="1" ht="24" customHeight="1">
      <c r="A32" s="1623"/>
      <c r="B32" s="1624"/>
      <c r="C32" s="1365" t="s">
        <v>912</v>
      </c>
      <c r="D32" s="1337">
        <f>D28+D30</f>
        <v>0</v>
      </c>
      <c r="E32" s="1337">
        <f t="shared" si="3"/>
        <v>0</v>
      </c>
      <c r="F32" s="1337">
        <f t="shared" si="3"/>
        <v>0</v>
      </c>
      <c r="G32" s="1337">
        <f t="shared" si="3"/>
        <v>25739</v>
      </c>
      <c r="H32" s="1337">
        <f t="shared" si="3"/>
        <v>6949</v>
      </c>
      <c r="I32" s="1337">
        <f t="shared" si="3"/>
        <v>0</v>
      </c>
      <c r="J32" s="1337">
        <f t="shared" si="3"/>
        <v>0</v>
      </c>
      <c r="K32" s="1337">
        <f t="shared" si="3"/>
        <v>0</v>
      </c>
      <c r="L32" s="1337">
        <f t="shared" si="3"/>
        <v>0</v>
      </c>
      <c r="M32" s="1337">
        <f t="shared" si="3"/>
        <v>0</v>
      </c>
      <c r="N32" s="1337">
        <f t="shared" si="3"/>
        <v>0</v>
      </c>
      <c r="O32" s="1337">
        <f t="shared" si="3"/>
        <v>0</v>
      </c>
      <c r="P32" s="1337">
        <f t="shared" si="3"/>
        <v>44737</v>
      </c>
      <c r="Q32" s="1336">
        <f t="shared" si="0"/>
        <v>32688</v>
      </c>
      <c r="R32" s="795">
        <f t="shared" si="1"/>
        <v>77425</v>
      </c>
      <c r="S32" s="123"/>
      <c r="U32" s="123"/>
    </row>
    <row r="33" spans="1:21" ht="24" customHeight="1">
      <c r="A33" s="1636" t="s">
        <v>142</v>
      </c>
      <c r="B33" s="1626" t="s">
        <v>101</v>
      </c>
      <c r="C33" s="1364" t="s">
        <v>3</v>
      </c>
      <c r="D33" s="1335"/>
      <c r="E33" s="1336"/>
      <c r="F33" s="1336"/>
      <c r="G33" s="1336">
        <v>4808</v>
      </c>
      <c r="H33" s="1336">
        <v>1298</v>
      </c>
      <c r="I33" s="1336"/>
      <c r="J33" s="1336"/>
      <c r="K33" s="1336"/>
      <c r="L33" s="1336"/>
      <c r="M33" s="1336"/>
      <c r="N33" s="1336"/>
      <c r="O33" s="1336"/>
      <c r="P33" s="1336">
        <v>20119</v>
      </c>
      <c r="Q33" s="1336">
        <f t="shared" si="0"/>
        <v>6106</v>
      </c>
      <c r="R33" s="795">
        <f t="shared" si="1"/>
        <v>26225</v>
      </c>
      <c r="S33" s="90"/>
      <c r="U33" s="90"/>
    </row>
    <row r="34" spans="1:21" ht="24" customHeight="1">
      <c r="A34" s="1636"/>
      <c r="B34" s="1626"/>
      <c r="C34" s="1364" t="s">
        <v>912</v>
      </c>
      <c r="D34" s="1335"/>
      <c r="E34" s="1336"/>
      <c r="F34" s="1336"/>
      <c r="G34" s="1336">
        <v>4808</v>
      </c>
      <c r="H34" s="1336">
        <v>1298</v>
      </c>
      <c r="I34" s="1336"/>
      <c r="J34" s="1336"/>
      <c r="K34" s="1336"/>
      <c r="L34" s="1336"/>
      <c r="M34" s="1336"/>
      <c r="N34" s="1336"/>
      <c r="O34" s="1336"/>
      <c r="P34" s="1336">
        <v>19064</v>
      </c>
      <c r="Q34" s="1336">
        <f t="shared" si="0"/>
        <v>6106</v>
      </c>
      <c r="R34" s="795">
        <f t="shared" si="1"/>
        <v>25170</v>
      </c>
      <c r="S34" s="90"/>
      <c r="U34" s="90"/>
    </row>
    <row r="35" spans="1:21" ht="36" customHeight="1">
      <c r="A35" s="1632" t="s">
        <v>788</v>
      </c>
      <c r="B35" s="1626" t="s">
        <v>101</v>
      </c>
      <c r="C35" s="1364" t="s">
        <v>3</v>
      </c>
      <c r="D35" s="1335"/>
      <c r="E35" s="1336"/>
      <c r="F35" s="1336"/>
      <c r="G35" s="1336">
        <v>4817</v>
      </c>
      <c r="H35" s="1336">
        <v>1301</v>
      </c>
      <c r="I35" s="1336"/>
      <c r="J35" s="1336"/>
      <c r="K35" s="1336"/>
      <c r="L35" s="1336"/>
      <c r="M35" s="1336"/>
      <c r="N35" s="1336"/>
      <c r="O35" s="1336"/>
      <c r="P35" s="1336">
        <v>6886</v>
      </c>
      <c r="Q35" s="1336">
        <f t="shared" si="0"/>
        <v>6118</v>
      </c>
      <c r="R35" s="795">
        <f t="shared" si="1"/>
        <v>13004</v>
      </c>
      <c r="S35" s="90"/>
      <c r="U35" s="90"/>
    </row>
    <row r="36" spans="1:21" ht="36" customHeight="1">
      <c r="A36" s="1632"/>
      <c r="B36" s="1626"/>
      <c r="C36" s="1364" t="s">
        <v>912</v>
      </c>
      <c r="D36" s="1335"/>
      <c r="E36" s="1336"/>
      <c r="F36" s="1336"/>
      <c r="G36" s="1336">
        <v>4817</v>
      </c>
      <c r="H36" s="1336">
        <v>1301</v>
      </c>
      <c r="I36" s="1336"/>
      <c r="J36" s="1336"/>
      <c r="K36" s="1336"/>
      <c r="L36" s="1336"/>
      <c r="M36" s="1336"/>
      <c r="N36" s="1336"/>
      <c r="O36" s="1336"/>
      <c r="P36" s="1336">
        <v>6717</v>
      </c>
      <c r="Q36" s="1336">
        <f t="shared" si="0"/>
        <v>6118</v>
      </c>
      <c r="R36" s="795">
        <f t="shared" si="1"/>
        <v>12835</v>
      </c>
      <c r="S36" s="90"/>
      <c r="U36" s="90"/>
    </row>
    <row r="37" spans="1:21" ht="24" customHeight="1">
      <c r="A37" s="1633" t="s">
        <v>540</v>
      </c>
      <c r="B37" s="1626" t="s">
        <v>101</v>
      </c>
      <c r="C37" s="1364" t="s">
        <v>3</v>
      </c>
      <c r="D37" s="1335"/>
      <c r="E37" s="1336"/>
      <c r="F37" s="1336"/>
      <c r="G37" s="1336">
        <v>14066</v>
      </c>
      <c r="H37" s="1336">
        <v>3798</v>
      </c>
      <c r="I37" s="1336"/>
      <c r="J37" s="1336"/>
      <c r="K37" s="1336"/>
      <c r="L37" s="1336"/>
      <c r="M37" s="1336"/>
      <c r="N37" s="1336"/>
      <c r="O37" s="1336"/>
      <c r="P37" s="1336">
        <v>22331</v>
      </c>
      <c r="Q37" s="1336">
        <f t="shared" si="0"/>
        <v>17864</v>
      </c>
      <c r="R37" s="795">
        <f t="shared" si="1"/>
        <v>40195</v>
      </c>
      <c r="S37" s="90"/>
      <c r="U37" s="90"/>
    </row>
    <row r="38" spans="1:21" ht="24" customHeight="1">
      <c r="A38" s="1633"/>
      <c r="B38" s="1626"/>
      <c r="C38" s="1364" t="s">
        <v>912</v>
      </c>
      <c r="D38" s="1335"/>
      <c r="E38" s="1336"/>
      <c r="F38" s="1336"/>
      <c r="G38" s="1336">
        <v>14066</v>
      </c>
      <c r="H38" s="1336">
        <v>3798</v>
      </c>
      <c r="I38" s="1336"/>
      <c r="J38" s="1336"/>
      <c r="K38" s="1336"/>
      <c r="L38" s="1336"/>
      <c r="M38" s="1336"/>
      <c r="N38" s="1336"/>
      <c r="O38" s="1336"/>
      <c r="P38" s="1336">
        <v>20305</v>
      </c>
      <c r="Q38" s="1336">
        <f t="shared" si="0"/>
        <v>17864</v>
      </c>
      <c r="R38" s="795">
        <f t="shared" si="1"/>
        <v>38169</v>
      </c>
      <c r="S38" s="90"/>
      <c r="U38" s="90"/>
    </row>
    <row r="39" spans="1:21" ht="24" customHeight="1">
      <c r="A39" s="1623" t="s">
        <v>143</v>
      </c>
      <c r="B39" s="1634" t="s">
        <v>144</v>
      </c>
      <c r="C39" s="1364" t="s">
        <v>3</v>
      </c>
      <c r="D39" s="1334"/>
      <c r="E39" s="1338">
        <v>13010</v>
      </c>
      <c r="F39" s="1338"/>
      <c r="G39" s="1338"/>
      <c r="H39" s="1338">
        <v>25003</v>
      </c>
      <c r="I39" s="1338"/>
      <c r="J39" s="1338"/>
      <c r="K39" s="1338"/>
      <c r="L39" s="1338"/>
      <c r="M39" s="1338"/>
      <c r="N39" s="1338"/>
      <c r="O39" s="1338"/>
      <c r="P39" s="1336">
        <v>69287</v>
      </c>
      <c r="Q39" s="1336">
        <f t="shared" si="0"/>
        <v>38013</v>
      </c>
      <c r="R39" s="795">
        <f t="shared" si="1"/>
        <v>107300</v>
      </c>
      <c r="S39" s="90"/>
      <c r="U39" s="90"/>
    </row>
    <row r="40" spans="1:21" ht="24" customHeight="1">
      <c r="A40" s="1623"/>
      <c r="B40" s="1634"/>
      <c r="C40" s="1364" t="s">
        <v>912</v>
      </c>
      <c r="D40" s="1334"/>
      <c r="E40" s="1338">
        <v>13010</v>
      </c>
      <c r="F40" s="1338"/>
      <c r="G40" s="1338"/>
      <c r="H40" s="1338">
        <v>25003</v>
      </c>
      <c r="I40" s="1338"/>
      <c r="J40" s="1338"/>
      <c r="K40" s="1338"/>
      <c r="L40" s="1338"/>
      <c r="M40" s="1338"/>
      <c r="N40" s="1338"/>
      <c r="O40" s="1338">
        <v>1166</v>
      </c>
      <c r="P40" s="1336">
        <v>69086</v>
      </c>
      <c r="Q40" s="1336">
        <f t="shared" si="0"/>
        <v>39179</v>
      </c>
      <c r="R40" s="795">
        <f t="shared" si="1"/>
        <v>108265</v>
      </c>
      <c r="S40" s="90"/>
      <c r="U40" s="90"/>
    </row>
    <row r="41" spans="1:21" s="122" customFormat="1" ht="24" customHeight="1">
      <c r="A41" s="1623" t="s">
        <v>145</v>
      </c>
      <c r="B41" s="1624"/>
      <c r="C41" s="1365" t="s">
        <v>3</v>
      </c>
      <c r="D41" s="1337">
        <f t="shared" ref="D41:O42" si="4">D25+D31+D33+D35+D37+D39</f>
        <v>0</v>
      </c>
      <c r="E41" s="1339">
        <f t="shared" si="4"/>
        <v>13010</v>
      </c>
      <c r="F41" s="1339">
        <f t="shared" si="4"/>
        <v>0</v>
      </c>
      <c r="G41" s="1339">
        <f t="shared" si="4"/>
        <v>82115</v>
      </c>
      <c r="H41" s="1339">
        <f t="shared" si="4"/>
        <v>47174</v>
      </c>
      <c r="I41" s="1339"/>
      <c r="J41" s="1339">
        <f t="shared" si="4"/>
        <v>0</v>
      </c>
      <c r="K41" s="1339">
        <f t="shared" si="4"/>
        <v>0</v>
      </c>
      <c r="L41" s="1339">
        <f t="shared" si="4"/>
        <v>0</v>
      </c>
      <c r="M41" s="1339">
        <f t="shared" si="4"/>
        <v>0</v>
      </c>
      <c r="N41" s="1339">
        <f t="shared" si="4"/>
        <v>0</v>
      </c>
      <c r="O41" s="1339">
        <f t="shared" si="4"/>
        <v>0</v>
      </c>
      <c r="P41" s="1339">
        <f>P25+P31+P33+P35+P37+P39</f>
        <v>222983</v>
      </c>
      <c r="Q41" s="1336">
        <f t="shared" si="0"/>
        <v>142299</v>
      </c>
      <c r="R41" s="795">
        <f t="shared" si="1"/>
        <v>365282</v>
      </c>
      <c r="S41" s="123"/>
      <c r="U41" s="123"/>
    </row>
    <row r="42" spans="1:21" s="122" customFormat="1" ht="24" customHeight="1">
      <c r="A42" s="1623"/>
      <c r="B42" s="1624"/>
      <c r="C42" s="1365" t="s">
        <v>912</v>
      </c>
      <c r="D42" s="1337">
        <f t="shared" si="4"/>
        <v>0</v>
      </c>
      <c r="E42" s="1337">
        <f t="shared" si="4"/>
        <v>13010</v>
      </c>
      <c r="F42" s="1337">
        <f t="shared" si="4"/>
        <v>0</v>
      </c>
      <c r="G42" s="1337">
        <f t="shared" si="4"/>
        <v>82115</v>
      </c>
      <c r="H42" s="1337">
        <f t="shared" si="4"/>
        <v>47174</v>
      </c>
      <c r="I42" s="1337">
        <f t="shared" si="4"/>
        <v>0</v>
      </c>
      <c r="J42" s="1337">
        <f t="shared" si="4"/>
        <v>0</v>
      </c>
      <c r="K42" s="1337">
        <f t="shared" si="4"/>
        <v>0</v>
      </c>
      <c r="L42" s="1337">
        <f t="shared" si="4"/>
        <v>0</v>
      </c>
      <c r="M42" s="1337">
        <f t="shared" si="4"/>
        <v>0</v>
      </c>
      <c r="N42" s="1337">
        <f t="shared" si="4"/>
        <v>0</v>
      </c>
      <c r="O42" s="1337">
        <f t="shared" si="4"/>
        <v>1166</v>
      </c>
      <c r="P42" s="1339">
        <f>P26+P32+P34+P36+P38+P40</f>
        <v>210127</v>
      </c>
      <c r="Q42" s="1336">
        <f t="shared" si="0"/>
        <v>143465</v>
      </c>
      <c r="R42" s="795">
        <f t="shared" si="1"/>
        <v>353592</v>
      </c>
      <c r="S42" s="123"/>
      <c r="U42" s="123"/>
    </row>
    <row r="43" spans="1:21" ht="24" customHeight="1">
      <c r="A43" s="1623" t="s">
        <v>146</v>
      </c>
      <c r="B43" s="1626" t="s">
        <v>101</v>
      </c>
      <c r="C43" s="1364" t="s">
        <v>3</v>
      </c>
      <c r="D43" s="1340">
        <v>5000</v>
      </c>
      <c r="E43" s="1336">
        <v>208509</v>
      </c>
      <c r="F43" s="1336">
        <v>900</v>
      </c>
      <c r="G43" s="1336"/>
      <c r="H43" s="1336">
        <v>57891</v>
      </c>
      <c r="I43" s="1336"/>
      <c r="J43" s="1336"/>
      <c r="K43" s="1336"/>
      <c r="L43" s="1336"/>
      <c r="M43" s="1336"/>
      <c r="N43" s="1336"/>
      <c r="O43" s="1336"/>
      <c r="P43" s="1336">
        <v>351815</v>
      </c>
      <c r="Q43" s="1336">
        <f t="shared" si="0"/>
        <v>272300</v>
      </c>
      <c r="R43" s="795">
        <f t="shared" si="1"/>
        <v>624115</v>
      </c>
      <c r="S43" s="90"/>
      <c r="U43" s="90"/>
    </row>
    <row r="44" spans="1:21" ht="24" customHeight="1">
      <c r="A44" s="1623"/>
      <c r="B44" s="1626"/>
      <c r="C44" s="1364" t="s">
        <v>912</v>
      </c>
      <c r="D44" s="1340">
        <v>5000</v>
      </c>
      <c r="E44" s="1336">
        <f>208509+157480</f>
        <v>365989</v>
      </c>
      <c r="F44" s="1336">
        <v>900</v>
      </c>
      <c r="G44" s="1336"/>
      <c r="H44" s="1336">
        <f>57891+42520</f>
        <v>100411</v>
      </c>
      <c r="I44" s="1336"/>
      <c r="J44" s="1336"/>
      <c r="K44" s="1336">
        <f>750+1000+725</f>
        <v>2475</v>
      </c>
      <c r="L44" s="1336"/>
      <c r="M44" s="1336"/>
      <c r="N44" s="1336"/>
      <c r="O44" s="1336">
        <v>145883</v>
      </c>
      <c r="P44" s="1336">
        <v>344066</v>
      </c>
      <c r="Q44" s="1336">
        <f t="shared" si="0"/>
        <v>620658</v>
      </c>
      <c r="R44" s="795">
        <f t="shared" si="1"/>
        <v>964724</v>
      </c>
      <c r="S44" s="90"/>
      <c r="U44" s="90"/>
    </row>
    <row r="45" spans="1:21" ht="24" customHeight="1">
      <c r="A45" s="1623" t="s">
        <v>147</v>
      </c>
      <c r="B45" s="1626" t="s">
        <v>101</v>
      </c>
      <c r="C45" s="1364" t="s">
        <v>3</v>
      </c>
      <c r="D45" s="1335"/>
      <c r="E45" s="1336">
        <v>1105</v>
      </c>
      <c r="F45" s="1336"/>
      <c r="G45" s="1336"/>
      <c r="H45" s="1336">
        <v>297</v>
      </c>
      <c r="I45" s="1336"/>
      <c r="J45" s="1336"/>
      <c r="K45" s="1336"/>
      <c r="L45" s="1336"/>
      <c r="M45" s="1336"/>
      <c r="N45" s="1336"/>
      <c r="O45" s="1336"/>
      <c r="P45" s="1336">
        <v>51598</v>
      </c>
      <c r="Q45" s="1336">
        <f t="shared" si="0"/>
        <v>1402</v>
      </c>
      <c r="R45" s="795">
        <f t="shared" si="1"/>
        <v>53000</v>
      </c>
      <c r="S45" s="90"/>
      <c r="U45" s="90"/>
    </row>
    <row r="46" spans="1:21" ht="24" customHeight="1">
      <c r="A46" s="1623"/>
      <c r="B46" s="1626"/>
      <c r="C46" s="1364" t="s">
        <v>912</v>
      </c>
      <c r="D46" s="1335"/>
      <c r="E46" s="1336">
        <v>1105</v>
      </c>
      <c r="F46" s="1336"/>
      <c r="G46" s="1336"/>
      <c r="H46" s="1336">
        <v>297</v>
      </c>
      <c r="I46" s="1336"/>
      <c r="J46" s="1336"/>
      <c r="K46" s="1336"/>
      <c r="L46" s="1336"/>
      <c r="M46" s="1336"/>
      <c r="N46" s="1336"/>
      <c r="O46" s="1336">
        <v>195</v>
      </c>
      <c r="P46" s="1336">
        <v>52496</v>
      </c>
      <c r="Q46" s="1336">
        <f t="shared" si="0"/>
        <v>1597</v>
      </c>
      <c r="R46" s="795">
        <f t="shared" si="1"/>
        <v>54093</v>
      </c>
      <c r="S46" s="90"/>
      <c r="U46" s="90"/>
    </row>
    <row r="47" spans="1:21" s="124" customFormat="1" ht="24" customHeight="1">
      <c r="A47" s="1625" t="s">
        <v>148</v>
      </c>
      <c r="B47" s="1624" t="s">
        <v>101</v>
      </c>
      <c r="C47" s="1364" t="s">
        <v>3</v>
      </c>
      <c r="D47" s="1335"/>
      <c r="E47" s="1336">
        <v>20</v>
      </c>
      <c r="F47" s="1336">
        <v>1400</v>
      </c>
      <c r="G47" s="1336"/>
      <c r="H47" s="1336"/>
      <c r="I47" s="1336"/>
      <c r="J47" s="1336"/>
      <c r="K47" s="1336">
        <v>86856</v>
      </c>
      <c r="L47" s="1336"/>
      <c r="M47" s="1336"/>
      <c r="N47" s="1336"/>
      <c r="O47" s="1336"/>
      <c r="P47" s="1336">
        <v>36539</v>
      </c>
      <c r="Q47" s="1336">
        <f t="shared" si="0"/>
        <v>88276</v>
      </c>
      <c r="R47" s="795">
        <f t="shared" si="1"/>
        <v>124815</v>
      </c>
      <c r="S47" s="123"/>
      <c r="U47" s="123"/>
    </row>
    <row r="48" spans="1:21" s="124" customFormat="1" ht="24" customHeight="1">
      <c r="A48" s="1625"/>
      <c r="B48" s="1624"/>
      <c r="C48" s="1364" t="s">
        <v>912</v>
      </c>
      <c r="D48" s="1335"/>
      <c r="E48" s="1336">
        <v>20</v>
      </c>
      <c r="F48" s="1336">
        <v>1400</v>
      </c>
      <c r="G48" s="1336"/>
      <c r="H48" s="1336"/>
      <c r="I48" s="1336"/>
      <c r="J48" s="1336"/>
      <c r="K48" s="1336">
        <f>86856+9824</f>
        <v>96680</v>
      </c>
      <c r="L48" s="1336"/>
      <c r="M48" s="1336"/>
      <c r="N48" s="1336"/>
      <c r="O48" s="1336">
        <v>617</v>
      </c>
      <c r="P48" s="1336">
        <v>25630</v>
      </c>
      <c r="Q48" s="1336">
        <f t="shared" si="0"/>
        <v>98717</v>
      </c>
      <c r="R48" s="795">
        <f t="shared" si="1"/>
        <v>124347</v>
      </c>
      <c r="S48" s="123"/>
      <c r="U48" s="123"/>
    </row>
    <row r="49" spans="1:21" s="124" customFormat="1" ht="24" customHeight="1">
      <c r="A49" s="1625" t="s">
        <v>544</v>
      </c>
      <c r="B49" s="1624" t="s">
        <v>68</v>
      </c>
      <c r="C49" s="1365" t="s">
        <v>3</v>
      </c>
      <c r="D49" s="1339">
        <f>D5+D7+D9+D11+D13+D15+D17+D19+D41+D43+D45+D47</f>
        <v>5000</v>
      </c>
      <c r="E49" s="1339">
        <f>E5+E7+E9+E11+E13+E15+E17+E19+E41+E43+E45+E47</f>
        <v>240483</v>
      </c>
      <c r="F49" s="1339">
        <f t="shared" ref="F49:P50" si="5">F5+F7+F9+F11+F13+F15+F17+F19+F41+F43+F45+F47</f>
        <v>2300</v>
      </c>
      <c r="G49" s="1339">
        <f t="shared" si="5"/>
        <v>100617</v>
      </c>
      <c r="H49" s="1339">
        <f t="shared" si="5"/>
        <v>113813</v>
      </c>
      <c r="I49" s="1339"/>
      <c r="J49" s="1339">
        <f t="shared" si="5"/>
        <v>0</v>
      </c>
      <c r="K49" s="1339">
        <f t="shared" si="5"/>
        <v>88368</v>
      </c>
      <c r="L49" s="1339">
        <f t="shared" si="5"/>
        <v>0</v>
      </c>
      <c r="M49" s="1339">
        <f t="shared" si="5"/>
        <v>0</v>
      </c>
      <c r="N49" s="1339">
        <f t="shared" si="5"/>
        <v>0</v>
      </c>
      <c r="O49" s="1339">
        <f t="shared" si="5"/>
        <v>0</v>
      </c>
      <c r="P49" s="1339">
        <f t="shared" si="5"/>
        <v>1494639</v>
      </c>
      <c r="Q49" s="1336">
        <f t="shared" si="0"/>
        <v>550581</v>
      </c>
      <c r="R49" s="795">
        <f t="shared" si="1"/>
        <v>2045220</v>
      </c>
      <c r="S49" s="125"/>
      <c r="U49" s="123"/>
    </row>
    <row r="50" spans="1:21" s="124" customFormat="1" ht="24" customHeight="1">
      <c r="A50" s="1625"/>
      <c r="B50" s="1624"/>
      <c r="C50" s="1365" t="s">
        <v>912</v>
      </c>
      <c r="D50" s="1339">
        <f>D6+D8+D10+D12+D14+D16+D18+D20+D42+D44+D46+D48</f>
        <v>5000</v>
      </c>
      <c r="E50" s="1339">
        <f t="shared" ref="E50:O50" si="6">E6+E8+E10+E12+E14+E16+E18+E20+E42+E44+E46+E48</f>
        <v>397963</v>
      </c>
      <c r="F50" s="1339">
        <f t="shared" si="6"/>
        <v>2300</v>
      </c>
      <c r="G50" s="1339">
        <f t="shared" si="6"/>
        <v>100617</v>
      </c>
      <c r="H50" s="1339">
        <f t="shared" si="6"/>
        <v>156333</v>
      </c>
      <c r="I50" s="1339">
        <f t="shared" si="6"/>
        <v>0</v>
      </c>
      <c r="J50" s="1339">
        <f t="shared" si="6"/>
        <v>0</v>
      </c>
      <c r="K50" s="1339">
        <f t="shared" si="6"/>
        <v>100667</v>
      </c>
      <c r="L50" s="1339">
        <f t="shared" si="6"/>
        <v>0</v>
      </c>
      <c r="M50" s="1339">
        <f t="shared" si="6"/>
        <v>0</v>
      </c>
      <c r="N50" s="1339">
        <f t="shared" si="6"/>
        <v>0</v>
      </c>
      <c r="O50" s="1339">
        <f t="shared" si="6"/>
        <v>148397</v>
      </c>
      <c r="P50" s="1339">
        <f t="shared" si="5"/>
        <v>1428254</v>
      </c>
      <c r="Q50" s="1336">
        <f t="shared" si="0"/>
        <v>911277</v>
      </c>
      <c r="R50" s="795">
        <f t="shared" si="1"/>
        <v>2339531</v>
      </c>
      <c r="S50" s="125"/>
      <c r="U50" s="123"/>
    </row>
    <row r="51" spans="1:21" s="122" customFormat="1" ht="24" customHeight="1">
      <c r="A51" s="1623" t="s">
        <v>149</v>
      </c>
      <c r="B51" s="1631" t="s">
        <v>116</v>
      </c>
      <c r="C51" s="1365" t="s">
        <v>3</v>
      </c>
      <c r="D51" s="1341">
        <f t="shared" ref="D51:P52" si="7">D49-D53</f>
        <v>5000</v>
      </c>
      <c r="E51" s="1341">
        <f t="shared" si="7"/>
        <v>227473</v>
      </c>
      <c r="F51" s="1341">
        <f t="shared" si="7"/>
        <v>2300</v>
      </c>
      <c r="G51" s="1341">
        <f t="shared" si="7"/>
        <v>100617</v>
      </c>
      <c r="H51" s="1341">
        <f t="shared" si="7"/>
        <v>88810</v>
      </c>
      <c r="I51" s="1341"/>
      <c r="J51" s="1341">
        <f t="shared" si="7"/>
        <v>0</v>
      </c>
      <c r="K51" s="1341">
        <f t="shared" si="7"/>
        <v>88368</v>
      </c>
      <c r="L51" s="1341">
        <f t="shared" si="7"/>
        <v>0</v>
      </c>
      <c r="M51" s="1341">
        <f t="shared" si="7"/>
        <v>0</v>
      </c>
      <c r="N51" s="1341">
        <f t="shared" si="7"/>
        <v>0</v>
      </c>
      <c r="O51" s="1341">
        <f t="shared" si="7"/>
        <v>0</v>
      </c>
      <c r="P51" s="1341">
        <f t="shared" si="7"/>
        <v>1425352</v>
      </c>
      <c r="Q51" s="1339">
        <f t="shared" si="0"/>
        <v>512568</v>
      </c>
      <c r="R51" s="795">
        <f t="shared" si="1"/>
        <v>1937920</v>
      </c>
      <c r="S51" s="125"/>
      <c r="U51" s="123"/>
    </row>
    <row r="52" spans="1:21" s="122" customFormat="1" ht="24" customHeight="1">
      <c r="A52" s="1623"/>
      <c r="B52" s="1631"/>
      <c r="C52" s="1365" t="s">
        <v>912</v>
      </c>
      <c r="D52" s="1341">
        <f t="shared" si="7"/>
        <v>5000</v>
      </c>
      <c r="E52" s="1341">
        <f t="shared" si="7"/>
        <v>384953</v>
      </c>
      <c r="F52" s="1341">
        <f t="shared" si="7"/>
        <v>2300</v>
      </c>
      <c r="G52" s="1341">
        <f t="shared" si="7"/>
        <v>100617</v>
      </c>
      <c r="H52" s="1341">
        <f t="shared" si="7"/>
        <v>131330</v>
      </c>
      <c r="I52" s="1341">
        <f t="shared" si="7"/>
        <v>0</v>
      </c>
      <c r="J52" s="1341">
        <f t="shared" si="7"/>
        <v>0</v>
      </c>
      <c r="K52" s="1341">
        <f t="shared" si="7"/>
        <v>100667</v>
      </c>
      <c r="L52" s="1341">
        <f t="shared" si="7"/>
        <v>0</v>
      </c>
      <c r="M52" s="1341">
        <f t="shared" si="7"/>
        <v>0</v>
      </c>
      <c r="N52" s="1341">
        <f t="shared" si="7"/>
        <v>0</v>
      </c>
      <c r="O52" s="1341">
        <f t="shared" si="7"/>
        <v>147231</v>
      </c>
      <c r="P52" s="1341">
        <f t="shared" si="7"/>
        <v>1359168</v>
      </c>
      <c r="Q52" s="1339">
        <f t="shared" si="0"/>
        <v>872098</v>
      </c>
      <c r="R52" s="795">
        <f t="shared" si="1"/>
        <v>2231266</v>
      </c>
      <c r="S52" s="125"/>
      <c r="U52" s="123"/>
    </row>
    <row r="53" spans="1:21" s="123" customFormat="1" ht="24" customHeight="1">
      <c r="A53" s="1629" t="s">
        <v>150</v>
      </c>
      <c r="B53" s="1627" t="s">
        <v>144</v>
      </c>
      <c r="C53" s="1366" t="s">
        <v>3</v>
      </c>
      <c r="D53" s="1341">
        <f>D39</f>
        <v>0</v>
      </c>
      <c r="E53" s="1341">
        <f t="shared" ref="E53:P54" si="8">E39</f>
        <v>13010</v>
      </c>
      <c r="F53" s="1341">
        <f t="shared" si="8"/>
        <v>0</v>
      </c>
      <c r="G53" s="1341">
        <f t="shared" si="8"/>
        <v>0</v>
      </c>
      <c r="H53" s="1341">
        <f t="shared" si="8"/>
        <v>25003</v>
      </c>
      <c r="I53" s="1341"/>
      <c r="J53" s="1341">
        <f t="shared" si="8"/>
        <v>0</v>
      </c>
      <c r="K53" s="1341">
        <f t="shared" si="8"/>
        <v>0</v>
      </c>
      <c r="L53" s="1341">
        <f t="shared" si="8"/>
        <v>0</v>
      </c>
      <c r="M53" s="1341">
        <f t="shared" si="8"/>
        <v>0</v>
      </c>
      <c r="N53" s="1341">
        <f t="shared" si="8"/>
        <v>0</v>
      </c>
      <c r="O53" s="1341">
        <f t="shared" si="8"/>
        <v>0</v>
      </c>
      <c r="P53" s="1341">
        <f t="shared" si="8"/>
        <v>69287</v>
      </c>
      <c r="Q53" s="1339">
        <f t="shared" si="0"/>
        <v>38013</v>
      </c>
      <c r="R53" s="795">
        <f t="shared" si="1"/>
        <v>107300</v>
      </c>
      <c r="S53" s="125"/>
    </row>
    <row r="54" spans="1:21" s="90" customFormat="1" ht="24" customHeight="1" thickBot="1">
      <c r="A54" s="1630"/>
      <c r="B54" s="1628"/>
      <c r="C54" s="1367" t="s">
        <v>912</v>
      </c>
      <c r="D54" s="1353">
        <f>D40</f>
        <v>0</v>
      </c>
      <c r="E54" s="1353">
        <f t="shared" si="8"/>
        <v>13010</v>
      </c>
      <c r="F54" s="1353">
        <f t="shared" si="8"/>
        <v>0</v>
      </c>
      <c r="G54" s="1353">
        <f t="shared" si="8"/>
        <v>0</v>
      </c>
      <c r="H54" s="1353">
        <f t="shared" si="8"/>
        <v>25003</v>
      </c>
      <c r="I54" s="1353">
        <f t="shared" si="8"/>
        <v>0</v>
      </c>
      <c r="J54" s="1353">
        <f t="shared" si="8"/>
        <v>0</v>
      </c>
      <c r="K54" s="1353">
        <f t="shared" si="8"/>
        <v>0</v>
      </c>
      <c r="L54" s="1353">
        <f t="shared" si="8"/>
        <v>0</v>
      </c>
      <c r="M54" s="1353">
        <f t="shared" si="8"/>
        <v>0</v>
      </c>
      <c r="N54" s="1353">
        <f t="shared" si="8"/>
        <v>0</v>
      </c>
      <c r="O54" s="1353">
        <f t="shared" si="8"/>
        <v>1166</v>
      </c>
      <c r="P54" s="1353">
        <f t="shared" si="8"/>
        <v>69086</v>
      </c>
      <c r="Q54" s="1354">
        <f t="shared" si="0"/>
        <v>39179</v>
      </c>
      <c r="R54" s="1355">
        <f t="shared" si="1"/>
        <v>108265</v>
      </c>
    </row>
    <row r="55" spans="1:21" ht="15" hidden="1" customHeight="1">
      <c r="Q55" s="439">
        <f t="shared" si="0"/>
        <v>0</v>
      </c>
    </row>
    <row r="56" spans="1:21" hidden="1">
      <c r="Q56" s="225">
        <f t="shared" si="0"/>
        <v>0</v>
      </c>
      <c r="R56" s="90"/>
    </row>
    <row r="57" spans="1:21" hidden="1">
      <c r="Q57" s="225">
        <f t="shared" si="0"/>
        <v>0</v>
      </c>
    </row>
    <row r="58" spans="1:21" hidden="1">
      <c r="Q58" s="225">
        <f t="shared" si="0"/>
        <v>0</v>
      </c>
      <c r="R58" s="90"/>
    </row>
    <row r="59" spans="1:21" hidden="1">
      <c r="Q59" s="225">
        <f t="shared" si="0"/>
        <v>0</v>
      </c>
    </row>
    <row r="61" spans="1:21">
      <c r="A61" s="128"/>
    </row>
    <row r="62" spans="1:21">
      <c r="A62" s="128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</row>
  </sheetData>
  <mergeCells count="62">
    <mergeCell ref="R3:R4"/>
    <mergeCell ref="A1:R1"/>
    <mergeCell ref="A2:R2"/>
    <mergeCell ref="A3:A4"/>
    <mergeCell ref="B3:B4"/>
    <mergeCell ref="C3:C4"/>
    <mergeCell ref="Q3:Q4"/>
    <mergeCell ref="P3:P4"/>
    <mergeCell ref="D3:I3"/>
    <mergeCell ref="J3:M3"/>
    <mergeCell ref="N3:N4"/>
    <mergeCell ref="O3:O4"/>
    <mergeCell ref="A5:A6"/>
    <mergeCell ref="B5:B6"/>
    <mergeCell ref="A7:A8"/>
    <mergeCell ref="B7:B8"/>
    <mergeCell ref="A9:A10"/>
    <mergeCell ref="B9:B10"/>
    <mergeCell ref="A11:A12"/>
    <mergeCell ref="B11:B12"/>
    <mergeCell ref="A13:A14"/>
    <mergeCell ref="B13:B14"/>
    <mergeCell ref="A15:A16"/>
    <mergeCell ref="B15:B16"/>
    <mergeCell ref="A17:A18"/>
    <mergeCell ref="B17:B18"/>
    <mergeCell ref="A19:A20"/>
    <mergeCell ref="B19:B20"/>
    <mergeCell ref="A21:A22"/>
    <mergeCell ref="B21:B22"/>
    <mergeCell ref="A23:A24"/>
    <mergeCell ref="B23:B24"/>
    <mergeCell ref="A25:A26"/>
    <mergeCell ref="B25:B26"/>
    <mergeCell ref="A27:A28"/>
    <mergeCell ref="B27:B28"/>
    <mergeCell ref="A29:A30"/>
    <mergeCell ref="A31:A32"/>
    <mergeCell ref="B29:B30"/>
    <mergeCell ref="B31:B32"/>
    <mergeCell ref="A33:A34"/>
    <mergeCell ref="B33:B34"/>
    <mergeCell ref="A35:A36"/>
    <mergeCell ref="B35:B36"/>
    <mergeCell ref="A37:A38"/>
    <mergeCell ref="B37:B38"/>
    <mergeCell ref="A39:A40"/>
    <mergeCell ref="B39:B40"/>
    <mergeCell ref="B53:B54"/>
    <mergeCell ref="A53:A54"/>
    <mergeCell ref="A51:A52"/>
    <mergeCell ref="B51:B52"/>
    <mergeCell ref="A49:A50"/>
    <mergeCell ref="B49:B50"/>
    <mergeCell ref="A41:A42"/>
    <mergeCell ref="B41:B42"/>
    <mergeCell ref="A47:A48"/>
    <mergeCell ref="B47:B48"/>
    <mergeCell ref="A45:A46"/>
    <mergeCell ref="B45:B46"/>
    <mergeCell ref="A43:A44"/>
    <mergeCell ref="B43:B44"/>
  </mergeCells>
  <pageMargins left="0.44" right="0.17" top="0.51181102362204722" bottom="0.74803149606299213" header="0.31496062992125984" footer="0.31496062992125984"/>
  <pageSetup paperSize="9" scale="45" orientation="portrait" r:id="rId1"/>
  <headerFooter>
    <oddHeader>&amp;L&amp;"Times New Roman,Normál"&amp;8 6. melléklet  a   17 /2020. (VII.9.) önkormányzati rendelethez</oddHeader>
    <oddFooter>&amp;L24/2019.(XII.19.)önk.rend. Hatályos:2020.01.01.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Layout" zoomScale="71" zoomScaleNormal="100" zoomScalePageLayoutView="71" workbookViewId="0">
      <selection activeCell="K55" sqref="K55"/>
    </sheetView>
  </sheetViews>
  <sheetFormatPr defaultColWidth="9.140625" defaultRowHeight="15"/>
  <cols>
    <col min="1" max="1" width="42.7109375" style="45" customWidth="1"/>
    <col min="2" max="2" width="15.28515625" style="45" customWidth="1"/>
    <col min="3" max="3" width="14.28515625" style="1368" bestFit="1" customWidth="1"/>
    <col min="4" max="4" width="9.140625" style="45"/>
    <col min="5" max="5" width="9.7109375" style="45" customWidth="1"/>
    <col min="6" max="6" width="10.42578125" style="45" customWidth="1"/>
    <col min="7" max="7" width="10.5703125" style="45" customWidth="1"/>
    <col min="8" max="8" width="11.7109375" style="45" customWidth="1"/>
    <col min="9" max="9" width="11.140625" style="45" customWidth="1"/>
    <col min="10" max="16384" width="9.140625" style="45"/>
  </cols>
  <sheetData>
    <row r="1" spans="1:9">
      <c r="A1" s="1657" t="s">
        <v>965</v>
      </c>
      <c r="B1" s="1657"/>
      <c r="C1" s="1657"/>
      <c r="D1" s="1657"/>
      <c r="E1" s="1657"/>
      <c r="F1" s="1657"/>
      <c r="G1" s="1657"/>
      <c r="H1" s="1657"/>
      <c r="I1" s="1657"/>
    </row>
    <row r="2" spans="1:9" ht="15.75" thickBot="1">
      <c r="A2" s="1663"/>
      <c r="B2" s="1663"/>
      <c r="C2" s="1663"/>
      <c r="D2" s="1663"/>
      <c r="E2" s="1663"/>
      <c r="F2" s="1663"/>
      <c r="G2" s="1663"/>
      <c r="H2" s="1663"/>
      <c r="I2" s="1663"/>
    </row>
    <row r="3" spans="1:9" ht="38.25" customHeight="1">
      <c r="A3" s="1651" t="s">
        <v>125</v>
      </c>
      <c r="B3" s="1659" t="s">
        <v>126</v>
      </c>
      <c r="C3" s="1661"/>
      <c r="D3" s="1664" t="s">
        <v>97</v>
      </c>
      <c r="E3" s="1653"/>
      <c r="F3" s="1653"/>
      <c r="G3" s="1664" t="s">
        <v>98</v>
      </c>
      <c r="H3" s="1653"/>
      <c r="I3" s="1665" t="s">
        <v>128</v>
      </c>
    </row>
    <row r="4" spans="1:9" ht="43.5" thickBot="1">
      <c r="A4" s="1658"/>
      <c r="B4" s="1660"/>
      <c r="C4" s="1662"/>
      <c r="D4" s="1356" t="s">
        <v>542</v>
      </c>
      <c r="E4" s="1356" t="s">
        <v>543</v>
      </c>
      <c r="F4" s="1357" t="s">
        <v>99</v>
      </c>
      <c r="G4" s="1357" t="s">
        <v>56</v>
      </c>
      <c r="H4" s="1357" t="s">
        <v>57</v>
      </c>
      <c r="I4" s="1666"/>
    </row>
    <row r="5" spans="1:9">
      <c r="A5" s="1651" t="s">
        <v>787</v>
      </c>
      <c r="B5" s="1653" t="s">
        <v>101</v>
      </c>
      <c r="C5" s="1369" t="s">
        <v>3</v>
      </c>
      <c r="D5" s="433">
        <v>83348</v>
      </c>
      <c r="E5" s="433">
        <v>14498</v>
      </c>
      <c r="F5" s="433">
        <v>18087</v>
      </c>
      <c r="G5" s="433">
        <v>1442</v>
      </c>
      <c r="H5" s="433">
        <v>3401</v>
      </c>
      <c r="I5" s="434">
        <f>SUM(D5:H5)</f>
        <v>120776</v>
      </c>
    </row>
    <row r="6" spans="1:9" ht="15.75" thickBot="1">
      <c r="A6" s="1652"/>
      <c r="B6" s="1654"/>
      <c r="C6" s="1370" t="s">
        <v>912</v>
      </c>
      <c r="D6" s="1362">
        <f>83348+12-2901</f>
        <v>80459</v>
      </c>
      <c r="E6" s="1362">
        <f>14498+2-507</f>
        <v>13993</v>
      </c>
      <c r="F6" s="1362">
        <f>18087-1182+310+80</f>
        <v>17295</v>
      </c>
      <c r="G6" s="1362">
        <f>1442+112</f>
        <v>1554</v>
      </c>
      <c r="H6" s="1362">
        <f>3401-310-112-2500</f>
        <v>479</v>
      </c>
      <c r="I6" s="1345">
        <f>SUM(D6:H6)</f>
        <v>113780</v>
      </c>
    </row>
    <row r="7" spans="1:9">
      <c r="A7" s="1651" t="s">
        <v>129</v>
      </c>
      <c r="B7" s="1653" t="s">
        <v>101</v>
      </c>
      <c r="C7" s="1369" t="s">
        <v>3</v>
      </c>
      <c r="D7" s="433">
        <v>27491</v>
      </c>
      <c r="E7" s="433">
        <v>4790</v>
      </c>
      <c r="F7" s="433">
        <v>7830</v>
      </c>
      <c r="G7" s="433">
        <v>3820</v>
      </c>
      <c r="H7" s="433">
        <v>0</v>
      </c>
      <c r="I7" s="434">
        <f t="shared" ref="I7:I54" si="0">SUM(D7:H7)</f>
        <v>43931</v>
      </c>
    </row>
    <row r="8" spans="1:9" ht="15.75" thickBot="1">
      <c r="A8" s="1655"/>
      <c r="B8" s="1656"/>
      <c r="C8" s="1371" t="s">
        <v>912</v>
      </c>
      <c r="D8" s="441">
        <v>27491</v>
      </c>
      <c r="E8" s="441">
        <v>4790</v>
      </c>
      <c r="F8" s="441">
        <f>7830</f>
        <v>7830</v>
      </c>
      <c r="G8" s="441">
        <f>3820+1000</f>
        <v>4820</v>
      </c>
      <c r="H8" s="441">
        <v>0</v>
      </c>
      <c r="I8" s="1342">
        <f t="shared" si="0"/>
        <v>44931</v>
      </c>
    </row>
    <row r="9" spans="1:9">
      <c r="A9" s="1667" t="s">
        <v>130</v>
      </c>
      <c r="B9" s="1668" t="s">
        <v>101</v>
      </c>
      <c r="C9" s="1372" t="s">
        <v>3</v>
      </c>
      <c r="D9" s="1343">
        <v>70369</v>
      </c>
      <c r="E9" s="1343">
        <v>12244</v>
      </c>
      <c r="F9" s="1343">
        <v>16570</v>
      </c>
      <c r="G9" s="1343">
        <v>480</v>
      </c>
      <c r="H9" s="1343">
        <v>3600</v>
      </c>
      <c r="I9" s="1344">
        <f t="shared" si="0"/>
        <v>103263</v>
      </c>
    </row>
    <row r="10" spans="1:9" ht="15.75" thickBot="1">
      <c r="A10" s="1652"/>
      <c r="B10" s="1654"/>
      <c r="C10" s="1370" t="s">
        <v>912</v>
      </c>
      <c r="D10" s="1362">
        <f>70369+165+312+14</f>
        <v>70860</v>
      </c>
      <c r="E10" s="1362">
        <f>12244+29+52</f>
        <v>12325</v>
      </c>
      <c r="F10" s="1362">
        <f>16570-1295-77</f>
        <v>15198</v>
      </c>
      <c r="G10" s="1362">
        <f>480-400</f>
        <v>80</v>
      </c>
      <c r="H10" s="1362">
        <f>3600+77-400</f>
        <v>3277</v>
      </c>
      <c r="I10" s="1345">
        <f t="shared" si="0"/>
        <v>101740</v>
      </c>
    </row>
    <row r="11" spans="1:9">
      <c r="A11" s="1651" t="s">
        <v>131</v>
      </c>
      <c r="B11" s="1653" t="s">
        <v>101</v>
      </c>
      <c r="C11" s="1369" t="s">
        <v>3</v>
      </c>
      <c r="D11" s="433">
        <v>93731</v>
      </c>
      <c r="E11" s="433">
        <v>16182</v>
      </c>
      <c r="F11" s="433">
        <v>28024</v>
      </c>
      <c r="G11" s="433">
        <v>650</v>
      </c>
      <c r="H11" s="433">
        <v>14000</v>
      </c>
      <c r="I11" s="434">
        <f t="shared" si="0"/>
        <v>152587</v>
      </c>
    </row>
    <row r="12" spans="1:9" ht="15.75" thickBot="1">
      <c r="A12" s="1655"/>
      <c r="B12" s="1656"/>
      <c r="C12" s="1371" t="s">
        <v>912</v>
      </c>
      <c r="D12" s="441">
        <f>93731-851</f>
        <v>92880</v>
      </c>
      <c r="E12" s="441">
        <f>16182-149</f>
        <v>16033</v>
      </c>
      <c r="F12" s="441">
        <f>28024-1126+2400+129</f>
        <v>29427</v>
      </c>
      <c r="G12" s="441">
        <v>650</v>
      </c>
      <c r="H12" s="441">
        <f>14000-2400-11500</f>
        <v>100</v>
      </c>
      <c r="I12" s="1342">
        <f t="shared" si="0"/>
        <v>139090</v>
      </c>
    </row>
    <row r="13" spans="1:9">
      <c r="A13" s="1667" t="s">
        <v>132</v>
      </c>
      <c r="B13" s="1668" t="s">
        <v>101</v>
      </c>
      <c r="C13" s="1372" t="s">
        <v>3</v>
      </c>
      <c r="D13" s="1343">
        <v>49258</v>
      </c>
      <c r="E13" s="1343">
        <v>8554</v>
      </c>
      <c r="F13" s="1343">
        <v>16456</v>
      </c>
      <c r="G13" s="1343">
        <v>5150</v>
      </c>
      <c r="H13" s="1343">
        <v>5000</v>
      </c>
      <c r="I13" s="1344">
        <f t="shared" si="0"/>
        <v>84418</v>
      </c>
    </row>
    <row r="14" spans="1:9" ht="15.75" thickBot="1">
      <c r="A14" s="1652"/>
      <c r="B14" s="1654"/>
      <c r="C14" s="1370" t="s">
        <v>912</v>
      </c>
      <c r="D14" s="1362">
        <f>49258+37</f>
        <v>49295</v>
      </c>
      <c r="E14" s="1362">
        <f>8554+6</f>
        <v>8560</v>
      </c>
      <c r="F14" s="1362">
        <f>16456-619+1500+65</f>
        <v>17402</v>
      </c>
      <c r="G14" s="1362">
        <f>5150-3000</f>
        <v>2150</v>
      </c>
      <c r="H14" s="1362">
        <f>5000-1500-500</f>
        <v>3000</v>
      </c>
      <c r="I14" s="1345">
        <f t="shared" si="0"/>
        <v>80407</v>
      </c>
    </row>
    <row r="15" spans="1:9">
      <c r="A15" s="1651" t="s">
        <v>133</v>
      </c>
      <c r="B15" s="1653" t="s">
        <v>101</v>
      </c>
      <c r="C15" s="1369" t="s">
        <v>3</v>
      </c>
      <c r="D15" s="433">
        <v>89756</v>
      </c>
      <c r="E15" s="433">
        <v>18460</v>
      </c>
      <c r="F15" s="433">
        <f>14020</f>
        <v>14020</v>
      </c>
      <c r="G15" s="433">
        <v>1240</v>
      </c>
      <c r="H15" s="433">
        <v>2100</v>
      </c>
      <c r="I15" s="434">
        <f t="shared" si="0"/>
        <v>125576</v>
      </c>
    </row>
    <row r="16" spans="1:9" ht="15.75" thickBot="1">
      <c r="A16" s="1655"/>
      <c r="B16" s="1656"/>
      <c r="C16" s="1371" t="s">
        <v>912</v>
      </c>
      <c r="D16" s="441">
        <f>89756-425-851-5574</f>
        <v>82906</v>
      </c>
      <c r="E16" s="441">
        <f>18460-75-149-976</f>
        <v>17260</v>
      </c>
      <c r="F16" s="441">
        <f>14020-1407+32-55</f>
        <v>12590</v>
      </c>
      <c r="G16" s="441">
        <f>1240+500-1240</f>
        <v>500</v>
      </c>
      <c r="H16" s="441">
        <v>2100</v>
      </c>
      <c r="I16" s="1342">
        <f t="shared" si="0"/>
        <v>115356</v>
      </c>
    </row>
    <row r="17" spans="1:9">
      <c r="A17" s="1651" t="s">
        <v>753</v>
      </c>
      <c r="B17" s="1653" t="s">
        <v>101</v>
      </c>
      <c r="C17" s="1369" t="s">
        <v>3</v>
      </c>
      <c r="D17" s="433">
        <v>13147</v>
      </c>
      <c r="E17" s="433">
        <v>2301</v>
      </c>
      <c r="F17" s="433">
        <v>3998</v>
      </c>
      <c r="G17" s="433">
        <v>130</v>
      </c>
      <c r="H17" s="433">
        <v>2000</v>
      </c>
      <c r="I17" s="434">
        <f t="shared" si="0"/>
        <v>21576</v>
      </c>
    </row>
    <row r="18" spans="1:9" ht="15.75" thickBot="1">
      <c r="A18" s="1655"/>
      <c r="B18" s="1656"/>
      <c r="C18" s="1371" t="s">
        <v>912</v>
      </c>
      <c r="D18" s="441">
        <v>13147</v>
      </c>
      <c r="E18" s="441">
        <v>2301</v>
      </c>
      <c r="F18" s="441">
        <f>3998+378</f>
        <v>4376</v>
      </c>
      <c r="G18" s="441">
        <v>130</v>
      </c>
      <c r="H18" s="441">
        <f>2000-378</f>
        <v>1622</v>
      </c>
      <c r="I18" s="1342">
        <f t="shared" si="0"/>
        <v>21576</v>
      </c>
    </row>
    <row r="19" spans="1:9">
      <c r="A19" s="1667" t="s">
        <v>135</v>
      </c>
      <c r="B19" s="1668" t="s">
        <v>101</v>
      </c>
      <c r="C19" s="1372" t="s">
        <v>3</v>
      </c>
      <c r="D19" s="1343">
        <v>138978</v>
      </c>
      <c r="E19" s="1343">
        <v>28100</v>
      </c>
      <c r="F19" s="1343">
        <v>51201</v>
      </c>
      <c r="G19" s="1343">
        <v>5342</v>
      </c>
      <c r="H19" s="1343">
        <v>2260</v>
      </c>
      <c r="I19" s="1344">
        <f t="shared" si="0"/>
        <v>225881</v>
      </c>
    </row>
    <row r="20" spans="1:9" ht="15.75" thickBot="1">
      <c r="A20" s="1652"/>
      <c r="B20" s="1654"/>
      <c r="C20" s="1370" t="s">
        <v>912</v>
      </c>
      <c r="D20" s="1362">
        <f>138978+131+2197+216</f>
        <v>141522</v>
      </c>
      <c r="E20" s="1362">
        <f>28100+23+385</f>
        <v>28508</v>
      </c>
      <c r="F20" s="1362">
        <f>51201-938</f>
        <v>50263</v>
      </c>
      <c r="G20" s="1362">
        <f>5342-900</f>
        <v>4442</v>
      </c>
      <c r="H20" s="1362">
        <f>2260-1100</f>
        <v>1160</v>
      </c>
      <c r="I20" s="1345">
        <f t="shared" si="0"/>
        <v>225895</v>
      </c>
    </row>
    <row r="21" spans="1:9">
      <c r="A21" s="1669" t="s">
        <v>136</v>
      </c>
      <c r="B21" s="1653" t="s">
        <v>101</v>
      </c>
      <c r="C21" s="1369" t="s">
        <v>3</v>
      </c>
      <c r="D21" s="433">
        <v>0</v>
      </c>
      <c r="E21" s="433">
        <v>0</v>
      </c>
      <c r="F21" s="433">
        <v>61223</v>
      </c>
      <c r="G21" s="433"/>
      <c r="H21" s="433"/>
      <c r="I21" s="434">
        <f t="shared" si="0"/>
        <v>61223</v>
      </c>
    </row>
    <row r="22" spans="1:9">
      <c r="A22" s="1670"/>
      <c r="B22" s="1671"/>
      <c r="C22" s="1364" t="s">
        <v>912</v>
      </c>
      <c r="D22" s="1358">
        <v>0</v>
      </c>
      <c r="E22" s="1358">
        <v>0</v>
      </c>
      <c r="F22" s="1358">
        <f>61223-4390+1184</f>
        <v>58017</v>
      </c>
      <c r="G22" s="1358"/>
      <c r="H22" s="1358"/>
      <c r="I22" s="1360">
        <f t="shared" si="0"/>
        <v>58017</v>
      </c>
    </row>
    <row r="23" spans="1:9">
      <c r="A23" s="1670" t="s">
        <v>137</v>
      </c>
      <c r="B23" s="1671" t="s">
        <v>101</v>
      </c>
      <c r="C23" s="1373" t="s">
        <v>3</v>
      </c>
      <c r="D23" s="1358"/>
      <c r="E23" s="1358"/>
      <c r="F23" s="1358">
        <v>35398</v>
      </c>
      <c r="G23" s="1358"/>
      <c r="H23" s="1358"/>
      <c r="I23" s="1360">
        <f t="shared" si="0"/>
        <v>35398</v>
      </c>
    </row>
    <row r="24" spans="1:9">
      <c r="A24" s="1670"/>
      <c r="B24" s="1671"/>
      <c r="C24" s="1364" t="s">
        <v>912</v>
      </c>
      <c r="D24" s="1358"/>
      <c r="E24" s="1358"/>
      <c r="F24" s="1358">
        <f>35398-2364+677</f>
        <v>33711</v>
      </c>
      <c r="G24" s="1358"/>
      <c r="H24" s="1358"/>
      <c r="I24" s="1360">
        <f t="shared" si="0"/>
        <v>33711</v>
      </c>
    </row>
    <row r="25" spans="1:9" s="122" customFormat="1" ht="14.25" customHeight="1">
      <c r="A25" s="1672" t="s">
        <v>138</v>
      </c>
      <c r="B25" s="1673" t="s">
        <v>101</v>
      </c>
      <c r="C25" s="1374" t="s">
        <v>3</v>
      </c>
      <c r="D25" s="1359">
        <f>D21+D23</f>
        <v>0</v>
      </c>
      <c r="E25" s="1359">
        <f t="shared" ref="E25:H26" si="1">E21+E23</f>
        <v>0</v>
      </c>
      <c r="F25" s="1359">
        <f t="shared" si="1"/>
        <v>96621</v>
      </c>
      <c r="G25" s="1359">
        <f t="shared" si="1"/>
        <v>0</v>
      </c>
      <c r="H25" s="1359">
        <f t="shared" si="1"/>
        <v>0</v>
      </c>
      <c r="I25" s="1361">
        <f t="shared" si="0"/>
        <v>96621</v>
      </c>
    </row>
    <row r="26" spans="1:9" s="122" customFormat="1" ht="14.25" customHeight="1" thickBot="1">
      <c r="A26" s="1655"/>
      <c r="B26" s="1674"/>
      <c r="C26" s="1367" t="s">
        <v>912</v>
      </c>
      <c r="D26" s="1348">
        <f>D22+D24</f>
        <v>0</v>
      </c>
      <c r="E26" s="1348">
        <f t="shared" si="1"/>
        <v>0</v>
      </c>
      <c r="F26" s="1348">
        <f t="shared" si="1"/>
        <v>91728</v>
      </c>
      <c r="G26" s="1348">
        <f t="shared" si="1"/>
        <v>0</v>
      </c>
      <c r="H26" s="1348">
        <f t="shared" si="1"/>
        <v>0</v>
      </c>
      <c r="I26" s="1349">
        <f t="shared" si="0"/>
        <v>91728</v>
      </c>
    </row>
    <row r="27" spans="1:9">
      <c r="A27" s="1669" t="s">
        <v>139</v>
      </c>
      <c r="B27" s="1653" t="s">
        <v>101</v>
      </c>
      <c r="C27" s="1369" t="s">
        <v>3</v>
      </c>
      <c r="D27" s="433"/>
      <c r="E27" s="433"/>
      <c r="F27" s="433">
        <v>58647</v>
      </c>
      <c r="G27" s="433"/>
      <c r="H27" s="433"/>
      <c r="I27" s="434">
        <f t="shared" si="0"/>
        <v>58647</v>
      </c>
    </row>
    <row r="28" spans="1:9">
      <c r="A28" s="1670"/>
      <c r="B28" s="1671"/>
      <c r="C28" s="1364" t="s">
        <v>912</v>
      </c>
      <c r="D28" s="1358"/>
      <c r="E28" s="1358"/>
      <c r="F28" s="1358">
        <f>58647-4559+1227</f>
        <v>55315</v>
      </c>
      <c r="G28" s="1358"/>
      <c r="H28" s="1358"/>
      <c r="I28" s="1360">
        <f t="shared" si="0"/>
        <v>55315</v>
      </c>
    </row>
    <row r="29" spans="1:9">
      <c r="A29" s="1670" t="s">
        <v>140</v>
      </c>
      <c r="B29" s="1671" t="s">
        <v>101</v>
      </c>
      <c r="C29" s="1373" t="s">
        <v>3</v>
      </c>
      <c r="D29" s="1358"/>
      <c r="E29" s="1358"/>
      <c r="F29" s="1358">
        <v>23290</v>
      </c>
      <c r="G29" s="1358"/>
      <c r="H29" s="1358"/>
      <c r="I29" s="1360">
        <f t="shared" si="0"/>
        <v>23290</v>
      </c>
    </row>
    <row r="30" spans="1:9">
      <c r="A30" s="1670"/>
      <c r="B30" s="1671"/>
      <c r="C30" s="1364" t="s">
        <v>912</v>
      </c>
      <c r="D30" s="1358"/>
      <c r="E30" s="1358"/>
      <c r="F30" s="1358">
        <f>23290-1688+508</f>
        <v>22110</v>
      </c>
      <c r="G30" s="1358"/>
      <c r="H30" s="1358"/>
      <c r="I30" s="1360">
        <f t="shared" si="0"/>
        <v>22110</v>
      </c>
    </row>
    <row r="31" spans="1:9" s="122" customFormat="1" ht="14.25">
      <c r="A31" s="1672" t="s">
        <v>141</v>
      </c>
      <c r="B31" s="1673" t="s">
        <v>101</v>
      </c>
      <c r="C31" s="1374" t="s">
        <v>3</v>
      </c>
      <c r="D31" s="1359">
        <f>D27+D29</f>
        <v>0</v>
      </c>
      <c r="E31" s="1359">
        <f t="shared" ref="E31:H32" si="2">E27+E29</f>
        <v>0</v>
      </c>
      <c r="F31" s="1359">
        <f t="shared" si="2"/>
        <v>81937</v>
      </c>
      <c r="G31" s="1359">
        <f t="shared" si="2"/>
        <v>0</v>
      </c>
      <c r="H31" s="1359">
        <f t="shared" si="2"/>
        <v>0</v>
      </c>
      <c r="I31" s="1361">
        <f t="shared" si="0"/>
        <v>81937</v>
      </c>
    </row>
    <row r="32" spans="1:9" s="122" customFormat="1" thickBot="1">
      <c r="A32" s="1655"/>
      <c r="B32" s="1674"/>
      <c r="C32" s="1367" t="s">
        <v>912</v>
      </c>
      <c r="D32" s="1348">
        <f>D28+D30</f>
        <v>0</v>
      </c>
      <c r="E32" s="1348">
        <f t="shared" si="2"/>
        <v>0</v>
      </c>
      <c r="F32" s="1348">
        <f t="shared" si="2"/>
        <v>77425</v>
      </c>
      <c r="G32" s="1348">
        <f t="shared" si="2"/>
        <v>0</v>
      </c>
      <c r="H32" s="1348">
        <f t="shared" si="2"/>
        <v>0</v>
      </c>
      <c r="I32" s="1349">
        <f t="shared" si="0"/>
        <v>77425</v>
      </c>
    </row>
    <row r="33" spans="1:9">
      <c r="A33" s="1669" t="s">
        <v>142</v>
      </c>
      <c r="B33" s="1653" t="s">
        <v>101</v>
      </c>
      <c r="C33" s="1369" t="s">
        <v>3</v>
      </c>
      <c r="D33" s="433"/>
      <c r="E33" s="433"/>
      <c r="F33" s="433">
        <v>26225</v>
      </c>
      <c r="G33" s="433"/>
      <c r="H33" s="433"/>
      <c r="I33" s="434">
        <f t="shared" si="0"/>
        <v>26225</v>
      </c>
    </row>
    <row r="34" spans="1:9" ht="15.75" thickBot="1">
      <c r="A34" s="1675"/>
      <c r="B34" s="1654"/>
      <c r="C34" s="1370" t="s">
        <v>912</v>
      </c>
      <c r="D34" s="1362"/>
      <c r="E34" s="1362"/>
      <c r="F34" s="1362">
        <f>26225-1520+465</f>
        <v>25170</v>
      </c>
      <c r="G34" s="1362"/>
      <c r="H34" s="1362"/>
      <c r="I34" s="1345">
        <f t="shared" si="0"/>
        <v>25170</v>
      </c>
    </row>
    <row r="35" spans="1:9" ht="22.5" customHeight="1">
      <c r="A35" s="1669" t="s">
        <v>788</v>
      </c>
      <c r="B35" s="1653" t="s">
        <v>101</v>
      </c>
      <c r="C35" s="1375" t="s">
        <v>3</v>
      </c>
      <c r="D35" s="433"/>
      <c r="E35" s="433"/>
      <c r="F35" s="433">
        <v>13004</v>
      </c>
      <c r="G35" s="433"/>
      <c r="H35" s="433"/>
      <c r="I35" s="434">
        <f t="shared" si="0"/>
        <v>13004</v>
      </c>
    </row>
    <row r="36" spans="1:9" ht="25.5" customHeight="1" thickBot="1">
      <c r="A36" s="1676"/>
      <c r="B36" s="1656"/>
      <c r="C36" s="1371" t="s">
        <v>912</v>
      </c>
      <c r="D36" s="441"/>
      <c r="E36" s="441"/>
      <c r="F36" s="441">
        <f>13004-338+169</f>
        <v>12835</v>
      </c>
      <c r="G36" s="441"/>
      <c r="H36" s="441"/>
      <c r="I36" s="1342">
        <f t="shared" si="0"/>
        <v>12835</v>
      </c>
    </row>
    <row r="37" spans="1:9">
      <c r="A37" s="1677" t="s">
        <v>540</v>
      </c>
      <c r="B37" s="1668" t="s">
        <v>101</v>
      </c>
      <c r="C37" s="1372" t="s">
        <v>3</v>
      </c>
      <c r="D37" s="1343"/>
      <c r="E37" s="1343"/>
      <c r="F37" s="1343">
        <v>40195</v>
      </c>
      <c r="G37" s="1343"/>
      <c r="H37" s="1343"/>
      <c r="I37" s="1344">
        <f t="shared" si="0"/>
        <v>40195</v>
      </c>
    </row>
    <row r="38" spans="1:9" ht="15.75" thickBot="1">
      <c r="A38" s="1675"/>
      <c r="B38" s="1654"/>
      <c r="C38" s="1370" t="s">
        <v>912</v>
      </c>
      <c r="D38" s="1362"/>
      <c r="E38" s="1362"/>
      <c r="F38" s="1362">
        <f>40195-2026</f>
        <v>38169</v>
      </c>
      <c r="G38" s="1362"/>
      <c r="H38" s="1362"/>
      <c r="I38" s="1345">
        <f t="shared" si="0"/>
        <v>38169</v>
      </c>
    </row>
    <row r="39" spans="1:9">
      <c r="A39" s="1669" t="s">
        <v>143</v>
      </c>
      <c r="B39" s="1678" t="s">
        <v>144</v>
      </c>
      <c r="C39" s="1369" t="s">
        <v>3</v>
      </c>
      <c r="D39" s="433">
        <v>44329</v>
      </c>
      <c r="E39" s="433">
        <v>7573</v>
      </c>
      <c r="F39" s="433">
        <v>53598</v>
      </c>
      <c r="G39" s="433">
        <v>1800</v>
      </c>
      <c r="H39" s="433"/>
      <c r="I39" s="434">
        <f t="shared" si="0"/>
        <v>107300</v>
      </c>
    </row>
    <row r="40" spans="1:9" ht="15.75" thickBot="1">
      <c r="A40" s="1676"/>
      <c r="B40" s="1679"/>
      <c r="C40" s="1371" t="s">
        <v>912</v>
      </c>
      <c r="D40" s="441">
        <f>44329+1010</f>
        <v>45339</v>
      </c>
      <c r="E40" s="441">
        <f>7573+156</f>
        <v>7729</v>
      </c>
      <c r="F40" s="441">
        <f>53598-1</f>
        <v>53597</v>
      </c>
      <c r="G40" s="441">
        <f>1800-200</f>
        <v>1600</v>
      </c>
      <c r="H40" s="441"/>
      <c r="I40" s="1342">
        <f t="shared" si="0"/>
        <v>108265</v>
      </c>
    </row>
    <row r="41" spans="1:9" s="122" customFormat="1" ht="14.25">
      <c r="A41" s="1667" t="s">
        <v>145</v>
      </c>
      <c r="B41" s="1680"/>
      <c r="C41" s="1376" t="s">
        <v>3</v>
      </c>
      <c r="D41" s="1346">
        <f>D25+D31+D33+D35+D37+D39</f>
        <v>44329</v>
      </c>
      <c r="E41" s="1346">
        <f t="shared" ref="E41:H42" si="3">E25+E31+E33+E35+E37+E39</f>
        <v>7573</v>
      </c>
      <c r="F41" s="1346">
        <f t="shared" si="3"/>
        <v>311580</v>
      </c>
      <c r="G41" s="1346">
        <f t="shared" si="3"/>
        <v>1800</v>
      </c>
      <c r="H41" s="1346">
        <f t="shared" si="3"/>
        <v>0</v>
      </c>
      <c r="I41" s="1347">
        <f t="shared" si="0"/>
        <v>365282</v>
      </c>
    </row>
    <row r="42" spans="1:9" s="122" customFormat="1" thickBot="1">
      <c r="A42" s="1655"/>
      <c r="B42" s="1681"/>
      <c r="C42" s="1367" t="s">
        <v>912</v>
      </c>
      <c r="D42" s="1348">
        <f>D26+D32+D34+D36+D38+D40</f>
        <v>45339</v>
      </c>
      <c r="E42" s="1348">
        <f t="shared" si="3"/>
        <v>7729</v>
      </c>
      <c r="F42" s="1348">
        <f t="shared" si="3"/>
        <v>298924</v>
      </c>
      <c r="G42" s="1348">
        <f t="shared" si="3"/>
        <v>1600</v>
      </c>
      <c r="H42" s="1348">
        <f t="shared" si="3"/>
        <v>0</v>
      </c>
      <c r="I42" s="1349">
        <f t="shared" si="0"/>
        <v>353592</v>
      </c>
    </row>
    <row r="43" spans="1:9">
      <c r="A43" s="1682" t="s">
        <v>146</v>
      </c>
      <c r="B43" s="1678" t="s">
        <v>101</v>
      </c>
      <c r="C43" s="1369" t="s">
        <v>3</v>
      </c>
      <c r="D43" s="433">
        <v>194348</v>
      </c>
      <c r="E43" s="433">
        <v>32967</v>
      </c>
      <c r="F43" s="433">
        <v>346800</v>
      </c>
      <c r="G43" s="433">
        <v>26000</v>
      </c>
      <c r="H43" s="433">
        <v>24000</v>
      </c>
      <c r="I43" s="434">
        <f t="shared" si="0"/>
        <v>624115</v>
      </c>
    </row>
    <row r="44" spans="1:9" ht="15.75" thickBot="1">
      <c r="A44" s="1683"/>
      <c r="B44" s="1679"/>
      <c r="C44" s="1371" t="s">
        <v>912</v>
      </c>
      <c r="D44" s="441">
        <f>194348+10000+750+725+3+3614</f>
        <v>209440</v>
      </c>
      <c r="E44" s="441">
        <f>32967+1575+1+633</f>
        <v>35176</v>
      </c>
      <c r="F44" s="441">
        <f>346800+188425+1000+139883</f>
        <v>676108</v>
      </c>
      <c r="G44" s="441">
        <f>26000-1000+6000</f>
        <v>31000</v>
      </c>
      <c r="H44" s="441">
        <f>24000-11000</f>
        <v>13000</v>
      </c>
      <c r="I44" s="1342">
        <f t="shared" si="0"/>
        <v>964724</v>
      </c>
    </row>
    <row r="45" spans="1:9">
      <c r="A45" s="1684" t="s">
        <v>147</v>
      </c>
      <c r="B45" s="1686" t="s">
        <v>101</v>
      </c>
      <c r="C45" s="1372" t="s">
        <v>3</v>
      </c>
      <c r="D45" s="1343">
        <v>33207</v>
      </c>
      <c r="E45" s="1343">
        <v>5710</v>
      </c>
      <c r="F45" s="1343">
        <v>11031</v>
      </c>
      <c r="G45" s="1343">
        <v>3052</v>
      </c>
      <c r="H45" s="1343">
        <v>0</v>
      </c>
      <c r="I45" s="1344">
        <f t="shared" si="0"/>
        <v>53000</v>
      </c>
    </row>
    <row r="46" spans="1:9" ht="15.75" thickBot="1">
      <c r="A46" s="1685"/>
      <c r="B46" s="1687"/>
      <c r="C46" s="1370" t="s">
        <v>912</v>
      </c>
      <c r="D46" s="1362">
        <f>33207+943-60</f>
        <v>34090</v>
      </c>
      <c r="E46" s="1362">
        <f>5710+165</f>
        <v>5875</v>
      </c>
      <c r="F46" s="1362">
        <v>11031</v>
      </c>
      <c r="G46" s="1362">
        <f>3052-150+195</f>
        <v>3097</v>
      </c>
      <c r="H46" s="1362">
        <v>0</v>
      </c>
      <c r="I46" s="1345">
        <f t="shared" si="0"/>
        <v>54093</v>
      </c>
    </row>
    <row r="47" spans="1:9">
      <c r="A47" s="1682" t="s">
        <v>148</v>
      </c>
      <c r="B47" s="1678" t="s">
        <v>101</v>
      </c>
      <c r="C47" s="1369" t="s">
        <v>3</v>
      </c>
      <c r="D47" s="433">
        <v>91312</v>
      </c>
      <c r="E47" s="433">
        <v>15894</v>
      </c>
      <c r="F47" s="433">
        <v>15962</v>
      </c>
      <c r="G47" s="433">
        <v>1647</v>
      </c>
      <c r="H47" s="433">
        <v>0</v>
      </c>
      <c r="I47" s="434">
        <f t="shared" si="0"/>
        <v>124815</v>
      </c>
    </row>
    <row r="48" spans="1:9" ht="15.75" thickBot="1">
      <c r="A48" s="1683"/>
      <c r="B48" s="1679"/>
      <c r="C48" s="1371" t="s">
        <v>912</v>
      </c>
      <c r="D48" s="441">
        <f>91312+98-2043</f>
        <v>89367</v>
      </c>
      <c r="E48" s="441">
        <f>15894+17-357</f>
        <v>15554</v>
      </c>
      <c r="F48" s="441">
        <f>15962+9824+2400+617-9824</f>
        <v>18979</v>
      </c>
      <c r="G48" s="441">
        <f>1647-1200</f>
        <v>447</v>
      </c>
      <c r="H48" s="441">
        <v>0</v>
      </c>
      <c r="I48" s="1342">
        <f t="shared" si="0"/>
        <v>124347</v>
      </c>
    </row>
    <row r="49" spans="1:9" s="122" customFormat="1" ht="14.25" customHeight="1">
      <c r="A49" s="1667" t="s">
        <v>544</v>
      </c>
      <c r="B49" s="1680" t="s">
        <v>541</v>
      </c>
      <c r="C49" s="1376" t="s">
        <v>3</v>
      </c>
      <c r="D49" s="1346">
        <f>D5+D7+D9+D11+D13+D15+D17+D19+D1+D41+D43+D45+D47</f>
        <v>929274</v>
      </c>
      <c r="E49" s="1346">
        <f t="shared" ref="E49:H50" si="4">E5+E7+E9+E11+E13+E15+E17+E19+E1+E41+E43+E45+E47</f>
        <v>167273</v>
      </c>
      <c r="F49" s="1346">
        <f t="shared" si="4"/>
        <v>841559</v>
      </c>
      <c r="G49" s="1346">
        <f t="shared" si="4"/>
        <v>50753</v>
      </c>
      <c r="H49" s="1346">
        <f t="shared" si="4"/>
        <v>56361</v>
      </c>
      <c r="I49" s="1347">
        <f t="shared" si="0"/>
        <v>2045220</v>
      </c>
    </row>
    <row r="50" spans="1:9" s="122" customFormat="1" ht="14.25" customHeight="1" thickBot="1">
      <c r="A50" s="1652"/>
      <c r="B50" s="1688"/>
      <c r="C50" s="1377" t="s">
        <v>912</v>
      </c>
      <c r="D50" s="1350">
        <f>D6+D8+D10+D12+D14+D16+D18+D20+D2+D42+D44+D46+D48</f>
        <v>936796</v>
      </c>
      <c r="E50" s="1350">
        <f t="shared" si="4"/>
        <v>168104</v>
      </c>
      <c r="F50" s="1350">
        <f t="shared" si="4"/>
        <v>1159423</v>
      </c>
      <c r="G50" s="1350">
        <f t="shared" si="4"/>
        <v>50470</v>
      </c>
      <c r="H50" s="1350">
        <f t="shared" si="4"/>
        <v>24738</v>
      </c>
      <c r="I50" s="1351">
        <f t="shared" si="0"/>
        <v>2339531</v>
      </c>
    </row>
    <row r="51" spans="1:9" s="122" customFormat="1" ht="14.25">
      <c r="A51" s="1651" t="s">
        <v>149</v>
      </c>
      <c r="B51" s="1659" t="s">
        <v>116</v>
      </c>
      <c r="C51" s="1378" t="s">
        <v>3</v>
      </c>
      <c r="D51" s="435">
        <f>D49-D53</f>
        <v>884945</v>
      </c>
      <c r="E51" s="435">
        <f t="shared" ref="E51:H52" si="5">E49-E53</f>
        <v>159700</v>
      </c>
      <c r="F51" s="435">
        <f t="shared" si="5"/>
        <v>787961</v>
      </c>
      <c r="G51" s="435">
        <f t="shared" si="5"/>
        <v>48953</v>
      </c>
      <c r="H51" s="435">
        <f t="shared" si="5"/>
        <v>56361</v>
      </c>
      <c r="I51" s="436">
        <f t="shared" si="0"/>
        <v>1937920</v>
      </c>
    </row>
    <row r="52" spans="1:9" s="122" customFormat="1" thickBot="1">
      <c r="A52" s="1655"/>
      <c r="B52" s="1681"/>
      <c r="C52" s="1367" t="s">
        <v>912</v>
      </c>
      <c r="D52" s="1348">
        <f>D50-D54</f>
        <v>891457</v>
      </c>
      <c r="E52" s="1348">
        <f t="shared" si="5"/>
        <v>160375</v>
      </c>
      <c r="F52" s="1348">
        <f t="shared" si="5"/>
        <v>1105826</v>
      </c>
      <c r="G52" s="1348">
        <f t="shared" si="5"/>
        <v>48870</v>
      </c>
      <c r="H52" s="1348">
        <f t="shared" si="5"/>
        <v>24738</v>
      </c>
      <c r="I52" s="1349">
        <f t="shared" si="0"/>
        <v>2231266</v>
      </c>
    </row>
    <row r="53" spans="1:9" s="122" customFormat="1" ht="14.25">
      <c r="A53" s="1667" t="s">
        <v>150</v>
      </c>
      <c r="B53" s="1680" t="s">
        <v>144</v>
      </c>
      <c r="C53" s="1376" t="s">
        <v>3</v>
      </c>
      <c r="D53" s="1346">
        <f>D39</f>
        <v>44329</v>
      </c>
      <c r="E53" s="1346">
        <f t="shared" ref="E53:H54" si="6">E39</f>
        <v>7573</v>
      </c>
      <c r="F53" s="1346">
        <f t="shared" si="6"/>
        <v>53598</v>
      </c>
      <c r="G53" s="1346">
        <f t="shared" si="6"/>
        <v>1800</v>
      </c>
      <c r="H53" s="1346">
        <f t="shared" si="6"/>
        <v>0</v>
      </c>
      <c r="I53" s="1347">
        <f t="shared" si="0"/>
        <v>107300</v>
      </c>
    </row>
    <row r="54" spans="1:9" ht="15.75" thickBot="1">
      <c r="A54" s="1655"/>
      <c r="B54" s="1681"/>
      <c r="C54" s="1367" t="s">
        <v>912</v>
      </c>
      <c r="D54" s="1348">
        <f>D40</f>
        <v>45339</v>
      </c>
      <c r="E54" s="1348">
        <f t="shared" si="6"/>
        <v>7729</v>
      </c>
      <c r="F54" s="1348">
        <f t="shared" si="6"/>
        <v>53597</v>
      </c>
      <c r="G54" s="1348">
        <f t="shared" si="6"/>
        <v>1600</v>
      </c>
      <c r="H54" s="1348">
        <f t="shared" si="6"/>
        <v>0</v>
      </c>
      <c r="I54" s="1349">
        <f t="shared" si="0"/>
        <v>108265</v>
      </c>
    </row>
    <row r="55" spans="1:9">
      <c r="A55" s="128"/>
    </row>
    <row r="56" spans="1:9">
      <c r="A56" s="128"/>
    </row>
  </sheetData>
  <mergeCells count="58">
    <mergeCell ref="A49:A50"/>
    <mergeCell ref="B49:B50"/>
    <mergeCell ref="A51:A52"/>
    <mergeCell ref="B51:B52"/>
    <mergeCell ref="A53:A54"/>
    <mergeCell ref="B53:B54"/>
    <mergeCell ref="A43:A44"/>
    <mergeCell ref="B43:B44"/>
    <mergeCell ref="A45:A46"/>
    <mergeCell ref="B45:B46"/>
    <mergeCell ref="A47:A48"/>
    <mergeCell ref="B47:B48"/>
    <mergeCell ref="A37:A38"/>
    <mergeCell ref="B37:B38"/>
    <mergeCell ref="A39:A40"/>
    <mergeCell ref="B39:B40"/>
    <mergeCell ref="A41:A42"/>
    <mergeCell ref="B41:B42"/>
    <mergeCell ref="A31:A32"/>
    <mergeCell ref="B31:B32"/>
    <mergeCell ref="A33:A34"/>
    <mergeCell ref="B33:B34"/>
    <mergeCell ref="A35:A36"/>
    <mergeCell ref="B35:B36"/>
    <mergeCell ref="A25:A26"/>
    <mergeCell ref="B25:B26"/>
    <mergeCell ref="A27:A28"/>
    <mergeCell ref="B27:B28"/>
    <mergeCell ref="A29:A30"/>
    <mergeCell ref="B29:B30"/>
    <mergeCell ref="A21:A22"/>
    <mergeCell ref="B21:B22"/>
    <mergeCell ref="A23:A24"/>
    <mergeCell ref="B23:B24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5:A6"/>
    <mergeCell ref="B5:B6"/>
    <mergeCell ref="A7:A8"/>
    <mergeCell ref="B7:B8"/>
    <mergeCell ref="A1:I1"/>
    <mergeCell ref="A3:A4"/>
    <mergeCell ref="B3:B4"/>
    <mergeCell ref="C3:C4"/>
    <mergeCell ref="A2:I2"/>
    <mergeCell ref="D3:F3"/>
    <mergeCell ref="G3:H3"/>
    <mergeCell ref="I3:I4"/>
  </mergeCells>
  <pageMargins left="0.78" right="0.26" top="0.74803149606299213" bottom="0.74803149606299213" header="0.31496062992125984" footer="0.31496062992125984"/>
  <pageSetup paperSize="9" scale="70" orientation="portrait" r:id="rId1"/>
  <headerFooter>
    <oddHeader>&amp;L&amp;"Times New Roman,Normál"6. melléklet a  17 /2020. (VII.9.) önkormányzati rendelethez</oddHeader>
    <oddFooter>&amp;L24/2019.(XII.19.)önk.rend. Hatályos:2020.01.01.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0"/>
  <sheetViews>
    <sheetView view="pageLayout" zoomScaleNormal="80" workbookViewId="0">
      <selection activeCell="AB60" sqref="AB60"/>
    </sheetView>
  </sheetViews>
  <sheetFormatPr defaultRowHeight="15"/>
  <cols>
    <col min="1" max="1" width="99.5703125" style="21" customWidth="1"/>
    <col min="2" max="2" width="14.140625" style="21" customWidth="1"/>
    <col min="3" max="3" width="14.140625" style="197" customWidth="1"/>
    <col min="4" max="12" width="9.140625" style="193"/>
    <col min="13" max="17" width="9.140625" style="1413"/>
    <col min="18" max="18" width="9.140625" style="197"/>
    <col min="19" max="16384" width="9.140625" style="21"/>
  </cols>
  <sheetData>
    <row r="1" spans="1:18">
      <c r="A1" s="1689" t="s">
        <v>977</v>
      </c>
      <c r="B1" s="1689"/>
      <c r="C1" s="1689"/>
    </row>
    <row r="2" spans="1:18" ht="15.75" thickBot="1">
      <c r="A2" s="40"/>
    </row>
    <row r="3" spans="1:18" ht="29.25" thickBot="1">
      <c r="A3" s="159" t="s">
        <v>2</v>
      </c>
      <c r="B3" s="429" t="s">
        <v>3</v>
      </c>
      <c r="C3" s="1379" t="s">
        <v>910</v>
      </c>
    </row>
    <row r="4" spans="1:18" ht="15.75" thickBot="1">
      <c r="A4" s="160" t="s">
        <v>66</v>
      </c>
      <c r="B4" s="421">
        <f>B6+B23</f>
        <v>2130929</v>
      </c>
      <c r="C4" s="1380">
        <f>C6+C23</f>
        <v>3009548</v>
      </c>
    </row>
    <row r="5" spans="1:18">
      <c r="A5" s="645"/>
      <c r="B5" s="637"/>
      <c r="C5" s="1381"/>
    </row>
    <row r="6" spans="1:18">
      <c r="A6" s="646" t="s">
        <v>151</v>
      </c>
      <c r="B6" s="638">
        <f>SUM(B7:B21)</f>
        <v>1828260</v>
      </c>
      <c r="C6" s="1382">
        <f>SUM(C7:C21)</f>
        <v>2737858</v>
      </c>
    </row>
    <row r="7" spans="1:18" ht="15" customHeight="1">
      <c r="A7" s="647" t="s">
        <v>152</v>
      </c>
      <c r="B7" s="639">
        <v>194310</v>
      </c>
      <c r="C7" s="1383">
        <v>261667</v>
      </c>
      <c r="M7" s="635"/>
      <c r="N7" s="635"/>
      <c r="O7" s="193"/>
      <c r="P7" s="193"/>
      <c r="Q7" s="193"/>
    </row>
    <row r="8" spans="1:18">
      <c r="A8" s="648" t="s">
        <v>439</v>
      </c>
      <c r="B8" s="639">
        <v>193599</v>
      </c>
      <c r="C8" s="1383">
        <v>191790</v>
      </c>
      <c r="M8" s="635"/>
      <c r="N8" s="193"/>
      <c r="O8" s="193"/>
      <c r="P8" s="193"/>
      <c r="Q8" s="193"/>
    </row>
    <row r="9" spans="1:18">
      <c r="A9" s="649" t="s">
        <v>440</v>
      </c>
      <c r="B9" s="639">
        <v>401034</v>
      </c>
      <c r="C9" s="1383">
        <v>401034</v>
      </c>
      <c r="M9" s="193"/>
      <c r="N9" s="193"/>
      <c r="O9" s="193"/>
      <c r="P9" s="193"/>
      <c r="Q9" s="193"/>
    </row>
    <row r="10" spans="1:18">
      <c r="A10" s="649" t="s">
        <v>441</v>
      </c>
      <c r="B10" s="639">
        <f>106926+37684</f>
        <v>144610</v>
      </c>
      <c r="C10" s="1383">
        <v>334284</v>
      </c>
      <c r="M10" s="635"/>
      <c r="N10" s="635"/>
      <c r="O10" s="193"/>
      <c r="P10" s="193"/>
      <c r="Q10" s="193"/>
    </row>
    <row r="11" spans="1:18" ht="30.75" customHeight="1">
      <c r="A11" s="650" t="s">
        <v>443</v>
      </c>
      <c r="B11" s="639">
        <v>98270</v>
      </c>
      <c r="C11" s="1383">
        <v>91640</v>
      </c>
      <c r="M11" s="635"/>
      <c r="N11" s="635"/>
      <c r="O11" s="193"/>
      <c r="P11" s="193"/>
      <c r="Q11" s="193"/>
    </row>
    <row r="12" spans="1:18" ht="30">
      <c r="A12" s="647" t="s">
        <v>444</v>
      </c>
      <c r="B12" s="639">
        <v>224517</v>
      </c>
      <c r="C12" s="1383">
        <v>287851</v>
      </c>
      <c r="M12" s="635"/>
      <c r="N12" s="635"/>
      <c r="O12" s="635"/>
      <c r="P12" s="193"/>
      <c r="Q12" s="193"/>
      <c r="R12" s="193"/>
    </row>
    <row r="13" spans="1:18">
      <c r="A13" s="647" t="s">
        <v>326</v>
      </c>
      <c r="B13" s="639">
        <v>1820</v>
      </c>
      <c r="C13" s="1383">
        <v>1820</v>
      </c>
      <c r="M13" s="193"/>
      <c r="N13" s="193"/>
      <c r="O13" s="193"/>
      <c r="P13" s="193"/>
      <c r="Q13" s="193"/>
    </row>
    <row r="14" spans="1:18" ht="30">
      <c r="A14" s="647" t="s">
        <v>445</v>
      </c>
      <c r="B14" s="639">
        <v>4161</v>
      </c>
      <c r="C14" s="1383">
        <v>19457</v>
      </c>
      <c r="M14" s="635"/>
      <c r="N14" s="635"/>
      <c r="O14" s="193"/>
      <c r="P14" s="193"/>
      <c r="Q14" s="193"/>
    </row>
    <row r="15" spans="1:18">
      <c r="A15" s="647" t="s">
        <v>687</v>
      </c>
      <c r="B15" s="639">
        <v>103129</v>
      </c>
      <c r="C15" s="1383">
        <v>107906</v>
      </c>
      <c r="M15" s="635"/>
      <c r="N15" s="193"/>
      <c r="O15" s="193"/>
      <c r="P15" s="193"/>
      <c r="Q15" s="193"/>
    </row>
    <row r="16" spans="1:18">
      <c r="A16" s="651" t="s">
        <v>446</v>
      </c>
      <c r="B16" s="636">
        <v>363888</v>
      </c>
      <c r="C16" s="1384">
        <v>356953</v>
      </c>
      <c r="M16" s="635"/>
      <c r="N16" s="635"/>
      <c r="O16" s="193"/>
      <c r="P16" s="193"/>
      <c r="Q16" s="193"/>
    </row>
    <row r="17" spans="1:17">
      <c r="A17" s="651" t="s">
        <v>447</v>
      </c>
      <c r="B17" s="636">
        <v>49557</v>
      </c>
      <c r="C17" s="1384">
        <v>31323</v>
      </c>
      <c r="M17" s="635"/>
      <c r="N17" s="635"/>
      <c r="O17" s="193"/>
      <c r="P17" s="193"/>
      <c r="Q17" s="193"/>
    </row>
    <row r="18" spans="1:17" ht="15.75">
      <c r="A18" s="652" t="s">
        <v>813</v>
      </c>
      <c r="B18" s="636">
        <v>0</v>
      </c>
      <c r="C18" s="1385">
        <v>100264</v>
      </c>
      <c r="M18" s="635"/>
      <c r="N18" s="193"/>
      <c r="O18" s="193"/>
      <c r="P18" s="193"/>
      <c r="Q18" s="193"/>
    </row>
    <row r="19" spans="1:17" ht="15.75">
      <c r="A19" s="653" t="s">
        <v>816</v>
      </c>
      <c r="B19" s="636">
        <v>0</v>
      </c>
      <c r="C19" s="1385">
        <v>234915</v>
      </c>
      <c r="M19" s="635"/>
      <c r="N19" s="193"/>
      <c r="O19" s="193"/>
      <c r="P19" s="193"/>
      <c r="Q19" s="193"/>
    </row>
    <row r="20" spans="1:17" ht="15.75">
      <c r="A20" s="653" t="s">
        <v>817</v>
      </c>
      <c r="B20" s="636">
        <v>0</v>
      </c>
      <c r="C20" s="1385">
        <v>267957</v>
      </c>
      <c r="M20" s="635"/>
      <c r="N20" s="193"/>
      <c r="O20" s="193"/>
      <c r="P20" s="193"/>
      <c r="Q20" s="193"/>
    </row>
    <row r="21" spans="1:17">
      <c r="A21" s="651" t="s">
        <v>448</v>
      </c>
      <c r="B21" s="636">
        <f>144521-95156</f>
        <v>49365</v>
      </c>
      <c r="C21" s="1384">
        <v>48997</v>
      </c>
      <c r="M21" s="193"/>
      <c r="N21" s="193"/>
      <c r="O21" s="193"/>
      <c r="P21" s="193"/>
      <c r="Q21" s="193"/>
    </row>
    <row r="22" spans="1:17">
      <c r="A22" s="651"/>
      <c r="B22" s="636"/>
      <c r="C22" s="1384"/>
      <c r="M22" s="193"/>
      <c r="N22" s="193"/>
      <c r="O22" s="193"/>
      <c r="P22" s="193"/>
      <c r="Q22" s="193"/>
    </row>
    <row r="23" spans="1:17" ht="13.5" customHeight="1">
      <c r="A23" s="654" t="s">
        <v>574</v>
      </c>
      <c r="B23" s="638">
        <f>SUM(B24:B63)</f>
        <v>302669</v>
      </c>
      <c r="C23" s="1382">
        <f>SUM(C24:C63)</f>
        <v>271690</v>
      </c>
      <c r="M23" s="193"/>
      <c r="N23" s="193"/>
      <c r="O23" s="193"/>
      <c r="P23" s="193"/>
      <c r="Q23" s="193"/>
    </row>
    <row r="24" spans="1:17">
      <c r="A24" s="655" t="s">
        <v>575</v>
      </c>
      <c r="B24" s="640">
        <v>900</v>
      </c>
      <c r="C24" s="1386">
        <v>928</v>
      </c>
      <c r="M24" s="635"/>
      <c r="N24" s="193"/>
      <c r="O24" s="193"/>
      <c r="P24" s="193"/>
      <c r="Q24" s="193"/>
    </row>
    <row r="25" spans="1:17">
      <c r="A25" s="656" t="s">
        <v>577</v>
      </c>
      <c r="B25" s="636">
        <v>1000</v>
      </c>
      <c r="C25" s="1384">
        <v>0</v>
      </c>
      <c r="M25" s="635"/>
      <c r="N25" s="193"/>
      <c r="O25" s="193"/>
      <c r="P25" s="193"/>
      <c r="Q25" s="193"/>
    </row>
    <row r="26" spans="1:17" ht="13.5" customHeight="1">
      <c r="A26" s="650" t="s">
        <v>592</v>
      </c>
      <c r="B26" s="639">
        <v>3200</v>
      </c>
      <c r="C26" s="1383">
        <v>3200</v>
      </c>
      <c r="M26" s="193"/>
      <c r="N26" s="193"/>
      <c r="O26" s="193"/>
      <c r="P26" s="193"/>
      <c r="Q26" s="193"/>
    </row>
    <row r="27" spans="1:17">
      <c r="A27" s="650" t="s">
        <v>593</v>
      </c>
      <c r="B27" s="641">
        <v>657</v>
      </c>
      <c r="C27" s="1387">
        <v>657</v>
      </c>
      <c r="M27" s="193"/>
      <c r="N27" s="193"/>
      <c r="O27" s="193"/>
      <c r="P27" s="193"/>
      <c r="Q27" s="193"/>
    </row>
    <row r="28" spans="1:17">
      <c r="A28" s="650" t="s">
        <v>596</v>
      </c>
      <c r="B28" s="641">
        <v>10000</v>
      </c>
      <c r="C28" s="1387">
        <v>800</v>
      </c>
      <c r="M28" s="635"/>
      <c r="N28" s="193"/>
      <c r="O28" s="193"/>
      <c r="P28" s="193"/>
      <c r="Q28" s="193"/>
    </row>
    <row r="29" spans="1:17">
      <c r="A29" s="650" t="s">
        <v>678</v>
      </c>
      <c r="B29" s="641">
        <v>6350</v>
      </c>
      <c r="C29" s="1387">
        <v>0</v>
      </c>
      <c r="M29" s="635"/>
      <c r="N29" s="193"/>
      <c r="O29" s="193"/>
      <c r="P29" s="193"/>
      <c r="Q29" s="193"/>
    </row>
    <row r="30" spans="1:17">
      <c r="A30" s="650" t="s">
        <v>679</v>
      </c>
      <c r="B30" s="641">
        <v>5940</v>
      </c>
      <c r="C30" s="1387">
        <v>5940</v>
      </c>
      <c r="M30" s="193"/>
      <c r="N30" s="193"/>
      <c r="O30" s="193"/>
      <c r="P30" s="193"/>
      <c r="Q30" s="193"/>
    </row>
    <row r="31" spans="1:17" ht="15.75" customHeight="1">
      <c r="A31" s="657" t="s">
        <v>682</v>
      </c>
      <c r="B31" s="642">
        <v>70000</v>
      </c>
      <c r="C31" s="432">
        <v>27000</v>
      </c>
      <c r="M31" s="635"/>
      <c r="N31" s="635"/>
      <c r="O31" s="635"/>
      <c r="P31" s="635"/>
      <c r="Q31" s="635"/>
    </row>
    <row r="32" spans="1:17">
      <c r="A32" s="658" t="s">
        <v>683</v>
      </c>
      <c r="B32" s="643">
        <v>18453</v>
      </c>
      <c r="C32" s="1388">
        <v>18453</v>
      </c>
      <c r="M32" s="193"/>
      <c r="N32" s="193"/>
      <c r="O32" s="193"/>
      <c r="P32" s="193"/>
      <c r="Q32" s="193"/>
    </row>
    <row r="33" spans="1:17">
      <c r="A33" s="650" t="s">
        <v>684</v>
      </c>
      <c r="B33" s="641">
        <v>20000</v>
      </c>
      <c r="C33" s="1387">
        <v>16000</v>
      </c>
      <c r="M33" s="635"/>
      <c r="N33" s="193"/>
      <c r="O33" s="193"/>
      <c r="P33" s="193"/>
      <c r="Q33" s="193"/>
    </row>
    <row r="34" spans="1:17">
      <c r="A34" s="650" t="s">
        <v>685</v>
      </c>
      <c r="B34" s="641">
        <v>5000</v>
      </c>
      <c r="C34" s="1387">
        <v>5000</v>
      </c>
      <c r="M34" s="193"/>
      <c r="N34" s="193"/>
      <c r="O34" s="193"/>
      <c r="P34" s="193"/>
      <c r="Q34" s="193"/>
    </row>
    <row r="35" spans="1:17">
      <c r="A35" s="650" t="s">
        <v>729</v>
      </c>
      <c r="B35" s="641">
        <v>15000</v>
      </c>
      <c r="C35" s="1387">
        <v>15000</v>
      </c>
      <c r="M35" s="193"/>
      <c r="N35" s="193"/>
      <c r="O35" s="193"/>
      <c r="P35" s="193"/>
      <c r="Q35" s="193"/>
    </row>
    <row r="36" spans="1:17">
      <c r="A36" s="650" t="s">
        <v>689</v>
      </c>
      <c r="B36" s="641">
        <v>2500</v>
      </c>
      <c r="C36" s="1387">
        <v>2500</v>
      </c>
      <c r="M36" s="193"/>
      <c r="N36" s="193"/>
      <c r="O36" s="193"/>
      <c r="P36" s="193"/>
      <c r="Q36" s="193"/>
    </row>
    <row r="37" spans="1:17">
      <c r="A37" s="650" t="s">
        <v>691</v>
      </c>
      <c r="B37" s="641">
        <v>3000</v>
      </c>
      <c r="C37" s="1387">
        <v>3000</v>
      </c>
      <c r="M37" s="193"/>
      <c r="N37" s="193"/>
      <c r="O37" s="193"/>
      <c r="P37" s="193"/>
      <c r="Q37" s="193"/>
    </row>
    <row r="38" spans="1:17" ht="15" customHeight="1">
      <c r="A38" s="650" t="s">
        <v>692</v>
      </c>
      <c r="B38" s="641">
        <v>17691</v>
      </c>
      <c r="C38" s="1387">
        <v>17691</v>
      </c>
      <c r="M38" s="193"/>
      <c r="N38" s="193"/>
      <c r="O38" s="193"/>
      <c r="P38" s="193"/>
      <c r="Q38" s="193"/>
    </row>
    <row r="39" spans="1:17">
      <c r="A39" s="650" t="s">
        <v>732</v>
      </c>
      <c r="B39" s="641">
        <v>27000</v>
      </c>
      <c r="C39" s="1387">
        <v>0</v>
      </c>
      <c r="M39" s="635"/>
      <c r="N39" s="193"/>
      <c r="O39" s="193"/>
      <c r="P39" s="193"/>
      <c r="Q39" s="193"/>
    </row>
    <row r="40" spans="1:17">
      <c r="A40" s="650" t="s">
        <v>695</v>
      </c>
      <c r="B40" s="641">
        <v>6350</v>
      </c>
      <c r="C40" s="1387">
        <v>6350</v>
      </c>
      <c r="M40" s="193"/>
      <c r="N40" s="193"/>
      <c r="O40" s="193"/>
      <c r="P40" s="193"/>
      <c r="Q40" s="193"/>
    </row>
    <row r="41" spans="1:17">
      <c r="A41" s="650" t="s">
        <v>728</v>
      </c>
      <c r="B41" s="641">
        <v>6350</v>
      </c>
      <c r="C41" s="1387">
        <v>2850</v>
      </c>
      <c r="M41" s="635"/>
      <c r="N41" s="193"/>
      <c r="O41" s="193"/>
      <c r="P41" s="193"/>
      <c r="Q41" s="193"/>
    </row>
    <row r="42" spans="1:17">
      <c r="A42" s="650" t="s">
        <v>700</v>
      </c>
      <c r="B42" s="641">
        <v>10160</v>
      </c>
      <c r="C42" s="1387">
        <v>0</v>
      </c>
      <c r="M42" s="635"/>
      <c r="N42" s="193"/>
      <c r="O42" s="193"/>
      <c r="P42" s="193"/>
      <c r="Q42" s="193"/>
    </row>
    <row r="43" spans="1:17" ht="15.75">
      <c r="A43" s="659" t="s">
        <v>701</v>
      </c>
      <c r="B43" s="641">
        <v>2000</v>
      </c>
      <c r="C43" s="1387">
        <v>2000</v>
      </c>
      <c r="M43" s="193"/>
      <c r="N43" s="193"/>
      <c r="O43" s="193"/>
      <c r="P43" s="193"/>
      <c r="Q43" s="193"/>
    </row>
    <row r="44" spans="1:17" ht="15.75">
      <c r="A44" s="659" t="s">
        <v>702</v>
      </c>
      <c r="B44" s="641">
        <v>27400</v>
      </c>
      <c r="C44" s="1387">
        <v>27400</v>
      </c>
      <c r="M44" s="193"/>
      <c r="N44" s="193"/>
      <c r="O44" s="193"/>
      <c r="P44" s="193"/>
      <c r="Q44" s="193"/>
    </row>
    <row r="45" spans="1:17">
      <c r="A45" s="650" t="s">
        <v>703</v>
      </c>
      <c r="B45" s="641">
        <v>4000</v>
      </c>
      <c r="C45" s="1387">
        <v>4000</v>
      </c>
      <c r="M45" s="193"/>
      <c r="N45" s="193"/>
      <c r="O45" s="193"/>
      <c r="P45" s="193"/>
      <c r="Q45" s="193"/>
    </row>
    <row r="46" spans="1:17">
      <c r="A46" s="660" t="s">
        <v>704</v>
      </c>
      <c r="B46" s="633">
        <v>2000</v>
      </c>
      <c r="C46" s="1389">
        <v>2000</v>
      </c>
      <c r="M46" s="193"/>
      <c r="N46" s="193"/>
      <c r="O46" s="193"/>
      <c r="P46" s="193"/>
      <c r="Q46" s="193"/>
    </row>
    <row r="47" spans="1:17">
      <c r="A47" s="660" t="s">
        <v>705</v>
      </c>
      <c r="B47" s="633">
        <v>6218</v>
      </c>
      <c r="C47" s="1389">
        <v>6218</v>
      </c>
      <c r="M47" s="193"/>
      <c r="N47" s="193"/>
      <c r="O47" s="193"/>
      <c r="P47" s="193"/>
      <c r="Q47" s="193"/>
    </row>
    <row r="48" spans="1:17">
      <c r="A48" s="660" t="s">
        <v>710</v>
      </c>
      <c r="B48" s="633">
        <v>1500</v>
      </c>
      <c r="C48" s="1389">
        <v>1500</v>
      </c>
      <c r="M48" s="193"/>
      <c r="N48" s="193"/>
      <c r="O48" s="193"/>
      <c r="P48" s="193"/>
      <c r="Q48" s="193"/>
    </row>
    <row r="49" spans="1:17">
      <c r="A49" s="650" t="s">
        <v>714</v>
      </c>
      <c r="B49" s="633">
        <v>1800</v>
      </c>
      <c r="C49" s="1389">
        <v>800</v>
      </c>
      <c r="M49" s="635"/>
      <c r="N49" s="193"/>
      <c r="O49" s="193"/>
      <c r="P49" s="193"/>
      <c r="Q49" s="193"/>
    </row>
    <row r="50" spans="1:17" ht="15.75">
      <c r="A50" s="653" t="s">
        <v>715</v>
      </c>
      <c r="B50" s="633">
        <v>1200</v>
      </c>
      <c r="C50" s="1389">
        <v>1200</v>
      </c>
      <c r="M50" s="193"/>
      <c r="N50" s="193"/>
      <c r="O50" s="193"/>
      <c r="P50" s="193"/>
      <c r="Q50" s="193"/>
    </row>
    <row r="51" spans="1:17" ht="15.75">
      <c r="A51" s="661" t="s">
        <v>727</v>
      </c>
      <c r="B51" s="633">
        <v>7000</v>
      </c>
      <c r="C51" s="1389">
        <v>2000</v>
      </c>
      <c r="M51" s="635"/>
      <c r="N51" s="193"/>
      <c r="O51" s="193"/>
      <c r="P51" s="193"/>
      <c r="Q51" s="193"/>
    </row>
    <row r="52" spans="1:17" ht="15.75">
      <c r="A52" s="662" t="s">
        <v>731</v>
      </c>
      <c r="B52" s="633">
        <v>15000</v>
      </c>
      <c r="C52" s="1389">
        <v>0</v>
      </c>
      <c r="M52" s="635"/>
      <c r="N52" s="193"/>
      <c r="O52" s="193"/>
      <c r="P52" s="193"/>
      <c r="Q52" s="193"/>
    </row>
    <row r="53" spans="1:17" ht="15.75">
      <c r="A53" s="662" t="s">
        <v>698</v>
      </c>
      <c r="B53" s="633"/>
      <c r="C53" s="1390">
        <v>47055</v>
      </c>
      <c r="M53" s="635"/>
      <c r="N53" s="635"/>
      <c r="O53" s="635"/>
      <c r="P53" s="635"/>
      <c r="Q53" s="193"/>
    </row>
    <row r="54" spans="1:17" ht="15.75">
      <c r="A54" s="662" t="s">
        <v>808</v>
      </c>
      <c r="B54" s="633"/>
      <c r="C54" s="1390">
        <v>625</v>
      </c>
      <c r="M54" s="635"/>
      <c r="N54" s="193"/>
      <c r="O54" s="193"/>
      <c r="P54" s="193"/>
      <c r="Q54" s="193"/>
    </row>
    <row r="55" spans="1:17" ht="15.75">
      <c r="A55" s="662" t="s">
        <v>809</v>
      </c>
      <c r="B55" s="633"/>
      <c r="C55" s="1390">
        <v>667</v>
      </c>
      <c r="M55" s="635"/>
      <c r="N55" s="193"/>
      <c r="O55" s="193"/>
      <c r="P55" s="193"/>
      <c r="Q55" s="193"/>
    </row>
    <row r="56" spans="1:17" ht="15.75">
      <c r="A56" s="662" t="s">
        <v>811</v>
      </c>
      <c r="B56" s="633"/>
      <c r="C56" s="1390">
        <v>4928</v>
      </c>
      <c r="M56" s="635"/>
      <c r="N56" s="193"/>
      <c r="O56" s="193"/>
      <c r="P56" s="193"/>
      <c r="Q56" s="193"/>
    </row>
    <row r="57" spans="1:17" ht="15.75">
      <c r="A57" s="661" t="s">
        <v>810</v>
      </c>
      <c r="B57" s="633"/>
      <c r="C57" s="1390">
        <v>8153</v>
      </c>
      <c r="M57" s="635"/>
      <c r="N57" s="193"/>
      <c r="O57" s="193"/>
      <c r="P57" s="193"/>
      <c r="Q57" s="193"/>
    </row>
    <row r="58" spans="1:17" ht="15.75">
      <c r="A58" s="652" t="s">
        <v>812</v>
      </c>
      <c r="B58" s="633"/>
      <c r="C58" s="1390">
        <v>7989</v>
      </c>
      <c r="M58" s="635"/>
      <c r="N58" s="193"/>
      <c r="O58" s="193"/>
      <c r="P58" s="193"/>
      <c r="Q58" s="193"/>
    </row>
    <row r="59" spans="1:17" ht="15.75">
      <c r="A59" s="652" t="s">
        <v>814</v>
      </c>
      <c r="B59" s="633"/>
      <c r="C59" s="1390">
        <v>1238</v>
      </c>
      <c r="M59" s="635"/>
      <c r="N59" s="193"/>
      <c r="O59" s="193"/>
      <c r="P59" s="193"/>
      <c r="Q59" s="193"/>
    </row>
    <row r="60" spans="1:17" ht="31.5">
      <c r="A60" s="663" t="s">
        <v>815</v>
      </c>
      <c r="B60" s="633"/>
      <c r="C60" s="1390">
        <v>10650</v>
      </c>
      <c r="M60" s="635"/>
      <c r="N60" s="193"/>
      <c r="O60" s="193"/>
      <c r="P60" s="193"/>
      <c r="Q60" s="193"/>
    </row>
    <row r="61" spans="1:17" ht="31.5">
      <c r="A61" s="1486" t="s">
        <v>980</v>
      </c>
      <c r="B61" s="633"/>
      <c r="C61" s="1487">
        <v>12862</v>
      </c>
      <c r="M61" s="635"/>
      <c r="N61" s="193"/>
      <c r="O61" s="193"/>
      <c r="P61" s="193"/>
      <c r="Q61" s="193"/>
    </row>
    <row r="62" spans="1:17" ht="15.75">
      <c r="A62" s="662" t="s">
        <v>739</v>
      </c>
      <c r="B62" s="633">
        <v>5000</v>
      </c>
      <c r="C62" s="1389">
        <v>5036</v>
      </c>
      <c r="M62" s="635"/>
      <c r="N62" s="193"/>
      <c r="O62" s="193"/>
      <c r="P62" s="193"/>
      <c r="Q62" s="193"/>
    </row>
    <row r="63" spans="1:17" ht="15" customHeight="1" thickBot="1">
      <c r="A63" s="664"/>
      <c r="B63" s="644"/>
      <c r="C63" s="1391"/>
    </row>
    <row r="64" spans="1:17" ht="15" customHeight="1" thickBot="1">
      <c r="A64" s="162" t="s">
        <v>67</v>
      </c>
      <c r="B64" s="430">
        <f>B65+B80</f>
        <v>14659</v>
      </c>
      <c r="C64" s="1392">
        <f>C65+C80</f>
        <v>14838</v>
      </c>
    </row>
    <row r="65" spans="1:3" ht="15" customHeight="1">
      <c r="A65" s="749" t="s">
        <v>118</v>
      </c>
      <c r="B65" s="754">
        <f>SUM(B66:B79)</f>
        <v>14559</v>
      </c>
      <c r="C65" s="1393">
        <f>SUM(C66:C79)</f>
        <v>14838</v>
      </c>
    </row>
    <row r="66" spans="1:3" ht="17.25" customHeight="1">
      <c r="A66" s="750" t="s">
        <v>578</v>
      </c>
      <c r="B66" s="755">
        <v>5000</v>
      </c>
      <c r="C66" s="1394">
        <v>5000</v>
      </c>
    </row>
    <row r="67" spans="1:3" ht="14.25" customHeight="1">
      <c r="A67" s="750" t="s">
        <v>904</v>
      </c>
      <c r="B67" s="755"/>
      <c r="C67" s="1394">
        <v>279</v>
      </c>
    </row>
    <row r="68" spans="1:3" ht="14.25" customHeight="1">
      <c r="A68" s="268" t="s">
        <v>579</v>
      </c>
      <c r="B68" s="756">
        <v>450</v>
      </c>
      <c r="C68" s="1395">
        <v>450</v>
      </c>
    </row>
    <row r="69" spans="1:3">
      <c r="A69" s="268" t="s">
        <v>580</v>
      </c>
      <c r="B69" s="757">
        <v>600</v>
      </c>
      <c r="C69" s="1396">
        <v>600</v>
      </c>
    </row>
    <row r="70" spans="1:3">
      <c r="A70" s="268" t="s">
        <v>581</v>
      </c>
      <c r="B70" s="756">
        <v>250</v>
      </c>
      <c r="C70" s="1395">
        <v>250</v>
      </c>
    </row>
    <row r="71" spans="1:3">
      <c r="A71" s="268" t="s">
        <v>582</v>
      </c>
      <c r="B71" s="757">
        <v>2655</v>
      </c>
      <c r="C71" s="1396">
        <v>2655</v>
      </c>
    </row>
    <row r="72" spans="1:3">
      <c r="A72" s="268" t="s">
        <v>583</v>
      </c>
      <c r="B72" s="757">
        <v>1232</v>
      </c>
      <c r="C72" s="1396">
        <v>1232</v>
      </c>
    </row>
    <row r="73" spans="1:3">
      <c r="A73" s="751" t="s">
        <v>587</v>
      </c>
      <c r="B73" s="757">
        <v>1302</v>
      </c>
      <c r="C73" s="1396">
        <v>1302</v>
      </c>
    </row>
    <row r="74" spans="1:3">
      <c r="A74" s="751" t="s">
        <v>588</v>
      </c>
      <c r="B74" s="757">
        <v>210</v>
      </c>
      <c r="C74" s="1396">
        <v>210</v>
      </c>
    </row>
    <row r="75" spans="1:3" ht="15.75">
      <c r="A75" s="731" t="s">
        <v>589</v>
      </c>
      <c r="B75" s="757">
        <v>1257</v>
      </c>
      <c r="C75" s="1396">
        <v>1257</v>
      </c>
    </row>
    <row r="76" spans="1:3">
      <c r="A76" s="751" t="s">
        <v>590</v>
      </c>
      <c r="B76" s="757">
        <v>489</v>
      </c>
      <c r="C76" s="1396">
        <v>489</v>
      </c>
    </row>
    <row r="77" spans="1:3">
      <c r="A77" s="268" t="s">
        <v>591</v>
      </c>
      <c r="B77" s="758">
        <v>914</v>
      </c>
      <c r="C77" s="1397">
        <v>914</v>
      </c>
    </row>
    <row r="78" spans="1:3">
      <c r="A78" s="268" t="s">
        <v>598</v>
      </c>
      <c r="B78" s="758">
        <v>200</v>
      </c>
      <c r="C78" s="1397">
        <v>200</v>
      </c>
    </row>
    <row r="79" spans="1:3">
      <c r="A79" s="268"/>
      <c r="B79" s="758"/>
      <c r="C79" s="1397"/>
    </row>
    <row r="80" spans="1:3">
      <c r="A80" s="267" t="s">
        <v>594</v>
      </c>
      <c r="B80" s="759">
        <f>SUM(B81)</f>
        <v>100</v>
      </c>
      <c r="C80" s="1398">
        <f>SUM(C81)</f>
        <v>0</v>
      </c>
    </row>
    <row r="81" spans="1:18">
      <c r="A81" s="752" t="s">
        <v>595</v>
      </c>
      <c r="B81" s="758">
        <v>100</v>
      </c>
      <c r="C81" s="1397">
        <v>0</v>
      </c>
    </row>
    <row r="82" spans="1:18" ht="15.75" thickBot="1">
      <c r="A82" s="752"/>
      <c r="B82" s="760"/>
      <c r="C82" s="1399"/>
    </row>
    <row r="83" spans="1:18" ht="15.75" thickBot="1">
      <c r="A83" s="745" t="s">
        <v>153</v>
      </c>
      <c r="B83" s="746">
        <v>50753</v>
      </c>
      <c r="C83" s="1400">
        <v>50470</v>
      </c>
    </row>
    <row r="84" spans="1:18" ht="16.5" customHeight="1">
      <c r="A84" s="736"/>
      <c r="B84" s="744"/>
      <c r="C84" s="1381"/>
    </row>
    <row r="85" spans="1:18" s="92" customFormat="1">
      <c r="A85" s="737" t="s">
        <v>783</v>
      </c>
      <c r="B85" s="719">
        <v>5342</v>
      </c>
      <c r="C85" s="1401">
        <v>4442</v>
      </c>
      <c r="D85" s="1414"/>
      <c r="E85" s="1414"/>
      <c r="F85" s="1414"/>
      <c r="G85" s="1414"/>
      <c r="H85" s="1414"/>
      <c r="I85" s="1414"/>
      <c r="J85" s="1414"/>
      <c r="K85" s="1414"/>
      <c r="L85" s="1414"/>
      <c r="M85" s="1414"/>
      <c r="N85" s="1414"/>
      <c r="O85" s="1414"/>
      <c r="P85" s="1415"/>
      <c r="Q85" s="1415"/>
      <c r="R85" s="1415"/>
    </row>
    <row r="86" spans="1:18" ht="15.75">
      <c r="A86" s="738" t="s">
        <v>764</v>
      </c>
      <c r="B86" s="720">
        <v>4190</v>
      </c>
      <c r="C86" s="1402">
        <v>3290</v>
      </c>
      <c r="M86" s="193"/>
      <c r="N86" s="193"/>
      <c r="O86" s="193"/>
      <c r="P86" s="197"/>
      <c r="Q86" s="197"/>
    </row>
    <row r="87" spans="1:18" ht="15.75">
      <c r="A87" s="739" t="s">
        <v>765</v>
      </c>
      <c r="B87" s="721">
        <v>1152</v>
      </c>
      <c r="C87" s="1403">
        <v>1152</v>
      </c>
      <c r="M87" s="193"/>
      <c r="N87" s="193"/>
      <c r="O87" s="193"/>
      <c r="P87" s="197"/>
      <c r="Q87" s="197"/>
    </row>
    <row r="88" spans="1:18" ht="15.75">
      <c r="A88" s="740"/>
      <c r="B88" s="722"/>
      <c r="C88" s="1404"/>
      <c r="M88" s="193"/>
      <c r="N88" s="193"/>
      <c r="O88" s="193"/>
      <c r="P88" s="197"/>
      <c r="Q88" s="197"/>
    </row>
    <row r="89" spans="1:18">
      <c r="A89" s="737" t="s">
        <v>188</v>
      </c>
      <c r="B89" s="719">
        <v>1240</v>
      </c>
      <c r="C89" s="1401">
        <v>500</v>
      </c>
      <c r="M89" s="193"/>
      <c r="N89" s="193"/>
      <c r="O89" s="193"/>
      <c r="P89" s="197"/>
      <c r="Q89" s="197"/>
    </row>
    <row r="90" spans="1:18" ht="15.75">
      <c r="A90" s="741" t="s">
        <v>766</v>
      </c>
      <c r="B90" s="725">
        <v>540</v>
      </c>
      <c r="C90" s="1405">
        <v>0</v>
      </c>
      <c r="M90" s="193"/>
      <c r="N90" s="193"/>
      <c r="O90" s="193"/>
      <c r="P90" s="197"/>
      <c r="Q90" s="197"/>
    </row>
    <row r="91" spans="1:18" ht="15.75">
      <c r="A91" s="741" t="s">
        <v>767</v>
      </c>
      <c r="B91" s="725">
        <v>700</v>
      </c>
      <c r="C91" s="1405">
        <v>0</v>
      </c>
      <c r="M91" s="193"/>
      <c r="N91" s="193"/>
      <c r="O91" s="193"/>
      <c r="P91" s="197"/>
      <c r="Q91" s="197"/>
    </row>
    <row r="92" spans="1:18" ht="15.75">
      <c r="A92" s="741" t="s">
        <v>764</v>
      </c>
      <c r="B92" s="725"/>
      <c r="C92" s="1405">
        <v>500</v>
      </c>
      <c r="M92" s="193"/>
      <c r="N92" s="193"/>
      <c r="O92" s="193"/>
      <c r="P92" s="197"/>
      <c r="Q92" s="197"/>
    </row>
    <row r="93" spans="1:18" ht="15.75">
      <c r="A93" s="741"/>
      <c r="B93" s="725"/>
      <c r="C93" s="1405"/>
      <c r="M93" s="193"/>
      <c r="N93" s="193"/>
      <c r="O93" s="193"/>
      <c r="P93" s="197"/>
      <c r="Q93" s="197"/>
    </row>
    <row r="94" spans="1:18">
      <c r="A94" s="737" t="s">
        <v>129</v>
      </c>
      <c r="B94" s="719">
        <v>3820</v>
      </c>
      <c r="C94" s="1401">
        <v>4820</v>
      </c>
      <c r="M94" s="193"/>
      <c r="N94" s="193"/>
      <c r="O94" s="193"/>
      <c r="P94" s="197"/>
      <c r="Q94" s="197"/>
    </row>
    <row r="95" spans="1:18" ht="15.75">
      <c r="A95" s="741" t="s">
        <v>768</v>
      </c>
      <c r="B95" s="725">
        <v>850</v>
      </c>
      <c r="C95" s="1405">
        <v>850</v>
      </c>
      <c r="M95" s="193"/>
      <c r="N95" s="193"/>
      <c r="O95" s="193"/>
      <c r="P95" s="197"/>
      <c r="Q95" s="197"/>
    </row>
    <row r="96" spans="1:18" s="92" customFormat="1" ht="15.75" customHeight="1">
      <c r="A96" s="741" t="s">
        <v>769</v>
      </c>
      <c r="B96" s="725">
        <v>800</v>
      </c>
      <c r="C96" s="1405">
        <v>800</v>
      </c>
      <c r="D96" s="1414"/>
      <c r="E96" s="1414"/>
      <c r="F96" s="1414"/>
      <c r="G96" s="1414"/>
      <c r="H96" s="1414"/>
      <c r="I96" s="1414"/>
      <c r="J96" s="1414"/>
      <c r="K96" s="1414"/>
      <c r="L96" s="1414"/>
      <c r="M96" s="1414"/>
      <c r="N96" s="1414"/>
      <c r="O96" s="1414"/>
      <c r="P96" s="1415"/>
      <c r="Q96" s="1415"/>
      <c r="R96" s="1415"/>
    </row>
    <row r="97" spans="1:18" ht="18" customHeight="1">
      <c r="A97" s="741" t="s">
        <v>770</v>
      </c>
      <c r="B97" s="725">
        <v>600</v>
      </c>
      <c r="C97" s="1405">
        <v>600</v>
      </c>
      <c r="M97" s="193"/>
      <c r="N97" s="193"/>
      <c r="O97" s="193"/>
      <c r="P97" s="197"/>
      <c r="Q97" s="197"/>
    </row>
    <row r="98" spans="1:18" ht="18" customHeight="1">
      <c r="A98" s="741" t="s">
        <v>771</v>
      </c>
      <c r="B98" s="725">
        <v>370</v>
      </c>
      <c r="C98" s="1405">
        <v>370</v>
      </c>
      <c r="M98" s="193"/>
      <c r="N98" s="193"/>
      <c r="O98" s="193"/>
      <c r="P98" s="197"/>
      <c r="Q98" s="197"/>
    </row>
    <row r="99" spans="1:18" ht="18" customHeight="1">
      <c r="A99" s="741" t="s">
        <v>772</v>
      </c>
      <c r="B99" s="725">
        <v>1200</v>
      </c>
      <c r="C99" s="1405">
        <v>1200</v>
      </c>
      <c r="M99" s="193"/>
      <c r="N99" s="193"/>
      <c r="O99" s="193"/>
      <c r="P99" s="197"/>
      <c r="Q99" s="197"/>
    </row>
    <row r="100" spans="1:18" ht="18" customHeight="1">
      <c r="A100" s="741" t="s">
        <v>764</v>
      </c>
      <c r="B100" s="725"/>
      <c r="C100" s="1405">
        <v>1000</v>
      </c>
      <c r="M100" s="193"/>
      <c r="N100" s="193"/>
      <c r="O100" s="193"/>
      <c r="P100" s="197"/>
      <c r="Q100" s="197"/>
    </row>
    <row r="101" spans="1:18" s="92" customFormat="1" ht="15.75" customHeight="1">
      <c r="A101" s="647"/>
      <c r="B101" s="725"/>
      <c r="C101" s="1405"/>
      <c r="D101" s="1414"/>
      <c r="E101" s="1414"/>
      <c r="F101" s="1414"/>
      <c r="G101" s="1414"/>
      <c r="H101" s="1414"/>
      <c r="I101" s="1414"/>
      <c r="J101" s="1414"/>
      <c r="K101" s="1414"/>
      <c r="L101" s="1414"/>
      <c r="M101" s="1414"/>
      <c r="N101" s="1414"/>
      <c r="O101" s="1414"/>
      <c r="P101" s="1415"/>
      <c r="Q101" s="1415"/>
      <c r="R101" s="1415"/>
    </row>
    <row r="102" spans="1:18">
      <c r="A102" s="737" t="s">
        <v>132</v>
      </c>
      <c r="B102" s="719">
        <v>5150</v>
      </c>
      <c r="C102" s="1401">
        <v>2150</v>
      </c>
      <c r="M102" s="193"/>
      <c r="N102" s="193"/>
      <c r="O102" s="193"/>
      <c r="P102" s="197"/>
      <c r="Q102" s="197"/>
    </row>
    <row r="103" spans="1:18" ht="15.75">
      <c r="A103" s="738" t="s">
        <v>773</v>
      </c>
      <c r="B103" s="725">
        <v>3000</v>
      </c>
      <c r="C103" s="1405">
        <v>0</v>
      </c>
      <c r="M103" s="193"/>
      <c r="N103" s="193"/>
      <c r="O103" s="193"/>
      <c r="P103" s="197"/>
      <c r="Q103" s="197"/>
    </row>
    <row r="104" spans="1:18" s="92" customFormat="1" ht="15.75">
      <c r="A104" s="738" t="s">
        <v>764</v>
      </c>
      <c r="B104" s="725">
        <v>2150</v>
      </c>
      <c r="C104" s="1405">
        <v>2150</v>
      </c>
      <c r="D104" s="1414"/>
      <c r="E104" s="1414"/>
      <c r="F104" s="1414"/>
      <c r="G104" s="1414"/>
      <c r="H104" s="1414"/>
      <c r="I104" s="1414"/>
      <c r="J104" s="1414"/>
      <c r="K104" s="1414"/>
      <c r="L104" s="1414"/>
      <c r="M104" s="1414"/>
      <c r="N104" s="1414"/>
      <c r="O104" s="1414"/>
      <c r="P104" s="1415"/>
      <c r="Q104" s="1415"/>
      <c r="R104" s="1415"/>
    </row>
    <row r="105" spans="1:18">
      <c r="A105" s="647"/>
      <c r="B105" s="725"/>
      <c r="C105" s="1405"/>
      <c r="M105" s="193"/>
      <c r="N105" s="193"/>
      <c r="O105" s="193"/>
      <c r="P105" s="197"/>
      <c r="Q105" s="197"/>
    </row>
    <row r="106" spans="1:18">
      <c r="A106" s="737" t="s">
        <v>184</v>
      </c>
      <c r="B106" s="719">
        <v>1442</v>
      </c>
      <c r="C106" s="1401">
        <v>1554</v>
      </c>
      <c r="M106" s="193"/>
      <c r="N106" s="193"/>
      <c r="O106" s="193"/>
      <c r="P106" s="197"/>
      <c r="Q106" s="197"/>
    </row>
    <row r="107" spans="1:18" ht="15.75">
      <c r="A107" s="738" t="s">
        <v>764</v>
      </c>
      <c r="B107" s="725">
        <v>442</v>
      </c>
      <c r="C107" s="1405">
        <v>1554</v>
      </c>
      <c r="M107" s="193"/>
      <c r="N107" s="193"/>
      <c r="O107" s="193"/>
      <c r="P107" s="197"/>
      <c r="Q107" s="197"/>
    </row>
    <row r="108" spans="1:18" ht="15.75">
      <c r="A108" s="738" t="s">
        <v>774</v>
      </c>
      <c r="B108" s="725">
        <v>1000</v>
      </c>
      <c r="C108" s="1405">
        <v>0</v>
      </c>
      <c r="M108" s="193"/>
      <c r="N108" s="193"/>
      <c r="O108" s="193"/>
      <c r="P108" s="197"/>
      <c r="Q108" s="197"/>
    </row>
    <row r="109" spans="1:18">
      <c r="A109" s="647"/>
      <c r="B109" s="725"/>
      <c r="C109" s="1405"/>
      <c r="M109" s="193"/>
      <c r="N109" s="193"/>
      <c r="O109" s="193"/>
      <c r="P109" s="197"/>
      <c r="Q109" s="197"/>
    </row>
    <row r="110" spans="1:18">
      <c r="A110" s="737" t="s">
        <v>131</v>
      </c>
      <c r="B110" s="719">
        <v>650</v>
      </c>
      <c r="C110" s="1401">
        <v>650</v>
      </c>
      <c r="M110" s="193"/>
      <c r="N110" s="193"/>
      <c r="O110" s="193"/>
      <c r="P110" s="197"/>
      <c r="Q110" s="197"/>
    </row>
    <row r="111" spans="1:18" ht="15.75">
      <c r="A111" s="738" t="s">
        <v>764</v>
      </c>
      <c r="B111" s="727">
        <v>650</v>
      </c>
      <c r="C111" s="1406">
        <v>650</v>
      </c>
      <c r="M111" s="193"/>
      <c r="N111" s="193"/>
      <c r="O111" s="193"/>
      <c r="P111" s="197"/>
      <c r="Q111" s="197"/>
    </row>
    <row r="112" spans="1:18">
      <c r="A112" s="647"/>
      <c r="B112" s="725"/>
      <c r="C112" s="1405"/>
      <c r="M112" s="193"/>
      <c r="N112" s="193"/>
      <c r="O112" s="193"/>
      <c r="P112" s="197"/>
      <c r="Q112" s="197"/>
    </row>
    <row r="113" spans="1:18" s="92" customFormat="1">
      <c r="A113" s="737" t="s">
        <v>130</v>
      </c>
      <c r="B113" s="719">
        <v>480</v>
      </c>
      <c r="C113" s="1401">
        <v>80</v>
      </c>
      <c r="D113" s="1414"/>
      <c r="E113" s="1414"/>
      <c r="F113" s="1414"/>
      <c r="G113" s="1414"/>
      <c r="H113" s="1414"/>
      <c r="I113" s="1414"/>
      <c r="J113" s="1414"/>
      <c r="K113" s="1414"/>
      <c r="L113" s="1414"/>
      <c r="M113" s="1414"/>
      <c r="N113" s="1414"/>
      <c r="O113" s="1414"/>
      <c r="P113" s="1415"/>
      <c r="Q113" s="1415"/>
      <c r="R113" s="1415"/>
    </row>
    <row r="114" spans="1:18" ht="15.75">
      <c r="A114" s="738" t="s">
        <v>764</v>
      </c>
      <c r="B114" s="728">
        <v>480</v>
      </c>
      <c r="C114" s="1407">
        <v>80</v>
      </c>
      <c r="M114" s="193"/>
      <c r="N114" s="193"/>
      <c r="O114" s="193"/>
      <c r="P114" s="197"/>
      <c r="Q114" s="197"/>
    </row>
    <row r="115" spans="1:18">
      <c r="A115" s="647"/>
      <c r="B115" s="725"/>
      <c r="C115" s="1405"/>
      <c r="M115" s="193"/>
      <c r="N115" s="193"/>
      <c r="O115" s="193"/>
      <c r="P115" s="197"/>
      <c r="Q115" s="197"/>
    </row>
    <row r="116" spans="1:18">
      <c r="A116" s="737" t="s">
        <v>753</v>
      </c>
      <c r="B116" s="719">
        <v>130</v>
      </c>
      <c r="C116" s="1401">
        <v>130</v>
      </c>
      <c r="M116" s="193"/>
      <c r="N116" s="193"/>
      <c r="O116" s="193"/>
      <c r="P116" s="197"/>
      <c r="Q116" s="197"/>
    </row>
    <row r="117" spans="1:18" ht="15.75">
      <c r="A117" s="738" t="s">
        <v>775</v>
      </c>
      <c r="B117" s="725">
        <v>130</v>
      </c>
      <c r="C117" s="1405">
        <v>130</v>
      </c>
      <c r="M117" s="193"/>
      <c r="N117" s="193"/>
      <c r="O117" s="193"/>
      <c r="P117" s="197"/>
      <c r="Q117" s="197"/>
    </row>
    <row r="118" spans="1:18" ht="15.75">
      <c r="A118" s="742"/>
      <c r="B118" s="725"/>
      <c r="C118" s="1405"/>
      <c r="M118" s="193"/>
      <c r="N118" s="193"/>
      <c r="O118" s="193"/>
      <c r="P118" s="197"/>
      <c r="Q118" s="197"/>
    </row>
    <row r="119" spans="1:18" s="92" customFormat="1">
      <c r="A119" s="737" t="s">
        <v>143</v>
      </c>
      <c r="B119" s="719">
        <v>1800</v>
      </c>
      <c r="C119" s="1401">
        <v>1600</v>
      </c>
      <c r="D119" s="1414"/>
      <c r="E119" s="1414"/>
      <c r="F119" s="1414"/>
      <c r="G119" s="1414"/>
      <c r="H119" s="1414"/>
      <c r="I119" s="1414"/>
      <c r="J119" s="1414"/>
      <c r="K119" s="1414"/>
      <c r="L119" s="1414"/>
      <c r="M119" s="1414"/>
      <c r="N119" s="1414"/>
      <c r="O119" s="1414"/>
      <c r="P119" s="1415"/>
      <c r="Q119" s="1415"/>
      <c r="R119" s="1415"/>
    </row>
    <row r="120" spans="1:18" ht="15.75" customHeight="1">
      <c r="A120" s="647" t="s">
        <v>776</v>
      </c>
      <c r="B120" s="725">
        <v>800</v>
      </c>
      <c r="C120" s="1405">
        <v>0</v>
      </c>
      <c r="M120" s="193"/>
      <c r="N120" s="193"/>
      <c r="O120" s="193"/>
      <c r="P120" s="197"/>
      <c r="Q120" s="197"/>
    </row>
    <row r="121" spans="1:18" ht="15.75" customHeight="1">
      <c r="A121" s="647" t="s">
        <v>860</v>
      </c>
      <c r="B121" s="725"/>
      <c r="C121" s="1405">
        <v>600</v>
      </c>
      <c r="M121" s="193"/>
      <c r="N121" s="193"/>
      <c r="O121" s="193"/>
      <c r="P121" s="197"/>
      <c r="Q121" s="197"/>
    </row>
    <row r="122" spans="1:18">
      <c r="A122" s="647" t="s">
        <v>861</v>
      </c>
      <c r="B122" s="725">
        <v>1000</v>
      </c>
      <c r="C122" s="1405">
        <v>1000</v>
      </c>
      <c r="M122" s="193"/>
      <c r="N122" s="193"/>
      <c r="O122" s="193"/>
      <c r="P122" s="197"/>
      <c r="Q122" s="197"/>
    </row>
    <row r="123" spans="1:18">
      <c r="A123" s="647"/>
      <c r="B123" s="725"/>
      <c r="C123" s="1405"/>
      <c r="M123" s="193"/>
      <c r="N123" s="193"/>
      <c r="O123" s="193"/>
      <c r="P123" s="197"/>
      <c r="Q123" s="197"/>
    </row>
    <row r="124" spans="1:18">
      <c r="A124" s="737" t="s">
        <v>148</v>
      </c>
      <c r="B124" s="719">
        <v>1647</v>
      </c>
      <c r="C124" s="1401">
        <v>447</v>
      </c>
      <c r="M124" s="193"/>
      <c r="N124" s="193"/>
      <c r="O124" s="193"/>
      <c r="P124" s="197"/>
      <c r="Q124" s="197"/>
    </row>
    <row r="125" spans="1:18" s="92" customFormat="1" ht="15.75">
      <c r="A125" s="738" t="s">
        <v>777</v>
      </c>
      <c r="B125" s="727">
        <v>1647</v>
      </c>
      <c r="C125" s="1406">
        <v>447</v>
      </c>
      <c r="D125" s="1414"/>
      <c r="E125" s="1414"/>
      <c r="F125" s="1414"/>
      <c r="G125" s="1414"/>
      <c r="H125" s="1414"/>
      <c r="I125" s="1414"/>
      <c r="J125" s="1414"/>
      <c r="K125" s="1414"/>
      <c r="L125" s="1414"/>
      <c r="M125" s="1414"/>
      <c r="N125" s="1414"/>
      <c r="O125" s="1414"/>
      <c r="P125" s="1415"/>
      <c r="Q125" s="1415"/>
      <c r="R125" s="1415"/>
    </row>
    <row r="126" spans="1:18">
      <c r="A126" s="647"/>
      <c r="B126" s="725"/>
      <c r="C126" s="1405"/>
      <c r="M126" s="193"/>
      <c r="N126" s="193"/>
      <c r="O126" s="193"/>
      <c r="P126" s="197"/>
      <c r="Q126" s="197"/>
    </row>
    <row r="127" spans="1:18">
      <c r="A127" s="737" t="s">
        <v>146</v>
      </c>
      <c r="B127" s="719">
        <v>26000</v>
      </c>
      <c r="C127" s="1401">
        <v>31000</v>
      </c>
      <c r="M127" s="193"/>
      <c r="N127" s="193"/>
      <c r="O127" s="193"/>
      <c r="P127" s="197"/>
      <c r="Q127" s="197"/>
    </row>
    <row r="128" spans="1:18" ht="15.75">
      <c r="A128" s="653" t="s">
        <v>778</v>
      </c>
      <c r="B128" s="729">
        <v>8000</v>
      </c>
      <c r="C128" s="1408">
        <v>8000</v>
      </c>
      <c r="M128" s="193"/>
      <c r="N128" s="193"/>
      <c r="O128" s="193"/>
      <c r="P128" s="197"/>
      <c r="Q128" s="197"/>
    </row>
    <row r="129" spans="1:18" ht="15.75">
      <c r="A129" s="653" t="s">
        <v>779</v>
      </c>
      <c r="B129" s="729">
        <v>3000</v>
      </c>
      <c r="C129" s="1408">
        <v>2000</v>
      </c>
      <c r="M129" s="193"/>
      <c r="N129" s="193"/>
      <c r="O129" s="193"/>
      <c r="P129" s="197"/>
      <c r="Q129" s="197"/>
    </row>
    <row r="130" spans="1:18" ht="15.75">
      <c r="A130" s="653" t="s">
        <v>780</v>
      </c>
      <c r="B130" s="729">
        <v>2000</v>
      </c>
      <c r="C130" s="1408">
        <v>0</v>
      </c>
      <c r="M130" s="193"/>
      <c r="N130" s="193"/>
      <c r="O130" s="193"/>
      <c r="P130" s="197"/>
      <c r="Q130" s="197"/>
    </row>
    <row r="131" spans="1:18" ht="15.75">
      <c r="A131" s="653" t="s">
        <v>862</v>
      </c>
      <c r="B131" s="729"/>
      <c r="C131" s="1408">
        <v>2000</v>
      </c>
      <c r="M131" s="193"/>
      <c r="N131" s="193"/>
      <c r="O131" s="193"/>
      <c r="P131" s="197"/>
      <c r="Q131" s="197"/>
    </row>
    <row r="132" spans="1:18" ht="15.75">
      <c r="A132" s="653" t="s">
        <v>863</v>
      </c>
      <c r="B132" s="729">
        <v>2000</v>
      </c>
      <c r="C132" s="1408">
        <v>8000</v>
      </c>
      <c r="M132" s="193"/>
      <c r="N132" s="193"/>
      <c r="O132" s="193"/>
      <c r="P132" s="197"/>
      <c r="Q132" s="197"/>
    </row>
    <row r="133" spans="1:18" s="92" customFormat="1" ht="15" customHeight="1">
      <c r="A133" s="653" t="s">
        <v>781</v>
      </c>
      <c r="B133" s="729">
        <v>3000</v>
      </c>
      <c r="C133" s="1408">
        <v>3000</v>
      </c>
      <c r="D133" s="1414"/>
      <c r="E133" s="1414"/>
      <c r="F133" s="1414"/>
      <c r="G133" s="1414"/>
      <c r="H133" s="1414"/>
      <c r="I133" s="1414"/>
      <c r="J133" s="1414"/>
      <c r="K133" s="1414"/>
      <c r="L133" s="1414"/>
      <c r="M133" s="1414"/>
      <c r="N133" s="1414"/>
      <c r="O133" s="1414"/>
      <c r="P133" s="1415"/>
      <c r="Q133" s="1415"/>
      <c r="R133" s="1415"/>
    </row>
    <row r="134" spans="1:18" s="92" customFormat="1" ht="15" customHeight="1">
      <c r="A134" s="653" t="s">
        <v>790</v>
      </c>
      <c r="B134" s="729">
        <v>8000</v>
      </c>
      <c r="C134" s="1408">
        <v>8000</v>
      </c>
      <c r="D134" s="1414"/>
      <c r="E134" s="1414"/>
      <c r="F134" s="1414"/>
      <c r="G134" s="1414"/>
      <c r="H134" s="1414"/>
      <c r="I134" s="1414"/>
      <c r="J134" s="1414"/>
      <c r="K134" s="1414"/>
      <c r="L134" s="1414"/>
      <c r="M134" s="1414"/>
      <c r="N134" s="1414"/>
      <c r="O134" s="1414"/>
      <c r="P134" s="1415"/>
      <c r="Q134" s="1415"/>
      <c r="R134" s="1415"/>
    </row>
    <row r="135" spans="1:18" ht="15.75">
      <c r="A135" s="647"/>
      <c r="B135" s="729"/>
      <c r="C135" s="1408"/>
      <c r="M135" s="193"/>
      <c r="N135" s="193"/>
      <c r="O135" s="193"/>
      <c r="P135" s="197"/>
      <c r="Q135" s="197"/>
    </row>
    <row r="136" spans="1:18" s="92" customFormat="1">
      <c r="A136" s="737" t="s">
        <v>147</v>
      </c>
      <c r="B136" s="719">
        <v>3052</v>
      </c>
      <c r="C136" s="1401">
        <v>3097</v>
      </c>
      <c r="D136" s="1414"/>
      <c r="E136" s="1414"/>
      <c r="F136" s="1414"/>
      <c r="G136" s="1414"/>
      <c r="H136" s="1414"/>
      <c r="I136" s="1414"/>
      <c r="J136" s="1414"/>
      <c r="K136" s="1414"/>
      <c r="L136" s="1414"/>
      <c r="M136" s="1414"/>
      <c r="N136" s="1414"/>
      <c r="O136" s="1414"/>
      <c r="P136" s="1415"/>
      <c r="Q136" s="1415"/>
      <c r="R136" s="1415"/>
    </row>
    <row r="137" spans="1:18" ht="15" customHeight="1">
      <c r="A137" s="743" t="s">
        <v>782</v>
      </c>
      <c r="B137" s="732">
        <v>2902</v>
      </c>
      <c r="C137" s="1409">
        <v>2902</v>
      </c>
      <c r="M137" s="193"/>
      <c r="N137" s="193"/>
      <c r="O137" s="193"/>
      <c r="P137" s="197"/>
      <c r="Q137" s="197"/>
    </row>
    <row r="138" spans="1:18" ht="15" customHeight="1">
      <c r="A138" s="733" t="s">
        <v>764</v>
      </c>
      <c r="B138" s="734"/>
      <c r="C138" s="1410">
        <v>195</v>
      </c>
      <c r="M138" s="193"/>
      <c r="N138" s="193"/>
      <c r="O138" s="193"/>
      <c r="P138" s="197"/>
      <c r="Q138" s="197"/>
    </row>
    <row r="139" spans="1:18" ht="13.5" customHeight="1" thickBot="1">
      <c r="A139" s="748" t="s">
        <v>791</v>
      </c>
      <c r="B139" s="1331">
        <v>150</v>
      </c>
      <c r="C139" s="1411">
        <v>0</v>
      </c>
      <c r="M139" s="193"/>
      <c r="N139" s="193"/>
      <c r="O139" s="193"/>
      <c r="P139" s="197"/>
      <c r="Q139" s="197"/>
    </row>
    <row r="140" spans="1:18" ht="13.5" customHeight="1" thickBot="1">
      <c r="A140" s="777" t="s">
        <v>61</v>
      </c>
      <c r="B140" s="89">
        <v>2196341</v>
      </c>
      <c r="C140" s="1412">
        <v>50470</v>
      </c>
    </row>
    <row r="141" spans="1:18" ht="13.5" customHeight="1">
      <c r="A141" s="41"/>
    </row>
    <row r="142" spans="1:18" ht="13.5" customHeight="1">
      <c r="A142" s="41"/>
    </row>
    <row r="143" spans="1:18" ht="13.5" customHeight="1">
      <c r="A143" s="41"/>
    </row>
    <row r="144" spans="1:18" ht="13.5" customHeight="1">
      <c r="A144" s="41"/>
    </row>
    <row r="145" spans="1:1" ht="13.5" customHeight="1">
      <c r="A145" s="41"/>
    </row>
    <row r="146" spans="1:1" ht="13.5" customHeight="1">
      <c r="A146" s="41"/>
    </row>
    <row r="147" spans="1:1" ht="13.5" customHeight="1">
      <c r="A147" s="41"/>
    </row>
    <row r="148" spans="1:1" ht="13.5" customHeight="1">
      <c r="A148" s="41"/>
    </row>
    <row r="149" spans="1:1" ht="13.5" customHeight="1">
      <c r="A149" s="41"/>
    </row>
    <row r="150" spans="1:1" ht="13.5" customHeight="1">
      <c r="A150" s="41"/>
    </row>
    <row r="151" spans="1:1" ht="13.5" customHeight="1">
      <c r="A151" s="41"/>
    </row>
    <row r="152" spans="1:1" ht="13.5" customHeight="1">
      <c r="A152" s="41"/>
    </row>
    <row r="153" spans="1:1" ht="13.5" customHeight="1">
      <c r="A153" s="42"/>
    </row>
    <row r="154" spans="1:1">
      <c r="A154" s="40"/>
    </row>
    <row r="155" spans="1:1">
      <c r="A155" s="40"/>
    </row>
    <row r="156" spans="1:1">
      <c r="A156" s="39"/>
    </row>
    <row r="157" spans="1:1">
      <c r="A157" s="39"/>
    </row>
    <row r="158" spans="1:1">
      <c r="A158" s="39"/>
    </row>
    <row r="159" spans="1:1">
      <c r="A159" s="43"/>
    </row>
    <row r="160" spans="1:1">
      <c r="A160" s="40"/>
    </row>
  </sheetData>
  <mergeCells count="1">
    <mergeCell ref="A1:C1"/>
  </mergeCells>
  <pageMargins left="0.76" right="0.70866141732283472" top="0.62992125984251968" bottom="0.74803149606299213" header="0.31496062992125984" footer="0.31496062992125984"/>
  <pageSetup paperSize="9" scale="65" fitToHeight="2" orientation="portrait" r:id="rId1"/>
  <headerFooter>
    <oddHeader>&amp;L&amp;"Times New Roman,Normál"&amp;8 7. melléklet a   17 /2020. (VII.9.) önkormányzati rendelethez</oddHeader>
    <oddFooter>&amp;L24/2019.(XII.19.)önk.rend. Hatályos:2020.01.01.</oddFooter>
  </headerFooter>
  <rowBreaks count="1" manualBreakCount="1">
    <brk id="72" max="2" man="1"/>
  </rowBreaks>
  <colBreaks count="1" manualBreakCount="1">
    <brk id="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13</vt:i4>
      </vt:variant>
    </vt:vector>
  </HeadingPairs>
  <TitlesOfParts>
    <vt:vector size="36" baseType="lpstr">
      <vt:lpstr>1. melléklet</vt:lpstr>
      <vt:lpstr>2. melléklet</vt:lpstr>
      <vt:lpstr>3. melléklet</vt:lpstr>
      <vt:lpstr>4. melléklet</vt:lpstr>
      <vt:lpstr>5. melléklet 1</vt:lpstr>
      <vt:lpstr>5. melléklet 2</vt:lpstr>
      <vt:lpstr>6. melléklet 1</vt:lpstr>
      <vt:lpstr>6. melléklet 2</vt:lpstr>
      <vt:lpstr>7. melléklet</vt:lpstr>
      <vt:lpstr>8. melléklet</vt:lpstr>
      <vt:lpstr>9. melléklet</vt:lpstr>
      <vt:lpstr>10. melléklet</vt:lpstr>
      <vt:lpstr>11. melléklet</vt:lpstr>
      <vt:lpstr>12. melléklet</vt:lpstr>
      <vt:lpstr>13.melléklet 1</vt:lpstr>
      <vt:lpstr>13. melléklet 2 </vt:lpstr>
      <vt:lpstr>13. melléklet 3</vt:lpstr>
      <vt:lpstr>14. melléklet 1</vt:lpstr>
      <vt:lpstr>14. melléklet 2</vt:lpstr>
      <vt:lpstr>14. melléklet 3</vt:lpstr>
      <vt:lpstr>15. melléklet</vt:lpstr>
      <vt:lpstr>16. melléklet</vt:lpstr>
      <vt:lpstr>17. melléklet</vt:lpstr>
      <vt:lpstr>'11. melléklet'!Nyomtatási_cím</vt:lpstr>
      <vt:lpstr>'14. melléklet 1'!Nyomtatási_cím</vt:lpstr>
      <vt:lpstr>'14. melléklet 2'!Nyomtatási_cím</vt:lpstr>
      <vt:lpstr>'15. melléklet'!Nyomtatási_cím</vt:lpstr>
      <vt:lpstr>'7. melléklet'!Nyomtatási_cím</vt:lpstr>
      <vt:lpstr>'8. melléklet'!Nyomtatási_cím</vt:lpstr>
      <vt:lpstr>'11. melléklet'!Nyomtatási_terület</vt:lpstr>
      <vt:lpstr>'14. melléklet 3'!Nyomtatási_terület</vt:lpstr>
      <vt:lpstr>'15. melléklet'!Nyomtatási_terület</vt:lpstr>
      <vt:lpstr>'5. melléklet 1'!Nyomtatási_terület</vt:lpstr>
      <vt:lpstr>'5. melléklet 2'!Nyomtatási_terület</vt:lpstr>
      <vt:lpstr>'6. melléklet 1'!Nyomtatási_terület</vt:lpstr>
      <vt:lpstr>'7. melléklet'!Nyomtatási_terület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Kerényi Zsuzsanna</dc:creator>
  <cp:lastModifiedBy>zomborimonika</cp:lastModifiedBy>
  <cp:lastPrinted>2020-07-08T13:38:07Z</cp:lastPrinted>
  <dcterms:created xsi:type="dcterms:W3CDTF">2018-06-06T07:42:41Z</dcterms:created>
  <dcterms:modified xsi:type="dcterms:W3CDTF">2020-07-09T11:48:01Z</dcterms:modified>
</cp:coreProperties>
</file>