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cuments\ktg vet rend mod  intézm\2019\2020 február\Számozot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9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4" sheetId="79" state="hidden" r:id="rId23"/>
    <sheet name="Munka3" sheetId="78" state="hidden" r:id="rId24"/>
    <sheet name="Munka6" sheetId="77" state="hidden" r:id="rId25"/>
    <sheet name="Munka2" sheetId="72" state="hidden" r:id="rId26"/>
    <sheet name="likvid" sheetId="24" state="hidden" r:id="rId27"/>
    <sheet name="Munka1" sheetId="73" state="hidden" r:id="rId28"/>
    <sheet name="létszám" sheetId="68" r:id="rId29"/>
    <sheet name="Kötváll Ph." sheetId="65" state="hidden" r:id="rId30"/>
    <sheet name="Kötváll Önk" sheetId="66" state="hidden" r:id="rId31"/>
    <sheet name="kötváll. " sheetId="56" state="hidden" r:id="rId32"/>
    <sheet name="közvetett t." sheetId="54" state="hidden" r:id="rId33"/>
    <sheet name="hitelállomány " sheetId="55" state="hidden" r:id="rId34"/>
  </sheets>
  <definedNames>
    <definedName name="Excel_BuiltIn_Print_Titles" localSheetId="16">'ellátottak önk.'!$B$8:$IM$9</definedName>
    <definedName name="Excel_BuiltIn_Print_Titles" localSheetId="28">#REF!</definedName>
    <definedName name="Excel_BuiltIn_Print_Titles">#REF!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31">'kötváll. '!$7:$8</definedName>
    <definedName name="_xlnm.Print_Titles" localSheetId="28">létszám!$5:$8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AG106" i="68" l="1"/>
  <c r="AH106" i="68"/>
  <c r="X106" i="68"/>
  <c r="R106" i="68"/>
  <c r="R104" i="68"/>
  <c r="K106" i="68"/>
  <c r="J106" i="68"/>
  <c r="AG12" i="68"/>
  <c r="AH12" i="68"/>
  <c r="Y12" i="68"/>
  <c r="K12" i="68"/>
  <c r="C25" i="47"/>
  <c r="E25" i="47"/>
  <c r="D25" i="47"/>
  <c r="D48" i="45" l="1"/>
  <c r="F48" i="45"/>
  <c r="E48" i="45"/>
  <c r="J13" i="45"/>
  <c r="E33" i="45"/>
  <c r="F33" i="45"/>
  <c r="D33" i="45"/>
  <c r="E32" i="45"/>
  <c r="F32" i="45"/>
  <c r="D32" i="45"/>
  <c r="F25" i="45"/>
  <c r="H73" i="15"/>
  <c r="R72" i="15"/>
  <c r="F119" i="8"/>
  <c r="G119" i="8"/>
  <c r="H119" i="8"/>
  <c r="I119" i="8"/>
  <c r="F143" i="8"/>
  <c r="G143" i="8"/>
  <c r="H143" i="8"/>
  <c r="I143" i="8"/>
  <c r="I129" i="8"/>
  <c r="G117" i="8"/>
  <c r="H117" i="8" s="1"/>
  <c r="E119" i="8"/>
  <c r="F111" i="8"/>
  <c r="I111" i="8"/>
  <c r="E111" i="8"/>
  <c r="H109" i="8"/>
  <c r="H111" i="8" s="1"/>
  <c r="G109" i="8"/>
  <c r="G93" i="8"/>
  <c r="I93" i="8" s="1"/>
  <c r="G56" i="8"/>
  <c r="I56" i="8" s="1"/>
  <c r="G55" i="8"/>
  <c r="H55" i="8" s="1"/>
  <c r="G54" i="6" l="1"/>
  <c r="H54" i="6"/>
  <c r="I54" i="6"/>
  <c r="F46" i="6"/>
  <c r="E46" i="6"/>
  <c r="F45" i="6"/>
  <c r="E45" i="6"/>
  <c r="F44" i="6"/>
  <c r="D25" i="5" l="1"/>
  <c r="E25" i="5"/>
  <c r="C25" i="5"/>
  <c r="E34" i="5"/>
  <c r="R70" i="15" l="1"/>
  <c r="R71" i="15"/>
  <c r="D73" i="15"/>
  <c r="E73" i="15"/>
  <c r="F73" i="15"/>
  <c r="G73" i="15"/>
  <c r="I73" i="15"/>
  <c r="J73" i="15"/>
  <c r="K73" i="15"/>
  <c r="L73" i="15"/>
  <c r="N73" i="15"/>
  <c r="O73" i="15"/>
  <c r="R69" i="15"/>
  <c r="R68" i="15"/>
  <c r="R67" i="15" l="1"/>
  <c r="D16" i="46"/>
  <c r="G116" i="8" l="1"/>
  <c r="H116" i="8" s="1"/>
  <c r="H90" i="8"/>
  <c r="G54" i="8"/>
  <c r="H54" i="8" s="1"/>
  <c r="G37" i="8"/>
  <c r="H37" i="8" s="1"/>
  <c r="G46" i="8"/>
  <c r="H46" i="8" s="1"/>
  <c r="G62" i="7"/>
  <c r="G63" i="7"/>
  <c r="G64" i="7"/>
  <c r="G65" i="7"/>
  <c r="G29" i="7"/>
  <c r="G30" i="7"/>
  <c r="F23" i="7"/>
  <c r="E23" i="7"/>
  <c r="G22" i="7"/>
  <c r="D34" i="6"/>
  <c r="D40" i="6" s="1"/>
  <c r="E34" i="6"/>
  <c r="F33" i="6"/>
  <c r="F34" i="6" s="1"/>
  <c r="F32" i="6"/>
  <c r="E29" i="6"/>
  <c r="D29" i="6"/>
  <c r="F27" i="6"/>
  <c r="E24" i="6"/>
  <c r="F24" i="6"/>
  <c r="D24" i="6"/>
  <c r="G21" i="6"/>
  <c r="H21" i="6"/>
  <c r="I21" i="6"/>
  <c r="E21" i="6"/>
  <c r="F20" i="6"/>
  <c r="D21" i="6"/>
  <c r="E42" i="5"/>
  <c r="E32" i="5"/>
  <c r="E33" i="5"/>
  <c r="G53" i="8" l="1"/>
  <c r="H53" i="8" s="1"/>
  <c r="I19" i="45" l="1"/>
  <c r="R66" i="15" l="1"/>
  <c r="R65" i="15"/>
  <c r="R37" i="15"/>
  <c r="Q24" i="15"/>
  <c r="R24" i="15" s="1"/>
  <c r="F24" i="63"/>
  <c r="G23" i="63"/>
  <c r="F85" i="8"/>
  <c r="E85" i="8"/>
  <c r="G83" i="8"/>
  <c r="I83" i="8" s="1"/>
  <c r="I85" i="8" s="1"/>
  <c r="G82" i="8"/>
  <c r="G85" i="8" s="1"/>
  <c r="G77" i="8"/>
  <c r="H77" i="8" s="1"/>
  <c r="F67" i="8"/>
  <c r="E67" i="8"/>
  <c r="H82" i="8" l="1"/>
  <c r="H85" i="8" s="1"/>
  <c r="G52" i="8"/>
  <c r="H52" i="8" s="1"/>
  <c r="G51" i="8"/>
  <c r="I51" i="8" s="1"/>
  <c r="G43" i="8"/>
  <c r="H43" i="8" s="1"/>
  <c r="F26" i="8"/>
  <c r="E26" i="8"/>
  <c r="G22" i="8"/>
  <c r="H22" i="8" s="1"/>
  <c r="G23" i="8"/>
  <c r="G24" i="8"/>
  <c r="H24" i="8" s="1"/>
  <c r="G21" i="8"/>
  <c r="I21" i="8" s="1"/>
  <c r="I26" i="8" s="1"/>
  <c r="E18" i="8"/>
  <c r="F18" i="8"/>
  <c r="G16" i="8"/>
  <c r="H16" i="8" s="1"/>
  <c r="G78" i="7"/>
  <c r="J19" i="45" s="1"/>
  <c r="G77" i="7"/>
  <c r="E78" i="7"/>
  <c r="H19" i="45" s="1"/>
  <c r="G73" i="7"/>
  <c r="G61" i="7"/>
  <c r="G60" i="7"/>
  <c r="G21" i="7"/>
  <c r="G14" i="7"/>
  <c r="F50" i="6"/>
  <c r="G26" i="8" l="1"/>
  <c r="H23" i="8"/>
  <c r="H26" i="8" s="1"/>
  <c r="C30" i="54"/>
  <c r="D29" i="49" l="1"/>
  <c r="R64" i="15" l="1"/>
  <c r="R61" i="15"/>
  <c r="G124" i="8"/>
  <c r="H124" i="8" s="1"/>
  <c r="G123" i="8"/>
  <c r="I123" i="8" s="1"/>
  <c r="G115" i="8"/>
  <c r="H115" i="8" s="1"/>
  <c r="G50" i="8"/>
  <c r="H50" i="8" s="1"/>
  <c r="G49" i="8"/>
  <c r="G14" i="8"/>
  <c r="I14" i="8" s="1"/>
  <c r="G15" i="8"/>
  <c r="I15" i="8" s="1"/>
  <c r="G59" i="7"/>
  <c r="G58" i="7"/>
  <c r="E36" i="5"/>
  <c r="E35" i="5"/>
  <c r="D35" i="5"/>
  <c r="C35" i="5"/>
  <c r="E24" i="5"/>
  <c r="E23" i="5" s="1"/>
  <c r="D23" i="5"/>
  <c r="C23" i="5"/>
  <c r="E22" i="5"/>
  <c r="E21" i="5"/>
  <c r="D21" i="5"/>
  <c r="C21" i="5"/>
  <c r="I18" i="8" l="1"/>
  <c r="C28" i="54"/>
  <c r="AD106" i="68" l="1"/>
  <c r="AD104" i="68"/>
  <c r="AA106" i="68"/>
  <c r="AA104" i="68"/>
  <c r="U106" i="68"/>
  <c r="U104" i="68"/>
  <c r="O106" i="68"/>
  <c r="O104" i="68"/>
  <c r="AA40" i="68"/>
  <c r="AD40" i="68"/>
  <c r="P33" i="68" l="1"/>
  <c r="U40" i="68"/>
  <c r="R40" i="68"/>
  <c r="S30" i="68"/>
  <c r="O40" i="68"/>
  <c r="AD36" i="68"/>
  <c r="U36" i="68"/>
  <c r="P36" i="68"/>
  <c r="AD38" i="68"/>
  <c r="Y38" i="68"/>
  <c r="U38" i="68"/>
  <c r="AD37" i="68"/>
  <c r="Y37" i="68"/>
  <c r="U37" i="68"/>
  <c r="AD35" i="68"/>
  <c r="P35" i="68"/>
  <c r="AD28" i="68"/>
  <c r="P28" i="68"/>
  <c r="AE106" i="68" l="1"/>
  <c r="W106" i="68"/>
  <c r="V106" i="68"/>
  <c r="M106" i="68"/>
  <c r="L106" i="68"/>
  <c r="I106" i="68"/>
  <c r="H106" i="68"/>
  <c r="E106" i="68"/>
  <c r="C106" i="68"/>
  <c r="AF104" i="68"/>
  <c r="W104" i="68"/>
  <c r="N104" i="68"/>
  <c r="N106" i="68" s="1"/>
  <c r="M104" i="68"/>
  <c r="L104" i="68"/>
  <c r="K104" i="68"/>
  <c r="G104" i="68"/>
  <c r="G106" i="68" s="1"/>
  <c r="D104" i="68"/>
  <c r="C104" i="68"/>
  <c r="AB101" i="68"/>
  <c r="Z101" i="68"/>
  <c r="T101" i="68"/>
  <c r="AC101" i="68" s="1"/>
  <c r="S101" i="68"/>
  <c r="N101" i="68"/>
  <c r="P101" i="68" s="1"/>
  <c r="AH100" i="68"/>
  <c r="AC100" i="68"/>
  <c r="P100" i="68"/>
  <c r="AH99" i="68"/>
  <c r="AC99" i="68"/>
  <c r="Y99" i="68"/>
  <c r="T99" i="68"/>
  <c r="P99" i="68"/>
  <c r="T98" i="68"/>
  <c r="AC98" i="68" s="1"/>
  <c r="P98" i="68"/>
  <c r="Y98" i="68" s="1"/>
  <c r="AB93" i="68"/>
  <c r="Z93" i="68"/>
  <c r="S93" i="68"/>
  <c r="Q93" i="68"/>
  <c r="N93" i="68"/>
  <c r="P93" i="68" s="1"/>
  <c r="Y93" i="68" s="1"/>
  <c r="AC92" i="68"/>
  <c r="T92" i="68"/>
  <c r="T93" i="68" s="1"/>
  <c r="AC93" i="68" s="1"/>
  <c r="P92" i="68"/>
  <c r="Y92" i="68" s="1"/>
  <c r="AH92" i="68" s="1"/>
  <c r="AC91" i="68"/>
  <c r="P91" i="68"/>
  <c r="Y91" i="68" s="1"/>
  <c r="AH91" i="68" s="1"/>
  <c r="AC90" i="68"/>
  <c r="P90" i="68"/>
  <c r="Y90" i="68" s="1"/>
  <c r="AH90" i="68" s="1"/>
  <c r="AC89" i="68"/>
  <c r="P89" i="68"/>
  <c r="Y89" i="68" s="1"/>
  <c r="AH89" i="68" s="1"/>
  <c r="AC87" i="68"/>
  <c r="P87" i="68"/>
  <c r="Y87" i="68" s="1"/>
  <c r="AH87" i="68" s="1"/>
  <c r="AC86" i="68"/>
  <c r="P86" i="68"/>
  <c r="Y86" i="68" s="1"/>
  <c r="AH86" i="68" s="1"/>
  <c r="AC85" i="68"/>
  <c r="P85" i="68"/>
  <c r="Y85" i="68" s="1"/>
  <c r="AH85" i="68" s="1"/>
  <c r="AC84" i="68"/>
  <c r="P84" i="68"/>
  <c r="Y84" i="68" s="1"/>
  <c r="AH84" i="68" s="1"/>
  <c r="AC83" i="68"/>
  <c r="P83" i="68"/>
  <c r="Y83" i="68" s="1"/>
  <c r="AH83" i="68" s="1"/>
  <c r="AC82" i="68"/>
  <c r="P82" i="68"/>
  <c r="Y82" i="68" s="1"/>
  <c r="AH82" i="68" s="1"/>
  <c r="AC81" i="68"/>
  <c r="P81" i="68"/>
  <c r="Y81" i="68" s="1"/>
  <c r="AH81" i="68" s="1"/>
  <c r="AC80" i="68"/>
  <c r="P80" i="68"/>
  <c r="Y80" i="68" s="1"/>
  <c r="AH80" i="68" s="1"/>
  <c r="AC78" i="68"/>
  <c r="P78" i="68"/>
  <c r="Y78" i="68" s="1"/>
  <c r="AH78" i="68" s="1"/>
  <c r="AC77" i="68"/>
  <c r="P77" i="68"/>
  <c r="Y77" i="68" s="1"/>
  <c r="AH77" i="68" s="1"/>
  <c r="AC76" i="68"/>
  <c r="P76" i="68"/>
  <c r="Y76" i="68" s="1"/>
  <c r="AH76" i="68" s="1"/>
  <c r="AC75" i="68"/>
  <c r="P75" i="68"/>
  <c r="Y75" i="68" s="1"/>
  <c r="AH75" i="68" s="1"/>
  <c r="AC74" i="68"/>
  <c r="P74" i="68"/>
  <c r="Y74" i="68" s="1"/>
  <c r="AH74" i="68" s="1"/>
  <c r="AC73" i="68"/>
  <c r="P73" i="68"/>
  <c r="Y73" i="68" s="1"/>
  <c r="AH73" i="68" s="1"/>
  <c r="AC72" i="68"/>
  <c r="P72" i="68"/>
  <c r="Y72" i="68" s="1"/>
  <c r="AH72" i="68" s="1"/>
  <c r="AC71" i="68"/>
  <c r="P71" i="68"/>
  <c r="Y71" i="68" s="1"/>
  <c r="AH71" i="68" s="1"/>
  <c r="AC70" i="68"/>
  <c r="P70" i="68"/>
  <c r="Y70" i="68" s="1"/>
  <c r="AH70" i="68" s="1"/>
  <c r="AH93" i="68" s="1"/>
  <c r="Q41" i="68"/>
  <c r="P41" i="68"/>
  <c r="S40" i="68"/>
  <c r="S104" i="68" s="1"/>
  <c r="S106" i="68" s="1"/>
  <c r="Q40" i="68"/>
  <c r="Z40" i="68" s="1"/>
  <c r="Z104" i="68" s="1"/>
  <c r="Z106" i="68" s="1"/>
  <c r="N40" i="68"/>
  <c r="AC40" i="68" s="1"/>
  <c r="AC39" i="68"/>
  <c r="T39" i="68"/>
  <c r="P39" i="68"/>
  <c r="Y39" i="68" s="1"/>
  <c r="AC38" i="68"/>
  <c r="P38" i="68"/>
  <c r="AH38" i="68" s="1"/>
  <c r="AC37" i="68"/>
  <c r="P37" i="68"/>
  <c r="AH37" i="68" s="1"/>
  <c r="AC36" i="68"/>
  <c r="AH36" i="68"/>
  <c r="AC35" i="68"/>
  <c r="AH35" i="68"/>
  <c r="AC34" i="68"/>
  <c r="Y34" i="68"/>
  <c r="T34" i="68"/>
  <c r="T40" i="68" s="1"/>
  <c r="T104" i="68" s="1"/>
  <c r="P34" i="68"/>
  <c r="AH34" i="68" s="1"/>
  <c r="AC33" i="68"/>
  <c r="AC32" i="68"/>
  <c r="T32" i="68"/>
  <c r="P32" i="68"/>
  <c r="AH32" i="68" s="1"/>
  <c r="AC31" i="68"/>
  <c r="T31" i="68"/>
  <c r="P31" i="68"/>
  <c r="Y31" i="68" s="1"/>
  <c r="AC30" i="68"/>
  <c r="AB30" i="68"/>
  <c r="Z30" i="68"/>
  <c r="P30" i="68"/>
  <c r="AH30" i="68" s="1"/>
  <c r="AC29" i="68"/>
  <c r="T29" i="68"/>
  <c r="P29" i="68"/>
  <c r="AH29" i="68" s="1"/>
  <c r="AC28" i="68"/>
  <c r="T28" i="68"/>
  <c r="Y28" i="68"/>
  <c r="T24" i="68"/>
  <c r="AC24" i="68" s="1"/>
  <c r="N24" i="68"/>
  <c r="AC23" i="68"/>
  <c r="Y23" i="68"/>
  <c r="AH23" i="68" s="1"/>
  <c r="T23" i="68"/>
  <c r="P23" i="68"/>
  <c r="Y22" i="68"/>
  <c r="AH22" i="68" s="1"/>
  <c r="T22" i="68"/>
  <c r="P22" i="68"/>
  <c r="AC21" i="68"/>
  <c r="T21" i="68"/>
  <c r="P21" i="68"/>
  <c r="Y21" i="68" s="1"/>
  <c r="AH21" i="68" s="1"/>
  <c r="T20" i="68"/>
  <c r="AC20" i="68" s="1"/>
  <c r="P20" i="68"/>
  <c r="Y20" i="68" s="1"/>
  <c r="AH20" i="68" s="1"/>
  <c r="Y19" i="68"/>
  <c r="AH19" i="68" s="1"/>
  <c r="T19" i="68"/>
  <c r="AC19" i="68" s="1"/>
  <c r="P19" i="68"/>
  <c r="AC18" i="68"/>
  <c r="Y18" i="68"/>
  <c r="AH18" i="68" s="1"/>
  <c r="T18" i="68"/>
  <c r="P18" i="68"/>
  <c r="AC17" i="68"/>
  <c r="T17" i="68"/>
  <c r="P17" i="68"/>
  <c r="Y17" i="68" s="1"/>
  <c r="AH17" i="68" s="1"/>
  <c r="T16" i="68"/>
  <c r="AC16" i="68" s="1"/>
  <c r="P16" i="68"/>
  <c r="Y16" i="68" s="1"/>
  <c r="AF12" i="68"/>
  <c r="AC12" i="68"/>
  <c r="T12" i="68"/>
  <c r="D12" i="68"/>
  <c r="D106" i="68" s="1"/>
  <c r="AC10" i="68"/>
  <c r="AB10" i="68"/>
  <c r="Y10" i="68"/>
  <c r="T10" i="68"/>
  <c r="F10" i="68"/>
  <c r="F106" i="68" s="1"/>
  <c r="D10" i="68"/>
  <c r="AF106" i="68" l="1"/>
  <c r="Y30" i="68"/>
  <c r="Y29" i="68"/>
  <c r="Y32" i="68"/>
  <c r="Y24" i="68"/>
  <c r="AH16" i="68"/>
  <c r="AH24" i="68" s="1"/>
  <c r="AC104" i="68"/>
  <c r="AC106" i="68" s="1"/>
  <c r="Y101" i="68"/>
  <c r="AH101" i="68" s="1"/>
  <c r="AH98" i="68"/>
  <c r="T106" i="68"/>
  <c r="AH10" i="68"/>
  <c r="P24" i="68"/>
  <c r="AH39" i="68"/>
  <c r="AB40" i="68"/>
  <c r="AB104" i="68" s="1"/>
  <c r="AB106" i="68" s="1"/>
  <c r="AH28" i="68"/>
  <c r="AH31" i="68"/>
  <c r="Y35" i="68"/>
  <c r="Y36" i="68"/>
  <c r="P40" i="68"/>
  <c r="Q104" i="68"/>
  <c r="Q106" i="68" s="1"/>
  <c r="E31" i="5"/>
  <c r="Y33" i="68" l="1"/>
  <c r="AD33" i="68"/>
  <c r="AH33" i="68" s="1"/>
  <c r="AH40" i="68"/>
  <c r="AH104" i="68" s="1"/>
  <c r="Y40" i="68"/>
  <c r="Y104" i="68" s="1"/>
  <c r="Y106" i="68" s="1"/>
  <c r="P104" i="68"/>
  <c r="P106" i="68" s="1"/>
  <c r="E36" i="24" l="1"/>
  <c r="F36" i="24" s="1"/>
  <c r="G36" i="24" s="1"/>
  <c r="H36" i="24" s="1"/>
  <c r="I36" i="24" s="1"/>
  <c r="J36" i="24" s="1"/>
  <c r="K36" i="24" s="1"/>
  <c r="L36" i="24" s="1"/>
  <c r="M36" i="24" s="1"/>
  <c r="N36" i="24" s="1"/>
  <c r="D36" i="24"/>
  <c r="E29" i="24"/>
  <c r="F29" i="24"/>
  <c r="G29" i="24"/>
  <c r="H29" i="24"/>
  <c r="I29" i="24" s="1"/>
  <c r="J29" i="24" s="1"/>
  <c r="K29" i="24" s="1"/>
  <c r="L29" i="24" s="1"/>
  <c r="M29" i="24" s="1"/>
  <c r="N29" i="24" s="1"/>
  <c r="E30" i="24"/>
  <c r="F30" i="24"/>
  <c r="G30" i="24" s="1"/>
  <c r="H30" i="24" s="1"/>
  <c r="I30" i="24" s="1"/>
  <c r="J30" i="24" s="1"/>
  <c r="K30" i="24" s="1"/>
  <c r="L30" i="24" s="1"/>
  <c r="M30" i="24" s="1"/>
  <c r="N30" i="24" s="1"/>
  <c r="D29" i="24"/>
  <c r="D30" i="24"/>
  <c r="H15" i="55" l="1"/>
  <c r="D15" i="55"/>
  <c r="C15" i="55"/>
  <c r="F28" i="6" l="1"/>
  <c r="F29" i="6" s="1"/>
  <c r="C37" i="5"/>
  <c r="G57" i="7" l="1"/>
  <c r="G92" i="8" l="1"/>
  <c r="I92" i="8" s="1"/>
  <c r="R12" i="15" l="1"/>
  <c r="I88" i="67" l="1"/>
  <c r="K90" i="67" s="1"/>
  <c r="I83" i="67"/>
  <c r="I82" i="67"/>
  <c r="I79" i="67"/>
  <c r="I77" i="67"/>
  <c r="E77" i="67"/>
  <c r="I74" i="67"/>
  <c r="I72" i="67"/>
  <c r="E72" i="67"/>
  <c r="I70" i="67"/>
  <c r="I69" i="67"/>
  <c r="I67" i="67"/>
  <c r="E67" i="67"/>
  <c r="I66" i="67"/>
  <c r="I65" i="67"/>
  <c r="E64" i="67"/>
  <c r="I63" i="67"/>
  <c r="E63" i="67"/>
  <c r="I62" i="67"/>
  <c r="E59" i="67"/>
  <c r="I51" i="67"/>
  <c r="I50" i="67"/>
  <c r="I49" i="67"/>
  <c r="I47" i="67"/>
  <c r="E47" i="67"/>
  <c r="I46" i="67"/>
  <c r="E46" i="67"/>
  <c r="Q44" i="67"/>
  <c r="R44" i="67" s="1"/>
  <c r="I44" i="67"/>
  <c r="I43" i="67"/>
  <c r="E43" i="67"/>
  <c r="I42" i="67"/>
  <c r="I41" i="67"/>
  <c r="E41" i="67"/>
  <c r="I40" i="67"/>
  <c r="E40" i="67"/>
  <c r="I39" i="67"/>
  <c r="E39" i="67"/>
  <c r="P32" i="67"/>
  <c r="I31" i="67"/>
  <c r="I29" i="67"/>
  <c r="E29" i="67"/>
  <c r="E31" i="67" s="1"/>
  <c r="I28" i="67"/>
  <c r="I23" i="67"/>
  <c r="I25" i="67" s="1"/>
  <c r="E23" i="67"/>
  <c r="E25" i="67" s="1"/>
  <c r="I22" i="67"/>
  <c r="I19" i="67"/>
  <c r="I16" i="67"/>
  <c r="I13" i="67"/>
  <c r="I9" i="67"/>
  <c r="E9" i="67"/>
  <c r="K84" i="67" l="1"/>
  <c r="K34" i="67"/>
  <c r="K51" i="67"/>
  <c r="K94" i="67" s="1"/>
  <c r="E94" i="67"/>
  <c r="F94" i="67"/>
  <c r="L44" i="67"/>
  <c r="E30" i="49"/>
  <c r="G48" i="8" l="1"/>
  <c r="I48" i="8" s="1"/>
  <c r="G13" i="8"/>
  <c r="G18" i="8" s="1"/>
  <c r="H13" i="8" l="1"/>
  <c r="H18" i="8" s="1"/>
  <c r="E59" i="5"/>
  <c r="D14" i="64" l="1"/>
  <c r="G114" i="8" l="1"/>
  <c r="H114" i="8" l="1"/>
  <c r="A18" i="49"/>
  <c r="A19" i="49"/>
  <c r="A20" i="49"/>
  <c r="A31" i="47" l="1"/>
  <c r="A32" i="47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J31" i="47"/>
  <c r="K31" i="47"/>
  <c r="L31" i="47"/>
  <c r="C24" i="47"/>
  <c r="C16" i="49" s="1"/>
  <c r="A31" i="46"/>
  <c r="A32" i="46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C32" i="64"/>
  <c r="C24" i="46" l="1"/>
  <c r="R63" i="15"/>
  <c r="R62" i="15"/>
  <c r="R60" i="15"/>
  <c r="R36" i="15"/>
  <c r="D18" i="10"/>
  <c r="G134" i="8"/>
  <c r="H134" i="8" s="1"/>
  <c r="F100" i="8"/>
  <c r="H100" i="8"/>
  <c r="G31" i="46" s="1"/>
  <c r="E100" i="8"/>
  <c r="G98" i="8"/>
  <c r="I98" i="8" s="1"/>
  <c r="F95" i="8"/>
  <c r="G47" i="8"/>
  <c r="G31" i="47" l="1"/>
  <c r="G18" i="49" s="1"/>
  <c r="H47" i="8"/>
  <c r="G53" i="7"/>
  <c r="G54" i="7"/>
  <c r="G55" i="7"/>
  <c r="G56" i="7"/>
  <c r="G40" i="6"/>
  <c r="H40" i="6"/>
  <c r="I40" i="6"/>
  <c r="F19" i="6"/>
  <c r="F21" i="6" s="1"/>
  <c r="D62" i="5"/>
  <c r="D29" i="64" s="1"/>
  <c r="D32" i="64" s="1"/>
  <c r="C62" i="5"/>
  <c r="C29" i="64" s="1"/>
  <c r="E61" i="5"/>
  <c r="E62" i="5" s="1"/>
  <c r="E29" i="64" s="1"/>
  <c r="D60" i="5"/>
  <c r="E60" i="5"/>
  <c r="C60" i="5"/>
  <c r="C63" i="5" s="1"/>
  <c r="C39" i="5"/>
  <c r="D63" i="5" l="1"/>
  <c r="E63" i="5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D20" i="49"/>
  <c r="E20" i="49"/>
  <c r="J17" i="47" l="1"/>
  <c r="K17" i="47"/>
  <c r="L17" i="47"/>
  <c r="D46" i="47"/>
  <c r="D37" i="48" s="1"/>
  <c r="C46" i="47"/>
  <c r="C37" i="48" s="1"/>
  <c r="D15" i="47"/>
  <c r="D12" i="49" s="1"/>
  <c r="E46" i="46"/>
  <c r="E46" i="47" s="1"/>
  <c r="E37" i="48" s="1"/>
  <c r="C18" i="10" l="1"/>
  <c r="E17" i="10"/>
  <c r="G45" i="8"/>
  <c r="H45" i="8" s="1"/>
  <c r="F74" i="7"/>
  <c r="F80" i="7" s="1"/>
  <c r="E74" i="7"/>
  <c r="E80" i="7" s="1"/>
  <c r="G74" i="7"/>
  <c r="G80" i="7" s="1"/>
  <c r="E51" i="6"/>
  <c r="D51" i="6"/>
  <c r="D52" i="6" s="1"/>
  <c r="F51" i="6"/>
  <c r="F52" i="6" s="1"/>
  <c r="C15" i="46"/>
  <c r="D33" i="44" l="1"/>
  <c r="E52" i="6"/>
  <c r="E54" i="6" s="1"/>
  <c r="C33" i="44"/>
  <c r="D54" i="6"/>
  <c r="E25" i="44"/>
  <c r="E33" i="44" s="1"/>
  <c r="F54" i="6"/>
  <c r="I18" i="45"/>
  <c r="H18" i="45"/>
  <c r="J18" i="45"/>
  <c r="E15" i="46"/>
  <c r="E15" i="47" l="1"/>
  <c r="E12" i="49" s="1"/>
  <c r="C15" i="47"/>
  <c r="C12" i="49" s="1"/>
  <c r="R57" i="15"/>
  <c r="R58" i="15"/>
  <c r="R59" i="15"/>
  <c r="G20" i="63" l="1"/>
  <c r="D32" i="10"/>
  <c r="H21" i="46" s="1"/>
  <c r="E31" i="10"/>
  <c r="C32" i="10"/>
  <c r="G21" i="46" s="1"/>
  <c r="E16" i="10"/>
  <c r="F141" i="8"/>
  <c r="G141" i="8"/>
  <c r="H141" i="8"/>
  <c r="E141" i="8"/>
  <c r="G65" i="8"/>
  <c r="I65" i="8" s="1"/>
  <c r="G41" i="8"/>
  <c r="I41" i="8" s="1"/>
  <c r="F67" i="7" l="1"/>
  <c r="F83" i="7" s="1"/>
  <c r="G38" i="7"/>
  <c r="G20" i="7"/>
  <c r="D16" i="47"/>
  <c r="D13" i="49" s="1"/>
  <c r="D72" i="5"/>
  <c r="E71" i="5"/>
  <c r="E53" i="5"/>
  <c r="E48" i="5"/>
  <c r="E49" i="5" s="1"/>
  <c r="D49" i="5"/>
  <c r="D50" i="5" s="1"/>
  <c r="C49" i="5"/>
  <c r="C50" i="5" s="1"/>
  <c r="D14" i="45" s="1"/>
  <c r="D11" i="5"/>
  <c r="C11" i="5"/>
  <c r="C43" i="5"/>
  <c r="D43" i="5"/>
  <c r="E30" i="5"/>
  <c r="C45" i="5" l="1"/>
  <c r="M49" i="15"/>
  <c r="M73" i="15" s="1"/>
  <c r="C29" i="47"/>
  <c r="C76" i="5"/>
  <c r="D29" i="47"/>
  <c r="D76" i="5"/>
  <c r="E50" i="5"/>
  <c r="E43" i="5"/>
  <c r="F69" i="7"/>
  <c r="F82" i="7"/>
  <c r="H75" i="66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E29" i="47" l="1"/>
  <c r="E76" i="5"/>
  <c r="C44" i="47" l="1"/>
  <c r="G52" i="7"/>
  <c r="R41" i="15"/>
  <c r="R40" i="15"/>
  <c r="G30" i="8"/>
  <c r="H30" i="8" s="1"/>
  <c r="G51" i="7" l="1"/>
  <c r="G50" i="7" l="1"/>
  <c r="E44" i="46" l="1"/>
  <c r="G19" i="7" l="1"/>
  <c r="E82" i="7" l="1"/>
  <c r="I67" i="8" l="1"/>
  <c r="C33" i="42" l="1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I34" i="15" l="1"/>
  <c r="I13" i="44"/>
  <c r="G34" i="15" l="1"/>
  <c r="E34" i="15"/>
  <c r="I13" i="64" l="1"/>
  <c r="G135" i="8"/>
  <c r="F137" i="8"/>
  <c r="E137" i="8"/>
  <c r="G137" i="8" l="1"/>
  <c r="H135" i="8"/>
  <c r="H137" i="8" s="1"/>
  <c r="D11" i="47"/>
  <c r="D24" i="10"/>
  <c r="D11" i="46"/>
  <c r="G66" i="7" l="1"/>
  <c r="I51" i="15"/>
  <c r="H35" i="15"/>
  <c r="G44" i="8"/>
  <c r="H44" i="8" s="1"/>
  <c r="G38" i="8"/>
  <c r="H38" i="8" s="1"/>
  <c r="G36" i="8"/>
  <c r="H36" i="8" s="1"/>
  <c r="F32" i="8"/>
  <c r="F58" i="8" s="1"/>
  <c r="E32" i="8"/>
  <c r="E58" i="8" s="1"/>
  <c r="F131" i="8"/>
  <c r="E131" i="8"/>
  <c r="F11" i="14"/>
  <c r="C34" i="48" l="1"/>
  <c r="D44" i="47"/>
  <c r="D34" i="48" s="1"/>
  <c r="C45" i="47"/>
  <c r="C35" i="48" s="1"/>
  <c r="D45" i="47"/>
  <c r="D35" i="48" s="1"/>
  <c r="D41" i="47"/>
  <c r="D33" i="49" s="1"/>
  <c r="C41" i="47"/>
  <c r="C33" i="49" s="1"/>
  <c r="C31" i="48" s="1"/>
  <c r="E31" i="48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R16" i="15"/>
  <c r="R17" i="15"/>
  <c r="R18" i="15"/>
  <c r="R19" i="15"/>
  <c r="R20" i="15"/>
  <c r="R51" i="15"/>
  <c r="R52" i="15"/>
  <c r="R53" i="15"/>
  <c r="R54" i="15"/>
  <c r="R55" i="15"/>
  <c r="R56" i="15"/>
  <c r="R30" i="15"/>
  <c r="E95" i="8"/>
  <c r="E30" i="48" l="1"/>
  <c r="E33" i="49"/>
  <c r="G64" i="8" l="1"/>
  <c r="G42" i="8"/>
  <c r="H42" i="8" s="1"/>
  <c r="G40" i="8"/>
  <c r="I40" i="8" s="1"/>
  <c r="G29" i="8"/>
  <c r="E24" i="63"/>
  <c r="H24" i="63"/>
  <c r="I24" i="63"/>
  <c r="J24" i="63"/>
  <c r="G16" i="63"/>
  <c r="G17" i="63"/>
  <c r="G18" i="63"/>
  <c r="G19" i="63"/>
  <c r="G15" i="63"/>
  <c r="H64" i="8" l="1"/>
  <c r="H67" i="8" s="1"/>
  <c r="H29" i="8"/>
  <c r="E23" i="10"/>
  <c r="E15" i="10"/>
  <c r="G28" i="7"/>
  <c r="G48" i="7"/>
  <c r="G32" i="7"/>
  <c r="G47" i="7"/>
  <c r="G46" i="7"/>
  <c r="G45" i="7"/>
  <c r="D37" i="5" l="1"/>
  <c r="D39" i="5" l="1"/>
  <c r="D45" i="5"/>
  <c r="E19" i="48"/>
  <c r="E29" i="46"/>
  <c r="D19" i="48"/>
  <c r="D29" i="46"/>
  <c r="C19" i="48"/>
  <c r="C29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G18" i="7" l="1"/>
  <c r="G39" i="8" l="1"/>
  <c r="F126" i="8"/>
  <c r="E126" i="8"/>
  <c r="H126" i="8"/>
  <c r="G27" i="64" s="1"/>
  <c r="H39" i="8" l="1"/>
  <c r="R50" i="15"/>
  <c r="H131" i="8" l="1"/>
  <c r="G44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23" i="15"/>
  <c r="Q21" i="15"/>
  <c r="F28" i="63"/>
  <c r="E28" i="63"/>
  <c r="G22" i="63"/>
  <c r="F29" i="63" l="1"/>
  <c r="P27" i="15"/>
  <c r="P73" i="15" s="1"/>
  <c r="G13" i="63" l="1"/>
  <c r="E29" i="63"/>
  <c r="G14" i="46" s="1"/>
  <c r="C20" i="54" l="1"/>
  <c r="G10" i="46"/>
  <c r="G10" i="47" s="1"/>
  <c r="G11" i="46"/>
  <c r="H11" i="46"/>
  <c r="H12" i="46"/>
  <c r="G19" i="46"/>
  <c r="H19" i="46"/>
  <c r="G12" i="46"/>
  <c r="G12" i="47" s="1"/>
  <c r="R14" i="15"/>
  <c r="R10" i="15"/>
  <c r="R11" i="15"/>
  <c r="R13" i="15"/>
  <c r="R27" i="15"/>
  <c r="G35" i="8"/>
  <c r="H35" i="8" s="1"/>
  <c r="G31" i="8"/>
  <c r="G32" i="8"/>
  <c r="H32" i="8" s="1"/>
  <c r="G33" i="8"/>
  <c r="G34" i="8"/>
  <c r="I34" i="8" s="1"/>
  <c r="I58" i="8" s="1"/>
  <c r="G91" i="8"/>
  <c r="I91" i="8" s="1"/>
  <c r="I95" i="8" s="1"/>
  <c r="H32" i="46" s="1"/>
  <c r="E28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4" i="64"/>
  <c r="I14" i="42"/>
  <c r="E34" i="48"/>
  <c r="H41" i="65"/>
  <c r="G41" i="65"/>
  <c r="F41" i="65"/>
  <c r="G27" i="44"/>
  <c r="G33" i="44" s="1"/>
  <c r="C49" i="44" s="1"/>
  <c r="G33" i="64"/>
  <c r="E20" i="42"/>
  <c r="H27" i="45"/>
  <c r="H33" i="45" s="1"/>
  <c r="D49" i="45" s="1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2" i="47"/>
  <c r="H27" i="51"/>
  <c r="H33" i="51" s="1"/>
  <c r="D24" i="46"/>
  <c r="C25" i="46"/>
  <c r="D25" i="46"/>
  <c r="C12" i="47"/>
  <c r="C51" i="47"/>
  <c r="C42" i="48" s="1"/>
  <c r="F29" i="13"/>
  <c r="D51" i="47"/>
  <c r="D42" i="48" s="1"/>
  <c r="J54" i="46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G33" i="46"/>
  <c r="Q22" i="15"/>
  <c r="R21" i="15"/>
  <c r="Q15" i="15"/>
  <c r="Q25" i="15"/>
  <c r="R25" i="15" s="1"/>
  <c r="E30" i="13"/>
  <c r="K30" i="13" s="1"/>
  <c r="E29" i="13"/>
  <c r="K29" i="13" s="1"/>
  <c r="E28" i="13"/>
  <c r="K28" i="13" s="1"/>
  <c r="E11" i="13"/>
  <c r="K11" i="13" s="1"/>
  <c r="G26" i="7"/>
  <c r="E14" i="18"/>
  <c r="E17" i="18" s="1"/>
  <c r="F13" i="18"/>
  <c r="F25" i="14"/>
  <c r="G17" i="7"/>
  <c r="R23" i="15"/>
  <c r="G21" i="63"/>
  <c r="G24" i="63" s="1"/>
  <c r="G27" i="63"/>
  <c r="G28" i="63" s="1"/>
  <c r="G14" i="63"/>
  <c r="K79" i="13"/>
  <c r="K78" i="13"/>
  <c r="D80" i="13"/>
  <c r="E34" i="45" s="1"/>
  <c r="K76" i="13"/>
  <c r="K77" i="13"/>
  <c r="E38" i="5"/>
  <c r="E26" i="5"/>
  <c r="G75" i="8"/>
  <c r="E21" i="10"/>
  <c r="G31" i="7"/>
  <c r="H21" i="47"/>
  <c r="H20" i="48" s="1"/>
  <c r="H10" i="46"/>
  <c r="H10" i="47" s="1"/>
  <c r="H10" i="48" s="1"/>
  <c r="E13" i="14"/>
  <c r="C18" i="47"/>
  <c r="F12" i="6"/>
  <c r="G12" i="7"/>
  <c r="G13" i="7"/>
  <c r="K24" i="13"/>
  <c r="H23" i="13"/>
  <c r="K23" i="13" s="1"/>
  <c r="G22" i="13"/>
  <c r="K22" i="13" s="1"/>
  <c r="G19" i="13"/>
  <c r="K19" i="13" s="1"/>
  <c r="D25" i="10"/>
  <c r="D33" i="10" s="1"/>
  <c r="G76" i="8"/>
  <c r="I76" i="8" s="1"/>
  <c r="H79" i="8"/>
  <c r="G129" i="8"/>
  <c r="G42" i="7"/>
  <c r="G41" i="7"/>
  <c r="D26" i="46"/>
  <c r="D26" i="47" s="1"/>
  <c r="D19" i="49" s="1"/>
  <c r="E26" i="46"/>
  <c r="F13" i="6"/>
  <c r="E18" i="5"/>
  <c r="R48" i="15"/>
  <c r="R73" i="15" s="1"/>
  <c r="R46" i="15"/>
  <c r="R42" i="15"/>
  <c r="R39" i="15"/>
  <c r="R34" i="15"/>
  <c r="R33" i="15"/>
  <c r="R31" i="15"/>
  <c r="R28" i="15"/>
  <c r="R29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F43" i="45"/>
  <c r="E43" i="51"/>
  <c r="E43" i="44"/>
  <c r="G108" i="8"/>
  <c r="D73" i="5"/>
  <c r="C72" i="5"/>
  <c r="E17" i="5"/>
  <c r="G21" i="47"/>
  <c r="G20" i="48" s="1"/>
  <c r="C24" i="10"/>
  <c r="G20" i="46" s="1"/>
  <c r="E30" i="10"/>
  <c r="G27" i="51"/>
  <c r="G33" i="51" s="1"/>
  <c r="R45" i="15"/>
  <c r="E22" i="10"/>
  <c r="E14" i="10"/>
  <c r="E18" i="10" s="1"/>
  <c r="E79" i="8"/>
  <c r="G40" i="7"/>
  <c r="G39" i="7"/>
  <c r="D55" i="5"/>
  <c r="C55" i="5"/>
  <c r="E13" i="5"/>
  <c r="E14" i="5"/>
  <c r="E15" i="5"/>
  <c r="E12" i="5"/>
  <c r="E29" i="5"/>
  <c r="E28" i="5"/>
  <c r="E27" i="5"/>
  <c r="E67" i="7"/>
  <c r="I71" i="56"/>
  <c r="H71" i="56"/>
  <c r="G71" i="56"/>
  <c r="F71" i="56"/>
  <c r="E71" i="56"/>
  <c r="G37" i="7"/>
  <c r="H72" i="8"/>
  <c r="F72" i="8"/>
  <c r="G63" i="8"/>
  <c r="G36" i="7"/>
  <c r="G35" i="7"/>
  <c r="G34" i="7"/>
  <c r="E16" i="6"/>
  <c r="D16" i="6"/>
  <c r="C19" i="49"/>
  <c r="C20" i="49"/>
  <c r="O12" i="24"/>
  <c r="O13" i="24"/>
  <c r="O18" i="24"/>
  <c r="O2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 s="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47" i="15"/>
  <c r="R38" i="15"/>
  <c r="R32" i="15"/>
  <c r="R35" i="15"/>
  <c r="R44" i="15"/>
  <c r="R43" i="15"/>
  <c r="F10" i="14"/>
  <c r="F12" i="14"/>
  <c r="D13" i="14"/>
  <c r="F19" i="14"/>
  <c r="D20" i="14"/>
  <c r="F20" i="14" s="1"/>
  <c r="F23" i="14"/>
  <c r="F24" i="14"/>
  <c r="F26" i="14"/>
  <c r="F27" i="14"/>
  <c r="D28" i="14"/>
  <c r="E28" i="14"/>
  <c r="F29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E42" i="46"/>
  <c r="E51" i="46"/>
  <c r="G72" i="8"/>
  <c r="E72" i="8"/>
  <c r="I72" i="8"/>
  <c r="G89" i="8"/>
  <c r="G100" i="8"/>
  <c r="H27" i="44"/>
  <c r="H33" i="44" s="1"/>
  <c r="D49" i="44" s="1"/>
  <c r="G15" i="7"/>
  <c r="G16" i="7"/>
  <c r="G27" i="7"/>
  <c r="G33" i="7"/>
  <c r="F14" i="6"/>
  <c r="F37" i="6"/>
  <c r="F38" i="6" s="1"/>
  <c r="D38" i="6"/>
  <c r="E38" i="6"/>
  <c r="E10" i="5"/>
  <c r="D13" i="46"/>
  <c r="E67" i="5"/>
  <c r="E68" i="5"/>
  <c r="E69" i="5"/>
  <c r="A10" i="49"/>
  <c r="A11" i="49" s="1"/>
  <c r="A12" i="49" s="1"/>
  <c r="A13" i="49" s="1"/>
  <c r="A14" i="49" s="1"/>
  <c r="A15" i="49" s="1"/>
  <c r="A16" i="49" s="1"/>
  <c r="A17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34" i="49"/>
  <c r="G44" i="49"/>
  <c r="H44" i="49"/>
  <c r="I44" i="49"/>
  <c r="E10" i="48"/>
  <c r="E32" i="48"/>
  <c r="C36" i="24"/>
  <c r="D42" i="47"/>
  <c r="E42" i="47" s="1"/>
  <c r="J12" i="45"/>
  <c r="G53" i="51"/>
  <c r="G33" i="42"/>
  <c r="C49" i="42" s="1"/>
  <c r="D54" i="46"/>
  <c r="C54" i="46"/>
  <c r="L54" i="46"/>
  <c r="K80" i="13"/>
  <c r="K10" i="47"/>
  <c r="J14" i="47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C48" i="51" s="1"/>
  <c r="I12" i="51"/>
  <c r="H24" i="64"/>
  <c r="H24" i="42"/>
  <c r="E24" i="10"/>
  <c r="G122" i="8"/>
  <c r="G126" i="8" s="1"/>
  <c r="I27" i="64" s="1"/>
  <c r="E89" i="58"/>
  <c r="F89" i="58"/>
  <c r="G58" i="8" l="1"/>
  <c r="R22" i="15"/>
  <c r="Q73" i="15"/>
  <c r="E83" i="7"/>
  <c r="G23" i="7"/>
  <c r="D17" i="49"/>
  <c r="C42" i="24"/>
  <c r="D41" i="24"/>
  <c r="E40" i="6"/>
  <c r="E39" i="5"/>
  <c r="G29" i="63"/>
  <c r="F28" i="14"/>
  <c r="E32" i="64"/>
  <c r="H33" i="8"/>
  <c r="G95" i="8"/>
  <c r="D13" i="47"/>
  <c r="D75" i="5"/>
  <c r="L55" i="46"/>
  <c r="E32" i="10"/>
  <c r="I21" i="46" s="1"/>
  <c r="G131" i="8"/>
  <c r="H27" i="42"/>
  <c r="E17" i="49"/>
  <c r="E24" i="46"/>
  <c r="C14" i="42"/>
  <c r="C32" i="42" s="1"/>
  <c r="C34" i="42" s="1"/>
  <c r="C75" i="5"/>
  <c r="C13" i="47"/>
  <c r="E11" i="5"/>
  <c r="K55" i="46"/>
  <c r="E103" i="8"/>
  <c r="E69" i="7"/>
  <c r="E85" i="7" s="1"/>
  <c r="C17" i="49"/>
  <c r="C30" i="47"/>
  <c r="C26" i="46"/>
  <c r="C30" i="46"/>
  <c r="C11" i="46"/>
  <c r="C11" i="47"/>
  <c r="C11" i="48" s="1"/>
  <c r="E44" i="47"/>
  <c r="H89" i="8"/>
  <c r="D48" i="64"/>
  <c r="C48" i="64"/>
  <c r="E34" i="64"/>
  <c r="E30" i="47"/>
  <c r="D30" i="47"/>
  <c r="D22" i="49" s="1"/>
  <c r="C56" i="5"/>
  <c r="C14" i="44"/>
  <c r="D56" i="5"/>
  <c r="D78" i="5" s="1"/>
  <c r="D14" i="44"/>
  <c r="D32" i="44" s="1"/>
  <c r="D11" i="48"/>
  <c r="I24" i="42"/>
  <c r="I24" i="51"/>
  <c r="E48" i="51" s="1"/>
  <c r="H34" i="51"/>
  <c r="H54" i="51" s="1"/>
  <c r="H31" i="8"/>
  <c r="H20" i="46"/>
  <c r="H20" i="47" s="1"/>
  <c r="H19" i="48" s="1"/>
  <c r="C25" i="10"/>
  <c r="E30" i="46"/>
  <c r="D30" i="46"/>
  <c r="D34" i="46" s="1"/>
  <c r="E25" i="46"/>
  <c r="F16" i="6"/>
  <c r="E37" i="5"/>
  <c r="E55" i="5"/>
  <c r="E56" i="5" s="1"/>
  <c r="H21" i="13"/>
  <c r="H40" i="13" s="1"/>
  <c r="D20" i="47"/>
  <c r="D16" i="48" s="1"/>
  <c r="H37" i="48"/>
  <c r="H44" i="48" s="1"/>
  <c r="D24" i="47"/>
  <c r="E26" i="47"/>
  <c r="E19" i="49" s="1"/>
  <c r="E51" i="47"/>
  <c r="E42" i="48" s="1"/>
  <c r="G17" i="46"/>
  <c r="G62" i="8"/>
  <c r="G67" i="8" s="1"/>
  <c r="G18" i="46"/>
  <c r="C12" i="48"/>
  <c r="G37" i="48"/>
  <c r="G44" i="48" s="1"/>
  <c r="D54" i="47"/>
  <c r="R15" i="15"/>
  <c r="C54" i="47"/>
  <c r="I24" i="64"/>
  <c r="G34" i="64"/>
  <c r="G54" i="64" s="1"/>
  <c r="G34" i="42"/>
  <c r="G54" i="42" s="1"/>
  <c r="F79" i="8"/>
  <c r="F103" i="8" s="1"/>
  <c r="H28" i="47"/>
  <c r="H15" i="49" s="1"/>
  <c r="H28" i="46"/>
  <c r="I122" i="8"/>
  <c r="I126" i="8" s="1"/>
  <c r="H27" i="64" s="1"/>
  <c r="G107" i="8"/>
  <c r="G111" i="8" s="1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G67" i="7"/>
  <c r="G83" i="7" s="1"/>
  <c r="H18" i="46"/>
  <c r="H12" i="47"/>
  <c r="H12" i="48" s="1"/>
  <c r="I12" i="46"/>
  <c r="I10" i="46"/>
  <c r="E54" i="46"/>
  <c r="H14" i="46"/>
  <c r="D14" i="42"/>
  <c r="D32" i="42" s="1"/>
  <c r="E72" i="5"/>
  <c r="C73" i="5"/>
  <c r="E32" i="51"/>
  <c r="G10" i="48"/>
  <c r="G30" i="47"/>
  <c r="G30" i="46"/>
  <c r="I54" i="47"/>
  <c r="I37" i="48"/>
  <c r="I44" i="48" s="1"/>
  <c r="I75" i="8"/>
  <c r="I79" i="8" s="1"/>
  <c r="G79" i="8"/>
  <c r="G11" i="47"/>
  <c r="I11" i="46"/>
  <c r="H30" i="47"/>
  <c r="H17" i="49" s="1"/>
  <c r="H30" i="46"/>
  <c r="R26" i="15"/>
  <c r="G33" i="47"/>
  <c r="G20" i="49" s="1"/>
  <c r="D11" i="49"/>
  <c r="C49" i="51"/>
  <c r="G34" i="51"/>
  <c r="G54" i="51" s="1"/>
  <c r="E30" i="14"/>
  <c r="D17" i="46" s="1"/>
  <c r="D33" i="46" s="1"/>
  <c r="F26" i="13"/>
  <c r="F40" i="13" s="1"/>
  <c r="D17" i="47" s="1"/>
  <c r="G12" i="48"/>
  <c r="D12" i="48"/>
  <c r="E20" i="46"/>
  <c r="C20" i="47"/>
  <c r="F20" i="45"/>
  <c r="F34" i="45" s="1"/>
  <c r="D34" i="45"/>
  <c r="D30" i="14"/>
  <c r="E26" i="13"/>
  <c r="F13" i="14"/>
  <c r="D48" i="51"/>
  <c r="D53" i="51" s="1"/>
  <c r="D54" i="51" s="1"/>
  <c r="E12" i="46"/>
  <c r="E12" i="47" s="1"/>
  <c r="E12" i="48" s="1"/>
  <c r="H33" i="47"/>
  <c r="H20" i="49" s="1"/>
  <c r="H33" i="46"/>
  <c r="H11" i="47"/>
  <c r="H58" i="8" l="1"/>
  <c r="G27" i="46"/>
  <c r="G18" i="47"/>
  <c r="G17" i="48" s="1"/>
  <c r="H18" i="47"/>
  <c r="H17" i="48" s="1"/>
  <c r="D34" i="44"/>
  <c r="D48" i="44"/>
  <c r="E45" i="5"/>
  <c r="E41" i="24"/>
  <c r="D42" i="24"/>
  <c r="C22" i="49"/>
  <c r="C53" i="64"/>
  <c r="C54" i="64" s="1"/>
  <c r="D33" i="47"/>
  <c r="C48" i="42"/>
  <c r="C53" i="42" s="1"/>
  <c r="C54" i="42" s="1"/>
  <c r="C78" i="5"/>
  <c r="H32" i="47"/>
  <c r="H19" i="49" s="1"/>
  <c r="I100" i="8"/>
  <c r="H31" i="46" s="1"/>
  <c r="H95" i="8"/>
  <c r="G32" i="46" s="1"/>
  <c r="G32" i="47" s="1"/>
  <c r="I131" i="8"/>
  <c r="I27" i="42"/>
  <c r="I33" i="42" s="1"/>
  <c r="E49" i="42" s="1"/>
  <c r="E24" i="47"/>
  <c r="D34" i="47"/>
  <c r="E73" i="5"/>
  <c r="G17" i="47"/>
  <c r="G16" i="48" s="1"/>
  <c r="G69" i="7"/>
  <c r="G85" i="7" s="1"/>
  <c r="G82" i="7"/>
  <c r="F40" i="6"/>
  <c r="E11" i="46"/>
  <c r="E11" i="47"/>
  <c r="E11" i="48" s="1"/>
  <c r="I18" i="48"/>
  <c r="O29" i="24"/>
  <c r="G50" i="46"/>
  <c r="H27" i="46"/>
  <c r="I27" i="45"/>
  <c r="J27" i="45" s="1"/>
  <c r="J33" i="45" s="1"/>
  <c r="F49" i="45" s="1"/>
  <c r="E48" i="64"/>
  <c r="C32" i="44"/>
  <c r="E14" i="44"/>
  <c r="E32" i="44" s="1"/>
  <c r="E48" i="44" s="1"/>
  <c r="D35" i="46"/>
  <c r="D55" i="46" s="1"/>
  <c r="D34" i="42"/>
  <c r="E34" i="42" s="1"/>
  <c r="D48" i="42"/>
  <c r="D14" i="48"/>
  <c r="E53" i="51"/>
  <c r="E54" i="51" s="1"/>
  <c r="G103" i="8"/>
  <c r="I20" i="47"/>
  <c r="I19" i="48" s="1"/>
  <c r="I20" i="46"/>
  <c r="C33" i="10"/>
  <c r="E25" i="10"/>
  <c r="E33" i="10" s="1"/>
  <c r="K21" i="13"/>
  <c r="D13" i="48"/>
  <c r="D16" i="49"/>
  <c r="E54" i="47"/>
  <c r="O21" i="24" s="1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G24" i="46"/>
  <c r="O25" i="24"/>
  <c r="C25" i="24" s="1"/>
  <c r="D25" i="24" s="1"/>
  <c r="E25" i="24" s="1"/>
  <c r="F25" i="24" s="1"/>
  <c r="G25" i="24" s="1"/>
  <c r="H25" i="24" s="1"/>
  <c r="I25" i="24" s="1"/>
  <c r="J25" i="24" s="1"/>
  <c r="K25" i="24" s="1"/>
  <c r="L25" i="24" s="1"/>
  <c r="M25" i="24" s="1"/>
  <c r="N25" i="24" s="1"/>
  <c r="G28" i="47"/>
  <c r="H33" i="64"/>
  <c r="I34" i="44"/>
  <c r="I54" i="44" s="1"/>
  <c r="I30" i="46"/>
  <c r="I34" i="51"/>
  <c r="I54" i="51" s="1"/>
  <c r="G40" i="13"/>
  <c r="I18" i="46"/>
  <c r="I12" i="47"/>
  <c r="O27" i="24" s="1"/>
  <c r="C27" i="24" s="1"/>
  <c r="D27" i="24" s="1"/>
  <c r="H24" i="45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0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D37" i="24" s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E40" i="13"/>
  <c r="K26" i="13"/>
  <c r="H11" i="48"/>
  <c r="O17" i="24"/>
  <c r="C17" i="24" s="1"/>
  <c r="D17" i="24" s="1"/>
  <c r="E22" i="49"/>
  <c r="I17" i="46"/>
  <c r="I17" i="47" s="1"/>
  <c r="I33" i="46"/>
  <c r="I33" i="47"/>
  <c r="C13" i="48"/>
  <c r="I18" i="47" l="1"/>
  <c r="I17" i="48" s="1"/>
  <c r="E17" i="24"/>
  <c r="D19" i="24"/>
  <c r="C34" i="44"/>
  <c r="E34" i="44" s="1"/>
  <c r="E53" i="44" s="1"/>
  <c r="E54" i="44" s="1"/>
  <c r="C48" i="44"/>
  <c r="D53" i="44"/>
  <c r="D54" i="44" s="1"/>
  <c r="F41" i="24"/>
  <c r="E42" i="24"/>
  <c r="E27" i="24"/>
  <c r="C16" i="46"/>
  <c r="E16" i="46" s="1"/>
  <c r="E34" i="46" s="1"/>
  <c r="E78" i="5"/>
  <c r="E16" i="49"/>
  <c r="E13" i="46"/>
  <c r="E33" i="46" s="1"/>
  <c r="E13" i="47"/>
  <c r="E75" i="5"/>
  <c r="I103" i="8"/>
  <c r="G19" i="49"/>
  <c r="I32" i="47"/>
  <c r="O38" i="24" s="1"/>
  <c r="C38" i="24" s="1"/>
  <c r="D38" i="24" s="1"/>
  <c r="E38" i="24" s="1"/>
  <c r="F38" i="24" s="1"/>
  <c r="G38" i="24" s="1"/>
  <c r="H38" i="24" s="1"/>
  <c r="I38" i="24" s="1"/>
  <c r="J38" i="24" s="1"/>
  <c r="K38" i="24" s="1"/>
  <c r="L38" i="24" s="1"/>
  <c r="M38" i="24" s="1"/>
  <c r="N38" i="24" s="1"/>
  <c r="I32" i="46"/>
  <c r="H103" i="8"/>
  <c r="H31" i="47"/>
  <c r="H18" i="49" s="1"/>
  <c r="I31" i="46"/>
  <c r="I31" i="47" s="1"/>
  <c r="I18" i="49" s="1"/>
  <c r="H33" i="42"/>
  <c r="I34" i="42"/>
  <c r="I54" i="42" s="1"/>
  <c r="E53" i="42"/>
  <c r="E54" i="42" s="1"/>
  <c r="O15" i="24"/>
  <c r="O19" i="24" s="1"/>
  <c r="D25" i="49"/>
  <c r="D26" i="49" s="1"/>
  <c r="H34" i="45"/>
  <c r="H54" i="45" s="1"/>
  <c r="D53" i="45"/>
  <c r="D54" i="45" s="1"/>
  <c r="D22" i="48"/>
  <c r="D24" i="48" s="1"/>
  <c r="I27" i="46"/>
  <c r="I33" i="45"/>
  <c r="I34" i="45" s="1"/>
  <c r="I54" i="45" s="1"/>
  <c r="O8" i="24"/>
  <c r="C8" i="24" s="1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C53" i="44"/>
  <c r="D35" i="47"/>
  <c r="D55" i="47" s="1"/>
  <c r="O32" i="24"/>
  <c r="C32" i="24" s="1"/>
  <c r="D32" i="24" s="1"/>
  <c r="E32" i="24" s="1"/>
  <c r="F32" i="24" s="1"/>
  <c r="G32" i="24" s="1"/>
  <c r="H32" i="24" s="1"/>
  <c r="I32" i="24" s="1"/>
  <c r="J32" i="24" s="1"/>
  <c r="K32" i="24" s="1"/>
  <c r="L32" i="24" s="1"/>
  <c r="M32" i="24" s="1"/>
  <c r="N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D35" i="24" s="1"/>
  <c r="E35" i="24" s="1"/>
  <c r="F35" i="24" s="1"/>
  <c r="G35" i="24" s="1"/>
  <c r="H35" i="24" s="1"/>
  <c r="I35" i="24" s="1"/>
  <c r="J35" i="24" s="1"/>
  <c r="K35" i="24" s="1"/>
  <c r="L35" i="24" s="1"/>
  <c r="M35" i="24" s="1"/>
  <c r="N35" i="24" s="1"/>
  <c r="H27" i="47"/>
  <c r="H14" i="49" s="1"/>
  <c r="H34" i="46"/>
  <c r="J34" i="45"/>
  <c r="J54" i="45" s="1"/>
  <c r="K40" i="13"/>
  <c r="I12" i="48"/>
  <c r="F53" i="45"/>
  <c r="F54" i="45" s="1"/>
  <c r="I14" i="47"/>
  <c r="G22" i="48"/>
  <c r="G24" i="48" s="1"/>
  <c r="G24" i="47"/>
  <c r="O39" i="24"/>
  <c r="C39" i="24" s="1"/>
  <c r="D39" i="24" s="1"/>
  <c r="E39" i="24" s="1"/>
  <c r="F39" i="24" s="1"/>
  <c r="G39" i="24" s="1"/>
  <c r="H39" i="24" s="1"/>
  <c r="I39" i="24" s="1"/>
  <c r="J39" i="24" s="1"/>
  <c r="K39" i="24" s="1"/>
  <c r="L39" i="24" s="1"/>
  <c r="M39" i="24" s="1"/>
  <c r="N39" i="24" s="1"/>
  <c r="I20" i="49"/>
  <c r="C17" i="47"/>
  <c r="C33" i="47" s="1"/>
  <c r="O26" i="24"/>
  <c r="C26" i="24" s="1"/>
  <c r="D26" i="24" s="1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I11" i="48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6" i="48"/>
  <c r="I24" i="46"/>
  <c r="H34" i="64"/>
  <c r="H54" i="64" s="1"/>
  <c r="D49" i="64"/>
  <c r="D53" i="64" s="1"/>
  <c r="D54" i="64" s="1"/>
  <c r="I16" i="48"/>
  <c r="O30" i="24"/>
  <c r="C19" i="24"/>
  <c r="O31" i="24" l="1"/>
  <c r="C31" i="24" s="1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F17" i="24"/>
  <c r="E19" i="24"/>
  <c r="C54" i="44"/>
  <c r="G41" i="24"/>
  <c r="F42" i="24"/>
  <c r="F27" i="24"/>
  <c r="C16" i="47"/>
  <c r="C34" i="46"/>
  <c r="C35" i="46" s="1"/>
  <c r="C55" i="46" s="1"/>
  <c r="E13" i="48"/>
  <c r="I19" i="49"/>
  <c r="H21" i="49"/>
  <c r="H26" i="49" s="1"/>
  <c r="H45" i="49" s="1"/>
  <c r="D49" i="42"/>
  <c r="D53" i="42" s="1"/>
  <c r="D54" i="42" s="1"/>
  <c r="H34" i="42"/>
  <c r="H54" i="42" s="1"/>
  <c r="I14" i="48"/>
  <c r="I22" i="48" s="1"/>
  <c r="I24" i="48" s="1"/>
  <c r="O28" i="24"/>
  <c r="C28" i="24" s="1"/>
  <c r="D28" i="24" s="1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D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G17" i="24" l="1"/>
  <c r="F19" i="24"/>
  <c r="H41" i="24"/>
  <c r="G42" i="24"/>
  <c r="E33" i="24"/>
  <c r="D33" i="24"/>
  <c r="G27" i="24"/>
  <c r="F33" i="24"/>
  <c r="E9" i="24"/>
  <c r="C13" i="49"/>
  <c r="C25" i="49" s="1"/>
  <c r="C34" i="47"/>
  <c r="C35" i="47" s="1"/>
  <c r="E35" i="47" s="1"/>
  <c r="E55" i="47" s="1"/>
  <c r="E16" i="47"/>
  <c r="D28" i="49"/>
  <c r="D36" i="49" s="1"/>
  <c r="D44" i="49" s="1"/>
  <c r="D45" i="49" s="1"/>
  <c r="C37" i="46"/>
  <c r="E35" i="46"/>
  <c r="E37" i="46" s="1"/>
  <c r="C11" i="49"/>
  <c r="I45" i="48"/>
  <c r="H50" i="46"/>
  <c r="H54" i="46" s="1"/>
  <c r="G34" i="47"/>
  <c r="G35" i="47" s="1"/>
  <c r="G55" i="47" s="1"/>
  <c r="I27" i="47"/>
  <c r="O34" i="24" s="1"/>
  <c r="G55" i="46"/>
  <c r="I50" i="46"/>
  <c r="I49" i="46"/>
  <c r="C33" i="24"/>
  <c r="O33" i="24"/>
  <c r="G45" i="49"/>
  <c r="E14" i="48"/>
  <c r="E22" i="48" s="1"/>
  <c r="E24" i="48" s="1"/>
  <c r="E26" i="48" s="1"/>
  <c r="O10" i="24"/>
  <c r="H17" i="24" l="1"/>
  <c r="G19" i="24"/>
  <c r="C26" i="49"/>
  <c r="C28" i="49" s="1"/>
  <c r="C29" i="49"/>
  <c r="E27" i="48"/>
  <c r="E29" i="49" s="1"/>
  <c r="C36" i="48"/>
  <c r="C44" i="48" s="1"/>
  <c r="C45" i="48" s="1"/>
  <c r="I41" i="24"/>
  <c r="H42" i="24"/>
  <c r="H27" i="24"/>
  <c r="G33" i="24"/>
  <c r="F9" i="24"/>
  <c r="E13" i="49"/>
  <c r="E25" i="49" s="1"/>
  <c r="E34" i="47"/>
  <c r="C55" i="47"/>
  <c r="E55" i="46"/>
  <c r="E11" i="49"/>
  <c r="I14" i="49"/>
  <c r="I21" i="49" s="1"/>
  <c r="I26" i="49" s="1"/>
  <c r="C37" i="47"/>
  <c r="I34" i="47"/>
  <c r="I35" i="47" s="1"/>
  <c r="E37" i="47" s="1"/>
  <c r="I54" i="46"/>
  <c r="I55" i="46" s="1"/>
  <c r="C10" i="24"/>
  <c r="D10" i="24" s="1"/>
  <c r="O14" i="24"/>
  <c r="O22" i="24" s="1"/>
  <c r="O40" i="24"/>
  <c r="O43" i="24" s="1"/>
  <c r="C34" i="24"/>
  <c r="D34" i="24" s="1"/>
  <c r="I17" i="24" l="1"/>
  <c r="H19" i="24"/>
  <c r="E36" i="48"/>
  <c r="E44" i="48" s="1"/>
  <c r="E45" i="48" s="1"/>
  <c r="C36" i="49"/>
  <c r="C44" i="49" s="1"/>
  <c r="C45" i="49" s="1"/>
  <c r="J41" i="24"/>
  <c r="I42" i="24"/>
  <c r="E34" i="24"/>
  <c r="D40" i="24"/>
  <c r="D43" i="24" s="1"/>
  <c r="E26" i="49"/>
  <c r="E28" i="49" s="1"/>
  <c r="E36" i="49" s="1"/>
  <c r="E44" i="49" s="1"/>
  <c r="E10" i="24"/>
  <c r="D14" i="24"/>
  <c r="D22" i="24" s="1"/>
  <c r="I27" i="24"/>
  <c r="H33" i="24"/>
  <c r="G9" i="24"/>
  <c r="C14" i="24"/>
  <c r="C22" i="24" s="1"/>
  <c r="C40" i="24"/>
  <c r="C43" i="24" s="1"/>
  <c r="I45" i="49"/>
  <c r="I55" i="47"/>
  <c r="E57" i="47" s="1"/>
  <c r="J17" i="24" l="1"/>
  <c r="I19" i="24"/>
  <c r="K41" i="24"/>
  <c r="J42" i="24"/>
  <c r="F34" i="24"/>
  <c r="E40" i="24"/>
  <c r="E43" i="24" s="1"/>
  <c r="F10" i="24"/>
  <c r="E14" i="24"/>
  <c r="E22" i="24" s="1"/>
  <c r="J27" i="24"/>
  <c r="I33" i="24"/>
  <c r="H9" i="24"/>
  <c r="E45" i="49"/>
  <c r="K17" i="24" l="1"/>
  <c r="J19" i="24"/>
  <c r="L41" i="24"/>
  <c r="K42" i="24"/>
  <c r="G34" i="24"/>
  <c r="F40" i="24"/>
  <c r="F43" i="24" s="1"/>
  <c r="G10" i="24"/>
  <c r="F14" i="24"/>
  <c r="F22" i="24" s="1"/>
  <c r="K27" i="24"/>
  <c r="J33" i="24"/>
  <c r="I9" i="24"/>
  <c r="L17" i="24" l="1"/>
  <c r="K19" i="24"/>
  <c r="M41" i="24"/>
  <c r="L42" i="24"/>
  <c r="H34" i="24"/>
  <c r="G40" i="24"/>
  <c r="G43" i="24" s="1"/>
  <c r="H10" i="24"/>
  <c r="G14" i="24"/>
  <c r="G22" i="24" s="1"/>
  <c r="L27" i="24"/>
  <c r="K33" i="24"/>
  <c r="J9" i="24"/>
  <c r="F85" i="7"/>
  <c r="H17" i="46"/>
  <c r="H17" i="47" s="1"/>
  <c r="M17" i="24" l="1"/>
  <c r="L19" i="24"/>
  <c r="N41" i="24"/>
  <c r="N42" i="24" s="1"/>
  <c r="M42" i="24"/>
  <c r="I34" i="24"/>
  <c r="H40" i="24"/>
  <c r="H43" i="24" s="1"/>
  <c r="I10" i="24"/>
  <c r="H14" i="24"/>
  <c r="H22" i="24" s="1"/>
  <c r="M27" i="24"/>
  <c r="L33" i="24"/>
  <c r="K9" i="24"/>
  <c r="H16" i="48"/>
  <c r="H22" i="48" s="1"/>
  <c r="H24" i="48" s="1"/>
  <c r="H24" i="47"/>
  <c r="H35" i="47" s="1"/>
  <c r="H24" i="46"/>
  <c r="H35" i="46" s="1"/>
  <c r="N17" i="24" l="1"/>
  <c r="N19" i="24" s="1"/>
  <c r="M19" i="24"/>
  <c r="O42" i="24"/>
  <c r="J34" i="24"/>
  <c r="I40" i="24"/>
  <c r="I43" i="24" s="1"/>
  <c r="J10" i="24"/>
  <c r="I14" i="24"/>
  <c r="I22" i="24" s="1"/>
  <c r="N27" i="24"/>
  <c r="N33" i="24" s="1"/>
  <c r="M33" i="24"/>
  <c r="L9" i="24"/>
  <c r="H45" i="48"/>
  <c r="D26" i="48"/>
  <c r="D36" i="48" s="1"/>
  <c r="D44" i="48" s="1"/>
  <c r="D45" i="48" s="1"/>
  <c r="R49" i="15"/>
  <c r="H55" i="46"/>
  <c r="D37" i="46"/>
  <c r="D37" i="47"/>
  <c r="H55" i="47"/>
  <c r="E143" i="8"/>
  <c r="K34" i="24" l="1"/>
  <c r="J40" i="24"/>
  <c r="J43" i="24" s="1"/>
  <c r="K10" i="24"/>
  <c r="J14" i="24"/>
  <c r="J22" i="24" s="1"/>
  <c r="M9" i="24"/>
  <c r="L34" i="24" l="1"/>
  <c r="K40" i="24"/>
  <c r="K43" i="24" s="1"/>
  <c r="L10" i="24"/>
  <c r="K14" i="24"/>
  <c r="K22" i="24" s="1"/>
  <c r="N9" i="24"/>
  <c r="M34" i="24" l="1"/>
  <c r="L40" i="24"/>
  <c r="L43" i="24" s="1"/>
  <c r="M10" i="24"/>
  <c r="L14" i="24"/>
  <c r="L22" i="24" s="1"/>
  <c r="N34" i="24" l="1"/>
  <c r="N40" i="24" s="1"/>
  <c r="N43" i="24" s="1"/>
  <c r="M40" i="24"/>
  <c r="M43" i="24" s="1"/>
  <c r="N10" i="24"/>
  <c r="N14" i="24" s="1"/>
  <c r="N22" i="24" s="1"/>
  <c r="M14" i="24"/>
  <c r="M22" i="24" s="1"/>
</calcChain>
</file>

<file path=xl/comments1.xml><?xml version="1.0" encoding="utf-8"?>
<comments xmlns="http://schemas.openxmlformats.org/spreadsheetml/2006/main">
  <authors>
    <author>Szerző</author>
  </authors>
  <commentLis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<sst xmlns="http://schemas.openxmlformats.org/spreadsheetml/2006/main" count="3128" uniqueCount="1414">
  <si>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</si>
  <si>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</si>
  <si>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</si>
  <si>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</si>
  <si>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</si>
  <si>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</si>
  <si>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</si>
  <si>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</si>
  <si>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</si>
  <si>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</si>
  <si>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</si>
  <si>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</si>
  <si>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</si>
  <si>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</si>
  <si>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</si>
  <si>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</si>
  <si>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</si>
  <si>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</si>
  <si>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</si>
  <si>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</si>
  <si>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</si>
  <si>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</si>
  <si>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</si>
  <si>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</si>
  <si>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</si>
  <si>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</si>
  <si>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</si>
  <si>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</si>
  <si>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</si>
  <si>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</si>
  <si>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</si>
  <si>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</si>
  <si>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</si>
  <si>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</si>
  <si>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</si>
  <si>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</si>
  <si>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</si>
  <si>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</si>
  <si>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</si>
  <si>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</si>
  <si>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</si>
  <si>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</si>
  <si>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</si>
  <si>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</si>
  <si>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</si>
  <si>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</si>
  <si>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</si>
  <si>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</si>
  <si>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</si>
  <si>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</si>
  <si>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</si>
  <si>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</si>
  <si>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</si>
  <si>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</si>
  <si>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</si>
  <si>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</si>
  <si>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</si>
  <si>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</si>
  <si>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</si>
  <si>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</si>
  <si>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</si>
  <si>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</si>
  <si>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</si>
  <si>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</si>
  <si>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</si>
  <si>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</si>
  <si>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</si>
  <si>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</si>
  <si>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</si>
  <si>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</si>
  <si>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</si>
  <si>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</si>
  <si>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</si>
  <si>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</si>
  <si>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</si>
  <si>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</si>
  <si>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</si>
  <si>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</si>
  <si>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</si>
  <si>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</si>
  <si>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</si>
  <si>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</si>
  <si>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</si>
  <si>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</si>
  <si>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</si>
  <si>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</si>
  <si>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</si>
  <si>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</si>
  <si>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VI.</t>
  </si>
  <si>
    <t xml:space="preserve">VII. </t>
  </si>
  <si>
    <t>VIII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</si>
  <si>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</si>
  <si>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</si>
  <si>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</si>
  <si>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</si>
  <si>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</si>
  <si>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</si>
  <si>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</si>
  <si>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</si>
  <si>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</si>
  <si>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</si>
  <si>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</si>
  <si>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</si>
  <si>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</si>
  <si>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</si>
  <si>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</si>
  <si>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</si>
  <si>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</si>
  <si>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</si>
  <si>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</si>
  <si>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</si>
  <si>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</si>
  <si>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</si>
  <si>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</si>
  <si>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</si>
  <si>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</si>
  <si>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</si>
  <si>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</si>
  <si>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</si>
  <si>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</si>
  <si>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</si>
  <si>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</si>
  <si>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</si>
  <si>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</si>
  <si>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</si>
  <si>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</si>
  <si>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</si>
  <si>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</si>
  <si>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</si>
  <si>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</si>
  <si>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</si>
  <si>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</si>
  <si>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</si>
  <si>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</si>
  <si>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</si>
  <si>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</si>
  <si>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</si>
  <si>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</si>
  <si>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</si>
  <si>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</si>
  <si>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</si>
  <si>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</si>
  <si>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</si>
  <si>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</si>
  <si>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</si>
  <si>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</si>
  <si>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</si>
  <si>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</si>
  <si>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</si>
  <si>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</si>
  <si>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</si>
  <si>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</si>
  <si>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</si>
  <si>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</si>
  <si>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</si>
  <si>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</si>
  <si>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</si>
  <si>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</si>
  <si>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</si>
  <si>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</si>
  <si>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</si>
  <si>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</si>
  <si>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</si>
  <si>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</si>
  <si>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</si>
  <si>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</si>
  <si>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</si>
  <si>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</si>
  <si>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</si>
  <si>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</si>
  <si>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</si>
  <si>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</si>
  <si>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</si>
  <si>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</si>
  <si>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</si>
  <si>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</si>
  <si>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</si>
  <si>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</si>
  <si>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</si>
  <si>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</si>
  <si>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</si>
  <si>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</si>
  <si>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</si>
  <si>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</si>
  <si>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</si>
  <si>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</si>
  <si>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</si>
  <si>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</si>
  <si>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</si>
  <si>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</si>
  <si>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</si>
  <si>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</si>
  <si>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</si>
  <si>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</si>
  <si>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</si>
  <si>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</si>
  <si>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</si>
  <si>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</si>
  <si>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</si>
  <si>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</si>
  <si>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</si>
  <si>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</si>
  <si>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</si>
  <si>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</si>
  <si>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</si>
  <si>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</si>
  <si>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</si>
  <si>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</si>
  <si>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</si>
  <si>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</si>
  <si>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</si>
  <si>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</si>
  <si>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</si>
  <si>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</si>
  <si>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</si>
  <si>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</si>
  <si>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</si>
  <si>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</si>
  <si>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</si>
  <si>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</si>
  <si>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</si>
  <si>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</si>
  <si>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</si>
  <si>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</si>
  <si>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</si>
  <si>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</si>
  <si>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</si>
  <si>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</si>
  <si>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</si>
  <si>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</si>
  <si>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</si>
  <si>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</si>
  <si>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</si>
  <si>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</si>
  <si>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</si>
  <si>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</si>
  <si>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</si>
  <si>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</si>
  <si>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</si>
  <si>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</si>
  <si>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</si>
  <si>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</si>
  <si>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</si>
  <si>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</si>
  <si>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</si>
  <si>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</si>
  <si>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</si>
  <si>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</si>
  <si>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</si>
  <si>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</si>
  <si>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</si>
  <si>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</si>
  <si>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</si>
  <si>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</si>
  <si>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</si>
  <si>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</si>
  <si>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</si>
  <si>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</si>
  <si>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</si>
  <si>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</si>
  <si>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</si>
  <si>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</si>
  <si>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</si>
  <si>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</si>
  <si>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</si>
  <si>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</si>
  <si>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</si>
  <si>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</si>
  <si>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</si>
  <si>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</si>
  <si>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</si>
  <si>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</si>
  <si>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</si>
  <si>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</si>
  <si>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</si>
  <si>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</si>
  <si>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</si>
  <si>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</si>
  <si>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</si>
  <si>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</si>
  <si>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</si>
  <si>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</si>
  <si>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</si>
  <si>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</si>
  <si>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</si>
  <si>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</si>
  <si>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</si>
  <si>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</si>
  <si>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</si>
  <si>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</si>
  <si>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</si>
  <si>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</si>
  <si>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</si>
  <si>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</si>
  <si>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</si>
  <si>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</si>
  <si>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</si>
  <si>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</si>
  <si>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</si>
  <si>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</si>
  <si>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</si>
  <si>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</si>
  <si>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</si>
  <si>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</si>
  <si>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</si>
  <si>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</si>
  <si>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</si>
  <si>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</si>
  <si>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</si>
  <si>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</si>
  <si>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</si>
  <si>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</si>
  <si>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</si>
  <si>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</si>
  <si>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</si>
  <si>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</si>
  <si>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</si>
  <si>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</si>
  <si>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</si>
  <si>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</si>
  <si>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</si>
  <si>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</si>
  <si>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</si>
  <si>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</si>
  <si>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</si>
  <si>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</si>
  <si>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</si>
  <si>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</si>
  <si>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</si>
  <si>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</si>
  <si>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</si>
  <si>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</si>
  <si>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</si>
  <si>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</si>
  <si>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</si>
  <si>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</si>
  <si>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</si>
  <si>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</si>
  <si>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</si>
  <si>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</si>
  <si>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</si>
  <si>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</si>
  <si>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</si>
  <si>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</si>
  <si>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</si>
  <si>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</si>
  <si>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</si>
  <si>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</si>
  <si>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</si>
  <si>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</si>
  <si>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</si>
  <si>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</si>
  <si>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</si>
  <si>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</si>
  <si>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</si>
  <si>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</si>
  <si>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</si>
  <si>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</si>
  <si>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</si>
  <si>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</si>
  <si>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</si>
  <si>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</si>
  <si>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</si>
  <si>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</si>
  <si>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</si>
  <si>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</si>
  <si>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</si>
  <si>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</si>
  <si>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</si>
  <si>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</si>
  <si>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</si>
  <si>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</si>
  <si>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</si>
  <si>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</si>
  <si>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</si>
  <si>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</si>
  <si>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</si>
  <si>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</si>
  <si>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</si>
  <si>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</si>
  <si>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</si>
  <si>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</si>
  <si>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</si>
  <si>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</si>
  <si>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</si>
  <si>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</si>
  <si>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</si>
  <si>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</si>
  <si>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</si>
  <si>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</si>
  <si>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</si>
  <si>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</si>
  <si>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</si>
  <si>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</si>
  <si>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</si>
  <si>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</si>
  <si>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</si>
  <si>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</si>
  <si>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</si>
  <si>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</si>
  <si>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</si>
  <si>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</si>
  <si>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</si>
  <si>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</si>
  <si>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</si>
  <si>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</si>
  <si>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</si>
  <si>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</si>
  <si>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</si>
  <si>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</si>
  <si>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</si>
  <si>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</si>
  <si>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</si>
  <si>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</si>
  <si>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</si>
  <si>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</si>
  <si>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</si>
  <si>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</si>
  <si>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</si>
  <si>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</si>
  <si>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</si>
  <si>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</si>
  <si>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</si>
  <si>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</si>
  <si>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</si>
  <si>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</si>
  <si>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</si>
  <si>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</si>
  <si>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</si>
  <si>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</si>
  <si>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</si>
  <si>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</si>
  <si>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</si>
  <si>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</si>
  <si>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</si>
  <si>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</si>
  <si>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</si>
  <si>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</si>
  <si>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</si>
  <si>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</si>
  <si>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</si>
  <si>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</si>
  <si>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</si>
  <si>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</si>
  <si>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</si>
  <si>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</si>
  <si>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</si>
  <si>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</si>
  <si>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</si>
  <si>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</si>
  <si>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</si>
  <si>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</si>
  <si>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</si>
  <si>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</si>
  <si>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</si>
  <si>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</si>
  <si>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</si>
  <si>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</si>
  <si>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</si>
  <si>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</si>
  <si>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</si>
  <si>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</si>
  <si>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</si>
  <si>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</si>
  <si>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</si>
  <si>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</si>
  <si>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</si>
  <si>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</si>
  <si>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</si>
  <si>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</si>
  <si>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</si>
  <si>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</si>
  <si>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</si>
  <si>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</si>
  <si>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</si>
  <si>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</si>
  <si>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</si>
  <si>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</si>
  <si>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</si>
  <si>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</si>
  <si>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</si>
  <si>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</si>
  <si>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</si>
  <si>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</si>
  <si>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</si>
  <si>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</si>
  <si>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</si>
  <si>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</si>
  <si>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</si>
  <si>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</si>
  <si>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</si>
  <si>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</si>
  <si>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</si>
  <si>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</si>
  <si>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</si>
  <si>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</si>
  <si>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</si>
  <si>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</si>
  <si>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</si>
  <si>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</si>
  <si>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</si>
  <si>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</si>
  <si>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</si>
  <si>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</si>
  <si>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</si>
  <si>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</si>
  <si>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</si>
  <si>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</si>
  <si>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</si>
  <si>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</si>
  <si>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</si>
  <si>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</si>
  <si>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</si>
  <si>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</si>
  <si>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</si>
  <si>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</si>
  <si>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Óvónő</t>
  </si>
  <si>
    <t>Kisegítő személyzet</t>
  </si>
  <si>
    <t>3 fő kisegítő személyzet 2013. szept.1-től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</si>
  <si>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</si>
  <si>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</si>
  <si>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</si>
  <si>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</si>
  <si>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</si>
  <si>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</si>
  <si>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</si>
  <si>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</si>
  <si>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</si>
  <si>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</si>
  <si>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</si>
  <si>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</si>
  <si>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</si>
  <si>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</si>
  <si>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</si>
  <si>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</si>
  <si>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</si>
  <si>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</si>
  <si>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</si>
  <si>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</si>
  <si>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</si>
  <si>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</si>
  <si>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</si>
  <si>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</si>
  <si>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</si>
  <si>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</si>
  <si>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</si>
  <si>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</si>
  <si>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</si>
  <si>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</si>
  <si>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</si>
  <si>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</si>
  <si>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</si>
  <si>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</si>
  <si>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</si>
  <si>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</si>
  <si>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</si>
  <si>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</si>
  <si>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</si>
  <si>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</si>
  <si>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</si>
  <si>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</si>
  <si>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</si>
  <si>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</si>
  <si>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</si>
  <si>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</si>
  <si>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</si>
  <si>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</si>
  <si>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</si>
  <si>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</si>
  <si>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</si>
  <si>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</si>
  <si>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</si>
  <si>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</si>
  <si>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</si>
  <si>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</si>
  <si>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</si>
  <si>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</si>
  <si>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</si>
  <si>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</si>
  <si>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</si>
  <si>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</si>
  <si>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</si>
  <si>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</si>
  <si>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</si>
  <si>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</si>
  <si>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</si>
  <si>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</si>
  <si>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</si>
  <si>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</si>
  <si>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</si>
  <si>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</si>
  <si>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</si>
  <si>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</si>
  <si>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</si>
  <si>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</si>
  <si>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</si>
  <si>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</si>
  <si>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</si>
  <si>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</si>
  <si>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</si>
  <si>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</si>
  <si>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</si>
  <si>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</si>
  <si>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</si>
  <si>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</si>
  <si>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</si>
  <si>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</si>
  <si>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</si>
  <si>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</si>
  <si>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</si>
  <si>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</si>
  <si>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</si>
  <si>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</si>
  <si>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</si>
  <si>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</si>
  <si>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</si>
  <si>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</si>
  <si>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</si>
  <si>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</si>
  <si>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</si>
  <si>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</si>
  <si>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</si>
  <si>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</si>
  <si>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</si>
  <si>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</si>
  <si>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</si>
  <si>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</si>
  <si>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</si>
  <si>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</si>
  <si>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</si>
  <si>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</si>
  <si>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</si>
  <si>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</si>
  <si>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</si>
  <si>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</si>
  <si>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</si>
  <si>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</si>
  <si>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</si>
  <si>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</si>
  <si>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</si>
  <si>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</si>
  <si>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</si>
  <si>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</si>
  <si>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</si>
  <si>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</si>
  <si>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</si>
  <si>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</si>
  <si>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</si>
  <si>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</si>
  <si>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</si>
  <si>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</si>
  <si>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</si>
  <si>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</si>
  <si>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</si>
  <si>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</si>
  <si>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</si>
  <si>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</si>
  <si>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</si>
  <si>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</si>
  <si>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</si>
  <si>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</si>
  <si>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</si>
  <si>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</si>
  <si>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</si>
  <si>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</si>
  <si>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</si>
  <si>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</si>
  <si>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</si>
  <si>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</si>
  <si>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</si>
  <si>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</si>
  <si>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Takarítónő, mosónő</t>
  </si>
  <si>
    <t>GAMESZ összesen:</t>
  </si>
  <si>
    <t xml:space="preserve">Teréz Anya Szociális Integrált Intézmény**  </t>
  </si>
  <si>
    <t>Nappali szociális ellátás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</si>
  <si>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</si>
  <si>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</si>
  <si>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</si>
  <si>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</si>
  <si>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</si>
  <si>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</si>
  <si>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</si>
  <si>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</si>
  <si>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</si>
  <si>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</si>
  <si>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</si>
  <si>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</si>
  <si>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</si>
  <si>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</si>
  <si>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</si>
  <si>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</si>
  <si>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</si>
  <si>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</si>
  <si>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</si>
  <si>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</si>
  <si>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</si>
  <si>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</si>
  <si>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</si>
  <si>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</si>
  <si>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</si>
  <si>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</si>
  <si>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</si>
  <si>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</si>
  <si>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</si>
  <si>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</si>
  <si>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</si>
  <si>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</si>
  <si>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</si>
  <si>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</si>
  <si>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</si>
  <si>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</si>
  <si>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</si>
  <si>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</si>
  <si>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</si>
  <si>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</si>
  <si>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</si>
  <si>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</si>
  <si>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</si>
  <si>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</si>
  <si>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</si>
  <si>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</si>
  <si>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</si>
  <si>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</si>
  <si>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</si>
  <si>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</si>
  <si>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</si>
  <si>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</si>
  <si>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</si>
  <si>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</si>
  <si>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</si>
  <si>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</si>
  <si>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</si>
  <si>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</si>
  <si>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</si>
  <si>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</si>
  <si>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</si>
  <si>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</si>
  <si>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</si>
  <si>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</si>
  <si>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</si>
  <si>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</si>
  <si>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</si>
  <si>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</si>
  <si>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</si>
  <si>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</si>
  <si>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</si>
  <si>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</si>
  <si>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</si>
  <si>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</si>
  <si>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</si>
  <si>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</si>
  <si>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</si>
  <si>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</si>
  <si>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</si>
  <si>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</si>
  <si>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</si>
  <si>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</si>
  <si>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</si>
  <si>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</si>
  <si>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</si>
  <si>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</si>
  <si>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</si>
  <si>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</si>
  <si>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</si>
  <si>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</si>
  <si>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</si>
  <si>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</si>
  <si>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</si>
  <si>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</si>
  <si>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</si>
  <si>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</si>
  <si>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</si>
  <si>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</si>
  <si>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</si>
  <si>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</si>
  <si>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</si>
  <si>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</si>
  <si>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</si>
  <si>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</si>
  <si>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</si>
  <si>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</si>
  <si>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</si>
  <si>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</si>
  <si>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</si>
  <si>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</si>
  <si>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</si>
  <si>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</si>
  <si>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</si>
  <si>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</si>
  <si>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</si>
  <si>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</si>
  <si>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</si>
  <si>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</si>
  <si>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</si>
  <si>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</si>
  <si>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</si>
  <si>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</si>
  <si>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</si>
  <si>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</si>
  <si>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</si>
  <si>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</si>
  <si>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</si>
  <si>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</si>
  <si>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</si>
  <si>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</si>
  <si>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</si>
  <si>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</si>
  <si>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</si>
  <si>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</si>
  <si>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</si>
  <si>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</si>
  <si>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</si>
  <si>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</si>
  <si>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</si>
  <si>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</si>
  <si>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</si>
  <si>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</si>
  <si>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</si>
  <si>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</si>
  <si>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</si>
  <si>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</si>
  <si>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</si>
  <si>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</si>
  <si>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</si>
  <si>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</si>
  <si>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</si>
  <si>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</si>
  <si>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</si>
  <si>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</si>
  <si>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</si>
  <si>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</si>
  <si>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</si>
  <si>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</si>
  <si>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</si>
  <si>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</si>
  <si>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</si>
  <si>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</si>
  <si>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</si>
  <si>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</si>
  <si>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</si>
  <si>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</si>
  <si>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</si>
  <si>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</si>
  <si>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</si>
  <si>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</si>
  <si>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</si>
  <si>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</si>
  <si>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</si>
  <si>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</si>
  <si>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</si>
  <si>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</si>
  <si>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</si>
  <si>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</si>
  <si>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</si>
  <si>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</si>
  <si>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</si>
  <si>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</si>
  <si>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</si>
  <si>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</si>
  <si>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</si>
  <si>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</si>
  <si>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</si>
  <si>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</si>
  <si>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</si>
  <si>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</si>
  <si>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</si>
  <si>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</si>
  <si>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</si>
  <si>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</si>
  <si>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</si>
  <si>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</si>
  <si>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</si>
  <si>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</si>
  <si>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</si>
  <si>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</si>
  <si>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</si>
  <si>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</si>
  <si>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</si>
  <si>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</si>
  <si>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</si>
  <si>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</si>
  <si>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</si>
  <si>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</si>
  <si>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</si>
  <si>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</si>
  <si>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</si>
  <si>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</si>
  <si>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</si>
  <si>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</si>
  <si>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</si>
  <si>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</si>
  <si>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</si>
  <si>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</si>
  <si>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</si>
  <si>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</si>
  <si>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</si>
  <si>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</si>
  <si>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</si>
  <si>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</si>
  <si>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</si>
  <si>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</si>
  <si>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</si>
  <si>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</si>
  <si>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</si>
  <si>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</si>
  <si>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</si>
  <si>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</si>
  <si>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</si>
  <si>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</si>
  <si>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</si>
  <si>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</si>
  <si>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</si>
  <si>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</si>
  <si>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</si>
  <si>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</si>
  <si>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</si>
  <si>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</si>
  <si>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</si>
  <si>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</si>
  <si>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</si>
  <si>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</si>
  <si>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</si>
  <si>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</si>
  <si>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</si>
  <si>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</si>
  <si>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</si>
  <si>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</si>
  <si>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</si>
  <si>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</si>
  <si>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</si>
  <si>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</si>
  <si>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</si>
  <si>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</si>
  <si>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</si>
  <si>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</si>
  <si>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</si>
  <si>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</si>
  <si>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</si>
  <si>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</si>
  <si>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</si>
  <si>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</si>
  <si>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</si>
  <si>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</si>
  <si>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</si>
  <si>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</si>
  <si>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</si>
  <si>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</si>
  <si>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</si>
  <si>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</si>
  <si>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</si>
  <si>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</si>
  <si>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</si>
  <si>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</si>
  <si>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</si>
  <si>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</si>
  <si>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</si>
  <si>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</si>
  <si>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</si>
  <si>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</si>
  <si>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</si>
  <si>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</si>
  <si>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</si>
  <si>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</si>
  <si>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</si>
  <si>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</si>
  <si>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</si>
  <si>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</si>
  <si>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</si>
  <si>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</si>
  <si>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</si>
  <si>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</si>
  <si>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</si>
  <si>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</si>
  <si>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</si>
  <si>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</si>
  <si>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</si>
  <si>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</si>
  <si>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</si>
  <si>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</si>
  <si>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</si>
  <si>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</si>
  <si>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</si>
  <si>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>505102 Nemzetközi kapcsolatok</t>
  </si>
  <si>
    <t>505102 Nagyköveti program</t>
  </si>
  <si>
    <t>505202 Forrás újság</t>
  </si>
  <si>
    <t>505401 Parkolási tevékenység</t>
  </si>
  <si>
    <t xml:space="preserve"> 505402  HeBi üzemeltetés</t>
  </si>
  <si>
    <t xml:space="preserve">505601 Nyári napközi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</si>
  <si>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</si>
  <si>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</si>
  <si>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</si>
  <si>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</si>
  <si>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502206 Buszpályaudvar áttelepítése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</si>
  <si>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</si>
  <si>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</si>
  <si>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</si>
  <si>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</si>
  <si>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</si>
  <si>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</si>
  <si>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</si>
  <si>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 xml:space="preserve">Informatikai eszközök beszerzése 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</si>
  <si>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</si>
  <si>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</si>
  <si>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</si>
  <si>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</si>
  <si>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</si>
  <si>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</si>
  <si>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</si>
  <si>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</si>
  <si>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</si>
  <si>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</si>
  <si>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</si>
  <si>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</si>
  <si>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</si>
  <si>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</si>
  <si>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</si>
  <si>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</si>
  <si>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</si>
  <si>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</si>
  <si>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</si>
  <si>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</si>
  <si>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</si>
  <si>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</si>
  <si>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</si>
  <si>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</si>
  <si>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</si>
  <si>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</si>
  <si>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</si>
  <si>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</si>
  <si>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 xml:space="preserve">2018. évi előirányzat </t>
  </si>
  <si>
    <t>2018. évi költségvetési rendelet</t>
  </si>
  <si>
    <t>Közép-keleti város rész csapadékelvezetés tervezése és kivitelezése (Babocsay és Dombföldi utca)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</si>
  <si>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</si>
  <si>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</si>
  <si>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</si>
  <si>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</si>
  <si>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>Számítástechnika váratlan meghibásodása miatti beszerzés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</si>
  <si>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</si>
  <si>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</si>
  <si>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</si>
  <si>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</si>
  <si>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</si>
  <si>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</si>
  <si>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</si>
  <si>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</si>
  <si>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</si>
  <si>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</si>
  <si>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</si>
  <si>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</si>
  <si>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</si>
  <si>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</si>
  <si>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</si>
  <si>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</si>
  <si>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Buszpályaudvar enged.és kiviteli terv (+ láp terület hatástanulmány 6.000 e Ft)</t>
  </si>
  <si>
    <t>505502 Város és közs.gazd. (Sportszálló alatti Eon vezeték kiváltása)</t>
  </si>
  <si>
    <t>Magyar Máltai Szeretetszolgálat: Támogató szolgálat</t>
  </si>
  <si>
    <t xml:space="preserve">2018. évi előirányzat összesen </t>
  </si>
  <si>
    <t>Új szinpad (heti 20 óra)</t>
  </si>
  <si>
    <t>a költségvetési évet követő három évre kihatással járó döntésekből származó kötelezettségek célok szerint, évenkénti bontásban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</si>
  <si>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</si>
  <si>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</si>
  <si>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</si>
  <si>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</si>
  <si>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</si>
  <si>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</si>
  <si>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</si>
  <si>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</si>
  <si>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</si>
  <si>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</si>
  <si>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</si>
  <si>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</si>
  <si>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</si>
  <si>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</si>
  <si>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</si>
  <si>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</si>
  <si>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</si>
  <si>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</si>
  <si>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</si>
  <si>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t>Nemzeti Választási Iroda</t>
  </si>
  <si>
    <t>64.</t>
  </si>
  <si>
    <t>65.</t>
  </si>
  <si>
    <t>Szociális és Gyermekvédelmi Főigazgatóság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</si>
  <si>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</si>
  <si>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</si>
  <si>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</si>
  <si>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</si>
  <si>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</si>
  <si>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</si>
  <si>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</si>
  <si>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</si>
  <si>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</si>
  <si>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</si>
  <si>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</si>
  <si>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</si>
  <si>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</si>
  <si>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</si>
  <si>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</si>
  <si>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</si>
  <si>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</si>
  <si>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</si>
  <si>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</si>
  <si>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</si>
  <si>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</si>
  <si>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</si>
  <si>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</si>
  <si>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</si>
  <si>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</si>
  <si>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</si>
  <si>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</si>
  <si>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</si>
  <si>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</si>
  <si>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</si>
  <si>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</si>
  <si>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</si>
  <si>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</si>
  <si>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</si>
  <si>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</si>
  <si>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</si>
  <si>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</si>
  <si>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</si>
  <si>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</si>
  <si>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</si>
  <si>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</si>
  <si>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>Hévíz Toutist Nkft. részedés értékesítés</t>
  </si>
  <si>
    <t>"YOUTH &amp; SPA projekt támogatás átadása Iseo Város Önk.részére</t>
  </si>
  <si>
    <t>"YOUTH &amp; SPA projekt támogatás átadása Hargita Megye Tanácsa részére</t>
  </si>
  <si>
    <t>"YOUTH &amp; SPA projekt támogatás átadása Magyarkanizsa önkormányzata (Szerbia) részére</t>
  </si>
  <si>
    <t>"YOUTH &amp; SPA projekt támogatás átadása Népi Egyetem, Felnőttek és Fiatalok Továbbképző Intézete Lendva részére</t>
  </si>
  <si>
    <t>502223 Zrínyi u. belter. rekonstrukció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</si>
  <si>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</si>
  <si>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</si>
  <si>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</si>
  <si>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</si>
  <si>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</si>
  <si>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</si>
  <si>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</si>
  <si>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 xml:space="preserve">2019. évi Pénzügyi mérleg </t>
  </si>
  <si>
    <t xml:space="preserve">2019. évi előirányzat </t>
  </si>
  <si>
    <t>2019. évi  engedélyezett létszámkeret</t>
  </si>
  <si>
    <t xml:space="preserve">Tárgyi eszköz beszerzés </t>
  </si>
  <si>
    <t>Tárgyi eszközök (fénymásoló és játszótéri eszközök)</t>
  </si>
  <si>
    <t>2019. évi pénzügyi mérleg</t>
  </si>
  <si>
    <t>505502 Város és közs.gazd. (csapadékvíz mentesítés, karbantartás)</t>
  </si>
  <si>
    <t>Visszatérítendő felhalmozási kölcsön nyújtása</t>
  </si>
  <si>
    <t xml:space="preserve">2019. évi bevételi előirányzat </t>
  </si>
  <si>
    <t>2019. évi költségvetés felhalmozási bevételek</t>
  </si>
  <si>
    <t>2019. évi egyéb működési célú támogatások ÁHT-én beülre és  és működési támogatások ÁHT-n kívülre</t>
  </si>
  <si>
    <t xml:space="preserve">2019.  évi működési célú és egyéb kiadások feladatonként </t>
  </si>
  <si>
    <t xml:space="preserve">2019. évi felhalmozási pénzügyi mérleg </t>
  </si>
  <si>
    <t xml:space="preserve">2019. évi pénzügyi mérleg </t>
  </si>
  <si>
    <t xml:space="preserve">2019. évi működési pénzügyi mérleg </t>
  </si>
  <si>
    <t>2019. évi közhatalmi bevételek</t>
  </si>
  <si>
    <t xml:space="preserve">2019. évi bevételi terv  </t>
  </si>
  <si>
    <t>Mérték  (2019. évi január 1. napjától)</t>
  </si>
  <si>
    <t>515,- Ft/fő/éjszaka</t>
  </si>
  <si>
    <t>2019. évi költségvetés</t>
  </si>
  <si>
    <t>2019. évi felhalmozási kiadásai</t>
  </si>
  <si>
    <t>2019. évi költségvetési rendelet</t>
  </si>
  <si>
    <t xml:space="preserve">2019. évi pénzügyi mérlege </t>
  </si>
  <si>
    <t xml:space="preserve">2019.  évi előirányzat </t>
  </si>
  <si>
    <t>Egyéb szálláshelyek 2019. évi minőségfejlesztési támogatása (2018. évben pénzügyileg teljesítve)</t>
  </si>
  <si>
    <t xml:space="preserve">                                                                        2019. évi bérkompenzáció</t>
  </si>
  <si>
    <t xml:space="preserve">Költségvetési  szerveknél foglalkoztatottak 2018. dec. bérkompenzációja </t>
  </si>
  <si>
    <r>
      <t>Hévíz, Széchenyi utcai zártárok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</si>
  <si>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>505804 YOUTH &amp; SPA projekt</t>
  </si>
  <si>
    <r>
      <rPr>
        <b/>
        <sz val="9"/>
        <rFont val="Times New Roman"/>
        <family val="1"/>
        <charset val="238"/>
      </rPr>
      <t>2019.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</si>
  <si>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KEKKH 2018. 01.01-re vomnatkozó adata: 4747 fő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</si>
  <si>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</si>
  <si>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</si>
  <si>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</si>
  <si>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5. Költségvetési szerveknél fogélalkoztatottak 2018. évi áthúzódó és 2019. évi kompenzációja</t>
  </si>
  <si>
    <t xml:space="preserve"> Évközi MÁK által megállapított összegű folyósítás</t>
  </si>
  <si>
    <t>I. pont szerinti támogatás beszámítás nélkül:</t>
  </si>
  <si>
    <t>Beszámítás: 2017. évi IPA alap szerint</t>
  </si>
  <si>
    <t xml:space="preserve"> II.2. (2) 1 óvodaműködtetési támogatás 4 hó (gyermekek nevelése a napi 8 órát eléri vagy meghaladja)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</si>
  <si>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2018. jan. 1-i átsorolással szerezték meg</t>
  </si>
  <si>
    <t xml:space="preserve">    II.4.a (2).  Alapfokozatú végzettségű óvodapedagógus, pedagógus szakképzettséggel rendelkező segítők - pedagógus II. kategóriába sorolt ov.ped., pedagógus szakképzettséggel rendelkező segítők kiegészítő támogatása, akik a minősítést  2019. január 1-i átsorolással szerezték</t>
  </si>
  <si>
    <t>II. 5. Nemzetiségi pótlék</t>
  </si>
  <si>
    <t>III.1. Szociális ágazati összevont pótlék és egészségügyi kiegészítő pótlék</t>
  </si>
  <si>
    <t>III. 2. Települési önkormányzatok szociális feladatok egyéb támogatása 35.000 Ft/fő alatti adóerőképesség esetén differenciáltan jár</t>
  </si>
  <si>
    <t xml:space="preserve">   III. 3. aac) Számított alaplétszám korrekciója (4 -nél kevesebb településből álló közös hivatal esetében és  minden más önkormányzat:1)</t>
  </si>
  <si>
    <t xml:space="preserve"> III. 3. c). Szociális étkeztetés</t>
  </si>
  <si>
    <t xml:space="preserve"> III. 3. d) Házi segítségnyújtás  </t>
  </si>
  <si>
    <t xml:space="preserve"> III. 3. f) Időskorúak nappali intézményi  ellátása</t>
  </si>
  <si>
    <t xml:space="preserve"> III. 3. o) Kiegészítő fajlagos összegek</t>
  </si>
  <si>
    <t xml:space="preserve">       III. 3. oa) Kiegészítő fajlagos összegek a Család- és gyermekjóléti szolgálat fa ellátáshoz</t>
  </si>
  <si>
    <t xml:space="preserve">       III. 3.ob) Kiegészítő fajlagos összegek a házisegítségnyújtás -személyi gondozás fa ellátáshoz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</si>
  <si>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</si>
  <si>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</si>
  <si>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  III. 4. c)  kiegészítő fajlagos támogatás az a) alpont támogatásához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</si>
  <si>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</si>
  <si>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</si>
  <si>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</si>
  <si>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</si>
  <si>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</si>
  <si>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 xml:space="preserve">  III. 6. Bölcsőde, mini bölcsőde támogatása</t>
  </si>
  <si>
    <t xml:space="preserve">      III.6.a) Finanszírozás szempontjából elismert szakmai dolgozók bértámogatása</t>
  </si>
  <si>
    <t xml:space="preserve">      III.6.b) Bölcsődei üzemeltetési támogatás (Miniszterek döntése alapján a települések típusát és adóerőképességét figy-be véve)</t>
  </si>
  <si>
    <t>I-V. mindösszesen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</si>
  <si>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1820/2017(XI.8.) korm. határozat</t>
    </r>
  </si>
  <si>
    <t>2019. évi terv</t>
  </si>
  <si>
    <t>HEBI állomás áthelyezése a helyi járati autóbusz pu-hoz</t>
  </si>
  <si>
    <t>Jogi viták miatti tartalék</t>
  </si>
  <si>
    <t xml:space="preserve">  Keszthely adó- átadás</t>
  </si>
  <si>
    <t xml:space="preserve">  Alsópáhok adó-átadás</t>
  </si>
  <si>
    <t xml:space="preserve">Felhalmozási hiány finanszírozása működési többlet terhére </t>
  </si>
  <si>
    <t>Turisztikailag frekventált térségek integrált termék és szolgáltatás fejlesztése - Gyógyhely GINOP-7.1.9-16-2017-00004</t>
  </si>
  <si>
    <t xml:space="preserve">Helyi önkormányzatok általános működésének és ágazati feladatainak  2019. évi  támogatása </t>
  </si>
  <si>
    <t xml:space="preserve">      I.1.f. beszámítás</t>
  </si>
  <si>
    <t xml:space="preserve">    I.1.ba) -  I.1.f. zöldterület gazdálkodással kapcsolatos feladatok ellátásának támogatása  beszámítás után</t>
  </si>
  <si>
    <t xml:space="preserve">     I.1.bb) -  I.1.f. közvilágítás fenntartásának támogatása beszámítás után </t>
  </si>
  <si>
    <t xml:space="preserve">      I.1.bc) - I.1.f. köztemető fenntartással kapcsolatos feladatok támogatása beszámítás után </t>
  </si>
  <si>
    <t xml:space="preserve">       I.1.bd) - I.1.f. közutak fenntartásának támogatása beszámítás után </t>
  </si>
  <si>
    <t xml:space="preserve">    I.1.f. beszámítás</t>
  </si>
  <si>
    <t xml:space="preserve">     I.1.c) - I.1.f. egyéb önkormányzati feladatok támogatása beszámítás után</t>
  </si>
  <si>
    <t xml:space="preserve">     I.1.f. beszámítás </t>
  </si>
  <si>
    <t xml:space="preserve">     I.1.d) - I.1.f. lakott külterülettel kapcsolatos feladatok támogatása beszámítás után</t>
  </si>
  <si>
    <t xml:space="preserve">    I.1.e) - I.1.f. üdülőhelyi feladatok támogatás beszámítás után</t>
  </si>
  <si>
    <t xml:space="preserve">Beszámítás korrigált összege: </t>
  </si>
  <si>
    <t>124+2*2+2*3=134 fő</t>
  </si>
  <si>
    <t>128+2*2+0*3=132 fő</t>
  </si>
  <si>
    <r>
      <t xml:space="preserve">   </t>
    </r>
    <r>
      <rPr>
        <sz val="9"/>
        <rFont val="Times New Roman"/>
        <family val="1"/>
        <charset val="238"/>
      </rPr>
      <t xml:space="preserve">III. 3. aaa) Számított alaplétszám </t>
    </r>
  </si>
  <si>
    <t xml:space="preserve">   III. 4. a) Finanszírozás szempontjából elismert szakmai dolgozók bértámogatása                                              [45+(12 demens*1,2) ]/4=14,85 ~ 15,00</t>
  </si>
  <si>
    <t>567 fő</t>
  </si>
  <si>
    <t>még nem ismert</t>
  </si>
  <si>
    <r>
      <rPr>
        <sz val="9"/>
        <rFont val="Times New Roman"/>
        <family val="1"/>
        <charset val="238"/>
      </rPr>
      <t xml:space="preserve">V. Szolidaritási hozzájárulás: (126.242.802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732.182.630)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(66062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55001)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(115000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55001)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>= 0</t>
    </r>
  </si>
  <si>
    <t xml:space="preserve"> Járdaseprő gép </t>
  </si>
  <si>
    <t>"Európa a polgárokért " projekt társpályázóinak támogatás átadás (Belgrád, Foster, Hargita,  Lendva)</t>
  </si>
  <si>
    <r>
      <t xml:space="preserve">Széchenyi utca zárt árok  csapadékvíz elvezetés kialakítása </t>
    </r>
    <r>
      <rPr>
        <b/>
        <sz val="8"/>
        <color rgb="FF0070C0"/>
        <rFont val="Times New Roman"/>
        <family val="1"/>
        <charset val="238"/>
      </rPr>
      <t>(Kormányzati döntés alapján! 2019. évben 66.039 e Ft)</t>
    </r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</si>
  <si>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  <r>
      <rPr>
        <b/>
        <sz val="7"/>
        <color rgb="FF0070C0"/>
        <rFont val="Times New Roman"/>
        <family val="1"/>
        <charset val="238"/>
      </rPr>
      <t>(Kormányzati döntés! 2019-ben 16.699 e Ft)</t>
    </r>
  </si>
  <si>
    <t>HÉSZ módosítás</t>
  </si>
  <si>
    <t>1/1.</t>
  </si>
  <si>
    <t>1/2.</t>
  </si>
  <si>
    <t>6/1.</t>
  </si>
  <si>
    <t>6/2.</t>
  </si>
  <si>
    <t>505801"Európa a polgárokért"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</si>
  <si>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</si>
  <si>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</si>
  <si>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r>
      <t>I.1.f) beszámítás, kiegészítés:  Beszámítás szerinti támogatás csökkentés összesen: = (22.399.747.651*0,55/100)*[105+(66.062-42.001)/(110.000-42.001)*(120-105)]/100=</t>
    </r>
    <r>
      <rPr>
        <b/>
        <sz val="9"/>
        <rFont val="Times New Roman"/>
        <family val="1"/>
        <charset val="238"/>
      </rPr>
      <t>135.897.496 Ft</t>
    </r>
  </si>
  <si>
    <r>
      <t xml:space="preserve">g) teljesítési adatokhoz kapcsolódó korrekciós támogatás (őnkorányzatokért felelős miniszter és az államháztartásért felelős miniszter döntése alapján a beszámítás összegét csökkentő támogatás) </t>
    </r>
    <r>
      <rPr>
        <b/>
        <sz val="9"/>
        <rFont val="Times New Roman"/>
        <family val="1"/>
        <charset val="238"/>
      </rPr>
      <t>9.654.694 Ft</t>
    </r>
  </si>
  <si>
    <t>Hitelállomány 2019. 01. 01. napján</t>
  </si>
  <si>
    <t>Hévíz Balaton Airport Kft (működési és marketing tevékenység)</t>
  </si>
  <si>
    <t>Városi könyvkiadás támogatása</t>
  </si>
  <si>
    <t>Hévíz Város Turisztikai honlpajának fejlesztése</t>
  </si>
  <si>
    <t>2022.</t>
  </si>
  <si>
    <t xml:space="preserve">  .../201. (……..) önkormányzati rendelet 5. melléklete</t>
  </si>
  <si>
    <t xml:space="preserve">előirányzat felhasználási ütemterv a 2019. évi  költségvetési rendelethez </t>
  </si>
  <si>
    <t>2020.</t>
  </si>
  <si>
    <t>MTÜ Kisfaludy2030 Turisztikai Fejlesztő N.Zrt  „Hévíz-Balaton Airport Előzetes Megvalósíthatósági Tanulmány és visszaigényelhető áfa</t>
  </si>
  <si>
    <t>510000 „Hévíz-Balaton Airport Előzetes Megvalósíthatósági Tanulmány+áfa</t>
  </si>
  <si>
    <t xml:space="preserve">6/2019. (II. 1.) önkormányzati rendelet 1/3. melléklete  </t>
  </si>
  <si>
    <t>6/2019. (II. 1.) önkormányzati rendelet 4. melléklete</t>
  </si>
  <si>
    <t>6/2019. (II. 1.) önkormányzati rendelet 6. melléklete</t>
  </si>
  <si>
    <t xml:space="preserve">  6/2019. (II. 1.) önkormányzati rendelet 8. melléklete </t>
  </si>
  <si>
    <t>Idősek bentlakásos ellátása</t>
  </si>
  <si>
    <t>Családi- és nővédelmi egészségügyi gondozás (védőnők)</t>
  </si>
  <si>
    <t>Bölcsődei  dajkák 2 fő  és kisegítő 1 fő</t>
  </si>
  <si>
    <t>Bölcsőde:                                                                bölcsődevezető, kisgyermeknevelő1 fő,  valamint  kisgyermeknevelő 4 fő</t>
  </si>
  <si>
    <t>Bölcsődei gyógypedagógiai asszisztens (4 órás)</t>
  </si>
  <si>
    <t>Háziorvosi ügyeleti ellátás: ügyeleti koordinátor 1 fő, gkvezető 3 fő, takaritó 1 fő</t>
  </si>
  <si>
    <t>Házi segítségnyújtás (vezető 1 fő és gondozó 7 fő)</t>
  </si>
  <si>
    <t>Takarítónő orvosi rendelő</t>
  </si>
  <si>
    <t>TASZII</t>
  </si>
  <si>
    <t>Önkormányzat és intézményei által biztosított közvetett támogatás</t>
  </si>
  <si>
    <t>Önkormányzat:</t>
  </si>
  <si>
    <t>Idősek szakosított ellátása esetében méltányossági okból biztosítottközvetett támogatás</t>
  </si>
  <si>
    <t>Szociális étkezés esetében  méltányossági okból biztosított közvetett támogatás</t>
  </si>
  <si>
    <t>TASZII összesen:</t>
  </si>
  <si>
    <t xml:space="preserve"> Önkormányzatnál biztosított közvetett támogatás összes</t>
  </si>
  <si>
    <t>Önkormányzat és intézményei összesen:</t>
  </si>
  <si>
    <t>Az adózás rendjéről szóló 2017. évi CL. tv. figyelembe vételével méltányosságból származó kedvezmény</t>
  </si>
  <si>
    <t>Emberi Erőforrások Támogatáskezelő</t>
  </si>
  <si>
    <t>Központi kezelésű előirányzatok:</t>
  </si>
  <si>
    <t>Egyéb fejezeti kezelésű előirányzatok</t>
  </si>
  <si>
    <t>66.</t>
  </si>
  <si>
    <t>67.</t>
  </si>
  <si>
    <t>68.</t>
  </si>
  <si>
    <t>Fejezeti kezelésű előirányzatok:</t>
  </si>
  <si>
    <t>Szántó András ev. (Dr. Szántó Endre: "Hévíz története" III-IV. kötet)</t>
  </si>
  <si>
    <t>Dr. Szarka Lajos: Hévíz Beadeker</t>
  </si>
  <si>
    <t>"Hévíz - Balaton  Airport Elezete Tanulmány</t>
  </si>
  <si>
    <t>9/1.</t>
  </si>
  <si>
    <t>9/2.</t>
  </si>
  <si>
    <t>" Hévíz - Balaton Airport légi járműmozgási területén repülőtéri burkolati jelekújrafestése"</t>
  </si>
  <si>
    <t>Hévíz, 1088/6. hrsz-ú, 2140 m2 "kivett parkoló" vásárlása Aquamarin Kft-től</t>
  </si>
  <si>
    <t>Egyéb tárgyi eszköz</t>
  </si>
  <si>
    <t xml:space="preserve">5 db Metal pavilon </t>
  </si>
  <si>
    <t xml:space="preserve">Egyéb tárgyi eszköz </t>
  </si>
  <si>
    <t>502225 "Zala két keréken" TOP-3.1.1-15-ZA-2016-00005</t>
  </si>
  <si>
    <t>502231 "Kisfaludy 2030" reptér pályázat</t>
  </si>
  <si>
    <t xml:space="preserve">502222 Városi térfigyelő kamerarendszer </t>
  </si>
  <si>
    <t>Működési többlet felhasználása felhalmozási hiány fedezésére</t>
  </si>
  <si>
    <t>Hévízi Kálvin Alapítvány</t>
  </si>
  <si>
    <r>
      <rPr>
        <u/>
        <sz val="12"/>
        <rFont val="Times New Roman"/>
        <family val="1"/>
        <charset val="238"/>
      </rPr>
      <t>Iparűzési adó:</t>
    </r>
    <r>
      <rPr>
        <sz val="12"/>
        <rFont val="Times New Roman"/>
        <family val="1"/>
        <charset val="238"/>
      </rPr>
      <t xml:space="preserve">    25% adókedvezmény azon vállalkozók részére, akik vállalkozási szintű adóalapja nem haladja meg a 2.500 e forintot,                                  </t>
    </r>
  </si>
  <si>
    <t xml:space="preserve">valamint adómentesség azon háziorvos, védőnő vállalkozók részére akik vállalkozási szintű adóalapja adóévben a 20.000 ezer forintot nem haladja meg </t>
  </si>
  <si>
    <r>
      <rPr>
        <u/>
        <sz val="11"/>
        <rFont val="Times New Roman"/>
        <family val="1"/>
        <charset val="238"/>
      </rPr>
      <t>Építményadó:</t>
    </r>
    <r>
      <rPr>
        <sz val="11"/>
        <rFont val="Times New Roman"/>
        <family val="1"/>
        <charset val="238"/>
      </rPr>
      <t xml:space="preserve"> 100 % adókedvezmény azon lakás és lakáshoz tartozó rendeltetésszerűen használt gépjárműtároló tulajdonosok részére, akik tárgyév január 1. napján az adott ingatlanban lakóhellyel rendelkeznek 3.157 adótárgy, 280.175 m2-re vonatkozóan</t>
    </r>
  </si>
  <si>
    <t xml:space="preserve">18. melléklet a 12/2019. (IV. 25.) rendelethez, 7. melléklet 6/2019. (II. 1.) önkormányzati rendelethez  </t>
  </si>
  <si>
    <t>Régi járdaseprő gép értékesítés</t>
  </si>
  <si>
    <t>"Zala két keréken"</t>
  </si>
  <si>
    <t>Kisebbségekért - proMinoritate Alapítvány</t>
  </si>
  <si>
    <t>Rákóczi Szövetség</t>
  </si>
  <si>
    <t>Hévízgyógyfürdő és Szent András Reumakórház</t>
  </si>
  <si>
    <t>VÜZ Kft. Keszthely</t>
  </si>
  <si>
    <t>Működési célú támogatások államháztartáson kívülre összesen:</t>
  </si>
  <si>
    <t>2 db licence vásárlás</t>
  </si>
  <si>
    <t>Hévízi Illyés Gyula Általános  főbejárati lépcső felújítása</t>
  </si>
  <si>
    <t>MLSZ "Pályaépítési Program" keretében 2 db műfüves pálya felújítása</t>
  </si>
  <si>
    <t>Hévíz, Zrinyi u. 99-179. házszám közötti felújítás tervezése</t>
  </si>
  <si>
    <t>Hévíz, Kossuth L. u. 7. szám alatti 2 db önkormányzati tulajdonú ingatlan nyílászáró cseréje</t>
  </si>
  <si>
    <t>Gyógyhelyi főtér GINOP-7.19-17-2017-00003</t>
  </si>
  <si>
    <t>Kézilabda munkacsarnok infrastruktúra kialakítása (1455/8 hrsz ingatlan közművesítése)</t>
  </si>
  <si>
    <t xml:space="preserve">Hévízgyógyfürdő és Szent András Reumakórház kezelésében lévő Dr.Schulhof sétány fejlesztése GINOP-7.1.9-17. pályázat </t>
  </si>
  <si>
    <t>10/1.</t>
  </si>
  <si>
    <t>10/2.</t>
  </si>
  <si>
    <t>Hévíz Város Térfigyelő kamerarendszerének  + Eon tápellátás kiépítése II. ütem (14 db kamera, vezeték nélküli jelátviteli rendszer)</t>
  </si>
  <si>
    <t>PH 2. emeleti tárgyalói és irodai fal gyártása és beépítése</t>
  </si>
  <si>
    <t>Hosszúföldek Sportcentrum tereprendezés, ép. engedélyezési és kiviteli tervek</t>
  </si>
  <si>
    <t>IT eszközök beszerzése</t>
  </si>
  <si>
    <t>3</t>
  </si>
  <si>
    <t>"Hévíz Város és környezetének közösségi közlekedése" NYDOP-3.2.1/B-12-2013-0007 támogatás visszafizetés</t>
  </si>
  <si>
    <t>"Zala két keréken" TOP-3.1.1-15-ZA1-2016-00005 projelkt folyósított előlegének visszafizetése</t>
  </si>
  <si>
    <t>Védőoltás</t>
  </si>
  <si>
    <t>503311 Védőoltás</t>
  </si>
  <si>
    <t>505602 Szünidei gyermekétkeztetés</t>
  </si>
  <si>
    <t>502207 "Gyógyhelyi főtér" GINOP-7.1.9-17-2017-00003</t>
  </si>
  <si>
    <t>502230 Schullhof sétány GINOP-7.1.9-17 pályázat</t>
  </si>
  <si>
    <t>505301 Főépítészi feladatok ellátása</t>
  </si>
  <si>
    <t>505502 Város- és községgazdálkodás</t>
  </si>
  <si>
    <t>505805 Boldog Békeidők Hévize</t>
  </si>
  <si>
    <t>Szabó Lőrinc u. új útszakasz víz- és szennyvíz közmű kiépítése (műszaki ellenőr díja 1.000 e Ft)</t>
  </si>
  <si>
    <t>503301 Szociális célú tüzelőanyag, tüzifa</t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</si>
  <si>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(75.092 ezer Ft-hoz Kormányzati döntés alapján!)</t>
    </r>
  </si>
  <si>
    <t>503304 Gyógyszertámogatás</t>
  </si>
  <si>
    <t>503306 Lakhatási támogatás</t>
  </si>
  <si>
    <t>503402 Lakossági kölcsön kiadásai</t>
  </si>
  <si>
    <t xml:space="preserve">503401 Munkáltatói kölcsön kiadásai 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</si>
  <si>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</si>
  <si>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</si>
  <si>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</si>
  <si>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</si>
  <si>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</si>
  <si>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505103 Reprezentáció</t>
  </si>
  <si>
    <t>503201 Működési célú pénzeszköz átadás</t>
  </si>
  <si>
    <t xml:space="preserve">502301 ASP rendszer bevezetése </t>
  </si>
  <si>
    <r>
      <t>502201 Széchenyi utca fejlesztése</t>
    </r>
    <r>
      <rPr>
        <b/>
        <sz val="7"/>
        <color rgb="FF0070C0"/>
        <rFont val="Times New Roman"/>
        <family val="1"/>
        <charset val="238"/>
      </rPr>
      <t xml:space="preserve"> (Kormányzati döntés alapján! 2019. évben 73.299 e Ft)</t>
    </r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</si>
  <si>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(Kormányzati döntés alapján! 2019. évben 206.676 e Ft)</t>
    </r>
  </si>
  <si>
    <t xml:space="preserve">Turisztikailag frekventált térségek integrált termék és szolgáltatás fejlesztése - Dr. Schulhofsétány fejlesztése GINOP-7.1.9-17-2018-00015 </t>
  </si>
  <si>
    <t>SportOverBorders Hévíz projekt HUHR/1601/3.1.2/0013</t>
  </si>
  <si>
    <t>RefurbCultur Projekt HUHR/1601/3.1.1/0016</t>
  </si>
  <si>
    <t>Társult önkormányzatok orvosi ügyeleti kiadásokhoz hozzájárulás</t>
  </si>
  <si>
    <t>69.</t>
  </si>
  <si>
    <t>70.</t>
  </si>
  <si>
    <t>Aquamarin Szállodaüzemeltető Kft. üzletrész értékesítés - foglaló</t>
  </si>
  <si>
    <t>Turisztikailag frekventált térségek integrált termék és szolgáltatás fejlesztése GINOP-7.1.9-17-2018-00015</t>
  </si>
  <si>
    <t>Kisfaludy 2030 reptér pályázat megvalósíthatósági tanulmány visszaigényelhető Áfa</t>
  </si>
  <si>
    <t>Hévízi TDM Egyesület 2019. évi minőségfejl tám. elszámolás szerint visszafizetendő</t>
  </si>
  <si>
    <t>Szabó Lőrinc utcai új útszakasz telektulajd. fizetett önerő hozzájárulás</t>
  </si>
  <si>
    <t>71.</t>
  </si>
  <si>
    <t>72.</t>
  </si>
  <si>
    <t>SportOverBorders projekt Zalaegerszeg Megyei Jogú Város</t>
  </si>
  <si>
    <t>73.</t>
  </si>
  <si>
    <t>74.</t>
  </si>
  <si>
    <t>75.</t>
  </si>
  <si>
    <t>76.</t>
  </si>
  <si>
    <t>77.</t>
  </si>
  <si>
    <t>SportOverBorders projekt Hévíz Sportkör</t>
  </si>
  <si>
    <t xml:space="preserve">SportOverBorders projekt Cazma </t>
  </si>
  <si>
    <t>SportOverBorders projekt Koprovnica</t>
  </si>
  <si>
    <t>Tar Ferenc: Egy arisztokrata család mindennapjai c. kötewt megjelentetésének támogatása</t>
  </si>
  <si>
    <t>Dr Ladányi Péter: Keszthelyi Nagyváthy Szakközépiskola intézmény története c. kötet megjelentetésének támogatása</t>
  </si>
  <si>
    <t>12/1.</t>
  </si>
  <si>
    <t>12/2.</t>
  </si>
  <si>
    <r>
      <t xml:space="preserve">Széchenyi utca Kölcsey és Ady u. közötti szakasz déli oldalán 12 parkolóhely megépítése </t>
    </r>
    <r>
      <rPr>
        <b/>
        <sz val="8"/>
        <color rgb="FF0070C0"/>
        <rFont val="Times New Roman"/>
        <family val="1"/>
        <charset val="238"/>
      </rPr>
      <t xml:space="preserve">(Kormányzati döntés alapján! 24.882 ezer Ft) </t>
    </r>
  </si>
  <si>
    <t>6/3.</t>
  </si>
  <si>
    <t>Nagyparkoló tér nyugati üzletsor előtti szennyvíz gerincvezeték kiviteli tervei</t>
  </si>
  <si>
    <t>Kálvária "Kulturbarangolás Hévízen"TOP 1.2.1-15 (engedélyezési tervdok. és ktgbecslés váll díj 30%-a)</t>
  </si>
  <si>
    <t>Hévíz Sportkör támogatása felhalmozásra</t>
  </si>
  <si>
    <t>Internetes étkezési rendszer</t>
  </si>
  <si>
    <t>502220 Kálvária "Kulturbarangolás Hévízen" TOP-1.2.1-15</t>
  </si>
  <si>
    <t>502232 Szabó Lőrinc utca új útszakasz beruházás</t>
  </si>
  <si>
    <t>502303 Informatikai rendszer szállítása, bevezetése</t>
  </si>
  <si>
    <t>505803 SportOverBorders pályázat</t>
  </si>
  <si>
    <t>505806 "Helyi termék, helyi érték" VP6-19.2.1-42-7-17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</si>
  <si>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</si>
  <si>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Eszközbeszerzés (defibrillátor beszerzés is)</t>
  </si>
  <si>
    <t>Nemzeti Egészségbiztosítási Alapkezelő</t>
  </si>
  <si>
    <t>Felhalmozási bevételek összesen:</t>
  </si>
  <si>
    <t>Polgármesteri Hivatal Összesen:</t>
  </si>
  <si>
    <t xml:space="preserve">Hévíz, 846 hrsz-ú, a Széchenyi u .54. és 5+6. házszám között elhelyezkedő -jelenleg útként és parkolóként használt - területrész megvásárlása </t>
  </si>
  <si>
    <t>Polgármesteri Hivatal 304. iroda korszerűsítése</t>
  </si>
  <si>
    <t>Hévíz TV Nonprofit Kft.</t>
  </si>
  <si>
    <t xml:space="preserve">24 db ebédlő asztal és 144 db SAI szék </t>
  </si>
  <si>
    <t>502217 Új parkolóhelyek kialakítása</t>
  </si>
  <si>
    <t>Polgármesteri Hivatal összesen:***</t>
  </si>
  <si>
    <t>*** A Képviselő-testület 268/2019. (XI. 29.) határozata szerint a 2019. december 15. napjával hatályba lépő SZMSZ módosítás 1 fő önkormányzati főtanácsadóval bővíti a Polgármesteri hivatal köztisztviselői létszámát.</t>
  </si>
  <si>
    <t xml:space="preserve">1. melléklet a 6/2020. (III. 3.) rendelethez, 1. melléklet 6/2019. (II. 1.) önkormányzati rendelethez </t>
  </si>
  <si>
    <t xml:space="preserve">2. melléklet a 6/2020. (III. 3.) rendelethez, 1/1. melléklet 6/2019. (II. 1.) önkormányzati rendelethez </t>
  </si>
  <si>
    <t>3. melléklet a 6/2020. (III. 3.) rendelethez, 1/2. melléklet 6/2019. (II. 1.) önkormányzati rendelethez</t>
  </si>
  <si>
    <t xml:space="preserve">4. melléklet a 6/2020. (III. 3.) rendelethez, 1/4. melléklet 6/2019. (II. 1.) önkormányzati rendelethez </t>
  </si>
  <si>
    <t xml:space="preserve">5. melléklet a 6/2020. (III. 3.) rendelethez, 1/5. melléklet 6/2019. (II. 1.) önkormányzati rendelethez </t>
  </si>
  <si>
    <t xml:space="preserve">6. melléklet a 6/2020. (III. 3.) rendelethez, 1/6. melléklet 6/2019. (II. 1.) önkormányzati rendelethez </t>
  </si>
  <si>
    <t xml:space="preserve">7. melléklet a 6/2020. (III. 3.) rendelethez, 1/7. melléklet 6/2019. (II. 1.) önkormányzati rendelethez </t>
  </si>
  <si>
    <t xml:space="preserve">8. melléklet a 6/2020. (III. 3.) rendelethez, 1/8. melléklet 6/2019. (II. 1.) önkormányzati rendelethez </t>
  </si>
  <si>
    <t xml:space="preserve">9. melléklet a 6/2020. (III. 3.) rendelethez, 1/9. melléklet 6/2019. (II. 1.) önkormányzati rendelethez </t>
  </si>
  <si>
    <t xml:space="preserve">10. melléklet a 6/2020. (III. 3.) rendelethez, 2/1. melléklet 6/2019. (II. 1.) önkormányzati rendelethez </t>
  </si>
  <si>
    <t xml:space="preserve">11. melléklet a 6/2020. (III. 3.) rendelethez, 2/1/1. melléklet 6/2019. (II. 1.) önkormányzati rendelethez </t>
  </si>
  <si>
    <t xml:space="preserve">12. melléklet a 6/2020. (III. 3.) rendelethez, 2/2. melléklet 6/2019. (II. 1.) önkormányzati rendelethez </t>
  </si>
  <si>
    <t xml:space="preserve"> 13. melléklet a 6/2020. (III. 3.) rendelethez, 2/3. melléklet 6/2019. (II. 1.) önkormányzati rendelethez   </t>
  </si>
  <si>
    <t xml:space="preserve">14. melléklet a 6/2020. (III. 3.) rendelethez, 2/4. melléklet 6/2019. (II. 1.) önkormányzati rendelethez </t>
  </si>
  <si>
    <t>15. melléklet a 6/2020. (III. 3.) rendelethez, 3/1. melléklet 6/2019. (II. 1.) önkormányzati rendelethez</t>
  </si>
  <si>
    <t xml:space="preserve">16. melléklet a 6/2020. (III. 3.) rendelethez, 3/2. melléklet 6/2019. (II. 1.) önkormányzati rendelethez </t>
  </si>
  <si>
    <t xml:space="preserve">17. melléklet a 6/2020. (III. 3.) rendelethez, 3/3. melléklet 6/2019. (II. 1.) önkormányzati rendelethez </t>
  </si>
  <si>
    <t xml:space="preserve">18. melléklet a 6/2020. (III. 3.) rendelethez, 3/4. melléklet 6/2019. (II. 1.) önkormányzati rendelethez  </t>
  </si>
  <si>
    <t xml:space="preserve">19. melléklet a 6/2020. (III. 3.) rendelethez, 5. melléklet 6/2019. (II. 1.)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</si>
</sst>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6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rgb="FFFF339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9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40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3" xfId="0" applyNumberFormat="1" applyFont="1" applyFill="1" applyBorder="1"/>
    <xf numFmtId="3" fontId="64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4" fillId="0" borderId="0" xfId="0" applyNumberFormat="1" applyFont="1"/>
    <xf numFmtId="3" fontId="57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7" fillId="0" borderId="67" xfId="0" applyNumberFormat="1" applyFont="1" applyBorder="1"/>
    <xf numFmtId="3" fontId="25" fillId="0" borderId="68" xfId="0" applyNumberFormat="1" applyFont="1" applyBorder="1"/>
    <xf numFmtId="0" fontId="34" fillId="0" borderId="67" xfId="0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69" xfId="0" applyNumberFormat="1" applyFont="1" applyBorder="1"/>
    <xf numFmtId="3" fontId="58" fillId="0" borderId="67" xfId="74" applyNumberFormat="1" applyFont="1" applyBorder="1"/>
    <xf numFmtId="3" fontId="58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6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3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3" xfId="0" applyNumberFormat="1" applyFont="1" applyBorder="1"/>
    <xf numFmtId="3" fontId="64" fillId="0" borderId="76" xfId="0" applyNumberFormat="1" applyFont="1" applyBorder="1" applyAlignment="1">
      <alignment horizontal="right" vertical="center" wrapText="1"/>
    </xf>
    <xf numFmtId="3" fontId="64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4" fillId="0" borderId="60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78" xfId="0" applyNumberFormat="1" applyFont="1" applyFill="1" applyBorder="1"/>
    <xf numFmtId="3" fontId="57" fillId="0" borderId="67" xfId="0" applyNumberFormat="1" applyFont="1" applyBorder="1" applyAlignment="1">
      <alignment horizontal="center" vertical="center" wrapText="1"/>
    </xf>
    <xf numFmtId="3" fontId="64" fillId="0" borderId="67" xfId="0" applyNumberFormat="1" applyFont="1" applyBorder="1"/>
    <xf numFmtId="3" fontId="59" fillId="0" borderId="67" xfId="0" applyNumberFormat="1" applyFont="1" applyBorder="1"/>
    <xf numFmtId="3" fontId="64" fillId="0" borderId="79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0" xfId="0" applyFont="1" applyFill="1" applyBorder="1" applyAlignment="1"/>
    <xf numFmtId="3" fontId="64" fillId="0" borderId="50" xfId="0" applyNumberFormat="1" applyFont="1" applyFill="1" applyBorder="1"/>
    <xf numFmtId="3" fontId="64" fillId="0" borderId="63" xfId="0" applyNumberFormat="1" applyFont="1" applyBorder="1"/>
    <xf numFmtId="3" fontId="64" fillId="0" borderId="81" xfId="0" applyNumberFormat="1" applyFont="1" applyBorder="1"/>
    <xf numFmtId="3" fontId="64" fillId="0" borderId="82" xfId="0" applyNumberFormat="1" applyFont="1" applyBorder="1"/>
    <xf numFmtId="3" fontId="64" fillId="0" borderId="67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9" fillId="0" borderId="63" xfId="0" applyNumberFormat="1" applyFont="1" applyFill="1" applyBorder="1"/>
    <xf numFmtId="3" fontId="59" fillId="0" borderId="81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0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6" xfId="0" applyFont="1" applyBorder="1"/>
    <xf numFmtId="0" fontId="57" fillId="0" borderId="67" xfId="0" applyFont="1" applyBorder="1"/>
    <xf numFmtId="0" fontId="57" fillId="0" borderId="70" xfId="0" applyFont="1" applyBorder="1"/>
    <xf numFmtId="3" fontId="64" fillId="0" borderId="70" xfId="0" applyNumberFormat="1" applyFont="1" applyBorder="1" applyAlignment="1">
      <alignment horizontal="right"/>
    </xf>
    <xf numFmtId="3" fontId="110" fillId="0" borderId="0" xfId="0" applyNumberFormat="1" applyFont="1"/>
    <xf numFmtId="3" fontId="111" fillId="0" borderId="0" xfId="0" applyNumberFormat="1" applyFont="1"/>
    <xf numFmtId="0" fontId="110" fillId="0" borderId="0" xfId="0" applyFont="1" applyBorder="1"/>
    <xf numFmtId="0" fontId="111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0" fontId="108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5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6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6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89" xfId="0" applyNumberFormat="1" applyFont="1" applyBorder="1"/>
    <xf numFmtId="0" fontId="42" fillId="0" borderId="90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19" fillId="0" borderId="24" xfId="71" applyNumberFormat="1" applyFont="1" applyBorder="1" applyAlignment="1">
      <alignment vertical="center"/>
    </xf>
    <xf numFmtId="0" fontId="120" fillId="0" borderId="22" xfId="0" applyFont="1" applyBorder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2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3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4" fillId="0" borderId="0" xfId="0" applyFont="1" applyFill="1"/>
    <xf numFmtId="0" fontId="125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2" fillId="0" borderId="0" xfId="0" applyFont="1" applyFill="1" applyAlignment="1">
      <alignment horizontal="center"/>
    </xf>
    <xf numFmtId="3" fontId="125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0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6" fillId="0" borderId="24" xfId="71" applyNumberFormat="1" applyFont="1" applyFill="1" applyBorder="1" applyAlignment="1">
      <alignment vertical="center"/>
    </xf>
    <xf numFmtId="0" fontId="119" fillId="0" borderId="24" xfId="71" applyFont="1" applyBorder="1" applyAlignment="1">
      <alignment vertical="center"/>
    </xf>
    <xf numFmtId="4" fontId="119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9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0" fillId="0" borderId="24" xfId="71" applyNumberFormat="1" applyFont="1" applyFill="1" applyBorder="1" applyAlignment="1">
      <alignment vertical="center"/>
    </xf>
    <xf numFmtId="3" fontId="127" fillId="0" borderId="24" xfId="71" applyNumberFormat="1" applyFont="1" applyFill="1" applyBorder="1" applyAlignment="1">
      <alignment vertical="center" wrapText="1"/>
    </xf>
    <xf numFmtId="0" fontId="119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0" fillId="0" borderId="24" xfId="71" applyNumberFormat="1" applyFont="1" applyFill="1" applyBorder="1" applyAlignment="1">
      <alignment vertical="center"/>
    </xf>
    <xf numFmtId="165" fontId="120" fillId="0" borderId="24" xfId="71" applyNumberFormat="1" applyFont="1" applyFill="1" applyBorder="1" applyAlignment="1">
      <alignment vertical="center"/>
    </xf>
    <xf numFmtId="168" fontId="120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/>
    </xf>
    <xf numFmtId="3" fontId="120" fillId="0" borderId="24" xfId="71" applyNumberFormat="1" applyFont="1" applyBorder="1" applyAlignment="1">
      <alignment horizontal="right" vertical="center"/>
    </xf>
    <xf numFmtId="165" fontId="120" fillId="0" borderId="24" xfId="71" applyNumberFormat="1" applyFont="1" applyBorder="1" applyAlignment="1">
      <alignment vertical="center"/>
    </xf>
    <xf numFmtId="0" fontId="128" fillId="0" borderId="24" xfId="75" applyFont="1" applyBorder="1" applyAlignment="1">
      <alignment vertical="center"/>
    </xf>
    <xf numFmtId="3" fontId="120" fillId="0" borderId="24" xfId="75" applyNumberFormat="1" applyFont="1" applyBorder="1" applyAlignment="1">
      <alignment vertical="center"/>
    </xf>
    <xf numFmtId="0" fontId="109" fillId="0" borderId="24" xfId="71" applyFont="1" applyBorder="1" applyAlignment="1">
      <alignment vertical="center" wrapText="1"/>
    </xf>
    <xf numFmtId="9" fontId="120" fillId="0" borderId="24" xfId="71" applyNumberFormat="1" applyFont="1" applyFill="1" applyBorder="1" applyAlignment="1">
      <alignment vertical="center"/>
    </xf>
    <xf numFmtId="0" fontId="119" fillId="0" borderId="25" xfId="71" applyFont="1" applyBorder="1" applyAlignment="1">
      <alignment vertical="center" wrapText="1"/>
    </xf>
    <xf numFmtId="3" fontId="120" fillId="0" borderId="25" xfId="71" applyNumberFormat="1" applyFont="1" applyBorder="1" applyAlignment="1">
      <alignment vertical="center"/>
    </xf>
    <xf numFmtId="3" fontId="120" fillId="0" borderId="25" xfId="71" applyNumberFormat="1" applyFont="1" applyFill="1" applyBorder="1" applyAlignment="1">
      <alignment vertical="center"/>
    </xf>
    <xf numFmtId="165" fontId="120" fillId="0" borderId="25" xfId="71" applyNumberFormat="1" applyFont="1" applyFill="1" applyBorder="1" applyAlignment="1">
      <alignment vertical="center"/>
    </xf>
    <xf numFmtId="3" fontId="119" fillId="0" borderId="25" xfId="71" applyNumberFormat="1" applyFont="1" applyBorder="1" applyAlignment="1">
      <alignment vertical="center"/>
    </xf>
    <xf numFmtId="4" fontId="119" fillId="0" borderId="25" xfId="71" applyNumberFormat="1" applyFont="1" applyBorder="1" applyAlignment="1">
      <alignment vertical="center"/>
    </xf>
    <xf numFmtId="0" fontId="109" fillId="0" borderId="94" xfId="71" applyFont="1" applyFill="1" applyBorder="1" applyAlignment="1">
      <alignment vertical="center"/>
    </xf>
    <xf numFmtId="3" fontId="129" fillId="0" borderId="63" xfId="71" applyNumberFormat="1" applyFont="1" applyFill="1" applyBorder="1" applyAlignment="1">
      <alignment vertical="center"/>
    </xf>
    <xf numFmtId="3" fontId="129" fillId="0" borderId="81" xfId="71" applyNumberFormat="1" applyFont="1" applyFill="1" applyBorder="1" applyAlignment="1">
      <alignment vertical="center"/>
    </xf>
    <xf numFmtId="3" fontId="129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5" xfId="0" applyFont="1" applyBorder="1"/>
    <xf numFmtId="0" fontId="50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4" fontId="48" fillId="0" borderId="95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2" xfId="0" applyFont="1" applyBorder="1"/>
    <xf numFmtId="0" fontId="55" fillId="0" borderId="92" xfId="0" applyFont="1" applyBorder="1" applyAlignment="1">
      <alignment horizontal="right"/>
    </xf>
    <xf numFmtId="0" fontId="54" fillId="0" borderId="92" xfId="0" applyFont="1" applyBorder="1" applyAlignment="1">
      <alignment horizontal="right"/>
    </xf>
    <xf numFmtId="0" fontId="48" fillId="0" borderId="92" xfId="0" applyFont="1" applyBorder="1" applyAlignment="1">
      <alignment horizontal="right"/>
    </xf>
    <xf numFmtId="0" fontId="48" fillId="0" borderId="93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09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1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1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8" fillId="0" borderId="0" xfId="0" applyFont="1"/>
    <xf numFmtId="0" fontId="130" fillId="0" borderId="0" xfId="0" applyFont="1"/>
    <xf numFmtId="0" fontId="131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2" fillId="0" borderId="24" xfId="71" applyFont="1" applyBorder="1" applyAlignment="1">
      <alignment vertical="center"/>
    </xf>
    <xf numFmtId="2" fontId="120" fillId="0" borderId="24" xfId="71" applyNumberFormat="1" applyFont="1" applyFill="1" applyBorder="1" applyAlignment="1">
      <alignment vertical="center"/>
    </xf>
    <xf numFmtId="3" fontId="119" fillId="0" borderId="24" xfId="71" applyNumberFormat="1" applyFont="1" applyBorder="1" applyAlignment="1">
      <alignment vertical="center" wrapText="1"/>
    </xf>
    <xf numFmtId="0" fontId="133" fillId="0" borderId="24" xfId="71" applyFont="1" applyBorder="1" applyAlignment="1">
      <alignment vertical="center"/>
    </xf>
    <xf numFmtId="3" fontId="120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7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14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6" fillId="0" borderId="0" xfId="71" applyFont="1" applyBorder="1" applyAlignment="1">
      <alignment vertical="center"/>
    </xf>
    <xf numFmtId="0" fontId="134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5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6" fillId="0" borderId="22" xfId="78" applyFont="1" applyBorder="1"/>
    <xf numFmtId="3" fontId="25" fillId="0" borderId="73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59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1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1" xfId="0" applyNumberFormat="1" applyFont="1" applyBorder="1"/>
    <xf numFmtId="3" fontId="59" fillId="0" borderId="62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1" xfId="0" applyNumberFormat="1" applyFont="1" applyFill="1" applyBorder="1"/>
    <xf numFmtId="3" fontId="58" fillId="0" borderId="67" xfId="0" applyNumberFormat="1" applyFont="1" applyFill="1" applyBorder="1"/>
    <xf numFmtId="3" fontId="59" fillId="0" borderId="62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7" fillId="0" borderId="0" xfId="0" applyFont="1" applyBorder="1"/>
    <xf numFmtId="3" fontId="137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7" xfId="0" applyFont="1" applyBorder="1" applyAlignment="1">
      <alignment horizontal="left" vertical="center" wrapText="1"/>
    </xf>
    <xf numFmtId="0" fontId="90" fillId="0" borderId="124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7" xfId="0" applyFont="1" applyBorder="1"/>
    <xf numFmtId="0" fontId="82" fillId="0" borderId="67" xfId="0" applyFont="1" applyBorder="1"/>
    <xf numFmtId="0" fontId="85" fillId="0" borderId="67" xfId="0" applyFont="1" applyBorder="1"/>
    <xf numFmtId="0" fontId="85" fillId="0" borderId="67" xfId="0" applyFont="1" applyFill="1" applyBorder="1"/>
    <xf numFmtId="3" fontId="25" fillId="0" borderId="75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7" xfId="0" applyNumberFormat="1" applyFont="1" applyBorder="1" applyAlignment="1">
      <alignment horizontal="center" vertical="center" wrapText="1"/>
    </xf>
    <xf numFmtId="3" fontId="28" fillId="0" borderId="90" xfId="0" applyNumberFormat="1" applyFont="1" applyBorder="1"/>
    <xf numFmtId="3" fontId="28" fillId="25" borderId="67" xfId="0" applyNumberFormat="1" applyFont="1" applyFill="1" applyBorder="1"/>
    <xf numFmtId="0" fontId="77" fillId="0" borderId="89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4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1" fillId="0" borderId="0" xfId="0" applyFont="1"/>
    <xf numFmtId="3" fontId="82" fillId="0" borderId="22" xfId="0" applyNumberFormat="1" applyFont="1" applyBorder="1"/>
    <xf numFmtId="3" fontId="139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7" xfId="0" applyFont="1" applyBorder="1" applyAlignment="1">
      <alignment horizontal="center" vertical="center"/>
    </xf>
    <xf numFmtId="3" fontId="93" fillId="0" borderId="87" xfId="0" applyNumberFormat="1" applyFont="1" applyBorder="1" applyAlignment="1">
      <alignment horizontal="center" vertical="center" wrapText="1"/>
    </xf>
    <xf numFmtId="3" fontId="93" fillId="0" borderId="88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9" xfId="0" applyFont="1" applyBorder="1"/>
    <xf numFmtId="3" fontId="30" fillId="0" borderId="89" xfId="0" applyNumberFormat="1" applyFont="1" applyBorder="1"/>
    <xf numFmtId="3" fontId="59" fillId="0" borderId="21" xfId="0" applyNumberFormat="1" applyFont="1" applyBorder="1"/>
    <xf numFmtId="3" fontId="137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8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09" fillId="0" borderId="24" xfId="0" applyNumberFormat="1" applyFont="1" applyBorder="1" applyAlignment="1">
      <alignment horizontal="center" vertical="center" wrapText="1"/>
    </xf>
    <xf numFmtId="0" fontId="140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9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09" fillId="0" borderId="34" xfId="0" applyNumberFormat="1" applyFont="1" applyBorder="1"/>
    <xf numFmtId="3" fontId="109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109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3" fillId="0" borderId="24" xfId="71" applyNumberFormat="1" applyFont="1" applyBorder="1" applyAlignment="1">
      <alignment vertical="center"/>
    </xf>
    <xf numFmtId="3" fontId="142" fillId="0" borderId="24" xfId="71" applyNumberFormat="1" applyFont="1" applyFill="1" applyBorder="1" applyAlignment="1">
      <alignment vertical="center"/>
    </xf>
    <xf numFmtId="0" fontId="142" fillId="0" borderId="0" xfId="71" applyFont="1" applyAlignment="1">
      <alignment vertical="center"/>
    </xf>
    <xf numFmtId="0" fontId="143" fillId="0" borderId="0" xfId="0" applyFont="1" applyFill="1"/>
    <xf numFmtId="0" fontId="1" fillId="0" borderId="0" xfId="70" applyAlignment="1">
      <alignment vertical="center"/>
    </xf>
    <xf numFmtId="3" fontId="145" fillId="0" borderId="24" xfId="71" applyNumberFormat="1" applyFont="1" applyBorder="1" applyAlignment="1">
      <alignment vertical="center"/>
    </xf>
    <xf numFmtId="3" fontId="146" fillId="0" borderId="0" xfId="71" applyNumberFormat="1" applyFont="1" applyAlignment="1">
      <alignment vertical="center"/>
    </xf>
    <xf numFmtId="3" fontId="144" fillId="0" borderId="24" xfId="71" applyNumberFormat="1" applyFont="1" applyBorder="1" applyAlignment="1">
      <alignment vertical="center" wrapText="1"/>
    </xf>
    <xf numFmtId="165" fontId="145" fillId="0" borderId="24" xfId="71" applyNumberFormat="1" applyFont="1" applyBorder="1" applyAlignment="1">
      <alignment vertical="center"/>
    </xf>
    <xf numFmtId="167" fontId="145" fillId="0" borderId="24" xfId="71" applyNumberFormat="1" applyFont="1" applyBorder="1" applyAlignment="1">
      <alignment vertical="center"/>
    </xf>
    <xf numFmtId="4" fontId="145" fillId="0" borderId="24" xfId="71" applyNumberFormat="1" applyFont="1" applyBorder="1" applyAlignment="1">
      <alignment vertical="center"/>
    </xf>
    <xf numFmtId="3" fontId="147" fillId="0" borderId="24" xfId="71" applyNumberFormat="1" applyFont="1" applyFill="1" applyBorder="1" applyAlignment="1">
      <alignment vertical="center"/>
    </xf>
    <xf numFmtId="3" fontId="145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3" fontId="25" fillId="0" borderId="67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165" fontId="54" fillId="0" borderId="12" xfId="0" applyNumberFormat="1" applyFont="1" applyBorder="1"/>
    <xf numFmtId="0" fontId="149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5" xfId="0" applyNumberFormat="1" applyFont="1" applyBorder="1"/>
    <xf numFmtId="3" fontId="26" fillId="0" borderId="100" xfId="0" applyNumberFormat="1" applyFont="1" applyBorder="1"/>
    <xf numFmtId="0" fontId="53" fillId="0" borderId="95" xfId="0" applyFont="1" applyBorder="1"/>
    <xf numFmtId="0" fontId="55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1" xfId="0" applyNumberFormat="1" applyFont="1" applyBorder="1" applyAlignment="1">
      <alignment horizontal="right" vertical="center"/>
    </xf>
    <xf numFmtId="3" fontId="58" fillId="0" borderId="67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0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0" fillId="0" borderId="0" xfId="0" applyFont="1" applyFill="1"/>
    <xf numFmtId="0" fontId="150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2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29" xfId="0" applyFont="1" applyBorder="1"/>
    <xf numFmtId="3" fontId="25" fillId="0" borderId="70" xfId="0" applyNumberFormat="1" applyFont="1" applyBorder="1"/>
    <xf numFmtId="0" fontId="35" fillId="0" borderId="129" xfId="0" applyFont="1" applyBorder="1"/>
    <xf numFmtId="3" fontId="28" fillId="0" borderId="0" xfId="0" applyNumberFormat="1" applyFont="1" applyAlignment="1">
      <alignment wrapText="1"/>
    </xf>
    <xf numFmtId="3" fontId="33" fillId="0" borderId="22" xfId="0" applyNumberFormat="1" applyFont="1" applyBorder="1"/>
    <xf numFmtId="0" fontId="61" fillId="0" borderId="0" xfId="78" applyFont="1" applyBorder="1"/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7" fillId="0" borderId="0" xfId="0" applyNumberFormat="1" applyFont="1" applyBorder="1"/>
    <xf numFmtId="3" fontId="127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30" fillId="0" borderId="130" xfId="0" applyNumberFormat="1" applyFont="1" applyBorder="1"/>
    <xf numFmtId="3" fontId="25" fillId="0" borderId="130" xfId="0" applyNumberFormat="1" applyFont="1" applyBorder="1"/>
    <xf numFmtId="3" fontId="25" fillId="0" borderId="34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8" xfId="0" applyNumberFormat="1" applyFont="1" applyBorder="1" applyAlignment="1">
      <alignment horizontal="right"/>
    </xf>
    <xf numFmtId="1" fontId="100" fillId="24" borderId="12" xfId="0" applyNumberFormat="1" applyFont="1" applyFill="1" applyBorder="1" applyAlignment="1">
      <alignment horizontal="right" vertical="center"/>
    </xf>
    <xf numFmtId="167" fontId="100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25" fillId="0" borderId="85" xfId="0" applyFont="1" applyBorder="1"/>
    <xf numFmtId="0" fontId="40" fillId="0" borderId="0" xfId="0" applyFont="1" applyBorder="1"/>
    <xf numFmtId="0" fontId="109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3" fontId="109" fillId="0" borderId="34" xfId="0" applyNumberFormat="1" applyFont="1" applyBorder="1" applyAlignment="1">
      <alignment vertical="center"/>
    </xf>
    <xf numFmtId="3" fontId="29" fillId="0" borderId="0" xfId="0" applyNumberFormat="1" applyFont="1"/>
    <xf numFmtId="0" fontId="22" fillId="0" borderId="0" xfId="0" applyFont="1" applyAlignment="1">
      <alignment vertical="center" wrapText="1"/>
    </xf>
    <xf numFmtId="0" fontId="44" fillId="0" borderId="27" xfId="0" applyFont="1" applyBorder="1"/>
    <xf numFmtId="3" fontId="53" fillId="0" borderId="75" xfId="0" applyNumberFormat="1" applyFont="1" applyBorder="1" applyAlignment="1">
      <alignment vertical="center"/>
    </xf>
    <xf numFmtId="3" fontId="53" fillId="0" borderId="27" xfId="0" applyNumberFormat="1" applyFont="1" applyBorder="1" applyAlignment="1">
      <alignment vertical="center"/>
    </xf>
    <xf numFmtId="3" fontId="53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09" fillId="0" borderId="59" xfId="0" applyNumberFormat="1" applyFont="1" applyBorder="1" applyAlignment="1">
      <alignment vertical="center"/>
    </xf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1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1" fillId="0" borderId="0" xfId="78" applyNumberFormat="1" applyFont="1" applyAlignment="1">
      <alignment vertical="center"/>
    </xf>
    <xf numFmtId="3" fontId="59" fillId="0" borderId="69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vertical="center"/>
    </xf>
    <xf numFmtId="3" fontId="58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9" fillId="0" borderId="0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 wrapText="1"/>
    </xf>
    <xf numFmtId="3" fontId="35" fillId="0" borderId="0" xfId="78" applyNumberFormat="1" applyFont="1" applyFill="1" applyBorder="1" applyAlignment="1">
      <alignment vertical="center"/>
    </xf>
    <xf numFmtId="3" fontId="30" fillId="0" borderId="0" xfId="78" applyNumberFormat="1" applyFont="1" applyFill="1" applyBorder="1" applyAlignment="1">
      <alignment vertical="center"/>
    </xf>
    <xf numFmtId="3" fontId="35" fillId="0" borderId="0" xfId="78" applyNumberFormat="1" applyFont="1" applyFill="1" applyAlignment="1">
      <alignment vertical="center"/>
    </xf>
    <xf numFmtId="3" fontId="59" fillId="0" borderId="0" xfId="0" applyNumberFormat="1" applyFont="1" applyFill="1" applyBorder="1"/>
    <xf numFmtId="0" fontId="157" fillId="0" borderId="0" xfId="0" applyFont="1"/>
    <xf numFmtId="0" fontId="132" fillId="0" borderId="0" xfId="71" applyFont="1" applyAlignment="1">
      <alignment vertical="center"/>
    </xf>
    <xf numFmtId="0" fontId="119" fillId="0" borderId="0" xfId="71" applyFont="1" applyAlignment="1">
      <alignment vertical="center"/>
    </xf>
    <xf numFmtId="3" fontId="119" fillId="0" borderId="0" xfId="71" applyNumberFormat="1" applyFont="1" applyAlignment="1">
      <alignment vertical="center"/>
    </xf>
    <xf numFmtId="3" fontId="160" fillId="0" borderId="46" xfId="71" applyNumberFormat="1" applyFont="1" applyFill="1" applyBorder="1" applyAlignment="1">
      <alignment horizontal="center" vertical="center" wrapText="1"/>
    </xf>
    <xf numFmtId="3" fontId="160" fillId="0" borderId="33" xfId="71" applyNumberFormat="1" applyFont="1" applyFill="1" applyBorder="1" applyAlignment="1">
      <alignment horizontal="center" vertical="center" wrapText="1"/>
    </xf>
    <xf numFmtId="3" fontId="160" fillId="0" borderId="47" xfId="71" applyNumberFormat="1" applyFont="1" applyFill="1" applyBorder="1" applyAlignment="1">
      <alignment horizontal="center" vertical="center" wrapText="1"/>
    </xf>
    <xf numFmtId="0" fontId="132" fillId="0" borderId="0" xfId="71" applyFont="1" applyBorder="1" applyAlignment="1">
      <alignment vertical="center"/>
    </xf>
    <xf numFmtId="0" fontId="109" fillId="0" borderId="48" xfId="71" applyFont="1" applyBorder="1" applyAlignment="1">
      <alignment vertical="center"/>
    </xf>
    <xf numFmtId="3" fontId="120" fillId="0" borderId="48" xfId="71" applyNumberFormat="1" applyFont="1" applyFill="1" applyBorder="1" applyAlignment="1">
      <alignment vertical="center"/>
    </xf>
    <xf numFmtId="0" fontId="132" fillId="0" borderId="48" xfId="71" applyFont="1" applyBorder="1" applyAlignment="1">
      <alignment vertical="center"/>
    </xf>
    <xf numFmtId="0" fontId="132" fillId="0" borderId="22" xfId="71" applyFont="1" applyBorder="1" applyAlignment="1">
      <alignment vertical="center"/>
    </xf>
    <xf numFmtId="0" fontId="116" fillId="0" borderId="24" xfId="71" applyFont="1" applyBorder="1" applyAlignment="1">
      <alignment vertical="center"/>
    </xf>
    <xf numFmtId="3" fontId="161" fillId="0" borderId="24" xfId="71" applyNumberFormat="1" applyFont="1" applyBorder="1" applyAlignment="1">
      <alignment vertical="center"/>
    </xf>
    <xf numFmtId="4" fontId="58" fillId="0" borderId="24" xfId="71" applyNumberFormat="1" applyFont="1" applyBorder="1" applyAlignment="1">
      <alignment vertical="center"/>
    </xf>
    <xf numFmtId="3" fontId="132" fillId="0" borderId="0" xfId="71" applyNumberFormat="1" applyFont="1" applyAlignment="1">
      <alignment vertical="center"/>
    </xf>
    <xf numFmtId="3" fontId="161" fillId="0" borderId="24" xfId="71" applyNumberFormat="1" applyFont="1" applyBorder="1" applyAlignment="1">
      <alignment vertical="center" wrapText="1"/>
    </xf>
    <xf numFmtId="3" fontId="35" fillId="0" borderId="24" xfId="71" applyNumberFormat="1" applyFont="1" applyBorder="1" applyAlignment="1">
      <alignment vertical="center" wrapText="1"/>
    </xf>
    <xf numFmtId="3" fontId="31" fillId="0" borderId="24" xfId="71" applyNumberFormat="1" applyFont="1" applyBorder="1" applyAlignment="1">
      <alignment horizontal="right"/>
    </xf>
    <xf numFmtId="0" fontId="155" fillId="0" borderId="22" xfId="70" applyFont="1" applyBorder="1" applyAlignment="1">
      <alignment vertical="center"/>
    </xf>
    <xf numFmtId="0" fontId="132" fillId="0" borderId="22" xfId="7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158" fillId="0" borderId="22" xfId="70" applyFont="1" applyBorder="1" applyAlignment="1">
      <alignment vertical="center" wrapText="1"/>
    </xf>
    <xf numFmtId="1" fontId="31" fillId="0" borderId="24" xfId="71" applyNumberFormat="1" applyFont="1" applyBorder="1" applyAlignment="1">
      <alignment vertical="center"/>
    </xf>
    <xf numFmtId="0" fontId="155" fillId="0" borderId="22" xfId="70" applyFont="1" applyBorder="1" applyAlignment="1">
      <alignment vertical="center" wrapText="1"/>
    </xf>
    <xf numFmtId="0" fontId="163" fillId="0" borderId="22" xfId="71" applyFont="1" applyBorder="1" applyAlignment="1">
      <alignment vertical="center" wrapText="1"/>
    </xf>
    <xf numFmtId="0" fontId="72" fillId="0" borderId="24" xfId="75" applyFont="1" applyBorder="1" applyAlignment="1">
      <alignment vertical="center"/>
    </xf>
    <xf numFmtId="165" fontId="119" fillId="0" borderId="24" xfId="71" applyNumberFormat="1" applyFont="1" applyBorder="1" applyAlignment="1">
      <alignment vertical="center"/>
    </xf>
    <xf numFmtId="0" fontId="129" fillId="0" borderId="24" xfId="71" applyFont="1" applyBorder="1" applyAlignment="1">
      <alignment vertical="center" wrapText="1"/>
    </xf>
    <xf numFmtId="0" fontId="164" fillId="0" borderId="0" xfId="71" applyFont="1" applyAlignment="1">
      <alignment vertical="center"/>
    </xf>
    <xf numFmtId="9" fontId="120" fillId="0" borderId="25" xfId="71" applyNumberFormat="1" applyFont="1" applyFill="1" applyBorder="1" applyAlignment="1">
      <alignment vertical="center"/>
    </xf>
    <xf numFmtId="0" fontId="129" fillId="0" borderId="25" xfId="71" applyFont="1" applyBorder="1" applyAlignment="1">
      <alignment vertical="center" wrapText="1"/>
    </xf>
    <xf numFmtId="3" fontId="109" fillId="0" borderId="63" xfId="71" applyNumberFormat="1" applyFont="1" applyFill="1" applyBorder="1" applyAlignment="1">
      <alignment vertical="center"/>
    </xf>
    <xf numFmtId="3" fontId="109" fillId="0" borderId="81" xfId="71" applyNumberFormat="1" applyFont="1" applyFill="1" applyBorder="1" applyAlignment="1">
      <alignment vertical="center"/>
    </xf>
    <xf numFmtId="3" fontId="109" fillId="0" borderId="34" xfId="71" applyNumberFormat="1" applyFont="1" applyFill="1" applyBorder="1" applyAlignment="1">
      <alignment vertical="center"/>
    </xf>
    <xf numFmtId="0" fontId="25" fillId="0" borderId="49" xfId="0" applyFont="1" applyBorder="1" applyAlignment="1">
      <alignment wrapText="1"/>
    </xf>
    <xf numFmtId="3" fontId="59" fillId="0" borderId="27" xfId="0" applyNumberFormat="1" applyFont="1" applyBorder="1"/>
    <xf numFmtId="3" fontId="59" fillId="0" borderId="85" xfId="0" applyNumberFormat="1" applyFont="1" applyBorder="1"/>
    <xf numFmtId="0" fontId="30" fillId="0" borderId="49" xfId="0" applyFont="1" applyBorder="1" applyAlignment="1">
      <alignment wrapText="1"/>
    </xf>
    <xf numFmtId="3" fontId="121" fillId="0" borderId="0" xfId="78" applyNumberFormat="1" applyFont="1" applyBorder="1" applyAlignment="1">
      <alignment vertical="center"/>
    </xf>
    <xf numFmtId="3" fontId="138" fillId="0" borderId="0" xfId="78" applyNumberFormat="1" applyFont="1" applyBorder="1" applyAlignment="1">
      <alignment vertical="center"/>
    </xf>
    <xf numFmtId="3" fontId="121" fillId="0" borderId="0" xfId="78" applyNumberFormat="1" applyFont="1" applyAlignment="1">
      <alignment vertical="center"/>
    </xf>
    <xf numFmtId="0" fontId="44" fillId="0" borderId="67" xfId="0" applyFont="1" applyBorder="1" applyAlignment="1">
      <alignment vertical="center" wrapText="1"/>
    </xf>
    <xf numFmtId="3" fontId="25" fillId="0" borderId="0" xfId="0" applyNumberFormat="1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3" fontId="28" fillId="0" borderId="0" xfId="0" applyNumberFormat="1" applyFont="1" applyBorder="1" applyAlignment="1">
      <alignment vertical="center" wrapText="1"/>
    </xf>
    <xf numFmtId="3" fontId="28" fillId="0" borderId="67" xfId="0" applyNumberFormat="1" applyFont="1" applyBorder="1" applyAlignment="1">
      <alignment vertical="center" wrapText="1"/>
    </xf>
    <xf numFmtId="3" fontId="165" fillId="0" borderId="0" xfId="71" applyNumberFormat="1" applyFont="1" applyAlignment="1">
      <alignment vertical="center"/>
    </xf>
    <xf numFmtId="3" fontId="165" fillId="0" borderId="0" xfId="71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35" fillId="0" borderId="0" xfId="78" applyNumberFormat="1" applyFont="1" applyFill="1"/>
    <xf numFmtId="3" fontId="109" fillId="0" borderId="26" xfId="0" applyNumberFormat="1" applyFont="1" applyBorder="1"/>
    <xf numFmtId="3" fontId="109" fillId="0" borderId="0" xfId="0" applyNumberFormat="1" applyFont="1" applyBorder="1"/>
    <xf numFmtId="0" fontId="30" fillId="0" borderId="0" xfId="78" applyFont="1" applyBorder="1" applyAlignment="1">
      <alignment vertical="center"/>
    </xf>
    <xf numFmtId="1" fontId="35" fillId="0" borderId="0" xfId="78" applyNumberFormat="1" applyFont="1"/>
    <xf numFmtId="3" fontId="60" fillId="0" borderId="22" xfId="78" applyNumberFormat="1" applyFont="1" applyBorder="1"/>
    <xf numFmtId="3" fontId="35" fillId="0" borderId="22" xfId="78" applyNumberFormat="1" applyFont="1" applyBorder="1"/>
    <xf numFmtId="0" fontId="53" fillId="0" borderId="24" xfId="77" applyFont="1" applyBorder="1" applyAlignment="1">
      <alignment horizontal="center"/>
    </xf>
    <xf numFmtId="0" fontId="98" fillId="0" borderId="12" xfId="0" applyFont="1" applyBorder="1" applyAlignment="1">
      <alignment wrapText="1"/>
    </xf>
    <xf numFmtId="0" fontId="98" fillId="0" borderId="12" xfId="0" applyFont="1" applyBorder="1"/>
    <xf numFmtId="0" fontId="98" fillId="0" borderId="12" xfId="0" applyFont="1" applyBorder="1" applyAlignment="1">
      <alignment horizontal="right" vertical="center"/>
    </xf>
    <xf numFmtId="0" fontId="100" fillId="0" borderId="12" xfId="0" applyFont="1" applyBorder="1" applyAlignment="1">
      <alignment horizontal="right" vertical="center"/>
    </xf>
    <xf numFmtId="165" fontId="100" fillId="0" borderId="12" xfId="0" applyNumberFormat="1" applyFont="1" applyBorder="1" applyAlignment="1">
      <alignment horizontal="right"/>
    </xf>
    <xf numFmtId="1" fontId="48" fillId="0" borderId="12" xfId="0" applyNumberFormat="1" applyFont="1" applyBorder="1"/>
    <xf numFmtId="166" fontId="35" fillId="0" borderId="12" xfId="0" applyNumberFormat="1" applyFont="1" applyBorder="1" applyAlignment="1">
      <alignment horizontal="center" vertical="center"/>
    </xf>
    <xf numFmtId="0" fontId="98" fillId="0" borderId="0" xfId="73" applyFont="1" applyAlignment="1">
      <alignment wrapText="1"/>
    </xf>
    <xf numFmtId="0" fontId="34" fillId="0" borderId="0" xfId="0" applyFont="1" applyBorder="1"/>
    <xf numFmtId="0" fontId="28" fillId="0" borderId="4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158" fillId="0" borderId="0" xfId="0" applyFont="1" applyBorder="1"/>
    <xf numFmtId="3" fontId="29" fillId="0" borderId="85" xfId="0" applyNumberFormat="1" applyFont="1" applyBorder="1" applyAlignment="1">
      <alignment vertical="center"/>
    </xf>
    <xf numFmtId="0" fontId="136" fillId="0" borderId="0" xfId="78" applyFont="1" applyBorder="1"/>
    <xf numFmtId="3" fontId="28" fillId="0" borderId="0" xfId="0" applyNumberFormat="1" applyFont="1" applyFill="1" applyBorder="1" applyAlignment="1">
      <alignment vertical="center" wrapText="1"/>
    </xf>
    <xf numFmtId="3" fontId="28" fillId="0" borderId="41" xfId="78" applyNumberFormat="1" applyFont="1" applyFill="1" applyBorder="1" applyAlignment="1">
      <alignment vertical="center"/>
    </xf>
    <xf numFmtId="3" fontId="35" fillId="0" borderId="41" xfId="78" applyNumberFormat="1" applyFont="1" applyBorder="1" applyAlignment="1">
      <alignment vertical="center"/>
    </xf>
    <xf numFmtId="3" fontId="28" fillId="0" borderId="67" xfId="78" applyNumberFormat="1" applyFont="1" applyBorder="1"/>
    <xf numFmtId="3" fontId="28" fillId="0" borderId="67" xfId="78" applyNumberFormat="1" applyFont="1" applyBorder="1" applyAlignment="1">
      <alignment vertical="center"/>
    </xf>
    <xf numFmtId="3" fontId="28" fillId="0" borderId="70" xfId="78" applyNumberFormat="1" applyFont="1" applyBorder="1" applyAlignment="1">
      <alignment vertical="center"/>
    </xf>
    <xf numFmtId="3" fontId="30" fillId="0" borderId="67" xfId="78" applyNumberFormat="1" applyFont="1" applyBorder="1"/>
    <xf numFmtId="3" fontId="35" fillId="0" borderId="67" xfId="78" applyNumberFormat="1" applyFont="1" applyBorder="1" applyAlignment="1">
      <alignment vertical="center"/>
    </xf>
    <xf numFmtId="3" fontId="35" fillId="0" borderId="67" xfId="78" applyNumberFormat="1" applyFont="1" applyBorder="1" applyAlignment="1">
      <alignment horizontal="right" vertical="center"/>
    </xf>
    <xf numFmtId="3" fontId="31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right"/>
    </xf>
    <xf numFmtId="0" fontId="153" fillId="0" borderId="67" xfId="0" applyFont="1" applyBorder="1" applyAlignment="1">
      <alignment wrapText="1"/>
    </xf>
    <xf numFmtId="0" fontId="109" fillId="0" borderId="67" xfId="0" applyFont="1" applyBorder="1" applyAlignment="1">
      <alignment vertical="center" wrapText="1"/>
    </xf>
    <xf numFmtId="0" fontId="56" fillId="0" borderId="67" xfId="0" applyFont="1" applyBorder="1" applyAlignment="1">
      <alignment wrapText="1"/>
    </xf>
    <xf numFmtId="0" fontId="109" fillId="0" borderId="73" xfId="0" applyFont="1" applyBorder="1" applyAlignment="1">
      <alignment wrapText="1"/>
    </xf>
    <xf numFmtId="0" fontId="109" fillId="0" borderId="67" xfId="0" applyFont="1" applyBorder="1" applyAlignment="1">
      <alignment wrapText="1"/>
    </xf>
    <xf numFmtId="0" fontId="29" fillId="0" borderId="73" xfId="0" applyFont="1" applyBorder="1" applyAlignment="1">
      <alignment wrapText="1"/>
    </xf>
    <xf numFmtId="3" fontId="56" fillId="0" borderId="26" xfId="0" applyNumberFormat="1" applyFont="1" applyBorder="1"/>
    <xf numFmtId="3" fontId="29" fillId="0" borderId="34" xfId="0" applyNumberFormat="1" applyFont="1" applyBorder="1"/>
    <xf numFmtId="3" fontId="29" fillId="0" borderId="26" xfId="0" applyNumberFormat="1" applyFont="1" applyBorder="1"/>
    <xf numFmtId="3" fontId="29" fillId="0" borderId="26" xfId="0" applyNumberFormat="1" applyFont="1" applyBorder="1" applyAlignment="1">
      <alignment vertical="center"/>
    </xf>
    <xf numFmtId="3" fontId="29" fillId="0" borderId="34" xfId="0" applyNumberFormat="1" applyFont="1" applyBorder="1" applyAlignment="1">
      <alignment vertical="center"/>
    </xf>
    <xf numFmtId="0" fontId="31" fillId="0" borderId="67" xfId="0" applyFont="1" applyBorder="1" applyAlignment="1">
      <alignment wrapText="1"/>
    </xf>
    <xf numFmtId="3" fontId="29" fillId="0" borderId="59" xfId="0" applyNumberFormat="1" applyFont="1" applyBorder="1"/>
    <xf numFmtId="0" fontId="40" fillId="0" borderId="129" xfId="0" applyFont="1" applyBorder="1"/>
    <xf numFmtId="0" fontId="37" fillId="25" borderId="0" xfId="78" applyFont="1" applyFill="1"/>
    <xf numFmtId="3" fontId="35" fillId="25" borderId="0" xfId="78" applyNumberFormat="1" applyFont="1" applyFill="1"/>
    <xf numFmtId="3" fontId="35" fillId="25" borderId="0" xfId="78" applyNumberFormat="1" applyFont="1" applyFill="1" applyBorder="1"/>
    <xf numFmtId="1" fontId="58" fillId="0" borderId="26" xfId="0" applyNumberFormat="1" applyFont="1" applyBorder="1" applyAlignment="1">
      <alignment horizontal="center" vertical="center"/>
    </xf>
    <xf numFmtId="3" fontId="30" fillId="0" borderId="85" xfId="0" applyNumberFormat="1" applyFont="1" applyFill="1" applyBorder="1"/>
    <xf numFmtId="3" fontId="28" fillId="25" borderId="76" xfId="0" applyNumberFormat="1" applyFont="1" applyFill="1" applyBorder="1"/>
    <xf numFmtId="3" fontId="28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8" fillId="0" borderId="67" xfId="0" applyNumberFormat="1" applyFont="1" applyBorder="1" applyAlignment="1">
      <alignment vertical="center"/>
    </xf>
    <xf numFmtId="0" fontId="39" fillId="0" borderId="67" xfId="0" applyFont="1" applyBorder="1"/>
    <xf numFmtId="0" fontId="35" fillId="0" borderId="67" xfId="0" applyFont="1" applyBorder="1"/>
    <xf numFmtId="0" fontId="25" fillId="0" borderId="53" xfId="0" applyFont="1" applyBorder="1" applyAlignment="1">
      <alignment horizontal="center" vertical="center" wrapText="1"/>
    </xf>
    <xf numFmtId="0" fontId="25" fillId="0" borderId="114" xfId="0" applyFont="1" applyBorder="1" applyAlignment="1">
      <alignment horizontal="center" vertical="center" wrapText="1"/>
    </xf>
    <xf numFmtId="0" fontId="71" fillId="0" borderId="67" xfId="0" applyFont="1" applyBorder="1"/>
    <xf numFmtId="0" fontId="31" fillId="0" borderId="67" xfId="0" applyFont="1" applyBorder="1"/>
    <xf numFmtId="0" fontId="71" fillId="0" borderId="0" xfId="0" applyFont="1" applyBorder="1"/>
    <xf numFmtId="0" fontId="31" fillId="0" borderId="0" xfId="0" applyFont="1" applyBorder="1"/>
    <xf numFmtId="3" fontId="109" fillId="0" borderId="85" xfId="0" applyNumberFormat="1" applyFont="1" applyBorder="1"/>
    <xf numFmtId="3" fontId="31" fillId="25" borderId="42" xfId="0" applyNumberFormat="1" applyFont="1" applyFill="1" applyBorder="1"/>
    <xf numFmtId="3" fontId="109" fillId="0" borderId="115" xfId="0" applyNumberFormat="1" applyFont="1" applyBorder="1"/>
    <xf numFmtId="0" fontId="56" fillId="0" borderId="25" xfId="0" applyFont="1" applyBorder="1" applyAlignment="1">
      <alignment horizontal="center"/>
    </xf>
    <xf numFmtId="0" fontId="56" fillId="0" borderId="26" xfId="0" applyFont="1" applyBorder="1" applyAlignment="1">
      <alignment horizontal="center" vertical="center"/>
    </xf>
    <xf numFmtId="0" fontId="56" fillId="0" borderId="67" xfId="0" applyFont="1" applyBorder="1" applyAlignment="1">
      <alignment horizontal="center"/>
    </xf>
    <xf numFmtId="0" fontId="56" fillId="0" borderId="131" xfId="0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0" fontId="109" fillId="0" borderId="73" xfId="0" applyFont="1" applyBorder="1" applyAlignment="1">
      <alignment vertical="center" wrapText="1"/>
    </xf>
    <xf numFmtId="3" fontId="56" fillId="0" borderId="67" xfId="0" applyNumberFormat="1" applyFont="1" applyBorder="1"/>
    <xf numFmtId="0" fontId="34" fillId="0" borderId="7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131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8" fillId="0" borderId="131" xfId="0" applyFont="1" applyBorder="1" applyAlignment="1">
      <alignment horizontal="center" vertical="center"/>
    </xf>
    <xf numFmtId="49" fontId="28" fillId="0" borderId="78" xfId="78" applyNumberFormat="1" applyFont="1" applyBorder="1" applyAlignment="1">
      <alignment horizontal="center" vertical="center" wrapText="1"/>
    </xf>
    <xf numFmtId="49" fontId="28" fillId="0" borderId="67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vertical="center" wrapText="1"/>
    </xf>
    <xf numFmtId="3" fontId="28" fillId="0" borderId="67" xfId="78" applyNumberFormat="1" applyFont="1" applyBorder="1" applyAlignment="1">
      <alignment horizontal="center" vertical="center" wrapText="1"/>
    </xf>
    <xf numFmtId="49" fontId="25" fillId="0" borderId="67" xfId="78" applyNumberFormat="1" applyFont="1" applyBorder="1" applyAlignment="1">
      <alignment horizontal="center" vertical="center" wrapText="1"/>
    </xf>
    <xf numFmtId="49" fontId="25" fillId="0" borderId="73" xfId="78" applyNumberFormat="1" applyFont="1" applyBorder="1" applyAlignment="1">
      <alignment horizontal="center" vertical="center" wrapText="1"/>
    </xf>
    <xf numFmtId="49" fontId="25" fillId="0" borderId="76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wrapText="1"/>
    </xf>
    <xf numFmtId="49" fontId="35" fillId="0" borderId="67" xfId="78" applyNumberFormat="1" applyFont="1" applyBorder="1" applyAlignment="1">
      <alignment horizontal="center" vertical="center" wrapText="1"/>
    </xf>
    <xf numFmtId="49" fontId="58" fillId="0" borderId="67" xfId="78" applyNumberFormat="1" applyFont="1" applyBorder="1" applyAlignment="1">
      <alignment horizontal="center" vertical="center" wrapText="1"/>
    </xf>
    <xf numFmtId="3" fontId="28" fillId="0" borderId="73" xfId="78" applyNumberFormat="1" applyFont="1" applyBorder="1" applyAlignment="1">
      <alignment horizontal="center" vertical="center" wrapText="1"/>
    </xf>
    <xf numFmtId="49" fontId="28" fillId="0" borderId="70" xfId="78" applyNumberFormat="1" applyFont="1" applyBorder="1" applyAlignment="1">
      <alignment horizontal="center" vertical="center" wrapText="1"/>
    </xf>
    <xf numFmtId="49" fontId="28" fillId="0" borderId="73" xfId="78" applyNumberFormat="1" applyFont="1" applyBorder="1" applyAlignment="1">
      <alignment horizontal="center" vertical="center" wrapText="1"/>
    </xf>
    <xf numFmtId="0" fontId="30" fillId="0" borderId="67" xfId="78" applyFont="1" applyBorder="1"/>
    <xf numFmtId="0" fontId="30" fillId="0" borderId="67" xfId="78" applyFont="1" applyBorder="1" applyAlignment="1">
      <alignment vertical="center"/>
    </xf>
    <xf numFmtId="0" fontId="35" fillId="0" borderId="67" xfId="78" applyFont="1" applyBorder="1"/>
    <xf numFmtId="3" fontId="25" fillId="0" borderId="71" xfId="78" applyNumberFormat="1" applyFont="1" applyBorder="1" applyAlignment="1">
      <alignment horizontal="center" vertical="center" wrapText="1"/>
    </xf>
    <xf numFmtId="0" fontId="37" fillId="0" borderId="67" xfId="78" applyFont="1" applyBorder="1"/>
    <xf numFmtId="0" fontId="28" fillId="0" borderId="67" xfId="78" applyFont="1" applyBorder="1"/>
    <xf numFmtId="49" fontId="25" fillId="0" borderId="71" xfId="78" applyNumberFormat="1" applyFont="1" applyBorder="1" applyAlignment="1">
      <alignment horizontal="center" vertical="center" wrapText="1"/>
    </xf>
    <xf numFmtId="0" fontId="60" fillId="0" borderId="67" xfId="78" applyFont="1" applyBorder="1"/>
    <xf numFmtId="0" fontId="61" fillId="0" borderId="67" xfId="78" applyFont="1" applyBorder="1"/>
    <xf numFmtId="3" fontId="53" fillId="0" borderId="24" xfId="0" applyNumberFormat="1" applyFont="1" applyBorder="1" applyAlignment="1">
      <alignment vertical="center"/>
    </xf>
    <xf numFmtId="0" fontId="53" fillId="0" borderId="24" xfId="0" applyFont="1" applyBorder="1" applyAlignment="1">
      <alignment vertical="center"/>
    </xf>
    <xf numFmtId="0" fontId="85" fillId="0" borderId="0" xfId="0" applyFont="1" applyBorder="1"/>
    <xf numFmtId="3" fontId="63" fillId="0" borderId="22" xfId="0" applyNumberFormat="1" applyFont="1" applyBorder="1"/>
    <xf numFmtId="3" fontId="35" fillId="0" borderId="0" xfId="74" applyNumberFormat="1" applyFont="1" applyBorder="1"/>
    <xf numFmtId="3" fontId="35" fillId="0" borderId="0" xfId="0" applyNumberFormat="1" applyFont="1" applyBorder="1" applyAlignment="1">
      <alignment vertical="center"/>
    </xf>
    <xf numFmtId="0" fontId="38" fillId="0" borderId="67" xfId="0" applyFont="1" applyBorder="1" applyAlignment="1">
      <alignment horizontal="center" vertical="center"/>
    </xf>
    <xf numFmtId="0" fontId="80" fillId="0" borderId="0" xfId="0" applyFont="1" applyBorder="1" applyAlignment="1">
      <alignment wrapText="1"/>
    </xf>
    <xf numFmtId="0" fontId="39" fillId="0" borderId="0" xfId="0" applyFont="1" applyBorder="1"/>
    <xf numFmtId="3" fontId="35" fillId="0" borderId="0" xfId="78" applyNumberFormat="1" applyFont="1" applyBorder="1" applyAlignment="1">
      <alignment horizontal="right" vertical="center"/>
    </xf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7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3" fontId="109" fillId="0" borderId="34" xfId="71" applyNumberFormat="1" applyFont="1" applyBorder="1" applyAlignment="1">
      <alignment horizontal="right" vertical="center"/>
    </xf>
    <xf numFmtId="3" fontId="109" fillId="0" borderId="59" xfId="71" applyNumberFormat="1" applyFont="1" applyBorder="1" applyAlignment="1">
      <alignment horizontal="right" vertical="center"/>
    </xf>
    <xf numFmtId="0" fontId="156" fillId="0" borderId="0" xfId="75" applyFont="1" applyAlignment="1">
      <alignment horizontal="right"/>
    </xf>
    <xf numFmtId="0" fontId="159" fillId="0" borderId="0" xfId="71" applyFont="1" applyAlignment="1">
      <alignment horizontal="right" vertical="center"/>
    </xf>
    <xf numFmtId="0" fontId="109" fillId="0" borderId="0" xfId="71" applyFont="1" applyAlignment="1">
      <alignment horizontal="center" vertical="center"/>
    </xf>
    <xf numFmtId="0" fontId="1" fillId="0" borderId="0" xfId="70" applyFont="1" applyAlignment="1">
      <alignment vertical="center"/>
    </xf>
    <xf numFmtId="0" fontId="160" fillId="0" borderId="98" xfId="71" applyFont="1" applyFill="1" applyBorder="1" applyAlignment="1">
      <alignment horizontal="center" vertical="center"/>
    </xf>
    <xf numFmtId="0" fontId="160" fillId="0" borderId="99" xfId="71" applyFont="1" applyFill="1" applyBorder="1" applyAlignment="1">
      <alignment horizontal="center" vertical="center"/>
    </xf>
    <xf numFmtId="3" fontId="160" fillId="0" borderId="49" xfId="71" applyNumberFormat="1" applyFont="1" applyFill="1" applyBorder="1" applyAlignment="1">
      <alignment horizontal="center" vertical="center"/>
    </xf>
    <xf numFmtId="3" fontId="160" fillId="0" borderId="27" xfId="71" applyNumberFormat="1" applyFont="1" applyFill="1" applyBorder="1" applyAlignment="1">
      <alignment horizontal="center" vertical="center"/>
    </xf>
    <xf numFmtId="3" fontId="160" fillId="0" borderId="49" xfId="71" applyNumberFormat="1" applyFont="1" applyFill="1" applyBorder="1" applyAlignment="1">
      <alignment horizontal="center" vertical="center" wrapText="1"/>
    </xf>
    <xf numFmtId="3" fontId="160" fillId="0" borderId="27" xfId="71" applyNumberFormat="1" applyFont="1" applyFill="1" applyBorder="1" applyAlignment="1">
      <alignment horizontal="center" vertical="center" wrapText="1"/>
    </xf>
    <xf numFmtId="3" fontId="160" fillId="0" borderId="85" xfId="71" applyNumberFormat="1" applyFont="1" applyFill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75" fillId="0" borderId="98" xfId="71" applyFont="1" applyFill="1" applyBorder="1" applyAlignment="1">
      <alignment horizontal="center" vertical="center"/>
    </xf>
    <xf numFmtId="0" fontId="75" fillId="0" borderId="99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 vertical="top" wrapText="1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48" fillId="0" borderId="34" xfId="71" applyNumberFormat="1" applyFont="1" applyBorder="1" applyAlignment="1">
      <alignment horizontal="right" vertical="center"/>
    </xf>
    <xf numFmtId="3" fontId="148" fillId="0" borderId="59" xfId="71" applyNumberFormat="1" applyFont="1" applyBorder="1" applyAlignment="1">
      <alignment horizontal="right" vertical="center"/>
    </xf>
    <xf numFmtId="0" fontId="116" fillId="0" borderId="0" xfId="71" applyFont="1" applyAlignment="1">
      <alignment horizontal="right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5" xfId="71" applyNumberFormat="1" applyFont="1" applyFill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34" fillId="0" borderId="132" xfId="0" applyFont="1" applyBorder="1" applyAlignment="1">
      <alignment horizontal="center" vertical="center" wrapText="1"/>
    </xf>
    <xf numFmtId="0" fontId="34" fillId="0" borderId="133" xfId="0" applyFont="1" applyBorder="1" applyAlignment="1">
      <alignment horizontal="center" vertical="center" wrapText="1"/>
    </xf>
    <xf numFmtId="0" fontId="25" fillId="0" borderId="11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116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2" xfId="0" applyNumberFormat="1" applyFont="1" applyBorder="1" applyAlignment="1">
      <alignment horizontal="right"/>
    </xf>
    <xf numFmtId="0" fontId="0" fillId="0" borderId="92" xfId="0" applyBorder="1" applyAlignment="1"/>
    <xf numFmtId="0" fontId="29" fillId="0" borderId="24" xfId="0" applyFont="1" applyBorder="1" applyAlignment="1">
      <alignment horizontal="center" vertical="center" wrapText="1"/>
    </xf>
    <xf numFmtId="0" fontId="109" fillId="0" borderId="100" xfId="0" applyFont="1" applyBorder="1" applyAlignment="1">
      <alignment horizontal="center" vertical="center" wrapText="1"/>
    </xf>
    <xf numFmtId="3" fontId="109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0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1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3" fontId="25" fillId="0" borderId="104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5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2" xfId="0" applyFont="1" applyBorder="1" applyAlignment="1">
      <alignment horizontal="right"/>
    </xf>
    <xf numFmtId="0" fontId="0" fillId="0" borderId="92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6" xfId="0" applyFont="1" applyBorder="1" applyAlignment="1">
      <alignment horizontal="center" vertical="center"/>
    </xf>
    <xf numFmtId="3" fontId="25" fillId="0" borderId="97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2" fillId="0" borderId="97" xfId="0" applyNumberFormat="1" applyFont="1" applyBorder="1" applyAlignment="1">
      <alignment horizontal="center" vertical="center"/>
    </xf>
    <xf numFmtId="0" fontId="64" fillId="0" borderId="49" xfId="0" applyFont="1" applyFill="1" applyBorder="1" applyAlignment="1"/>
    <xf numFmtId="0" fontId="78" fillId="0" borderId="85" xfId="0" applyFont="1" applyBorder="1" applyAlignment="1"/>
    <xf numFmtId="0" fontId="64" fillId="0" borderId="115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3" fontId="64" fillId="0" borderId="107" xfId="0" applyNumberFormat="1" applyFont="1" applyBorder="1" applyAlignment="1">
      <alignment horizontal="center" vertical="center" wrapText="1"/>
    </xf>
    <xf numFmtId="3" fontId="57" fillId="0" borderId="108" xfId="0" applyNumberFormat="1" applyFont="1" applyBorder="1" applyAlignment="1">
      <alignment horizontal="center" vertical="center" wrapText="1"/>
    </xf>
    <xf numFmtId="3" fontId="57" fillId="0" borderId="109" xfId="0" applyNumberFormat="1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textRotation="255"/>
    </xf>
    <xf numFmtId="0" fontId="57" fillId="0" borderId="111" xfId="0" applyFont="1" applyBorder="1" applyAlignment="1">
      <alignment horizontal="center" vertical="center" textRotation="255"/>
    </xf>
    <xf numFmtId="0" fontId="0" fillId="0" borderId="112" xfId="0" applyBorder="1" applyAlignment="1"/>
    <xf numFmtId="3" fontId="64" fillId="0" borderId="113" xfId="0" applyNumberFormat="1" applyFont="1" applyBorder="1" applyAlignment="1">
      <alignment horizontal="center" vertical="center" wrapText="1"/>
    </xf>
    <xf numFmtId="3" fontId="64" fillId="0" borderId="114" xfId="0" applyNumberFormat="1" applyFont="1" applyBorder="1" applyAlignment="1">
      <alignment horizontal="center" vertical="center" wrapText="1"/>
    </xf>
    <xf numFmtId="3" fontId="64" fillId="0" borderId="16" xfId="0" applyNumberFormat="1" applyFont="1" applyBorder="1" applyAlignment="1">
      <alignment horizontal="center" vertical="center"/>
    </xf>
    <xf numFmtId="3" fontId="64" fillId="0" borderId="116" xfId="0" applyNumberFormat="1" applyFont="1" applyBorder="1" applyAlignment="1">
      <alignment horizontal="center" vertical="center"/>
    </xf>
    <xf numFmtId="3" fontId="64" fillId="0" borderId="118" xfId="0" applyNumberFormat="1" applyFont="1" applyBorder="1" applyAlignment="1">
      <alignment horizontal="center" vertical="center"/>
    </xf>
    <xf numFmtId="3" fontId="64" fillId="0" borderId="117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0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58" fillId="0" borderId="0" xfId="0" applyNumberFormat="1" applyFont="1" applyAlignment="1">
      <alignment horizontal="center"/>
    </xf>
    <xf numFmtId="3" fontId="64" fillId="0" borderId="60" xfId="0" applyNumberFormat="1" applyFont="1" applyBorder="1" applyAlignment="1">
      <alignment horizontal="right"/>
    </xf>
    <xf numFmtId="3" fontId="64" fillId="0" borderId="108" xfId="0" applyNumberFormat="1" applyFont="1" applyBorder="1" applyAlignment="1">
      <alignment horizontal="center" vertical="center" wrapText="1"/>
    </xf>
    <xf numFmtId="0" fontId="64" fillId="0" borderId="122" xfId="0" applyFont="1" applyBorder="1" applyAlignment="1">
      <alignment horizontal="center" vertical="center" readingOrder="2"/>
    </xf>
    <xf numFmtId="0" fontId="78" fillId="0" borderId="120" xfId="0" applyFont="1" applyBorder="1" applyAlignment="1">
      <alignment horizontal="center" vertical="center"/>
    </xf>
    <xf numFmtId="0" fontId="57" fillId="0" borderId="101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0" fontId="90" fillId="0" borderId="90" xfId="0" applyFont="1" applyBorder="1" applyAlignment="1">
      <alignment horizontal="center" vertical="center" wrapText="1"/>
    </xf>
    <xf numFmtId="0" fontId="90" fillId="0" borderId="67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3" xfId="0" applyFont="1" applyBorder="1" applyAlignment="1">
      <alignment horizontal="left"/>
    </xf>
    <xf numFmtId="3" fontId="64" fillId="0" borderId="123" xfId="0" applyNumberFormat="1" applyFont="1" applyBorder="1" applyAlignment="1">
      <alignment horizontal="center"/>
    </xf>
    <xf numFmtId="3" fontId="89" fillId="0" borderId="124" xfId="0" applyNumberFormat="1" applyFont="1" applyBorder="1" applyAlignment="1">
      <alignment horizontal="center"/>
    </xf>
    <xf numFmtId="3" fontId="90" fillId="0" borderId="123" xfId="0" applyNumberFormat="1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3" fontId="90" fillId="0" borderId="125" xfId="0" applyNumberFormat="1" applyFont="1" applyBorder="1" applyAlignment="1">
      <alignment horizontal="center" vertical="center" wrapText="1"/>
    </xf>
    <xf numFmtId="3" fontId="90" fillId="0" borderId="62" xfId="0" applyNumberFormat="1" applyFont="1" applyBorder="1" applyAlignment="1">
      <alignment horizontal="center" vertical="center" wrapText="1"/>
    </xf>
    <xf numFmtId="0" fontId="88" fillId="0" borderId="126" xfId="0" applyFont="1" applyBorder="1" applyAlignment="1">
      <alignment horizontal="center" vertical="center" wrapText="1"/>
    </xf>
    <xf numFmtId="0" fontId="90" fillId="0" borderId="92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6" xfId="0" applyFont="1" applyBorder="1" applyAlignment="1">
      <alignment horizontal="center"/>
    </xf>
    <xf numFmtId="0" fontId="156" fillId="0" borderId="0" xfId="0" applyFont="1" applyBorder="1" applyAlignment="1">
      <alignment horizontal="right"/>
    </xf>
    <xf numFmtId="0" fontId="154" fillId="0" borderId="0" xfId="0" applyFont="1" applyBorder="1" applyAlignment="1">
      <alignment horizontal="right"/>
    </xf>
    <xf numFmtId="0" fontId="155" fillId="0" borderId="0" xfId="0" applyFont="1" applyAlignment="1"/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07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25" fillId="0" borderId="10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43" fillId="0" borderId="0" xfId="0" applyFont="1" applyAlignment="1">
      <alignment horizontal="left" wrapText="1"/>
    </xf>
    <xf numFmtId="0" fontId="55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8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2" fillId="0" borderId="24" xfId="72" applyFont="1" applyBorder="1" applyAlignment="1">
      <alignment horizontal="center"/>
    </xf>
    <xf numFmtId="0" fontId="48" fillId="0" borderId="100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48" fillId="0" borderId="93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0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5" xfId="72" applyFont="1" applyBorder="1" applyAlignment="1">
      <alignment horizontal="center"/>
    </xf>
    <xf numFmtId="0" fontId="100" fillId="0" borderId="100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 wrapText="1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1" xfId="77" applyFont="1" applyBorder="1" applyAlignment="1">
      <alignment horizontal="center" vertical="center"/>
    </xf>
    <xf numFmtId="0" fontId="53" fillId="0" borderId="92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4" customWidth="1"/>
    <col min="2" max="2" width="36.28515625" style="154" customWidth="1"/>
    <col min="3" max="3" width="13.28515625" style="155" customWidth="1"/>
    <col min="4" max="4" width="11.140625" style="155" customWidth="1"/>
    <col min="5" max="5" width="13.42578125" style="155" customWidth="1"/>
    <col min="6" max="6" width="36.85546875" style="155" customWidth="1"/>
    <col min="7" max="8" width="12" style="155" customWidth="1"/>
    <col min="9" max="9" width="14" style="155" customWidth="1"/>
    <col min="10" max="12" width="0" style="154" hidden="1" customWidth="1"/>
    <col min="13" max="22" width="9.140625" style="154"/>
    <col min="23" max="16384" width="9.140625" style="10"/>
  </cols>
  <sheetData>
    <row r="1" spans="1:22" ht="12.75" customHeight="1" x14ac:dyDescent="0.2">
      <c r="A1" s="1268" t="s">
        <v>1395</v>
      </c>
      <c r="B1" s="1268"/>
      <c r="C1" s="1268"/>
      <c r="D1" s="1268"/>
      <c r="E1" s="1268"/>
      <c r="F1" s="1268"/>
      <c r="G1" s="1268"/>
      <c r="H1" s="1268"/>
      <c r="I1" s="1268"/>
    </row>
    <row r="2" spans="1:22" ht="20.25" x14ac:dyDescent="0.3">
      <c r="B2" s="913"/>
      <c r="I2" s="156"/>
    </row>
    <row r="3" spans="1:22" s="122" customFormat="1" x14ac:dyDescent="0.2">
      <c r="A3" s="157"/>
      <c r="B3" s="1271" t="s">
        <v>54</v>
      </c>
      <c r="C3" s="1271"/>
      <c r="D3" s="1271"/>
      <c r="E3" s="1271"/>
      <c r="F3" s="1271"/>
      <c r="G3" s="1271"/>
      <c r="H3" s="1271"/>
      <c r="I3" s="1271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</row>
    <row r="4" spans="1:22" s="122" customFormat="1" x14ac:dyDescent="0.2">
      <c r="A4" s="157"/>
      <c r="B4" s="1273" t="s">
        <v>1149</v>
      </c>
      <c r="C4" s="1273"/>
      <c r="D4" s="1273"/>
      <c r="E4" s="1273"/>
      <c r="F4" s="1273"/>
      <c r="G4" s="1273"/>
      <c r="H4" s="1273"/>
      <c r="I4" s="1273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</row>
    <row r="5" spans="1:22" s="122" customFormat="1" x14ac:dyDescent="0.2">
      <c r="A5" s="157"/>
      <c r="B5" s="1272" t="s">
        <v>305</v>
      </c>
      <c r="C5" s="1272"/>
      <c r="D5" s="1272"/>
      <c r="E5" s="1272"/>
      <c r="F5" s="1272"/>
      <c r="G5" s="1272"/>
      <c r="H5" s="1272"/>
      <c r="I5" s="1272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</row>
    <row r="6" spans="1:22" s="122" customFormat="1" ht="12.75" customHeight="1" x14ac:dyDescent="0.2">
      <c r="A6" s="1276" t="s">
        <v>56</v>
      </c>
      <c r="B6" s="1277" t="s">
        <v>57</v>
      </c>
      <c r="C6" s="1278" t="s">
        <v>58</v>
      </c>
      <c r="D6" s="1278"/>
      <c r="E6" s="1279"/>
      <c r="F6" s="1280" t="s">
        <v>59</v>
      </c>
      <c r="G6" s="1274" t="s">
        <v>60</v>
      </c>
      <c r="H6" s="1275"/>
      <c r="I6" s="1275"/>
      <c r="J6" s="157"/>
      <c r="K6" s="157"/>
      <c r="L6" s="157"/>
      <c r="M6" s="157"/>
      <c r="N6" s="157"/>
      <c r="O6" s="157"/>
      <c r="P6" s="157"/>
    </row>
    <row r="7" spans="1:22" s="122" customFormat="1" ht="12.75" customHeight="1" x14ac:dyDescent="0.2">
      <c r="A7" s="1276"/>
      <c r="B7" s="1277"/>
      <c r="C7" s="1269" t="s">
        <v>1137</v>
      </c>
      <c r="D7" s="1269"/>
      <c r="E7" s="1270"/>
      <c r="F7" s="1281"/>
      <c r="G7" s="1269" t="s">
        <v>1137</v>
      </c>
      <c r="H7" s="1269"/>
      <c r="I7" s="1269"/>
      <c r="J7" s="157"/>
      <c r="K7" s="157"/>
      <c r="L7" s="157"/>
      <c r="M7" s="157"/>
      <c r="N7" s="157"/>
      <c r="O7" s="157"/>
      <c r="P7" s="157"/>
    </row>
    <row r="8" spans="1:22" s="123" customFormat="1" ht="36.6" customHeight="1" x14ac:dyDescent="0.2">
      <c r="A8" s="1276"/>
      <c r="B8" s="158" t="s">
        <v>61</v>
      </c>
      <c r="C8" s="134" t="s">
        <v>62</v>
      </c>
      <c r="D8" s="134" t="s">
        <v>63</v>
      </c>
      <c r="E8" s="159" t="s">
        <v>64</v>
      </c>
      <c r="F8" s="160" t="s">
        <v>65</v>
      </c>
      <c r="G8" s="134" t="s">
        <v>62</v>
      </c>
      <c r="H8" s="134" t="s">
        <v>63</v>
      </c>
      <c r="I8" s="134" t="s">
        <v>64</v>
      </c>
      <c r="J8" s="184"/>
      <c r="K8" s="184"/>
      <c r="L8" s="184"/>
      <c r="M8" s="184"/>
      <c r="N8" s="184"/>
      <c r="O8" s="184"/>
      <c r="P8" s="184"/>
    </row>
    <row r="9" spans="1:22" ht="11.45" customHeight="1" x14ac:dyDescent="0.2">
      <c r="A9" s="161">
        <v>1</v>
      </c>
      <c r="B9" s="162" t="s">
        <v>24</v>
      </c>
      <c r="C9" s="163"/>
      <c r="D9" s="163"/>
      <c r="E9" s="163"/>
      <c r="F9" s="137" t="s">
        <v>25</v>
      </c>
      <c r="G9" s="163"/>
      <c r="H9" s="163"/>
      <c r="I9" s="439"/>
      <c r="J9" s="177"/>
      <c r="Q9" s="10"/>
      <c r="R9" s="10"/>
      <c r="S9" s="10"/>
      <c r="T9" s="10"/>
      <c r="U9" s="10"/>
      <c r="V9" s="10"/>
    </row>
    <row r="10" spans="1:22" x14ac:dyDescent="0.2">
      <c r="A10" s="161">
        <f t="shared" ref="A10:A55" si="0">A9+1</f>
        <v>2</v>
      </c>
      <c r="B10" s="164" t="s">
        <v>197</v>
      </c>
      <c r="C10" s="291"/>
      <c r="D10" s="291"/>
      <c r="E10" s="279"/>
      <c r="F10" s="482" t="s">
        <v>215</v>
      </c>
      <c r="G10" s="286">
        <f>'pü.mérleg Önkorm.'!G10+'pü.mérleg Hivatal'!H12+'püm. GAMESZ. '!G12+'püm-TASZII.'!G12+püm.Brunszvik!G12+'püm Festetics'!G12</f>
        <v>602487</v>
      </c>
      <c r="H10" s="286">
        <f>'pü.mérleg Önkorm.'!H10+'pü.mérleg Hivatal'!I12+'püm. GAMESZ. '!H12+'püm-TASZII.'!H12+püm.Brunszvik!H12+'püm Festetics'!H12</f>
        <v>405477</v>
      </c>
      <c r="I10" s="881">
        <f>SUM(G10:H10)</f>
        <v>1007964</v>
      </c>
      <c r="J10" s="166" t="e">
        <f>'pü.mérleg Önkorm.'!#REF!+'pü.mérleg Hivatal'!#REF!+'püm. GAMESZ. '!#REF!+püm.Brunszvik!#REF!+'püm-TASZII.'!#REF!</f>
        <v>#REF!</v>
      </c>
      <c r="K10" s="155" t="e">
        <f>'pü.mérleg Önkorm.'!#REF!+'pü.mérleg Hivatal'!#REF!+'püm. GAMESZ. '!#REF!++'püm-TASZII.'!#REF!+püm.Brunszvik!#REF!</f>
        <v>#REF!</v>
      </c>
      <c r="L10" s="155" t="e">
        <f>'pü.mérleg Önkorm.'!#REF!+'pü.mérleg Hivatal'!#REF!+'püm. GAMESZ. '!#REF!+püm.Brunszvik!#REF!+'püm-TASZII.'!#REF!</f>
        <v>#REF!</v>
      </c>
      <c r="N10" s="155"/>
      <c r="Q10" s="10"/>
      <c r="R10" s="10"/>
      <c r="S10" s="10"/>
      <c r="T10" s="10"/>
      <c r="U10" s="10"/>
      <c r="V10" s="10"/>
    </row>
    <row r="11" spans="1:22" x14ac:dyDescent="0.2">
      <c r="A11" s="161">
        <f t="shared" si="0"/>
        <v>3</v>
      </c>
      <c r="B11" s="164" t="s">
        <v>191</v>
      </c>
      <c r="C11" s="284">
        <f>'tám, végl. pe.átv  '!C11+'tám, végl. pe.átv  '!C17+'tám, végl. pe.átv  '!C18</f>
        <v>812195</v>
      </c>
      <c r="D11" s="284">
        <f>'tám, végl. pe.átv  '!D11+'tám, végl. pe.átv  '!D17+'tám, végl. pe.átv  '!D18</f>
        <v>129474</v>
      </c>
      <c r="E11" s="284">
        <f>'tám, végl. pe.átv  '!E11+'tám, végl. pe.átv  '!E17+'tám, végl. pe.átv  '!E18</f>
        <v>941669</v>
      </c>
      <c r="F11" s="842" t="s">
        <v>216</v>
      </c>
      <c r="G11" s="286">
        <f>'pü.mérleg Önkorm.'!G11+'pü.mérleg Hivatal'!H13+'püm. GAMESZ. '!G13+püm.Brunszvik!G13+'püm-TASZII.'!G13+'püm Festetics'!G13</f>
        <v>121531</v>
      </c>
      <c r="H11" s="286">
        <f>'pü.mérleg Önkorm.'!H11+'pü.mérleg Hivatal'!I13+'püm. GAMESZ. '!H13+püm.Brunszvik!H13+'püm-TASZII.'!H13+'püm Festetics'!H13</f>
        <v>86230</v>
      </c>
      <c r="I11" s="458">
        <f>SUM(G11:H11)</f>
        <v>207761</v>
      </c>
      <c r="J11" s="155" t="e">
        <f>'pü.mérleg Önkorm.'!#REF!+'pü.mérleg Hivatal'!#REF!+'püm. GAMESZ. '!#REF!+püm.Brunszvik!#REF!+'püm-TASZII.'!#REF!</f>
        <v>#REF!</v>
      </c>
      <c r="K11" s="155" t="e">
        <f>'pü.mérleg Önkorm.'!#REF!+'pü.mérleg Hivatal'!#REF!+'püm. GAMESZ. '!#REF!+püm.Brunszvik!#REF!+'püm-TASZII.'!#REF!</f>
        <v>#REF!</v>
      </c>
      <c r="L11" s="155" t="e">
        <f>'pü.mérleg Önkorm.'!#REF!+'pü.mérleg Hivatal'!#REF!+'püm. GAMESZ. '!#REF!+püm.Brunszvik!#REF!+'püm-TASZII.'!#REF!</f>
        <v>#REF!</v>
      </c>
      <c r="N11" s="155"/>
      <c r="Q11" s="10"/>
      <c r="R11" s="10"/>
      <c r="S11" s="10"/>
      <c r="T11" s="10"/>
      <c r="U11" s="10"/>
      <c r="V11" s="10"/>
    </row>
    <row r="12" spans="1:22" x14ac:dyDescent="0.2">
      <c r="A12" s="161">
        <f t="shared" si="0"/>
        <v>4</v>
      </c>
      <c r="B12" s="164" t="s">
        <v>189</v>
      </c>
      <c r="C12" s="284">
        <f>'pü.mérleg Önkorm.'!C12</f>
        <v>0</v>
      </c>
      <c r="D12" s="284">
        <f>'pü.mérleg Önkorm.'!D12</f>
        <v>0</v>
      </c>
      <c r="E12" s="284">
        <f>'pü.mérleg Önkorm.'!E12</f>
        <v>0</v>
      </c>
      <c r="F12" s="482" t="s">
        <v>217</v>
      </c>
      <c r="G12" s="286">
        <f>'pü.mérleg Önkorm.'!G12+'pü.mérleg Hivatal'!H14+'püm. GAMESZ. '!G14+püm.Brunszvik!G14+'püm-TASZII.'!G14+'püm Festetics'!G14</f>
        <v>713876</v>
      </c>
      <c r="H12" s="286">
        <f>'pü.mérleg Önkorm.'!H12+'pü.mérleg Hivatal'!I14+'püm. GAMESZ. '!H14+püm.Brunszvik!H14+'püm-TASZII.'!H14+'püm Festetics'!H14</f>
        <v>584018</v>
      </c>
      <c r="I12" s="458">
        <f>SUM(G12:H12)</f>
        <v>1297894</v>
      </c>
      <c r="J12" s="155" t="e">
        <f>'pü.mérleg Önkorm.'!#REF!+'pü.mérleg Hivatal'!#REF!+'püm. GAMESZ. '!#REF!+püm.Brunszvik!#REF!+'püm-TASZII.'!#REF!</f>
        <v>#REF!</v>
      </c>
      <c r="K12" s="155" t="e">
        <f>'pü.mérleg Önkorm.'!#REF!+'pü.mérleg Hivatal'!#REF!+'püm. GAMESZ. '!#REF!+püm.Brunszvik!#REF!+'püm-TASZII.'!#REF!</f>
        <v>#REF!</v>
      </c>
      <c r="L12" s="155" t="e">
        <f>'pü.mérleg Önkorm.'!#REF!+'pü.mérleg Hivatal'!#REF!+'püm. GAMESZ. '!#REF!+püm.Brunszvik!#REF!+'püm-TASZII.'!#REF!</f>
        <v>#REF!</v>
      </c>
      <c r="N12" s="155"/>
      <c r="Q12" s="10"/>
      <c r="R12" s="10"/>
      <c r="S12" s="10"/>
      <c r="T12" s="10"/>
      <c r="U12" s="10"/>
      <c r="V12" s="10"/>
    </row>
    <row r="13" spans="1:22" ht="12" customHeight="1" x14ac:dyDescent="0.2">
      <c r="A13" s="161">
        <f t="shared" si="0"/>
        <v>5</v>
      </c>
      <c r="B13" s="521" t="s">
        <v>192</v>
      </c>
      <c r="C13" s="284">
        <f>'tám, végl. pe.átv  '!C39+'tám, végl. pe.átv  '!C49+'tám, végl. pe.átv  '!C55+'tám, végl. pe.átv  '!C72</f>
        <v>80341</v>
      </c>
      <c r="D13" s="284">
        <f>'tám, végl. pe.átv  '!D39+'tám, végl. pe.átv  '!D49+'tám, végl. pe.átv  '!D55+'tám, végl. pe.átv  '!D72+'tám, végl. pe.átv  '!D60</f>
        <v>6342</v>
      </c>
      <c r="E13" s="284">
        <f>'tám, végl. pe.átv  '!E39+'tám, végl. pe.átv  '!E49+'tám, végl. pe.átv  '!E55+'tám, végl. pe.átv  '!E72+'tám, végl. pe.átv  '!E60</f>
        <v>86683</v>
      </c>
      <c r="F13" s="482"/>
      <c r="G13" s="284"/>
      <c r="H13" s="284"/>
      <c r="I13" s="881"/>
      <c r="J13" s="177"/>
      <c r="O13" s="177"/>
      <c r="Q13" s="10"/>
      <c r="R13" s="10"/>
      <c r="S13" s="10"/>
      <c r="T13" s="10"/>
      <c r="U13" s="10"/>
      <c r="V13" s="10"/>
    </row>
    <row r="14" spans="1:22" x14ac:dyDescent="0.2">
      <c r="A14" s="161">
        <f t="shared" si="0"/>
        <v>6</v>
      </c>
      <c r="B14" s="164" t="s">
        <v>1117</v>
      </c>
      <c r="C14" s="284"/>
      <c r="D14" s="284"/>
      <c r="E14" s="286"/>
      <c r="F14" s="482" t="s">
        <v>218</v>
      </c>
      <c r="G14" s="286">
        <f>'pü.mérleg Önkorm.'!G14+'pü.mérleg Hivatal'!H16</f>
        <v>2526</v>
      </c>
      <c r="H14" s="286">
        <f>'pü.mérleg Önkorm.'!H14+'pü.mérleg Hivatal'!I16</f>
        <v>11113</v>
      </c>
      <c r="I14" s="458">
        <f>'pü.mérleg Önkorm.'!I14+'pü.mérleg Hivatal'!J16</f>
        <v>13639</v>
      </c>
      <c r="J14" s="155" t="e">
        <f>'pü.mérleg Önkorm.'!#REF!+'pü.mérleg Hivatal'!#REF!</f>
        <v>#REF!</v>
      </c>
      <c r="K14" s="155" t="e">
        <f>'pü.mérleg Önkorm.'!#REF!+'pü.mérleg Hivatal'!#REF!</f>
        <v>#REF!</v>
      </c>
      <c r="L14" s="155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1">
        <f t="shared" si="0"/>
        <v>7</v>
      </c>
      <c r="B15" s="164" t="s">
        <v>1115</v>
      </c>
      <c r="C15" s="284">
        <f>'pü.mérleg Önkorm.'!C15</f>
        <v>0</v>
      </c>
      <c r="D15" s="284">
        <f>'pü.mérleg Önkorm.'!D15</f>
        <v>0</v>
      </c>
      <c r="E15" s="284">
        <f>'pü.mérleg Önkorm.'!E15</f>
        <v>0</v>
      </c>
      <c r="F15" s="482"/>
      <c r="G15" s="286"/>
      <c r="H15" s="286"/>
      <c r="I15" s="458"/>
      <c r="J15" s="155"/>
      <c r="K15" s="155"/>
      <c r="L15" s="155"/>
      <c r="Q15" s="10"/>
      <c r="R15" s="10"/>
      <c r="S15" s="10"/>
      <c r="T15" s="10"/>
      <c r="U15" s="10"/>
      <c r="V15" s="10"/>
    </row>
    <row r="16" spans="1:22" x14ac:dyDescent="0.2">
      <c r="A16" s="161">
        <f t="shared" si="0"/>
        <v>8</v>
      </c>
      <c r="B16" s="1080" t="s">
        <v>1116</v>
      </c>
      <c r="C16" s="284">
        <f>'pü.mérleg Önkorm.'!C16+'pü.mérleg Hivatal'!D16+'püm. GAMESZ. '!C16+püm.Brunszvik!C16+'püm Festetics'!C16+'püm-TASZII.'!C16</f>
        <v>621278</v>
      </c>
      <c r="D16" s="284">
        <f>'pü.mérleg Önkorm.'!D16+'pü.mérleg Hivatal'!E16+'püm. GAMESZ. '!D16+püm.Brunszvik!D16+'püm Festetics'!D16+'püm-TASZII.'!D16</f>
        <v>14540</v>
      </c>
      <c r="E16" s="284">
        <f>'pü.mérleg Önkorm.'!E16+'pü.mérleg Hivatal'!F16+'püm. GAMESZ. '!E16+püm.Brunszvik!E16+'püm Festetics'!E16+'püm-TASZII.'!E16</f>
        <v>635818</v>
      </c>
      <c r="F16" s="482" t="s">
        <v>219</v>
      </c>
      <c r="G16" s="286"/>
      <c r="H16" s="286"/>
      <c r="I16" s="881"/>
      <c r="J16" s="177"/>
      <c r="Q16" s="10"/>
      <c r="R16" s="10"/>
      <c r="S16" s="10"/>
      <c r="T16" s="10"/>
      <c r="U16" s="10"/>
      <c r="V16" s="10"/>
    </row>
    <row r="17" spans="1:22" x14ac:dyDescent="0.2">
      <c r="A17" s="161">
        <f t="shared" si="0"/>
        <v>9</v>
      </c>
      <c r="B17" s="164" t="s">
        <v>193</v>
      </c>
      <c r="C17" s="284">
        <f>'pü.mérleg Önkorm.'!C17+'püm. GAMESZ. '!C18+püm.Brunszvik!C18+'püm-TASZII.'!C18+'pü.mérleg Hivatal'!D17+püm.Brunszvik!C18</f>
        <v>527224</v>
      </c>
      <c r="D17" s="284">
        <f>'mük. bev.Önkor és Hivatal '!F40</f>
        <v>876260</v>
      </c>
      <c r="E17" s="286">
        <f>SUM(C17:D17)</f>
        <v>1403484</v>
      </c>
      <c r="F17" s="482" t="s">
        <v>220</v>
      </c>
      <c r="G17" s="286">
        <f>'pü.mérleg Önkorm.'!G17+'pü.mérleg Hivatal'!H18</f>
        <v>9789</v>
      </c>
      <c r="H17" s="286">
        <f>'pü.mérleg Önkorm.'!H17+'pü.mérleg Hivatal'!I18</f>
        <v>58149</v>
      </c>
      <c r="I17" s="458">
        <f>'pü.mérleg Önkorm.'!I17+'pü.mérleg Hivatal'!J18</f>
        <v>67938</v>
      </c>
      <c r="J17" s="279">
        <f>'pü.mérleg Önkorm.'!J17+'pü.mérleg Hivatal'!K18</f>
        <v>0</v>
      </c>
      <c r="K17" s="279">
        <f>'pü.mérleg Önkorm.'!K17+'pü.mérleg Hivatal'!L18</f>
        <v>0</v>
      </c>
      <c r="L17" s="279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61">
        <f t="shared" si="0"/>
        <v>10</v>
      </c>
      <c r="B18" s="167" t="s">
        <v>40</v>
      </c>
      <c r="C18" s="284">
        <f>'pü.mérleg Önkorm.'!C18+'püm. GAMESZ. '!C19+püm.Brunszvik!C19+'püm-TASZII.'!C19+'pü.mérleg Hivatal'!D18+püm.Brunszvik!C19</f>
        <v>0</v>
      </c>
      <c r="D18" s="1262"/>
      <c r="E18" s="1262"/>
      <c r="F18" s="482" t="s">
        <v>221</v>
      </c>
      <c r="G18" s="286">
        <f>'pü.mérleg Önkorm.'!G18+'pü.mérleg Hivatal'!H19</f>
        <v>159098</v>
      </c>
      <c r="H18" s="286">
        <f>'pü.mérleg Önkorm.'!H18+'pü.mérleg Hivatal'!I19</f>
        <v>175035</v>
      </c>
      <c r="I18" s="286">
        <f>'pü.mérleg Önkorm.'!I18+'pü.mérleg Hivatal'!J19</f>
        <v>334133</v>
      </c>
      <c r="J18" s="155" t="e">
        <f>'pü.mérleg Önkorm.'!#REF!</f>
        <v>#REF!</v>
      </c>
      <c r="K18" s="155" t="e">
        <f>'pü.mérleg Önkorm.'!#REF!</f>
        <v>#REF!</v>
      </c>
      <c r="L18" s="155" t="e">
        <f>'pü.mérleg Önkorm.'!#REF!</f>
        <v>#REF!</v>
      </c>
      <c r="M18" s="181"/>
      <c r="Q18" s="10"/>
      <c r="R18" s="10"/>
      <c r="S18" s="10"/>
      <c r="T18" s="10"/>
      <c r="U18" s="10"/>
      <c r="V18" s="10"/>
    </row>
    <row r="19" spans="1:22" x14ac:dyDescent="0.2">
      <c r="A19" s="161">
        <f t="shared" si="0"/>
        <v>11</v>
      </c>
      <c r="B19" s="167"/>
      <c r="C19" s="284"/>
      <c r="D19" s="1262"/>
      <c r="E19" s="1262"/>
      <c r="F19" s="482" t="s">
        <v>222</v>
      </c>
      <c r="G19" s="286">
        <f>'pü.mérleg Önkorm.'!G19+'pü.mérleg Hivatal'!H20+'püm. GAMESZ. '!G20+püm.Brunszvik!G20+'püm Festetics'!G20+'püm-TASZII.'!G20</f>
        <v>0</v>
      </c>
      <c r="H19" s="286">
        <f>'pü.mérleg Önkorm.'!H19+'pü.mérleg Hivatal'!I20+'püm. GAMESZ. '!H20+püm.Brunszvik!H20+'püm Festetics'!H20+'püm-TASZII.'!H20</f>
        <v>0</v>
      </c>
      <c r="I19" s="286">
        <f>'pü.mérleg Önkorm.'!I19+'pü.mérleg Hivatal'!J20+'püm. GAMESZ. '!I20+püm.Brunszvik!I20+'püm Festetics'!I20+'püm-TASZII.'!I20</f>
        <v>0</v>
      </c>
      <c r="J19" s="119">
        <f>'pü.mérleg Önkorm.'!J19+'pü.mérleg Hivatal'!K20+'püm. GAMESZ. '!J20+püm.Brunszvik!J20+'püm Festetics'!J20+'püm-TASZII.'!J20</f>
        <v>0</v>
      </c>
      <c r="K19" s="119">
        <f>'pü.mérleg Önkorm.'!K19+'pü.mérleg Hivatal'!L20+'püm. GAMESZ. '!K20+püm.Brunszvik!K20+'püm Festetics'!K20+'püm-TASZII.'!K20</f>
        <v>0</v>
      </c>
      <c r="L19" s="119">
        <f>'pü.mérleg Önkorm.'!L19+'pü.mérleg Hivatal'!M20+'püm. GAMESZ. '!L20+püm.Brunszvik!L20+'püm Festetics'!L20+'püm-TASZII.'!L20</f>
        <v>0</v>
      </c>
      <c r="M19" s="181"/>
      <c r="Q19" s="10"/>
      <c r="R19" s="10"/>
      <c r="S19" s="10"/>
      <c r="T19" s="10"/>
      <c r="U19" s="10"/>
      <c r="V19" s="10"/>
    </row>
    <row r="20" spans="1:22" x14ac:dyDescent="0.2">
      <c r="A20" s="161">
        <f t="shared" si="0"/>
        <v>12</v>
      </c>
      <c r="B20" s="116" t="s">
        <v>194</v>
      </c>
      <c r="C20" s="284">
        <f>'pü.mérleg Önkorm.'!C20+'pü.mérleg Hivatal'!D20+'püm. GAMESZ. '!C20+püm.Brunszvik!C20+'püm-TASZII.'!C20+'püm Festetics'!C20</f>
        <v>317530</v>
      </c>
      <c r="D20" s="284">
        <f>'pü.mérleg Önkorm.'!D20+'pü.mérleg Hivatal'!E20+'püm. GAMESZ. '!D20+püm.Brunszvik!D20+'püm-TASZII.'!D20+'püm Festetics'!D20</f>
        <v>237221</v>
      </c>
      <c r="E20" s="284">
        <f>SUM(C20:D20)</f>
        <v>554751</v>
      </c>
      <c r="F20" s="482" t="s">
        <v>223</v>
      </c>
      <c r="G20" s="286"/>
      <c r="H20" s="286">
        <f>'pü.mérleg Önkorm.'!H20</f>
        <v>2469</v>
      </c>
      <c r="I20" s="881">
        <f>SUM(G20:H20)</f>
        <v>2469</v>
      </c>
      <c r="J20" s="177"/>
      <c r="Q20" s="10"/>
      <c r="R20" s="10"/>
      <c r="S20" s="10"/>
      <c r="T20" s="10"/>
      <c r="U20" s="10"/>
      <c r="V20" s="10"/>
    </row>
    <row r="21" spans="1:22" x14ac:dyDescent="0.2">
      <c r="A21" s="161">
        <f t="shared" si="0"/>
        <v>13</v>
      </c>
      <c r="C21" s="1262"/>
      <c r="D21" s="1262"/>
      <c r="E21" s="1262"/>
      <c r="F21" s="482" t="s">
        <v>224</v>
      </c>
      <c r="G21" s="286">
        <f>'pü.mérleg Önkorm.'!G21</f>
        <v>130068</v>
      </c>
      <c r="H21" s="286">
        <f>'pü.mérleg Önkorm.'!H21</f>
        <v>1789</v>
      </c>
      <c r="I21" s="881">
        <f>SUM(G21:H21)</f>
        <v>131857</v>
      </c>
      <c r="J21" s="177"/>
      <c r="Q21" s="10"/>
      <c r="R21" s="10"/>
      <c r="S21" s="10"/>
      <c r="T21" s="10"/>
      <c r="U21" s="10"/>
      <c r="V21" s="10"/>
    </row>
    <row r="22" spans="1:22" s="124" customFormat="1" x14ac:dyDescent="0.2">
      <c r="A22" s="161">
        <f t="shared" si="0"/>
        <v>14</v>
      </c>
      <c r="B22" s="116" t="s">
        <v>196</v>
      </c>
      <c r="C22" s="1262"/>
      <c r="D22" s="1262"/>
      <c r="E22" s="1262"/>
      <c r="F22" s="586"/>
      <c r="G22" s="286"/>
      <c r="H22" s="286"/>
      <c r="I22" s="458"/>
      <c r="J22" s="609"/>
      <c r="K22" s="185"/>
      <c r="L22" s="185"/>
      <c r="M22" s="185"/>
      <c r="N22" s="185"/>
      <c r="O22" s="185"/>
      <c r="P22" s="185"/>
    </row>
    <row r="23" spans="1:22" s="124" customFormat="1" x14ac:dyDescent="0.2">
      <c r="A23" s="161">
        <f t="shared" si="0"/>
        <v>15</v>
      </c>
      <c r="B23" s="116" t="s">
        <v>195</v>
      </c>
      <c r="C23" s="1262"/>
      <c r="D23" s="1262"/>
      <c r="E23" s="1262"/>
      <c r="F23" s="586"/>
      <c r="G23" s="286"/>
      <c r="H23" s="286"/>
      <c r="I23" s="458"/>
      <c r="J23" s="609"/>
      <c r="K23" s="185"/>
      <c r="L23" s="185"/>
      <c r="M23" s="185"/>
      <c r="N23" s="609"/>
      <c r="O23" s="185"/>
      <c r="P23" s="185"/>
    </row>
    <row r="24" spans="1:22" x14ac:dyDescent="0.2">
      <c r="A24" s="161">
        <f t="shared" si="0"/>
        <v>16</v>
      </c>
      <c r="B24" s="164" t="s">
        <v>198</v>
      </c>
      <c r="C24" s="286">
        <f>'felh. bev.  '!D12</f>
        <v>19447</v>
      </c>
      <c r="D24" s="286">
        <f>'pü.mérleg Önkorm.'!D24+'pü.mérleg Hivatal'!E24+'püm. GAMESZ. '!D24+püm.Brunszvik!D24+'püm-TASZII.'!D24</f>
        <v>40800</v>
      </c>
      <c r="E24" s="1262">
        <f>SUM(C24:D24)</f>
        <v>60247</v>
      </c>
      <c r="F24" s="844" t="s">
        <v>66</v>
      </c>
      <c r="G24" s="347">
        <f>SUM(G10:G22)</f>
        <v>1739375</v>
      </c>
      <c r="H24" s="347">
        <f>SUM(H10:H22)</f>
        <v>1324280</v>
      </c>
      <c r="I24" s="459">
        <f>SUM(I10:I22)</f>
        <v>3063655</v>
      </c>
      <c r="J24" s="155" t="e">
        <f>'pü.mérleg Önkorm.'!#REF!+'pü.mérleg Hivatal'!#REF!+'püm. GAMESZ. '!#REF!+püm.Brunszvik!#REF!+'püm-TASZII.'!#REF!</f>
        <v>#REF!</v>
      </c>
      <c r="K24" s="155" t="e">
        <f>'pü.mérleg Önkorm.'!#REF!+'pü.mérleg Hivatal'!#REF!+'püm. GAMESZ. '!#REF!+püm.Brunszvik!#REF!+'püm-TASZII.'!#REF!</f>
        <v>#REF!</v>
      </c>
      <c r="L24" s="155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61">
        <f t="shared" si="0"/>
        <v>17</v>
      </c>
      <c r="B25" s="164" t="s">
        <v>199</v>
      </c>
      <c r="C25" s="1262">
        <f>'felh. bev.  '!D13+'felh. bev.  '!D44+'felh. bev.  '!D50</f>
        <v>1285</v>
      </c>
      <c r="D25" s="1262">
        <f>'felh. bev.  '!E13+'felh. bev.  '!E14+'felh. bev.  '!E50+'felh. bev.  '!E45</f>
        <v>77</v>
      </c>
      <c r="E25" s="1262">
        <f>'felh. bev.  '!F13+'felh. bev.  '!F14+'felh. bev.  '!F50+'felh. bev.  '!F45</f>
        <v>1362</v>
      </c>
      <c r="F25" s="586"/>
      <c r="G25" s="286"/>
      <c r="H25" s="286"/>
      <c r="I25" s="458"/>
      <c r="J25" s="177"/>
      <c r="Q25" s="10"/>
      <c r="R25" s="10"/>
      <c r="S25" s="10"/>
      <c r="T25" s="10"/>
      <c r="U25" s="10"/>
      <c r="V25" s="10"/>
    </row>
    <row r="26" spans="1:22" x14ac:dyDescent="0.2">
      <c r="A26" s="161">
        <f t="shared" si="0"/>
        <v>18</v>
      </c>
      <c r="B26" s="116" t="s">
        <v>200</v>
      </c>
      <c r="C26" s="349"/>
      <c r="D26" s="286">
        <f>'pü.mérleg Önkorm.'!D26</f>
        <v>180</v>
      </c>
      <c r="E26" s="1262">
        <f>SUM(C26:D26)</f>
        <v>180</v>
      </c>
      <c r="F26" s="845" t="s">
        <v>225</v>
      </c>
      <c r="G26" s="349"/>
      <c r="H26" s="349"/>
      <c r="I26" s="458"/>
      <c r="J26" s="177"/>
      <c r="Q26" s="10"/>
      <c r="R26" s="10"/>
      <c r="S26" s="10"/>
      <c r="T26" s="10"/>
      <c r="U26" s="10"/>
      <c r="V26" s="10"/>
    </row>
    <row r="27" spans="1:22" x14ac:dyDescent="0.2">
      <c r="A27" s="161">
        <f t="shared" si="0"/>
        <v>19</v>
      </c>
      <c r="B27" s="164" t="s">
        <v>201</v>
      </c>
      <c r="C27" s="286"/>
      <c r="D27" s="286"/>
      <c r="E27" s="286"/>
      <c r="F27" s="482" t="s">
        <v>226</v>
      </c>
      <c r="G27" s="286">
        <f>'pü.mérleg Önkorm.'!G27+'pü.mérleg Hivatal'!H27+'püm. GAMESZ. '!G27+'püm-TASZII.'!G27+püm.Brunszvik!G27+'püm Festetics'!G27</f>
        <v>1732254</v>
      </c>
      <c r="H27" s="286">
        <f>'pü.mérleg Önkorm.'!H27+'pü.mérleg Hivatal'!I27+'püm. GAMESZ. '!H27+'püm-TASZII.'!H27+'püm Festetics'!H27</f>
        <v>169988</v>
      </c>
      <c r="I27" s="458">
        <f>SUM(G27:H27)</f>
        <v>1902242</v>
      </c>
      <c r="J27" s="155" t="e">
        <f>'pü.mérleg Önkorm.'!#REF!+'pü.mérleg Hivatal'!#REF!+'püm. GAMESZ. '!#REF!+püm.Brunszvik!#REF!+'püm-TASZII.'!#REF!</f>
        <v>#REF!</v>
      </c>
      <c r="K27" s="155" t="e">
        <f>'pü.mérleg Önkorm.'!#REF!+'pü.mérleg Hivatal'!#REF!+'püm. GAMESZ. '!#REF!+püm.Brunszvik!#REF!+'püm-TASZII.'!#REF!</f>
        <v>#REF!</v>
      </c>
      <c r="L27" s="155" t="e">
        <f>'pü.mérleg Önkorm.'!#REF!+'pü.mérleg Hivatal'!#REF!+'püm. GAMESZ. '!#REF!+püm.Brunszvik!#REF!+'püm-TASZII.'!#REF!</f>
        <v>#REF!</v>
      </c>
      <c r="M27" s="155"/>
      <c r="N27" s="155"/>
      <c r="Q27" s="10"/>
      <c r="R27" s="10"/>
      <c r="S27" s="10"/>
      <c r="T27" s="10"/>
      <c r="U27" s="10"/>
      <c r="V27" s="10"/>
    </row>
    <row r="28" spans="1:22" x14ac:dyDescent="0.2">
      <c r="A28" s="161">
        <f t="shared" si="0"/>
        <v>20</v>
      </c>
      <c r="B28" s="164"/>
      <c r="C28" s="286"/>
      <c r="D28" s="286"/>
      <c r="E28" s="286"/>
      <c r="F28" s="482" t="s">
        <v>227</v>
      </c>
      <c r="G28" s="286">
        <f>'felhalm. kiad.  '!H26</f>
        <v>49715</v>
      </c>
      <c r="H28" s="286">
        <f>'felhalm. kiad.  '!I26</f>
        <v>0</v>
      </c>
      <c r="I28" s="458">
        <f>SUM(G28:H28)</f>
        <v>49715</v>
      </c>
      <c r="J28" s="177"/>
      <c r="Q28" s="10"/>
      <c r="R28" s="10"/>
      <c r="S28" s="10"/>
      <c r="T28" s="10"/>
      <c r="U28" s="10"/>
      <c r="V28" s="10"/>
    </row>
    <row r="29" spans="1:22" x14ac:dyDescent="0.2">
      <c r="A29" s="161">
        <f t="shared" si="0"/>
        <v>21</v>
      </c>
      <c r="B29" s="116" t="s">
        <v>202</v>
      </c>
      <c r="C29" s="286">
        <f>'tám, végl. pe.átv  '!C43+'tám, végl. pe.átv  '!C62</f>
        <v>0</v>
      </c>
      <c r="D29" s="286">
        <f>'tám, végl. pe.átv  '!D43+'tám, végl. pe.átv  '!D62</f>
        <v>20198</v>
      </c>
      <c r="E29" s="286">
        <f>'tám, végl. pe.átv  '!E43+'tám, végl. pe.átv  '!E62</f>
        <v>20198</v>
      </c>
      <c r="F29" s="482" t="s">
        <v>228</v>
      </c>
      <c r="G29" s="286"/>
      <c r="H29" s="286"/>
      <c r="I29" s="458"/>
      <c r="J29" s="177"/>
      <c r="Q29" s="10"/>
      <c r="R29" s="10"/>
      <c r="S29" s="10"/>
      <c r="T29" s="10"/>
      <c r="U29" s="10"/>
      <c r="V29" s="10"/>
    </row>
    <row r="30" spans="1:22" s="124" customFormat="1" x14ac:dyDescent="0.2">
      <c r="A30" s="161">
        <f t="shared" si="0"/>
        <v>22</v>
      </c>
      <c r="B30" s="116" t="s">
        <v>203</v>
      </c>
      <c r="C30" s="286">
        <f>'felh. bev.  '!D34+'felh. bev.  '!D38</f>
        <v>9900</v>
      </c>
      <c r="D30" s="286">
        <f>'felh. bev.  '!E34+'felh. bev.  '!E38</f>
        <v>4232</v>
      </c>
      <c r="E30" s="286">
        <f>'felh. bev.  '!F34+'felh. bev.  '!F38</f>
        <v>14132</v>
      </c>
      <c r="F30" s="842" t="s">
        <v>229</v>
      </c>
      <c r="G30" s="286">
        <f>'felhalm. kiad.  '!H85</f>
        <v>12004</v>
      </c>
      <c r="H30" s="286">
        <f>'felhalm. kiad.  '!I85</f>
        <v>78232</v>
      </c>
      <c r="I30" s="458">
        <f>SUM(G30:H30)</f>
        <v>90236</v>
      </c>
      <c r="J30" s="609"/>
      <c r="K30" s="185"/>
      <c r="L30" s="185"/>
      <c r="M30" s="185"/>
      <c r="N30" s="185"/>
      <c r="O30" s="185"/>
      <c r="P30" s="185"/>
    </row>
    <row r="31" spans="1:22" s="124" customFormat="1" x14ac:dyDescent="0.2">
      <c r="A31" s="161">
        <f t="shared" si="0"/>
        <v>23</v>
      </c>
      <c r="B31" s="116"/>
      <c r="C31" s="279"/>
      <c r="D31" s="279"/>
      <c r="E31" s="279"/>
      <c r="F31" s="842" t="s">
        <v>1131</v>
      </c>
      <c r="G31" s="286">
        <f>'pü.mérleg Önkorm.'!G31</f>
        <v>0</v>
      </c>
      <c r="H31" s="286">
        <f>'pü.mérleg Önkorm.'!H31</f>
        <v>5000</v>
      </c>
      <c r="I31" s="286">
        <f>'pü.mérleg Önkorm.'!I31</f>
        <v>5000</v>
      </c>
      <c r="J31" s="286">
        <f>'pü.mérleg Önkorm.'!J31</f>
        <v>0</v>
      </c>
      <c r="K31" s="286">
        <f>'pü.mérleg Önkorm.'!K31</f>
        <v>0</v>
      </c>
      <c r="L31" s="286">
        <f>'pü.mérleg Önkorm.'!L31</f>
        <v>0</v>
      </c>
      <c r="M31" s="517"/>
      <c r="N31" s="185"/>
      <c r="O31" s="185"/>
      <c r="P31" s="185"/>
    </row>
    <row r="32" spans="1:22" x14ac:dyDescent="0.2">
      <c r="A32" s="161">
        <f t="shared" si="0"/>
        <v>24</v>
      </c>
      <c r="C32" s="279"/>
      <c r="D32" s="279"/>
      <c r="E32" s="279"/>
      <c r="F32" s="842" t="s">
        <v>279</v>
      </c>
      <c r="G32" s="286">
        <f>'pü.mérleg Önkorm.'!G32+'pü.mérleg Hivatal'!H31+'püm. GAMESZ. '!G31+'püm-TASZII.'!G31</f>
        <v>53844</v>
      </c>
      <c r="H32" s="286">
        <f>'pü.mérleg Önkorm.'!H32+'pü.mérleg Hivatal'!I31+'püm. GAMESZ. '!H31+'püm-TASZII.'!H31</f>
        <v>13880</v>
      </c>
      <c r="I32" s="458">
        <f>SUM(G32:H32)</f>
        <v>67724</v>
      </c>
      <c r="J32" s="155" t="e">
        <f>'pü.mérleg Önkorm.'!#REF!+'pü.mérleg Hivatal'!#REF!+'püm. GAMESZ. '!#REF!</f>
        <v>#REF!</v>
      </c>
      <c r="K32" s="155" t="e">
        <f>'pü.mérleg Önkorm.'!#REF!+'pü.mérleg Hivatal'!#REF!+'püm. GAMESZ. '!#REF!</f>
        <v>#REF!</v>
      </c>
      <c r="L32" s="155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61">
        <f t="shared" si="0"/>
        <v>25</v>
      </c>
      <c r="B33" s="171" t="s">
        <v>52</v>
      </c>
      <c r="C33" s="882">
        <f>C12+C20+C11+C17+C13+C29</f>
        <v>1737290</v>
      </c>
      <c r="D33" s="882">
        <f>D12+D20+D11+D17+D13+D29</f>
        <v>1269495</v>
      </c>
      <c r="E33" s="882">
        <f>E12+E20+E11+E17+E13+E29</f>
        <v>3006785</v>
      </c>
      <c r="F33" s="482" t="s">
        <v>280</v>
      </c>
      <c r="G33" s="284">
        <f>tartalék!C18</f>
        <v>22391</v>
      </c>
      <c r="H33" s="284">
        <f>tartalék!D18</f>
        <v>733</v>
      </c>
      <c r="I33" s="458">
        <f>tartalék!E18</f>
        <v>23124</v>
      </c>
      <c r="J33" s="175"/>
      <c r="K33" s="180"/>
      <c r="L33" s="180"/>
      <c r="M33" s="180"/>
      <c r="N33" s="180"/>
      <c r="O33" s="180"/>
      <c r="P33" s="180"/>
    </row>
    <row r="34" spans="1:22" x14ac:dyDescent="0.2">
      <c r="A34" s="161">
        <f t="shared" si="0"/>
        <v>26</v>
      </c>
      <c r="B34" s="167" t="s">
        <v>67</v>
      </c>
      <c r="C34" s="347">
        <f>C15+C16+C23+C24+C25+C26+C27+C30</f>
        <v>651910</v>
      </c>
      <c r="D34" s="347">
        <f t="shared" ref="D34" si="1">D15+D16+D23+D24+D25+D26+D27+D30</f>
        <v>59829</v>
      </c>
      <c r="E34" s="347">
        <f>E15+E16+E23+E24+E25+E26+E27+E30</f>
        <v>711739</v>
      </c>
      <c r="F34" s="818" t="s">
        <v>68</v>
      </c>
      <c r="G34" s="347">
        <f>SUM(G27:G33)</f>
        <v>1870208</v>
      </c>
      <c r="H34" s="347">
        <f>SUM(H27:H33)</f>
        <v>267833</v>
      </c>
      <c r="I34" s="459">
        <f>SUM(I27:I33)</f>
        <v>2138041</v>
      </c>
      <c r="J34" s="155" t="e">
        <f>'pü.mérleg Önkorm.'!#REF!+'pü.mérleg Hivatal'!#REF!+'püm. GAMESZ. '!#REF!+püm.Brunszvik!#REF!+'püm-TASZII.'!#REF!</f>
        <v>#REF!</v>
      </c>
      <c r="K34" s="155" t="e">
        <f>'pü.mérleg Önkorm.'!#REF!+'pü.mérleg Hivatal'!#REF!+'püm. GAMESZ. '!#REF!+püm.Brunszvik!#REF!+'püm-TASZII.'!#REF!</f>
        <v>#REF!</v>
      </c>
      <c r="L34" s="155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61">
        <f t="shared" si="0"/>
        <v>27</v>
      </c>
      <c r="B35" s="175" t="s">
        <v>51</v>
      </c>
      <c r="C35" s="349">
        <f>SUM(C33:C34)</f>
        <v>2389200</v>
      </c>
      <c r="D35" s="349">
        <f>SUM(D33:D34)</f>
        <v>1329324</v>
      </c>
      <c r="E35" s="349">
        <f>SUM(C35:D35)</f>
        <v>3718524</v>
      </c>
      <c r="F35" s="846" t="s">
        <v>69</v>
      </c>
      <c r="G35" s="349">
        <f>G24+G34</f>
        <v>3609583</v>
      </c>
      <c r="H35" s="349">
        <f>H24+H34</f>
        <v>1592113</v>
      </c>
      <c r="I35" s="435">
        <f>I24+I34</f>
        <v>5201696</v>
      </c>
      <c r="J35" s="177"/>
      <c r="Q35" s="10"/>
      <c r="R35" s="10"/>
      <c r="S35" s="10"/>
      <c r="T35" s="10"/>
      <c r="U35" s="10"/>
      <c r="V35" s="10"/>
    </row>
    <row r="36" spans="1:22" ht="12" thickBot="1" x14ac:dyDescent="0.25">
      <c r="A36" s="161">
        <f t="shared" si="0"/>
        <v>28</v>
      </c>
      <c r="B36" s="177"/>
      <c r="C36" s="279"/>
      <c r="D36" s="279"/>
      <c r="E36" s="279"/>
      <c r="F36" s="586"/>
      <c r="G36" s="286"/>
      <c r="H36" s="286"/>
      <c r="I36" s="458"/>
      <c r="J36" s="177"/>
      <c r="Q36" s="10"/>
      <c r="R36" s="10"/>
      <c r="S36" s="10"/>
      <c r="T36" s="10"/>
      <c r="U36" s="10"/>
      <c r="V36" s="10"/>
    </row>
    <row r="37" spans="1:22" ht="12" thickBot="1" x14ac:dyDescent="0.25">
      <c r="A37" s="161">
        <f t="shared" si="0"/>
        <v>29</v>
      </c>
      <c r="B37" s="1137" t="s">
        <v>23</v>
      </c>
      <c r="C37" s="908">
        <f>C35-G35</f>
        <v>-1220383</v>
      </c>
      <c r="D37" s="908">
        <f t="shared" ref="D37:E37" si="2">D35-H35</f>
        <v>-262789</v>
      </c>
      <c r="E37" s="909">
        <f t="shared" si="2"/>
        <v>-1483172</v>
      </c>
      <c r="F37" s="347"/>
      <c r="G37" s="347"/>
      <c r="H37" s="347"/>
      <c r="I37" s="459"/>
      <c r="J37" s="177"/>
      <c r="Q37" s="10"/>
      <c r="R37" s="10"/>
      <c r="S37" s="10"/>
      <c r="T37" s="10"/>
      <c r="U37" s="10"/>
      <c r="V37" s="10"/>
    </row>
    <row r="38" spans="1:22" s="11" customFormat="1" x14ac:dyDescent="0.2">
      <c r="A38" s="161">
        <f t="shared" si="0"/>
        <v>30</v>
      </c>
      <c r="B38" s="177"/>
      <c r="C38" s="279"/>
      <c r="D38" s="279"/>
      <c r="E38" s="279"/>
      <c r="F38" s="586"/>
      <c r="G38" s="286"/>
      <c r="H38" s="286"/>
      <c r="I38" s="458"/>
      <c r="J38" s="175"/>
      <c r="K38" s="180"/>
      <c r="L38" s="180"/>
      <c r="M38" s="180"/>
      <c r="N38" s="180"/>
      <c r="O38" s="180"/>
      <c r="P38" s="180"/>
    </row>
    <row r="39" spans="1:22" s="11" customFormat="1" x14ac:dyDescent="0.2">
      <c r="A39" s="161">
        <f t="shared" si="0"/>
        <v>31</v>
      </c>
      <c r="B39" s="126" t="s">
        <v>204</v>
      </c>
      <c r="C39" s="612"/>
      <c r="D39" s="612"/>
      <c r="E39" s="612"/>
      <c r="F39" s="845" t="s">
        <v>230</v>
      </c>
      <c r="G39" s="349"/>
      <c r="H39" s="349"/>
      <c r="I39" s="435"/>
      <c r="J39" s="175"/>
      <c r="K39" s="180"/>
      <c r="L39" s="180"/>
      <c r="M39" s="180"/>
      <c r="N39" s="180"/>
      <c r="O39" s="180"/>
      <c r="P39" s="180"/>
    </row>
    <row r="40" spans="1:22" s="11" customFormat="1" x14ac:dyDescent="0.2">
      <c r="A40" s="161">
        <f t="shared" si="0"/>
        <v>32</v>
      </c>
      <c r="B40" s="135" t="s">
        <v>205</v>
      </c>
      <c r="C40" s="612"/>
      <c r="D40" s="612"/>
      <c r="E40" s="612"/>
      <c r="F40" s="847" t="s">
        <v>231</v>
      </c>
      <c r="G40" s="186"/>
      <c r="I40" s="461"/>
      <c r="J40" s="175"/>
      <c r="K40" s="180"/>
      <c r="L40" s="180"/>
      <c r="M40" s="180"/>
      <c r="N40" s="180"/>
      <c r="O40" s="180"/>
      <c r="P40" s="180"/>
    </row>
    <row r="41" spans="1:22" s="11" customFormat="1" ht="21.75" x14ac:dyDescent="0.2">
      <c r="A41" s="321">
        <f t="shared" si="0"/>
        <v>33</v>
      </c>
      <c r="B41" s="1095" t="s">
        <v>1199</v>
      </c>
      <c r="C41" s="1263">
        <f>'pü.mérleg Önkorm.'!C41</f>
        <v>588859</v>
      </c>
      <c r="D41" s="1263">
        <f>'pü.mérleg Önkorm.'!D41</f>
        <v>0</v>
      </c>
      <c r="E41" s="1263">
        <f>'pü.mérleg Önkorm.'!E41</f>
        <v>588859</v>
      </c>
      <c r="F41" s="187" t="s">
        <v>956</v>
      </c>
      <c r="G41" s="349"/>
      <c r="H41" s="349"/>
      <c r="I41" s="435"/>
      <c r="J41" s="175"/>
      <c r="K41" s="180"/>
      <c r="L41" s="180"/>
      <c r="M41" s="180"/>
      <c r="N41" s="180"/>
      <c r="O41" s="180"/>
      <c r="P41" s="180"/>
    </row>
    <row r="42" spans="1:22" x14ac:dyDescent="0.2">
      <c r="A42" s="161">
        <f t="shared" si="0"/>
        <v>34</v>
      </c>
      <c r="B42" s="118" t="s">
        <v>206</v>
      </c>
      <c r="C42" s="848"/>
      <c r="D42" s="849">
        <f>'pü.mérleg Önkorm.'!D42</f>
        <v>0</v>
      </c>
      <c r="E42" s="849">
        <f>SUM(C42:D42)</f>
        <v>0</v>
      </c>
      <c r="F42" s="482" t="s">
        <v>232</v>
      </c>
      <c r="G42" s="349"/>
      <c r="H42" s="349"/>
      <c r="I42" s="435"/>
      <c r="J42" s="177"/>
      <c r="Q42" s="10"/>
      <c r="R42" s="10"/>
      <c r="S42" s="10"/>
      <c r="T42" s="10"/>
      <c r="U42" s="10"/>
      <c r="V42" s="10"/>
    </row>
    <row r="43" spans="1:22" x14ac:dyDescent="0.2">
      <c r="A43" s="161">
        <f t="shared" si="0"/>
        <v>35</v>
      </c>
      <c r="B43" s="118" t="s">
        <v>207</v>
      </c>
      <c r="C43" s="279"/>
      <c r="D43" s="279"/>
      <c r="E43" s="279"/>
      <c r="F43" s="482" t="s">
        <v>233</v>
      </c>
      <c r="G43" s="186"/>
      <c r="H43" s="186"/>
      <c r="I43" s="435"/>
      <c r="J43" s="177"/>
      <c r="Q43" s="10"/>
      <c r="R43" s="10"/>
      <c r="S43" s="10"/>
      <c r="T43" s="10"/>
      <c r="U43" s="10"/>
      <c r="V43" s="10"/>
    </row>
    <row r="44" spans="1:22" ht="21.75" x14ac:dyDescent="0.2">
      <c r="A44" s="161">
        <f t="shared" si="0"/>
        <v>36</v>
      </c>
      <c r="B44" s="1145" t="s">
        <v>932</v>
      </c>
      <c r="C44" s="349">
        <f>'pü.mérleg Önkorm.'!C44+'pü.mérleg Hivatal'!D43+'püm. GAMESZ. '!C43+püm.Brunszvik!C43+'püm-TASZII.'!C43+'püm Festetics'!C43</f>
        <v>630751</v>
      </c>
      <c r="D44" s="349">
        <f>'pü.mérleg Önkorm.'!D44+'pü.mérleg Hivatal'!E43+'püm. GAMESZ. '!D43+püm.Brunszvik!D43+'püm-TASZII.'!D43+'püm Festetics'!D43</f>
        <v>262319</v>
      </c>
      <c r="E44" s="435">
        <f>'pü.mérleg Önkorm.'!E44+'pü.mérleg Hivatal'!F43+'püm. GAMESZ. '!E43+püm.Brunszvik!E43+'püm-TASZII.'!E43+'püm Festetics'!E43</f>
        <v>893070</v>
      </c>
      <c r="F44" s="279" t="s">
        <v>234</v>
      </c>
      <c r="G44" s="186"/>
      <c r="H44" s="186"/>
      <c r="I44" s="435"/>
      <c r="J44" s="177"/>
      <c r="Q44" s="10"/>
      <c r="R44" s="10"/>
      <c r="S44" s="10"/>
      <c r="T44" s="10"/>
      <c r="U44" s="10"/>
      <c r="V44" s="10"/>
    </row>
    <row r="45" spans="1:22" x14ac:dyDescent="0.2">
      <c r="A45" s="161">
        <f t="shared" si="0"/>
        <v>37</v>
      </c>
      <c r="B45" s="554" t="s">
        <v>958</v>
      </c>
      <c r="C45" s="279">
        <f>'püm Festetics'!C44</f>
        <v>0</v>
      </c>
      <c r="D45" s="279">
        <f>'püm Festetics'!D44</f>
        <v>0</v>
      </c>
      <c r="E45" s="279">
        <f>'püm Festetics'!E44</f>
        <v>0</v>
      </c>
      <c r="F45" s="482"/>
      <c r="G45" s="186"/>
      <c r="H45" s="186"/>
      <c r="I45" s="435"/>
      <c r="J45" s="177"/>
      <c r="Q45" s="10"/>
      <c r="R45" s="10"/>
      <c r="S45" s="10"/>
      <c r="T45" s="10"/>
      <c r="U45" s="10"/>
      <c r="V45" s="10"/>
    </row>
    <row r="46" spans="1:22" x14ac:dyDescent="0.2">
      <c r="A46" s="161">
        <f t="shared" si="0"/>
        <v>38</v>
      </c>
      <c r="B46" s="119" t="s">
        <v>209</v>
      </c>
      <c r="C46" s="279">
        <f>'pü.mérleg Önkorm.'!C46</f>
        <v>33212</v>
      </c>
      <c r="D46" s="279">
        <f>'pü.mérleg Önkorm.'!D46</f>
        <v>4730</v>
      </c>
      <c r="E46" s="279">
        <f>'pü.mérleg Önkorm.'!E46</f>
        <v>37942</v>
      </c>
      <c r="F46" s="482" t="s">
        <v>235</v>
      </c>
      <c r="G46" s="349"/>
      <c r="H46" s="349"/>
      <c r="I46" s="458"/>
      <c r="J46" s="177"/>
      <c r="Q46" s="10"/>
      <c r="R46" s="10"/>
      <c r="S46" s="10"/>
      <c r="T46" s="10"/>
      <c r="U46" s="10"/>
      <c r="V46" s="10"/>
    </row>
    <row r="47" spans="1:22" x14ac:dyDescent="0.2">
      <c r="A47" s="161">
        <f t="shared" si="0"/>
        <v>39</v>
      </c>
      <c r="B47" s="119" t="s">
        <v>210</v>
      </c>
      <c r="C47" s="612"/>
      <c r="D47" s="612"/>
      <c r="E47" s="612"/>
      <c r="F47" s="842" t="s">
        <v>236</v>
      </c>
      <c r="G47" s="286">
        <f>'pü.mérleg Önkorm.'!G47</f>
        <v>32439</v>
      </c>
      <c r="H47" s="286">
        <f>'pü.mérleg Önkorm.'!H47</f>
        <v>4260</v>
      </c>
      <c r="I47" s="458">
        <f>'pü.mérleg Önkorm.'!I47</f>
        <v>36699</v>
      </c>
      <c r="J47" s="177"/>
      <c r="Q47" s="10"/>
      <c r="R47" s="10"/>
      <c r="S47" s="10"/>
      <c r="T47" s="10"/>
      <c r="U47" s="10"/>
      <c r="V47" s="10"/>
    </row>
    <row r="48" spans="1:22" x14ac:dyDescent="0.2">
      <c r="A48" s="161">
        <f t="shared" si="0"/>
        <v>40</v>
      </c>
      <c r="B48" s="118" t="s">
        <v>211</v>
      </c>
      <c r="C48" s="279"/>
      <c r="D48" s="279"/>
      <c r="E48" s="279"/>
      <c r="F48" s="482" t="s">
        <v>237</v>
      </c>
      <c r="G48" s="286"/>
      <c r="H48" s="286"/>
      <c r="I48" s="458"/>
      <c r="J48" s="177"/>
      <c r="Q48" s="10"/>
      <c r="R48" s="10"/>
      <c r="S48" s="10"/>
      <c r="T48" s="10"/>
      <c r="U48" s="10"/>
      <c r="V48" s="10"/>
    </row>
    <row r="49" spans="1:22" x14ac:dyDescent="0.2">
      <c r="A49" s="161">
        <f t="shared" si="0"/>
        <v>41</v>
      </c>
      <c r="B49" s="518" t="s">
        <v>212</v>
      </c>
      <c r="C49" s="279"/>
      <c r="D49" s="279"/>
      <c r="E49" s="279"/>
      <c r="F49" s="482" t="s">
        <v>238</v>
      </c>
      <c r="G49" s="286"/>
      <c r="H49" s="286"/>
      <c r="I49" s="458"/>
      <c r="J49" s="177"/>
      <c r="Q49" s="10"/>
      <c r="R49" s="10"/>
      <c r="S49" s="10"/>
      <c r="T49" s="10"/>
      <c r="U49" s="10"/>
      <c r="V49" s="10"/>
    </row>
    <row r="50" spans="1:22" x14ac:dyDescent="0.2">
      <c r="A50" s="161">
        <f t="shared" si="0"/>
        <v>42</v>
      </c>
      <c r="B50" s="518" t="s">
        <v>213</v>
      </c>
      <c r="C50" s="279"/>
      <c r="D50" s="279"/>
      <c r="E50" s="279"/>
      <c r="F50" s="482" t="s">
        <v>239</v>
      </c>
      <c r="G50" s="286"/>
      <c r="H50" s="286"/>
      <c r="I50" s="458"/>
      <c r="J50" s="177"/>
      <c r="Q50" s="10"/>
      <c r="R50" s="10"/>
      <c r="S50" s="10"/>
      <c r="T50" s="10"/>
      <c r="U50" s="10"/>
      <c r="V50" s="10"/>
    </row>
    <row r="51" spans="1:22" x14ac:dyDescent="0.2">
      <c r="A51" s="161">
        <f t="shared" si="0"/>
        <v>43</v>
      </c>
      <c r="B51" s="118" t="s">
        <v>214</v>
      </c>
      <c r="C51" s="279">
        <f>'pü.mérleg Önkorm.'!C51</f>
        <v>0</v>
      </c>
      <c r="D51" s="279">
        <f>'pü.mérleg Önkorm.'!D51</f>
        <v>0</v>
      </c>
      <c r="E51" s="279">
        <f>SUM(C51:D51)</f>
        <v>0</v>
      </c>
      <c r="F51" s="482" t="s">
        <v>240</v>
      </c>
      <c r="G51" s="286"/>
      <c r="H51" s="286"/>
      <c r="I51" s="458"/>
      <c r="J51" s="177"/>
      <c r="Q51" s="10"/>
      <c r="R51" s="10"/>
      <c r="S51" s="10"/>
      <c r="T51" s="10"/>
      <c r="U51" s="10"/>
      <c r="V51" s="10"/>
    </row>
    <row r="52" spans="1:22" x14ac:dyDescent="0.2">
      <c r="A52" s="161">
        <f t="shared" si="0"/>
        <v>44</v>
      </c>
      <c r="B52" s="118"/>
      <c r="C52" s="279"/>
      <c r="D52" s="279"/>
      <c r="E52" s="279"/>
      <c r="F52" s="482" t="s">
        <v>241</v>
      </c>
      <c r="G52" s="286"/>
      <c r="H52" s="286"/>
      <c r="I52" s="458"/>
      <c r="J52" s="177"/>
      <c r="Q52" s="10"/>
      <c r="R52" s="10"/>
      <c r="S52" s="10"/>
      <c r="T52" s="10"/>
      <c r="U52" s="10"/>
      <c r="V52" s="10"/>
    </row>
    <row r="53" spans="1:22" x14ac:dyDescent="0.2">
      <c r="A53" s="161">
        <f t="shared" si="0"/>
        <v>45</v>
      </c>
      <c r="B53" s="118"/>
      <c r="C53" s="279"/>
      <c r="D53" s="279"/>
      <c r="E53" s="279"/>
      <c r="F53" s="482" t="s">
        <v>242</v>
      </c>
      <c r="G53" s="286"/>
      <c r="H53" s="286"/>
      <c r="I53" s="458"/>
      <c r="J53" s="177"/>
      <c r="Q53" s="10"/>
      <c r="R53" s="10"/>
      <c r="S53" s="10"/>
      <c r="T53" s="10"/>
      <c r="U53" s="10"/>
      <c r="V53" s="10"/>
    </row>
    <row r="54" spans="1:22" ht="12" thickBot="1" x14ac:dyDescent="0.25">
      <c r="A54" s="161">
        <f t="shared" si="0"/>
        <v>46</v>
      </c>
      <c r="B54" s="175" t="s">
        <v>448</v>
      </c>
      <c r="C54" s="612">
        <f>SUM(C40:C52)</f>
        <v>1252822</v>
      </c>
      <c r="D54" s="612">
        <f>SUM(D40:D52)</f>
        <v>267049</v>
      </c>
      <c r="E54" s="612">
        <f>SUM(E40:E52)</f>
        <v>1519871</v>
      </c>
      <c r="F54" s="845" t="s">
        <v>441</v>
      </c>
      <c r="G54" s="349">
        <f>SUM(G40:G53)</f>
        <v>32439</v>
      </c>
      <c r="H54" s="349">
        <f>SUM(H40:H53)</f>
        <v>4260</v>
      </c>
      <c r="I54" s="435">
        <f>SUM(I40:I53)</f>
        <v>36699</v>
      </c>
      <c r="J54" s="177"/>
      <c r="Q54" s="10"/>
      <c r="R54" s="10"/>
      <c r="S54" s="10"/>
      <c r="T54" s="10"/>
      <c r="U54" s="10"/>
      <c r="V54" s="10"/>
    </row>
    <row r="55" spans="1:22" ht="12" thickBot="1" x14ac:dyDescent="0.25">
      <c r="A55" s="905">
        <f t="shared" si="0"/>
        <v>47</v>
      </c>
      <c r="B55" s="1083" t="s">
        <v>443</v>
      </c>
      <c r="C55" s="1047">
        <f>C35+C54</f>
        <v>3642022</v>
      </c>
      <c r="D55" s="884">
        <f>D35+D54</f>
        <v>1596373</v>
      </c>
      <c r="E55" s="885">
        <f>E35+E54</f>
        <v>5238395</v>
      </c>
      <c r="F55" s="488" t="s">
        <v>442</v>
      </c>
      <c r="G55" s="785">
        <f>G35+G54</f>
        <v>3642022</v>
      </c>
      <c r="H55" s="785">
        <f>H35+H54</f>
        <v>1596373</v>
      </c>
      <c r="I55" s="1043">
        <f>I35+I54</f>
        <v>5238395</v>
      </c>
      <c r="J55" s="177"/>
      <c r="Q55" s="10"/>
      <c r="R55" s="10"/>
      <c r="S55" s="10"/>
      <c r="T55" s="10"/>
      <c r="U55" s="10"/>
      <c r="V55" s="10"/>
    </row>
    <row r="56" spans="1:22" x14ac:dyDescent="0.2">
      <c r="B56" s="180"/>
      <c r="C56" s="179"/>
      <c r="D56" s="179"/>
      <c r="E56" s="179"/>
      <c r="F56" s="179"/>
      <c r="G56" s="179"/>
      <c r="H56" s="179"/>
      <c r="I56" s="179"/>
      <c r="T56" s="10"/>
      <c r="U56" s="10"/>
      <c r="V56" s="10"/>
    </row>
    <row r="57" spans="1:22" s="11" customFormat="1" ht="12.75" x14ac:dyDescent="0.2">
      <c r="A57" s="180"/>
      <c r="B57" s="175"/>
      <c r="C57" s="179"/>
      <c r="D57" s="179"/>
      <c r="E57" s="431">
        <f>E55-I55</f>
        <v>0</v>
      </c>
      <c r="F57" s="179"/>
      <c r="G57" s="179"/>
      <c r="H57" s="179"/>
      <c r="I57" s="179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Q86"/>
  <sheetViews>
    <sheetView topLeftCell="B1" workbookViewId="0">
      <selection activeCell="C1" sqref="C1:G1"/>
    </sheetView>
  </sheetViews>
  <sheetFormatPr defaultColWidth="9.140625" defaultRowHeight="12" x14ac:dyDescent="0.2"/>
  <cols>
    <col min="1" max="1" width="3.7109375" style="147" hidden="1" customWidth="1"/>
    <col min="2" max="2" width="3.7109375" style="147" customWidth="1"/>
    <col min="3" max="3" width="5.7109375" style="149" customWidth="1"/>
    <col min="4" max="4" width="53" style="145" customWidth="1"/>
    <col min="5" max="5" width="9" style="144" customWidth="1"/>
    <col min="6" max="6" width="9.140625" style="144"/>
    <col min="7" max="7" width="9.7109375" style="144" customWidth="1"/>
    <col min="8" max="16384" width="9.140625" style="13"/>
  </cols>
  <sheetData>
    <row r="1" spans="1:17" x14ac:dyDescent="0.2">
      <c r="C1" s="1349" t="s">
        <v>1401</v>
      </c>
      <c r="D1" s="1349"/>
      <c r="E1" s="1349"/>
      <c r="F1" s="1349"/>
      <c r="G1" s="1349"/>
    </row>
    <row r="2" spans="1:17" x14ac:dyDescent="0.2">
      <c r="C2" s="288"/>
      <c r="D2" s="288"/>
      <c r="E2" s="288"/>
      <c r="F2" s="288"/>
      <c r="G2" s="288"/>
    </row>
    <row r="3" spans="1:17" ht="13.5" customHeight="1" x14ac:dyDescent="0.2">
      <c r="C3" s="1355" t="s">
        <v>1113</v>
      </c>
      <c r="D3" s="1355"/>
      <c r="E3" s="1355"/>
      <c r="F3" s="1355"/>
      <c r="G3" s="1355"/>
    </row>
    <row r="4" spans="1:17" x14ac:dyDescent="0.2">
      <c r="C4" s="1356" t="s">
        <v>1146</v>
      </c>
      <c r="D4" s="1356"/>
      <c r="E4" s="1356"/>
      <c r="F4" s="1357"/>
      <c r="G4" s="1357"/>
    </row>
    <row r="5" spans="1:17" x14ac:dyDescent="0.2">
      <c r="C5" s="143"/>
      <c r="D5" s="143"/>
      <c r="E5" s="143"/>
      <c r="F5" s="289"/>
      <c r="G5" s="289"/>
    </row>
    <row r="6" spans="1:17" ht="12.75" x14ac:dyDescent="0.2">
      <c r="C6" s="143"/>
      <c r="D6" s="1350" t="s">
        <v>302</v>
      </c>
      <c r="E6" s="1351"/>
      <c r="F6" s="1351"/>
      <c r="G6" s="1351"/>
    </row>
    <row r="7" spans="1:17" ht="19.149999999999999" customHeight="1" x14ac:dyDescent="0.2">
      <c r="C7" s="1352" t="s">
        <v>76</v>
      </c>
      <c r="D7" s="1353" t="s">
        <v>85</v>
      </c>
      <c r="E7" s="1354" t="s">
        <v>1137</v>
      </c>
      <c r="F7" s="1354"/>
      <c r="G7" s="1354"/>
    </row>
    <row r="8" spans="1:17" s="8" customFormat="1" ht="42.75" customHeight="1" x14ac:dyDescent="0.2">
      <c r="A8" s="148"/>
      <c r="B8" s="148"/>
      <c r="C8" s="1352"/>
      <c r="D8" s="1353"/>
      <c r="E8" s="866" t="s">
        <v>62</v>
      </c>
      <c r="F8" s="866" t="s">
        <v>63</v>
      </c>
      <c r="G8" s="866" t="s">
        <v>64</v>
      </c>
    </row>
    <row r="9" spans="1:17" ht="14.25" customHeight="1" x14ac:dyDescent="0.2">
      <c r="C9" s="1223" t="s">
        <v>479</v>
      </c>
      <c r="D9" s="867" t="s">
        <v>86</v>
      </c>
      <c r="E9" s="868"/>
      <c r="F9" s="146"/>
      <c r="G9" s="869"/>
      <c r="H9" s="579"/>
    </row>
    <row r="10" spans="1:17" ht="28.9" customHeight="1" x14ac:dyDescent="0.2">
      <c r="B10" s="1216"/>
      <c r="C10" s="1224" t="s">
        <v>487</v>
      </c>
      <c r="D10" s="906" t="s">
        <v>454</v>
      </c>
      <c r="E10" s="876"/>
      <c r="F10" s="907"/>
      <c r="G10" s="876"/>
      <c r="H10" s="579"/>
    </row>
    <row r="11" spans="1:17" x14ac:dyDescent="0.2">
      <c r="B11" s="1216"/>
      <c r="C11" s="1225" t="s">
        <v>488</v>
      </c>
      <c r="D11" s="870" t="s">
        <v>435</v>
      </c>
      <c r="E11" s="611"/>
      <c r="F11" s="146"/>
      <c r="G11" s="611"/>
      <c r="H11" s="579"/>
    </row>
    <row r="12" spans="1:17" x14ac:dyDescent="0.2">
      <c r="B12" s="1216"/>
      <c r="C12" s="1225" t="s">
        <v>489</v>
      </c>
      <c r="D12" s="870" t="s">
        <v>1203</v>
      </c>
      <c r="E12" s="611"/>
      <c r="F12" s="146">
        <v>20000</v>
      </c>
      <c r="G12" s="611">
        <f t="shared" ref="G12:G22" si="0">SUM(E12:F12)</f>
        <v>20000</v>
      </c>
      <c r="H12" s="579"/>
      <c r="N12" s="1066"/>
    </row>
    <row r="13" spans="1:17" x14ac:dyDescent="0.2">
      <c r="B13" s="1216"/>
      <c r="C13" s="1225" t="s">
        <v>490</v>
      </c>
      <c r="D13" s="870" t="s">
        <v>1204</v>
      </c>
      <c r="E13" s="611"/>
      <c r="F13" s="146">
        <v>25000</v>
      </c>
      <c r="G13" s="611">
        <f t="shared" si="0"/>
        <v>25000</v>
      </c>
      <c r="H13" s="579"/>
    </row>
    <row r="14" spans="1:17" x14ac:dyDescent="0.2">
      <c r="B14" s="1216"/>
      <c r="C14" s="1225" t="s">
        <v>491</v>
      </c>
      <c r="D14" s="870" t="s">
        <v>1202</v>
      </c>
      <c r="E14" s="611"/>
      <c r="F14" s="146">
        <v>7020</v>
      </c>
      <c r="G14" s="611">
        <f t="shared" si="0"/>
        <v>7020</v>
      </c>
      <c r="H14" s="579"/>
    </row>
    <row r="15" spans="1:17" x14ac:dyDescent="0.2">
      <c r="B15" s="1216"/>
      <c r="C15" s="1225" t="s">
        <v>492</v>
      </c>
      <c r="D15" s="870" t="s">
        <v>436</v>
      </c>
      <c r="E15" s="611">
        <v>4500</v>
      </c>
      <c r="F15" s="146"/>
      <c r="G15" s="611">
        <f t="shared" si="0"/>
        <v>4500</v>
      </c>
      <c r="H15" s="579"/>
      <c r="L15" s="1066"/>
      <c r="Q15" s="1066"/>
    </row>
    <row r="16" spans="1:17" x14ac:dyDescent="0.2">
      <c r="B16" s="1216"/>
      <c r="C16" s="1225" t="s">
        <v>493</v>
      </c>
      <c r="D16" s="871" t="s">
        <v>437</v>
      </c>
      <c r="E16" s="611"/>
      <c r="F16" s="146">
        <v>1375</v>
      </c>
      <c r="G16" s="611">
        <f t="shared" si="0"/>
        <v>1375</v>
      </c>
      <c r="H16" s="579"/>
    </row>
    <row r="17" spans="1:8" ht="13.5" customHeight="1" x14ac:dyDescent="0.2">
      <c r="B17" s="1216"/>
      <c r="C17" s="1225" t="s">
        <v>494</v>
      </c>
      <c r="D17" s="871" t="s">
        <v>467</v>
      </c>
      <c r="E17" s="611">
        <v>1350</v>
      </c>
      <c r="F17" s="611"/>
      <c r="G17" s="611">
        <f t="shared" si="0"/>
        <v>1350</v>
      </c>
      <c r="H17" s="579"/>
    </row>
    <row r="18" spans="1:8" ht="13.5" customHeight="1" x14ac:dyDescent="0.2">
      <c r="B18" s="1216"/>
      <c r="C18" s="1225" t="s">
        <v>530</v>
      </c>
      <c r="D18" s="923" t="s">
        <v>307</v>
      </c>
      <c r="E18" s="924"/>
      <c r="F18" s="925">
        <v>50</v>
      </c>
      <c r="G18" s="924">
        <f t="shared" si="0"/>
        <v>50</v>
      </c>
      <c r="H18" s="579"/>
    </row>
    <row r="19" spans="1:8" ht="13.5" customHeight="1" x14ac:dyDescent="0.2">
      <c r="B19" s="1216"/>
      <c r="C19" s="1225" t="s">
        <v>531</v>
      </c>
      <c r="D19" s="923" t="s">
        <v>1039</v>
      </c>
      <c r="E19" s="924"/>
      <c r="F19" s="925">
        <v>2802</v>
      </c>
      <c r="G19" s="924">
        <f t="shared" si="0"/>
        <v>2802</v>
      </c>
      <c r="H19" s="579"/>
    </row>
    <row r="20" spans="1:8" ht="13.5" customHeight="1" x14ac:dyDescent="0.2">
      <c r="B20" s="1216"/>
      <c r="C20" s="1225" t="s">
        <v>532</v>
      </c>
      <c r="D20" s="923" t="s">
        <v>1081</v>
      </c>
      <c r="E20" s="924"/>
      <c r="F20" s="925">
        <v>124</v>
      </c>
      <c r="G20" s="924">
        <f t="shared" si="0"/>
        <v>124</v>
      </c>
      <c r="H20" s="579"/>
    </row>
    <row r="21" spans="1:8" ht="13.5" customHeight="1" x14ac:dyDescent="0.2">
      <c r="B21" s="1216"/>
      <c r="C21" s="1225" t="s">
        <v>533</v>
      </c>
      <c r="D21" s="923" t="s">
        <v>1298</v>
      </c>
      <c r="E21" s="924"/>
      <c r="F21" s="925">
        <v>1778</v>
      </c>
      <c r="G21" s="924">
        <f t="shared" si="0"/>
        <v>1778</v>
      </c>
      <c r="H21" s="1066"/>
    </row>
    <row r="22" spans="1:8" ht="13.5" customHeight="1" thickBot="1" x14ac:dyDescent="0.25">
      <c r="B22" s="1216"/>
      <c r="C22" s="1225" t="s">
        <v>534</v>
      </c>
      <c r="D22" s="923" t="s">
        <v>1359</v>
      </c>
      <c r="E22" s="924">
        <v>3913</v>
      </c>
      <c r="F22" s="925"/>
      <c r="G22" s="1221">
        <f t="shared" si="0"/>
        <v>3913</v>
      </c>
      <c r="H22" s="1066"/>
    </row>
    <row r="23" spans="1:8" ht="15" customHeight="1" thickBot="1" x14ac:dyDescent="0.25">
      <c r="B23" s="1218"/>
      <c r="C23" s="1226" t="s">
        <v>535</v>
      </c>
      <c r="D23" s="1067" t="s">
        <v>455</v>
      </c>
      <c r="E23" s="878">
        <f>SUM(E12:E22)</f>
        <v>9763</v>
      </c>
      <c r="F23" s="878">
        <f t="shared" ref="F23:G23" si="1">SUM(F12:F22)</f>
        <v>58149</v>
      </c>
      <c r="G23" s="878">
        <f t="shared" si="1"/>
        <v>67912</v>
      </c>
      <c r="H23" s="1066"/>
    </row>
    <row r="24" spans="1:8" ht="15" customHeight="1" x14ac:dyDescent="0.2">
      <c r="B24" s="1216"/>
      <c r="C24" s="1225" t="s">
        <v>536</v>
      </c>
      <c r="D24" s="874"/>
      <c r="E24" s="1156"/>
      <c r="F24" s="1157"/>
      <c r="G24" s="1222"/>
      <c r="H24" s="1066"/>
    </row>
    <row r="25" spans="1:8" x14ac:dyDescent="0.2">
      <c r="B25" s="1216"/>
      <c r="C25" s="1225" t="s">
        <v>537</v>
      </c>
      <c r="D25" s="874" t="s">
        <v>456</v>
      </c>
      <c r="E25" s="611"/>
      <c r="F25" s="872"/>
      <c r="G25" s="611"/>
      <c r="H25" s="1066"/>
    </row>
    <row r="26" spans="1:8" s="8" customFormat="1" ht="15.6" customHeight="1" x14ac:dyDescent="0.2">
      <c r="A26" s="148"/>
      <c r="B26" s="1217"/>
      <c r="C26" s="1225" t="s">
        <v>539</v>
      </c>
      <c r="D26" s="875" t="s">
        <v>468</v>
      </c>
      <c r="E26" s="611">
        <v>128258</v>
      </c>
      <c r="F26" s="872"/>
      <c r="G26" s="611">
        <f>E26</f>
        <v>128258</v>
      </c>
      <c r="H26" s="578"/>
    </row>
    <row r="27" spans="1:8" s="8" customFormat="1" ht="12" customHeight="1" x14ac:dyDescent="0.2">
      <c r="A27" s="148"/>
      <c r="B27" s="1217"/>
      <c r="C27" s="1225" t="s">
        <v>540</v>
      </c>
      <c r="D27" s="875" t="s">
        <v>311</v>
      </c>
      <c r="E27" s="611">
        <v>11554</v>
      </c>
      <c r="F27" s="872"/>
      <c r="G27" s="611">
        <f t="shared" ref="G27:G33" si="2">SUM(E27:F27)</f>
        <v>11554</v>
      </c>
      <c r="H27" s="578"/>
    </row>
    <row r="28" spans="1:8" s="8" customFormat="1" ht="12" customHeight="1" x14ac:dyDescent="0.2">
      <c r="A28" s="148"/>
      <c r="B28" s="1217"/>
      <c r="C28" s="1225" t="s">
        <v>541</v>
      </c>
      <c r="D28" s="875" t="s">
        <v>969</v>
      </c>
      <c r="E28" s="611">
        <v>0</v>
      </c>
      <c r="F28" s="872"/>
      <c r="G28" s="611">
        <f t="shared" si="2"/>
        <v>0</v>
      </c>
      <c r="H28" s="578"/>
    </row>
    <row r="29" spans="1:8" s="8" customFormat="1" ht="12" customHeight="1" x14ac:dyDescent="0.2">
      <c r="A29" s="148"/>
      <c r="B29" s="1217"/>
      <c r="C29" s="1225"/>
      <c r="D29" s="875" t="s">
        <v>1365</v>
      </c>
      <c r="E29" s="611">
        <v>44</v>
      </c>
      <c r="F29" s="872"/>
      <c r="G29" s="611">
        <f t="shared" si="2"/>
        <v>44</v>
      </c>
      <c r="H29" s="578"/>
    </row>
    <row r="30" spans="1:8" s="8" customFormat="1" x14ac:dyDescent="0.2">
      <c r="A30" s="148"/>
      <c r="B30" s="1217"/>
      <c r="C30" s="1225" t="s">
        <v>542</v>
      </c>
      <c r="D30" s="873" t="s">
        <v>1050</v>
      </c>
      <c r="E30" s="611"/>
      <c r="F30" s="872">
        <v>19500</v>
      </c>
      <c r="G30" s="611">
        <f t="shared" si="2"/>
        <v>19500</v>
      </c>
      <c r="H30" s="578"/>
    </row>
    <row r="31" spans="1:8" s="8" customFormat="1" x14ac:dyDescent="0.2">
      <c r="A31" s="148"/>
      <c r="B31" s="1217"/>
      <c r="C31" s="1225" t="s">
        <v>543</v>
      </c>
      <c r="D31" s="873" t="s">
        <v>309</v>
      </c>
      <c r="E31" s="611"/>
      <c r="F31" s="872">
        <v>65000</v>
      </c>
      <c r="G31" s="611">
        <f t="shared" si="2"/>
        <v>65000</v>
      </c>
      <c r="H31" s="578"/>
    </row>
    <row r="32" spans="1:8" s="8" customFormat="1" x14ac:dyDescent="0.2">
      <c r="A32" s="148"/>
      <c r="B32" s="1217"/>
      <c r="C32" s="1225" t="s">
        <v>544</v>
      </c>
      <c r="D32" s="873" t="s">
        <v>1046</v>
      </c>
      <c r="E32" s="611"/>
      <c r="F32" s="872">
        <v>5000</v>
      </c>
      <c r="G32" s="611">
        <f t="shared" si="2"/>
        <v>5000</v>
      </c>
      <c r="H32" s="578"/>
    </row>
    <row r="33" spans="1:8" s="8" customFormat="1" x14ac:dyDescent="0.2">
      <c r="A33" s="148"/>
      <c r="B33" s="1217"/>
      <c r="C33" s="1225" t="s">
        <v>545</v>
      </c>
      <c r="D33" s="873" t="s">
        <v>1241</v>
      </c>
      <c r="E33" s="611"/>
      <c r="F33" s="872">
        <v>50000</v>
      </c>
      <c r="G33" s="611">
        <f t="shared" si="2"/>
        <v>50000</v>
      </c>
      <c r="H33" s="578"/>
    </row>
    <row r="34" spans="1:8" s="8" customFormat="1" x14ac:dyDescent="0.2">
      <c r="A34" s="148"/>
      <c r="B34" s="1217"/>
      <c r="C34" s="1227" t="s">
        <v>546</v>
      </c>
      <c r="D34" s="792" t="s">
        <v>180</v>
      </c>
      <c r="E34" s="876"/>
      <c r="F34" s="877">
        <v>2000</v>
      </c>
      <c r="G34" s="876">
        <f>E34+F34</f>
        <v>2000</v>
      </c>
      <c r="H34" s="578"/>
    </row>
    <row r="35" spans="1:8" s="8" customFormat="1" x14ac:dyDescent="0.2">
      <c r="A35" s="148"/>
      <c r="B35" s="1217"/>
      <c r="C35" s="1227" t="s">
        <v>564</v>
      </c>
      <c r="D35" s="792" t="s">
        <v>310</v>
      </c>
      <c r="E35" s="876"/>
      <c r="F35" s="877">
        <v>3500</v>
      </c>
      <c r="G35" s="876">
        <f>E35+F35</f>
        <v>3500</v>
      </c>
      <c r="H35" s="578"/>
    </row>
    <row r="36" spans="1:8" s="8" customFormat="1" x14ac:dyDescent="0.2">
      <c r="A36" s="148"/>
      <c r="B36" s="1217"/>
      <c r="C36" s="1227" t="s">
        <v>565</v>
      </c>
      <c r="D36" s="792" t="s">
        <v>312</v>
      </c>
      <c r="E36" s="876"/>
      <c r="F36" s="877">
        <v>500</v>
      </c>
      <c r="G36" s="876">
        <f>E36+F36</f>
        <v>500</v>
      </c>
      <c r="H36" s="578"/>
    </row>
    <row r="37" spans="1:8" s="8" customFormat="1" x14ac:dyDescent="0.2">
      <c r="A37" s="148"/>
      <c r="B37" s="1217"/>
      <c r="C37" s="1227" t="s">
        <v>566</v>
      </c>
      <c r="D37" s="873" t="s">
        <v>313</v>
      </c>
      <c r="E37" s="876"/>
      <c r="F37" s="877">
        <v>1000</v>
      </c>
      <c r="G37" s="876">
        <f>F37</f>
        <v>1000</v>
      </c>
      <c r="H37" s="578"/>
    </row>
    <row r="38" spans="1:8" s="8" customFormat="1" x14ac:dyDescent="0.2">
      <c r="A38" s="148"/>
      <c r="B38" s="1217"/>
      <c r="C38" s="1227" t="s">
        <v>567</v>
      </c>
      <c r="D38" s="873" t="s">
        <v>1292</v>
      </c>
      <c r="E38" s="876"/>
      <c r="F38" s="877">
        <v>1700</v>
      </c>
      <c r="G38" s="876">
        <f>SUM(E38:F38)</f>
        <v>1700</v>
      </c>
      <c r="H38" s="1029"/>
    </row>
    <row r="39" spans="1:8" s="8" customFormat="1" x14ac:dyDescent="0.2">
      <c r="A39" s="148"/>
      <c r="B39" s="1217"/>
      <c r="C39" s="1227" t="s">
        <v>568</v>
      </c>
      <c r="D39" s="873" t="s">
        <v>169</v>
      </c>
      <c r="E39" s="876"/>
      <c r="F39" s="877">
        <v>300</v>
      </c>
      <c r="G39" s="876">
        <f t="shared" ref="G39:G65" si="3">E39+F39</f>
        <v>300</v>
      </c>
      <c r="H39" s="578"/>
    </row>
    <row r="40" spans="1:8" s="8" customFormat="1" x14ac:dyDescent="0.2">
      <c r="A40" s="148"/>
      <c r="B40" s="1217"/>
      <c r="C40" s="1227" t="s">
        <v>569</v>
      </c>
      <c r="D40" s="873" t="s">
        <v>170</v>
      </c>
      <c r="E40" s="876"/>
      <c r="F40" s="877">
        <v>2000</v>
      </c>
      <c r="G40" s="876">
        <f t="shared" si="3"/>
        <v>2000</v>
      </c>
      <c r="H40" s="578"/>
    </row>
    <row r="41" spans="1:8" s="8" customFormat="1" x14ac:dyDescent="0.2">
      <c r="A41" s="148"/>
      <c r="B41" s="1217"/>
      <c r="C41" s="1227" t="s">
        <v>570</v>
      </c>
      <c r="D41" s="873" t="s">
        <v>286</v>
      </c>
      <c r="E41" s="876"/>
      <c r="F41" s="877">
        <v>1000</v>
      </c>
      <c r="G41" s="876">
        <f t="shared" si="3"/>
        <v>1000</v>
      </c>
      <c r="H41" s="578"/>
    </row>
    <row r="42" spans="1:8" s="8" customFormat="1" x14ac:dyDescent="0.2">
      <c r="A42" s="148"/>
      <c r="B42" s="1217"/>
      <c r="C42" s="1227" t="s">
        <v>571</v>
      </c>
      <c r="D42" s="873" t="s">
        <v>287</v>
      </c>
      <c r="E42" s="876"/>
      <c r="F42" s="877">
        <v>2000</v>
      </c>
      <c r="G42" s="876">
        <f t="shared" si="3"/>
        <v>2000</v>
      </c>
      <c r="H42" s="578"/>
    </row>
    <row r="43" spans="1:8" s="8" customFormat="1" x14ac:dyDescent="0.2">
      <c r="A43" s="148"/>
      <c r="B43" s="1217"/>
      <c r="C43" s="1227" t="s">
        <v>572</v>
      </c>
      <c r="D43" s="873" t="s">
        <v>937</v>
      </c>
      <c r="E43" s="876"/>
      <c r="F43" s="1187">
        <v>500</v>
      </c>
      <c r="G43" s="876">
        <v>500</v>
      </c>
      <c r="H43" s="578"/>
    </row>
    <row r="44" spans="1:8" s="8" customFormat="1" x14ac:dyDescent="0.2">
      <c r="A44" s="148"/>
      <c r="B44" s="1217"/>
      <c r="C44" s="1227" t="s">
        <v>624</v>
      </c>
      <c r="D44" s="873" t="s">
        <v>938</v>
      </c>
      <c r="E44" s="876"/>
      <c r="F44" s="877">
        <v>300</v>
      </c>
      <c r="G44" s="876">
        <f t="shared" si="3"/>
        <v>300</v>
      </c>
      <c r="H44" s="578"/>
    </row>
    <row r="45" spans="1:8" s="8" customFormat="1" x14ac:dyDescent="0.2">
      <c r="A45" s="148"/>
      <c r="B45" s="1217"/>
      <c r="C45" s="1227" t="s">
        <v>625</v>
      </c>
      <c r="D45" s="873" t="s">
        <v>966</v>
      </c>
      <c r="E45" s="876"/>
      <c r="F45" s="877">
        <v>50</v>
      </c>
      <c r="G45" s="876">
        <f t="shared" si="3"/>
        <v>50</v>
      </c>
      <c r="H45" s="578"/>
    </row>
    <row r="46" spans="1:8" s="8" customFormat="1" ht="12.75" customHeight="1" x14ac:dyDescent="0.2">
      <c r="A46" s="148"/>
      <c r="B46" s="1217"/>
      <c r="C46" s="1227" t="s">
        <v>626</v>
      </c>
      <c r="D46" s="873" t="s">
        <v>1049</v>
      </c>
      <c r="E46" s="876"/>
      <c r="F46" s="877">
        <v>900</v>
      </c>
      <c r="G46" s="876">
        <f t="shared" si="3"/>
        <v>900</v>
      </c>
      <c r="H46" s="578"/>
    </row>
    <row r="47" spans="1:8" s="8" customFormat="1" x14ac:dyDescent="0.2">
      <c r="A47" s="148"/>
      <c r="B47" s="1217"/>
      <c r="C47" s="1227" t="s">
        <v>627</v>
      </c>
      <c r="D47" s="873" t="s">
        <v>967</v>
      </c>
      <c r="E47" s="876"/>
      <c r="F47" s="877">
        <v>100</v>
      </c>
      <c r="G47" s="876">
        <f t="shared" si="3"/>
        <v>100</v>
      </c>
      <c r="H47" s="578"/>
    </row>
    <row r="48" spans="1:8" s="8" customFormat="1" x14ac:dyDescent="0.2">
      <c r="A48" s="148"/>
      <c r="B48" s="1217"/>
      <c r="C48" s="1227" t="s">
        <v>115</v>
      </c>
      <c r="D48" s="926" t="s">
        <v>968</v>
      </c>
      <c r="E48" s="927"/>
      <c r="F48" s="928">
        <v>75</v>
      </c>
      <c r="G48" s="927">
        <f t="shared" si="3"/>
        <v>75</v>
      </c>
      <c r="H48" s="578"/>
    </row>
    <row r="49" spans="1:8" s="8" customFormat="1" x14ac:dyDescent="0.2">
      <c r="A49" s="148"/>
      <c r="B49" s="1217"/>
      <c r="C49" s="1227" t="s">
        <v>652</v>
      </c>
      <c r="D49" s="926" t="s">
        <v>1242</v>
      </c>
      <c r="E49" s="927"/>
      <c r="F49" s="928">
        <v>0</v>
      </c>
      <c r="G49" s="927">
        <v>0</v>
      </c>
      <c r="H49" s="578"/>
    </row>
    <row r="50" spans="1:8" s="8" customFormat="1" x14ac:dyDescent="0.2">
      <c r="A50" s="148"/>
      <c r="B50" s="1217"/>
      <c r="C50" s="1227" t="s">
        <v>653</v>
      </c>
      <c r="D50" s="926" t="s">
        <v>1047</v>
      </c>
      <c r="E50" s="927"/>
      <c r="F50" s="928">
        <v>50</v>
      </c>
      <c r="G50" s="927">
        <f t="shared" si="3"/>
        <v>50</v>
      </c>
      <c r="H50" s="578"/>
    </row>
    <row r="51" spans="1:8" s="8" customFormat="1" ht="24" x14ac:dyDescent="0.2">
      <c r="A51" s="148"/>
      <c r="B51" s="1217"/>
      <c r="C51" s="1224" t="s">
        <v>118</v>
      </c>
      <c r="D51" s="1090" t="s">
        <v>1048</v>
      </c>
      <c r="E51" s="927"/>
      <c r="F51" s="928">
        <v>150</v>
      </c>
      <c r="G51" s="927">
        <f t="shared" si="3"/>
        <v>150</v>
      </c>
      <c r="H51" s="578"/>
    </row>
    <row r="52" spans="1:8" s="8" customFormat="1" x14ac:dyDescent="0.2">
      <c r="A52" s="148"/>
      <c r="B52" s="1217"/>
      <c r="C52" s="1227" t="s">
        <v>119</v>
      </c>
      <c r="D52" s="926" t="s">
        <v>1055</v>
      </c>
      <c r="E52" s="927"/>
      <c r="F52" s="928">
        <v>127</v>
      </c>
      <c r="G52" s="927">
        <f t="shared" si="3"/>
        <v>127</v>
      </c>
      <c r="H52" s="578"/>
    </row>
    <row r="53" spans="1:8" s="8" customFormat="1" ht="25.5" customHeight="1" x14ac:dyDescent="0.2">
      <c r="A53" s="148"/>
      <c r="B53" s="1217"/>
      <c r="C53" s="1224" t="s">
        <v>120</v>
      </c>
      <c r="D53" s="1090" t="s">
        <v>1127</v>
      </c>
      <c r="E53" s="927"/>
      <c r="F53" s="928"/>
      <c r="G53" s="927">
        <f t="shared" si="3"/>
        <v>0</v>
      </c>
      <c r="H53" s="578"/>
    </row>
    <row r="54" spans="1:8" s="8" customFormat="1" ht="12.75" customHeight="1" x14ac:dyDescent="0.2">
      <c r="A54" s="148"/>
      <c r="B54" s="1217"/>
      <c r="C54" s="1227" t="s">
        <v>123</v>
      </c>
      <c r="D54" s="926" t="s">
        <v>1124</v>
      </c>
      <c r="E54" s="927"/>
      <c r="F54" s="928"/>
      <c r="G54" s="927">
        <f t="shared" si="3"/>
        <v>0</v>
      </c>
      <c r="H54" s="578"/>
    </row>
    <row r="55" spans="1:8" s="8" customFormat="1" ht="25.5" customHeight="1" x14ac:dyDescent="0.2">
      <c r="A55" s="148"/>
      <c r="B55" s="1217"/>
      <c r="C55" s="1224" t="s">
        <v>126</v>
      </c>
      <c r="D55" s="1090" t="s">
        <v>1126</v>
      </c>
      <c r="E55" s="927"/>
      <c r="F55" s="928"/>
      <c r="G55" s="927">
        <f t="shared" si="3"/>
        <v>0</v>
      </c>
      <c r="H55" s="578"/>
    </row>
    <row r="56" spans="1:8" s="8" customFormat="1" ht="12.75" customHeight="1" x14ac:dyDescent="0.2">
      <c r="A56" s="148"/>
      <c r="B56" s="1217"/>
      <c r="C56" s="1227" t="s">
        <v>127</v>
      </c>
      <c r="D56" s="926" t="s">
        <v>1125</v>
      </c>
      <c r="E56" s="927"/>
      <c r="F56" s="928"/>
      <c r="G56" s="927">
        <f t="shared" si="3"/>
        <v>0</v>
      </c>
      <c r="H56" s="578"/>
    </row>
    <row r="57" spans="1:8" s="8" customFormat="1" ht="27" customHeight="1" x14ac:dyDescent="0.2">
      <c r="A57" s="148"/>
      <c r="B57" s="1217"/>
      <c r="C57" s="1227" t="s">
        <v>128</v>
      </c>
      <c r="D57" s="926" t="s">
        <v>1227</v>
      </c>
      <c r="E57" s="927"/>
      <c r="F57" s="928">
        <v>16674</v>
      </c>
      <c r="G57" s="927">
        <f t="shared" si="3"/>
        <v>16674</v>
      </c>
      <c r="H57" s="578"/>
    </row>
    <row r="58" spans="1:8" s="8" customFormat="1" ht="15" customHeight="1" x14ac:dyDescent="0.2">
      <c r="A58" s="148"/>
      <c r="B58" s="1217"/>
      <c r="C58" s="1227" t="s">
        <v>129</v>
      </c>
      <c r="D58" s="926" t="s">
        <v>1278</v>
      </c>
      <c r="E58" s="927"/>
      <c r="F58" s="928">
        <v>1000</v>
      </c>
      <c r="G58" s="927">
        <f t="shared" si="3"/>
        <v>1000</v>
      </c>
      <c r="H58" s="578"/>
    </row>
    <row r="59" spans="1:8" s="8" customFormat="1" ht="15" customHeight="1" x14ac:dyDescent="0.2">
      <c r="A59" s="148"/>
      <c r="B59" s="1217"/>
      <c r="C59" s="1227" t="s">
        <v>132</v>
      </c>
      <c r="D59" s="926" t="s">
        <v>1279</v>
      </c>
      <c r="E59" s="927"/>
      <c r="F59" s="928">
        <v>525</v>
      </c>
      <c r="G59" s="927">
        <f t="shared" si="3"/>
        <v>525</v>
      </c>
      <c r="H59" s="578"/>
    </row>
    <row r="60" spans="1:8" s="8" customFormat="1" ht="15" customHeight="1" x14ac:dyDescent="0.2">
      <c r="A60" s="148"/>
      <c r="B60" s="1217"/>
      <c r="C60" s="1227" t="s">
        <v>135</v>
      </c>
      <c r="D60" s="926" t="s">
        <v>1299</v>
      </c>
      <c r="E60" s="927"/>
      <c r="F60" s="928">
        <v>400</v>
      </c>
      <c r="G60" s="927">
        <f t="shared" si="3"/>
        <v>400</v>
      </c>
      <c r="H60" s="578"/>
    </row>
    <row r="61" spans="1:8" s="8" customFormat="1" ht="15" customHeight="1" x14ac:dyDescent="0.2">
      <c r="A61" s="148"/>
      <c r="B61" s="1217"/>
      <c r="C61" s="1227" t="s">
        <v>138</v>
      </c>
      <c r="D61" s="926" t="s">
        <v>1300</v>
      </c>
      <c r="E61" s="927"/>
      <c r="F61" s="928">
        <v>50</v>
      </c>
      <c r="G61" s="927">
        <f t="shared" si="3"/>
        <v>50</v>
      </c>
      <c r="H61" s="578"/>
    </row>
    <row r="62" spans="1:8" s="8" customFormat="1" ht="15" customHeight="1" x14ac:dyDescent="0.2">
      <c r="A62" s="148"/>
      <c r="B62" s="1217"/>
      <c r="C62" s="1227" t="s">
        <v>139</v>
      </c>
      <c r="D62" s="926" t="s">
        <v>1366</v>
      </c>
      <c r="E62" s="927">
        <v>9951</v>
      </c>
      <c r="F62" s="928"/>
      <c r="G62" s="927">
        <f t="shared" si="3"/>
        <v>9951</v>
      </c>
      <c r="H62" s="578"/>
    </row>
    <row r="63" spans="1:8" s="8" customFormat="1" ht="15" customHeight="1" x14ac:dyDescent="0.2">
      <c r="A63" s="148"/>
      <c r="B63" s="1217"/>
      <c r="C63" s="1227" t="s">
        <v>142</v>
      </c>
      <c r="D63" s="926" t="s">
        <v>1367</v>
      </c>
      <c r="E63" s="927">
        <v>9273</v>
      </c>
      <c r="F63" s="928"/>
      <c r="G63" s="927">
        <f t="shared" si="3"/>
        <v>9273</v>
      </c>
      <c r="H63" s="578"/>
    </row>
    <row r="64" spans="1:8" s="8" customFormat="1" ht="28.5" customHeight="1" x14ac:dyDescent="0.2">
      <c r="A64" s="148"/>
      <c r="B64" s="1217"/>
      <c r="C64" s="1224" t="s">
        <v>143</v>
      </c>
      <c r="D64" s="926" t="s">
        <v>1369</v>
      </c>
      <c r="E64" s="927"/>
      <c r="F64" s="928">
        <v>50</v>
      </c>
      <c r="G64" s="927">
        <f t="shared" si="3"/>
        <v>50</v>
      </c>
      <c r="H64" s="578"/>
    </row>
    <row r="65" spans="1:12" s="8" customFormat="1" ht="26.25" customHeight="1" x14ac:dyDescent="0.2">
      <c r="A65" s="148"/>
      <c r="B65" s="1217"/>
      <c r="C65" s="1224" t="s">
        <v>144</v>
      </c>
      <c r="D65" s="926" t="s">
        <v>1368</v>
      </c>
      <c r="E65" s="927"/>
      <c r="F65" s="928">
        <v>50</v>
      </c>
      <c r="G65" s="927">
        <f t="shared" si="3"/>
        <v>50</v>
      </c>
      <c r="H65" s="578"/>
    </row>
    <row r="66" spans="1:12" s="8" customFormat="1" ht="12.75" thickBot="1" x14ac:dyDescent="0.25">
      <c r="A66" s="148"/>
      <c r="B66" s="1217"/>
      <c r="C66" s="1227" t="s">
        <v>146</v>
      </c>
      <c r="D66" s="873" t="s">
        <v>1037</v>
      </c>
      <c r="E66" s="876">
        <v>0</v>
      </c>
      <c r="F66" s="877">
        <v>534</v>
      </c>
      <c r="G66" s="876">
        <f>SUM(E66:F66)</f>
        <v>534</v>
      </c>
      <c r="H66" s="578"/>
    </row>
    <row r="67" spans="1:12" s="8" customFormat="1" ht="12.75" thickBot="1" x14ac:dyDescent="0.25">
      <c r="A67" s="148"/>
      <c r="B67" s="1219"/>
      <c r="C67" s="1226" t="s">
        <v>148</v>
      </c>
      <c r="D67" s="1067" t="s">
        <v>457</v>
      </c>
      <c r="E67" s="878">
        <f>SUM(E25:E66)</f>
        <v>159080</v>
      </c>
      <c r="F67" s="879">
        <f>SUM(F30:F66)</f>
        <v>175035</v>
      </c>
      <c r="G67" s="1220">
        <f>SUM(G25:G66)</f>
        <v>334115</v>
      </c>
      <c r="H67" s="830"/>
    </row>
    <row r="68" spans="1:12" ht="12.75" thickBot="1" x14ac:dyDescent="0.25">
      <c r="B68" s="1216"/>
      <c r="C68" s="1225" t="s">
        <v>151</v>
      </c>
      <c r="D68" s="870"/>
      <c r="E68" s="611"/>
      <c r="F68" s="146"/>
      <c r="G68" s="611"/>
      <c r="H68" s="579"/>
    </row>
    <row r="69" spans="1:12" ht="12.75" thickBot="1" x14ac:dyDescent="0.25">
      <c r="B69" s="1218"/>
      <c r="C69" s="1226" t="s">
        <v>153</v>
      </c>
      <c r="D69" s="1228" t="s">
        <v>1107</v>
      </c>
      <c r="E69" s="1069">
        <f>E23+E67</f>
        <v>168843</v>
      </c>
      <c r="F69" s="1069">
        <f>F23+F67</f>
        <v>233184</v>
      </c>
      <c r="G69" s="1081">
        <f>G23+G67</f>
        <v>402027</v>
      </c>
    </row>
    <row r="70" spans="1:12" x14ac:dyDescent="0.2">
      <c r="B70" s="1216"/>
      <c r="C70" s="1225" t="s">
        <v>154</v>
      </c>
      <c r="D70" s="1191"/>
      <c r="E70" s="1229"/>
      <c r="F70" s="1229"/>
      <c r="H70" s="579"/>
    </row>
    <row r="71" spans="1:12" x14ac:dyDescent="0.2">
      <c r="B71" s="1216"/>
      <c r="C71" s="1225" t="s">
        <v>155</v>
      </c>
      <c r="D71" s="1189" t="s">
        <v>327</v>
      </c>
      <c r="E71" s="1195"/>
      <c r="F71" s="1195"/>
      <c r="G71" s="1195"/>
    </row>
    <row r="72" spans="1:12" x14ac:dyDescent="0.2">
      <c r="B72" s="1216"/>
      <c r="C72" s="1225" t="s">
        <v>1079</v>
      </c>
      <c r="D72" s="1190" t="s">
        <v>454</v>
      </c>
      <c r="E72" s="1195"/>
      <c r="F72" s="1195"/>
      <c r="G72" s="1195"/>
    </row>
    <row r="73" spans="1:12" ht="12.75" thickBot="1" x14ac:dyDescent="0.25">
      <c r="B73" s="1216"/>
      <c r="C73" s="1225" t="s">
        <v>1080</v>
      </c>
      <c r="D73" s="1191" t="s">
        <v>1301</v>
      </c>
      <c r="E73" s="1195">
        <v>26</v>
      </c>
      <c r="F73" s="1195"/>
      <c r="G73" s="1195">
        <f>E73+F73</f>
        <v>26</v>
      </c>
    </row>
    <row r="74" spans="1:12" ht="12.75" thickBot="1" x14ac:dyDescent="0.25">
      <c r="B74" s="1218"/>
      <c r="C74" s="1226" t="s">
        <v>1274</v>
      </c>
      <c r="D74" s="1192" t="s">
        <v>1110</v>
      </c>
      <c r="E74" s="1196">
        <f>SUM(E73)</f>
        <v>26</v>
      </c>
      <c r="F74" s="1196">
        <f t="shared" ref="F74:G74" si="4">SUM(F73)</f>
        <v>0</v>
      </c>
      <c r="G74" s="1201">
        <f t="shared" si="4"/>
        <v>26</v>
      </c>
      <c r="H74" s="1202"/>
    </row>
    <row r="75" spans="1:12" x14ac:dyDescent="0.2">
      <c r="B75" s="1216"/>
      <c r="C75" s="1225" t="s">
        <v>1275</v>
      </c>
      <c r="D75" s="1193"/>
      <c r="E75" s="1197"/>
      <c r="F75" s="1197"/>
      <c r="G75" s="1197"/>
    </row>
    <row r="76" spans="1:12" x14ac:dyDescent="0.2">
      <c r="B76" s="1216"/>
      <c r="C76" s="1225" t="s">
        <v>1276</v>
      </c>
      <c r="D76" s="1190" t="s">
        <v>456</v>
      </c>
      <c r="E76" s="1197"/>
      <c r="F76" s="1197"/>
      <c r="G76" s="1197"/>
      <c r="L76" s="1066"/>
    </row>
    <row r="77" spans="1:12" ht="12.75" thickBot="1" x14ac:dyDescent="0.25">
      <c r="B77" s="1216"/>
      <c r="C77" s="1225" t="s">
        <v>1350</v>
      </c>
      <c r="D77" s="1200" t="s">
        <v>1302</v>
      </c>
      <c r="E77" s="1195">
        <v>18</v>
      </c>
      <c r="F77" s="1195"/>
      <c r="G77" s="1195">
        <f>F77+E77</f>
        <v>18</v>
      </c>
    </row>
    <row r="78" spans="1:12" ht="12.75" thickBot="1" x14ac:dyDescent="0.25">
      <c r="B78" s="1216"/>
      <c r="C78" s="1225" t="s">
        <v>1351</v>
      </c>
      <c r="D78" s="1228" t="s">
        <v>1303</v>
      </c>
      <c r="E78" s="1196">
        <f>SUM(E77)</f>
        <v>18</v>
      </c>
      <c r="F78" s="1196"/>
      <c r="G78" s="1201">
        <f>SUM(G77)</f>
        <v>18</v>
      </c>
    </row>
    <row r="79" spans="1:12" ht="12.75" thickBot="1" x14ac:dyDescent="0.25">
      <c r="B79" s="1216"/>
      <c r="C79" s="1225" t="s">
        <v>1357</v>
      </c>
      <c r="D79" s="1190"/>
      <c r="E79" s="1197"/>
      <c r="F79" s="1197"/>
      <c r="G79" s="1197"/>
    </row>
    <row r="80" spans="1:12" ht="12.75" thickBot="1" x14ac:dyDescent="0.25">
      <c r="B80" s="1218"/>
      <c r="C80" s="1226" t="s">
        <v>1358</v>
      </c>
      <c r="D80" s="1194" t="s">
        <v>1108</v>
      </c>
      <c r="E80" s="1196">
        <f>E74+E78</f>
        <v>44</v>
      </c>
      <c r="F80" s="1196">
        <f t="shared" ref="F80:G80" si="5">F74+F78</f>
        <v>0</v>
      </c>
      <c r="G80" s="1201">
        <f t="shared" si="5"/>
        <v>44</v>
      </c>
    </row>
    <row r="81" spans="2:9" x14ac:dyDescent="0.2">
      <c r="B81" s="1216"/>
      <c r="C81" s="1225" t="s">
        <v>1360</v>
      </c>
      <c r="D81" s="1068"/>
      <c r="E81" s="1197"/>
      <c r="F81" s="1197"/>
      <c r="G81" s="1070"/>
      <c r="H81" s="579"/>
    </row>
    <row r="82" spans="2:9" ht="24" x14ac:dyDescent="0.2">
      <c r="B82" s="1216"/>
      <c r="C82" s="1225" t="s">
        <v>1361</v>
      </c>
      <c r="D82" s="1190" t="s">
        <v>1111</v>
      </c>
      <c r="E82" s="1198">
        <f>E23+E74</f>
        <v>9789</v>
      </c>
      <c r="F82" s="1198">
        <f>F23+F74</f>
        <v>58149</v>
      </c>
      <c r="G82" s="1198">
        <f>G23+G74</f>
        <v>67938</v>
      </c>
    </row>
    <row r="83" spans="2:9" ht="24" x14ac:dyDescent="0.2">
      <c r="B83" s="1216"/>
      <c r="C83" s="1225" t="s">
        <v>1362</v>
      </c>
      <c r="D83" s="1190" t="s">
        <v>1112</v>
      </c>
      <c r="E83" s="1198">
        <f>E67+E78</f>
        <v>159098</v>
      </c>
      <c r="F83" s="1198">
        <f t="shared" ref="F83:G83" si="6">F67+F78</f>
        <v>175035</v>
      </c>
      <c r="G83" s="1198">
        <f t="shared" si="6"/>
        <v>334133</v>
      </c>
    </row>
    <row r="84" spans="2:9" ht="12.75" thickBot="1" x14ac:dyDescent="0.25">
      <c r="B84" s="1216"/>
      <c r="C84" s="1225" t="s">
        <v>1363</v>
      </c>
      <c r="D84" s="1191"/>
      <c r="E84" s="1195"/>
      <c r="F84" s="1195"/>
      <c r="G84" s="1195"/>
    </row>
    <row r="85" spans="2:9" ht="24.75" thickBot="1" x14ac:dyDescent="0.25">
      <c r="B85" s="1218"/>
      <c r="C85" s="1226" t="s">
        <v>1364</v>
      </c>
      <c r="D85" s="1194" t="s">
        <v>1109</v>
      </c>
      <c r="E85" s="1199">
        <f>E69+E80</f>
        <v>168887</v>
      </c>
      <c r="F85" s="1199">
        <f>F69+F80</f>
        <v>233184</v>
      </c>
      <c r="G85" s="1176">
        <f>G69+G80</f>
        <v>402071</v>
      </c>
    </row>
    <row r="86" spans="2:9" x14ac:dyDescent="0.2">
      <c r="I86" s="1066"/>
    </row>
  </sheetData>
  <sheetProtection selectLockedCells="1" selectUnlockedCells="1"/>
  <mergeCells count="7">
    <mergeCell ref="C1:G1"/>
    <mergeCell ref="D6:G6"/>
    <mergeCell ref="C7:C8"/>
    <mergeCell ref="D7:D8"/>
    <mergeCell ref="E7:G7"/>
    <mergeCell ref="C3:G3"/>
    <mergeCell ref="C4:G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5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T146"/>
  <sheetViews>
    <sheetView workbookViewId="0">
      <pane xSplit="3" ySplit="9" topLeftCell="D10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I1"/>
    </sheetView>
  </sheetViews>
  <sheetFormatPr defaultColWidth="9.140625" defaultRowHeight="14.1" customHeight="1" x14ac:dyDescent="0.2"/>
  <cols>
    <col min="1" max="1" width="1.28515625" style="84" customWidth="1"/>
    <col min="2" max="2" width="3.7109375" style="318" customWidth="1"/>
    <col min="3" max="3" width="41.42578125" style="327" customWidth="1"/>
    <col min="4" max="4" width="9.85546875" style="85" customWidth="1"/>
    <col min="5" max="5" width="8.7109375" style="85" customWidth="1"/>
    <col min="6" max="6" width="7.85546875" style="85" customWidth="1"/>
    <col min="7" max="7" width="8.42578125" style="98" customWidth="1"/>
    <col min="8" max="8" width="9.85546875" style="114" customWidth="1"/>
    <col min="9" max="9" width="7.28515625" style="114" customWidth="1"/>
    <col min="10" max="16384" width="9.140625" style="84"/>
  </cols>
  <sheetData>
    <row r="1" spans="1:10" ht="12.75" customHeight="1" x14ac:dyDescent="0.2">
      <c r="B1" s="1358" t="s">
        <v>1402</v>
      </c>
      <c r="C1" s="1358"/>
      <c r="D1" s="1358"/>
      <c r="E1" s="1358"/>
      <c r="F1" s="1358"/>
      <c r="G1" s="1358"/>
      <c r="H1" s="1323"/>
      <c r="I1" s="1323"/>
    </row>
    <row r="2" spans="1:10" ht="14.1" customHeight="1" x14ac:dyDescent="0.2">
      <c r="B2" s="1359" t="s">
        <v>77</v>
      </c>
      <c r="C2" s="1359"/>
      <c r="D2" s="1359"/>
      <c r="E2" s="1359"/>
      <c r="F2" s="1359"/>
      <c r="G2" s="1359"/>
      <c r="H2" s="1323"/>
      <c r="I2" s="1323"/>
    </row>
    <row r="3" spans="1:10" ht="14.1" customHeight="1" x14ac:dyDescent="0.2">
      <c r="B3" s="328"/>
      <c r="C3" s="1370" t="s">
        <v>1156</v>
      </c>
      <c r="D3" s="1370"/>
      <c r="E3" s="1370"/>
      <c r="F3" s="1370"/>
      <c r="G3" s="1370"/>
      <c r="H3" s="1370"/>
      <c r="I3" s="1370"/>
    </row>
    <row r="4" spans="1:10" ht="14.25" customHeight="1" thickBot="1" x14ac:dyDescent="0.25">
      <c r="B4" s="1362" t="s">
        <v>302</v>
      </c>
      <c r="C4" s="1362"/>
      <c r="D4" s="1362"/>
      <c r="E4" s="1362"/>
      <c r="F4" s="1362"/>
      <c r="G4" s="1362"/>
      <c r="H4" s="1363"/>
      <c r="I4" s="1363"/>
    </row>
    <row r="5" spans="1:10" ht="24" customHeight="1" thickBot="1" x14ac:dyDescent="0.25">
      <c r="B5" s="1364" t="s">
        <v>469</v>
      </c>
      <c r="C5" s="325" t="s">
        <v>57</v>
      </c>
      <c r="D5" s="87" t="s">
        <v>58</v>
      </c>
      <c r="E5" s="87" t="s">
        <v>59</v>
      </c>
      <c r="F5" s="87" t="s">
        <v>60</v>
      </c>
      <c r="G5" s="88" t="s">
        <v>470</v>
      </c>
      <c r="H5" s="88" t="s">
        <v>471</v>
      </c>
      <c r="I5" s="524" t="s">
        <v>472</v>
      </c>
    </row>
    <row r="6" spans="1:10" ht="1.9" hidden="1" customHeight="1" thickBot="1" x14ac:dyDescent="0.25">
      <c r="B6" s="1364"/>
      <c r="C6" s="326"/>
      <c r="D6" s="140"/>
      <c r="E6" s="140"/>
      <c r="F6" s="140"/>
      <c r="G6" s="141"/>
    </row>
    <row r="7" spans="1:10" s="265" customFormat="1" ht="23.25" customHeight="1" thickBot="1" x14ac:dyDescent="0.25">
      <c r="B7" s="1364"/>
      <c r="C7" s="326"/>
      <c r="D7" s="140"/>
      <c r="E7" s="1371" t="s">
        <v>315</v>
      </c>
      <c r="F7" s="1372"/>
      <c r="G7" s="1373"/>
      <c r="H7" s="1360" t="s">
        <v>1137</v>
      </c>
      <c r="I7" s="1361"/>
    </row>
    <row r="8" spans="1:10" s="83" customFormat="1" ht="30.75" customHeight="1" thickBot="1" x14ac:dyDescent="0.25">
      <c r="B8" s="1364"/>
      <c r="C8" s="1365" t="s">
        <v>85</v>
      </c>
      <c r="D8" s="1365" t="s">
        <v>473</v>
      </c>
      <c r="E8" s="1374" t="s">
        <v>474</v>
      </c>
      <c r="F8" s="1374" t="s">
        <v>475</v>
      </c>
      <c r="G8" s="1367" t="s">
        <v>476</v>
      </c>
      <c r="H8" s="1366" t="s">
        <v>62</v>
      </c>
      <c r="I8" s="1368" t="s">
        <v>63</v>
      </c>
    </row>
    <row r="9" spans="1:10" s="83" customFormat="1" ht="41.25" customHeight="1" thickBot="1" x14ac:dyDescent="0.25">
      <c r="B9" s="1364"/>
      <c r="C9" s="1365"/>
      <c r="D9" s="1365"/>
      <c r="E9" s="1374"/>
      <c r="F9" s="1374"/>
      <c r="G9" s="1367"/>
      <c r="H9" s="1367"/>
      <c r="I9" s="1369"/>
    </row>
    <row r="10" spans="1:10" ht="14.1" customHeight="1" x14ac:dyDescent="0.2">
      <c r="A10" s="1253"/>
      <c r="B10" s="1236"/>
      <c r="C10" s="89" t="s">
        <v>77</v>
      </c>
      <c r="D10" s="90"/>
      <c r="E10" s="90"/>
      <c r="F10" s="90"/>
      <c r="G10" s="91"/>
      <c r="I10" s="596"/>
      <c r="J10" s="580"/>
    </row>
    <row r="11" spans="1:10" ht="14.1" customHeight="1" x14ac:dyDescent="0.2">
      <c r="A11" s="1253"/>
      <c r="B11" s="1237"/>
      <c r="C11" s="89"/>
      <c r="D11" s="90"/>
      <c r="E11" s="90"/>
      <c r="F11" s="90"/>
      <c r="G11" s="91"/>
      <c r="I11" s="597"/>
      <c r="J11" s="580"/>
    </row>
    <row r="12" spans="1:10" ht="14.1" customHeight="1" x14ac:dyDescent="0.2">
      <c r="A12" s="1253"/>
      <c r="B12" s="1238" t="s">
        <v>477</v>
      </c>
      <c r="C12" s="89" t="s">
        <v>478</v>
      </c>
      <c r="D12" s="90"/>
      <c r="E12" s="90"/>
      <c r="F12" s="90"/>
      <c r="G12" s="91"/>
      <c r="I12" s="597"/>
      <c r="J12" s="580"/>
    </row>
    <row r="13" spans="1:10" ht="18.75" customHeight="1" x14ac:dyDescent="0.2">
      <c r="A13" s="1253"/>
      <c r="B13" s="1239" t="s">
        <v>479</v>
      </c>
      <c r="C13" s="109" t="s">
        <v>1230</v>
      </c>
      <c r="D13" s="778" t="s">
        <v>945</v>
      </c>
      <c r="E13" s="128">
        <v>2363</v>
      </c>
      <c r="F13" s="128">
        <v>637</v>
      </c>
      <c r="G13" s="107">
        <f t="shared" ref="G13" si="0">E13+F13</f>
        <v>3000</v>
      </c>
      <c r="H13" s="86">
        <f t="shared" ref="H13" si="1">G13</f>
        <v>3000</v>
      </c>
      <c r="I13" s="597"/>
      <c r="J13" s="580"/>
    </row>
    <row r="14" spans="1:10" s="101" customFormat="1" ht="14.25" customHeight="1" x14ac:dyDescent="0.2">
      <c r="A14" s="1254"/>
      <c r="B14" s="1239" t="s">
        <v>487</v>
      </c>
      <c r="C14" s="92" t="s">
        <v>1243</v>
      </c>
      <c r="D14" s="467" t="s">
        <v>480</v>
      </c>
      <c r="E14" s="128">
        <v>12000</v>
      </c>
      <c r="F14" s="128">
        <v>3240</v>
      </c>
      <c r="G14" s="107">
        <f>E14+F14</f>
        <v>15240</v>
      </c>
      <c r="H14" s="85"/>
      <c r="I14" s="90">
        <f>G14</f>
        <v>15240</v>
      </c>
      <c r="J14" s="581"/>
    </row>
    <row r="15" spans="1:10" s="101" customFormat="1" ht="16.5" customHeight="1" x14ac:dyDescent="0.2">
      <c r="A15" s="1254"/>
      <c r="B15" s="1239" t="s">
        <v>488</v>
      </c>
      <c r="C15" s="92" t="s">
        <v>1280</v>
      </c>
      <c r="D15" s="778" t="s">
        <v>945</v>
      </c>
      <c r="E15" s="128">
        <v>14540</v>
      </c>
      <c r="F15" s="128">
        <v>3926</v>
      </c>
      <c r="G15" s="107">
        <f>SUM(E15:F15)</f>
        <v>18466</v>
      </c>
      <c r="H15" s="85"/>
      <c r="I15" s="90">
        <f>G15</f>
        <v>18466</v>
      </c>
      <c r="J15" s="581"/>
    </row>
    <row r="16" spans="1:10" s="101" customFormat="1" ht="16.5" customHeight="1" x14ac:dyDescent="0.2">
      <c r="A16" s="1254"/>
      <c r="B16" s="1239" t="s">
        <v>489</v>
      </c>
      <c r="C16" s="92" t="s">
        <v>1304</v>
      </c>
      <c r="D16" s="778" t="s">
        <v>945</v>
      </c>
      <c r="E16" s="128">
        <v>276</v>
      </c>
      <c r="F16" s="128">
        <v>75</v>
      </c>
      <c r="G16" s="107">
        <f>SUM(E16:F16)</f>
        <v>351</v>
      </c>
      <c r="H16" s="85">
        <f>G16</f>
        <v>351</v>
      </c>
      <c r="I16" s="90"/>
      <c r="J16" s="581"/>
    </row>
    <row r="17" spans="1:12" s="101" customFormat="1" ht="10.5" customHeight="1" thickBot="1" x14ac:dyDescent="0.25">
      <c r="A17" s="1254"/>
      <c r="B17" s="1239"/>
      <c r="C17" s="92"/>
      <c r="D17" s="778"/>
      <c r="E17" s="128"/>
      <c r="F17" s="128"/>
      <c r="G17" s="107"/>
      <c r="H17" s="85"/>
      <c r="I17" s="90"/>
      <c r="J17" s="581"/>
    </row>
    <row r="18" spans="1:12" s="101" customFormat="1" ht="15" customHeight="1" thickBot="1" x14ac:dyDescent="0.25">
      <c r="A18" s="1254"/>
      <c r="B18" s="1252"/>
      <c r="C18" s="93" t="s">
        <v>481</v>
      </c>
      <c r="D18" s="94"/>
      <c r="E18" s="793">
        <f t="shared" ref="E18:G18" si="2">SUM(E13:E16)</f>
        <v>29179</v>
      </c>
      <c r="F18" s="793">
        <f t="shared" si="2"/>
        <v>7878</v>
      </c>
      <c r="G18" s="793">
        <f t="shared" si="2"/>
        <v>37057</v>
      </c>
      <c r="H18" s="793">
        <f>SUM(H13:H16)</f>
        <v>3351</v>
      </c>
      <c r="I18" s="793">
        <f>SUM(I13:I16)</f>
        <v>33706</v>
      </c>
      <c r="J18" s="583"/>
    </row>
    <row r="19" spans="1:12" ht="14.1" customHeight="1" x14ac:dyDescent="0.2">
      <c r="A19" s="1253"/>
      <c r="B19" s="1240"/>
      <c r="C19" s="92"/>
      <c r="D19" s="90"/>
      <c r="E19" s="90"/>
      <c r="F19" s="90"/>
      <c r="G19" s="91"/>
      <c r="I19" s="597"/>
      <c r="J19" s="580"/>
    </row>
    <row r="20" spans="1:12" ht="15" customHeight="1" x14ac:dyDescent="0.2">
      <c r="A20" s="1253"/>
      <c r="B20" s="1240" t="s">
        <v>482</v>
      </c>
      <c r="C20" s="89" t="s">
        <v>483</v>
      </c>
      <c r="D20" s="90"/>
      <c r="E20" s="90"/>
      <c r="F20" s="90"/>
      <c r="G20" s="91"/>
      <c r="I20" s="597"/>
      <c r="J20" s="580"/>
    </row>
    <row r="21" spans="1:12" ht="15" customHeight="1" x14ac:dyDescent="0.2">
      <c r="A21" s="1253"/>
      <c r="B21" s="1237" t="s">
        <v>479</v>
      </c>
      <c r="C21" s="109" t="s">
        <v>1305</v>
      </c>
      <c r="D21" s="778" t="s">
        <v>945</v>
      </c>
      <c r="E21" s="90">
        <v>0</v>
      </c>
      <c r="F21" s="90">
        <v>0</v>
      </c>
      <c r="G21" s="91">
        <f>E21+F21</f>
        <v>0</v>
      </c>
      <c r="I21" s="128">
        <f>G21</f>
        <v>0</v>
      </c>
      <c r="J21" s="580"/>
    </row>
    <row r="22" spans="1:12" ht="24.75" customHeight="1" x14ac:dyDescent="0.2">
      <c r="A22" s="1253"/>
      <c r="B22" s="1237" t="s">
        <v>487</v>
      </c>
      <c r="C22" s="109" t="s">
        <v>1306</v>
      </c>
      <c r="D22" s="778" t="s">
        <v>945</v>
      </c>
      <c r="E22" s="90">
        <v>30709</v>
      </c>
      <c r="F22" s="90">
        <v>8291</v>
      </c>
      <c r="G22" s="91">
        <f t="shared" ref="G22:G24" si="3">E22+F22</f>
        <v>39000</v>
      </c>
      <c r="H22" s="86">
        <f>G22</f>
        <v>39000</v>
      </c>
      <c r="I22" s="597"/>
      <c r="J22" s="580"/>
      <c r="L22" s="1203"/>
    </row>
    <row r="23" spans="1:12" ht="15" customHeight="1" x14ac:dyDescent="0.2">
      <c r="A23" s="1253"/>
      <c r="B23" s="1237" t="s">
        <v>488</v>
      </c>
      <c r="C23" s="109" t="s">
        <v>1307</v>
      </c>
      <c r="D23" s="90"/>
      <c r="E23" s="90">
        <v>4500</v>
      </c>
      <c r="F23" s="90">
        <v>1215</v>
      </c>
      <c r="G23" s="91">
        <f t="shared" si="3"/>
        <v>5715</v>
      </c>
      <c r="H23" s="1204">
        <f>G23</f>
        <v>5715</v>
      </c>
      <c r="I23" s="1205"/>
      <c r="J23" s="580"/>
    </row>
    <row r="24" spans="1:12" ht="24.75" customHeight="1" x14ac:dyDescent="0.2">
      <c r="A24" s="1253"/>
      <c r="B24" s="1237" t="s">
        <v>489</v>
      </c>
      <c r="C24" s="109" t="s">
        <v>1308</v>
      </c>
      <c r="D24" s="778" t="s">
        <v>945</v>
      </c>
      <c r="E24" s="90">
        <v>3937</v>
      </c>
      <c r="F24" s="90">
        <v>1063</v>
      </c>
      <c r="G24" s="91">
        <f t="shared" si="3"/>
        <v>5000</v>
      </c>
      <c r="H24" s="1204">
        <f>G24</f>
        <v>5000</v>
      </c>
      <c r="I24" s="1205"/>
      <c r="J24" s="580"/>
    </row>
    <row r="25" spans="1:12" ht="13.5" customHeight="1" thickBot="1" x14ac:dyDescent="0.25">
      <c r="A25" s="1253"/>
      <c r="B25" s="1237"/>
      <c r="C25" s="109"/>
      <c r="D25" s="90"/>
      <c r="E25" s="128"/>
      <c r="F25" s="128"/>
      <c r="G25" s="107"/>
      <c r="H25" s="86"/>
      <c r="I25" s="128"/>
      <c r="J25" s="780"/>
    </row>
    <row r="26" spans="1:12" ht="12" customHeight="1" thickBot="1" x14ac:dyDescent="0.25">
      <c r="A26" s="1253"/>
      <c r="B26" s="1241"/>
      <c r="C26" s="470" t="s">
        <v>484</v>
      </c>
      <c r="D26" s="151"/>
      <c r="E26" s="794">
        <f>SUM(E21:E24)</f>
        <v>39146</v>
      </c>
      <c r="F26" s="794">
        <f t="shared" ref="F26:I26" si="4">SUM(F21:F24)</f>
        <v>10569</v>
      </c>
      <c r="G26" s="794">
        <f t="shared" si="4"/>
        <v>49715</v>
      </c>
      <c r="H26" s="794">
        <f t="shared" si="4"/>
        <v>49715</v>
      </c>
      <c r="I26" s="794">
        <f t="shared" si="4"/>
        <v>0</v>
      </c>
      <c r="J26" s="580"/>
    </row>
    <row r="27" spans="1:12" ht="12" customHeight="1" x14ac:dyDescent="0.2">
      <c r="A27" s="1253"/>
      <c r="B27" s="1242"/>
      <c r="C27" s="95"/>
      <c r="D27" s="90"/>
      <c r="E27" s="90"/>
      <c r="F27" s="90"/>
      <c r="G27" s="91"/>
      <c r="I27" s="597"/>
      <c r="J27" s="580"/>
    </row>
    <row r="28" spans="1:12" ht="15.75" customHeight="1" x14ac:dyDescent="0.2">
      <c r="A28" s="1253"/>
      <c r="B28" s="1243" t="s">
        <v>485</v>
      </c>
      <c r="C28" s="100" t="s">
        <v>486</v>
      </c>
      <c r="D28" s="97"/>
      <c r="E28" s="90"/>
      <c r="F28" s="90"/>
      <c r="G28" s="91"/>
      <c r="I28" s="597"/>
      <c r="J28" s="580"/>
    </row>
    <row r="29" spans="1:12" s="101" customFormat="1" ht="19.5" customHeight="1" x14ac:dyDescent="0.2">
      <c r="A29" s="1254"/>
      <c r="B29" s="1244" t="s">
        <v>1231</v>
      </c>
      <c r="C29" s="96" t="s">
        <v>977</v>
      </c>
      <c r="D29" s="467" t="s">
        <v>480</v>
      </c>
      <c r="E29" s="778">
        <v>9213</v>
      </c>
      <c r="F29" s="778">
        <v>2488</v>
      </c>
      <c r="G29" s="779">
        <f>E29+F29</f>
        <v>11701</v>
      </c>
      <c r="H29" s="468">
        <f t="shared" ref="H29:H33" si="5">G29</f>
        <v>11701</v>
      </c>
      <c r="I29" s="128"/>
      <c r="J29" s="581"/>
    </row>
    <row r="30" spans="1:12" s="101" customFormat="1" ht="24.75" customHeight="1" x14ac:dyDescent="0.2">
      <c r="A30" s="1254"/>
      <c r="B30" s="1244" t="s">
        <v>1232</v>
      </c>
      <c r="C30" s="96" t="s">
        <v>1053</v>
      </c>
      <c r="D30" s="778" t="s">
        <v>945</v>
      </c>
      <c r="E30" s="778">
        <v>24980</v>
      </c>
      <c r="F30" s="778">
        <v>6745</v>
      </c>
      <c r="G30" s="779">
        <f>SUM(E30:F30)</f>
        <v>31725</v>
      </c>
      <c r="H30" s="468">
        <f t="shared" si="5"/>
        <v>31725</v>
      </c>
      <c r="I30" s="128"/>
      <c r="J30" s="581"/>
    </row>
    <row r="31" spans="1:12" s="101" customFormat="1" ht="23.25" customHeight="1" x14ac:dyDescent="0.2">
      <c r="A31" s="1254"/>
      <c r="B31" s="1244" t="s">
        <v>487</v>
      </c>
      <c r="C31" s="96" t="s">
        <v>1309</v>
      </c>
      <c r="D31" s="467" t="s">
        <v>480</v>
      </c>
      <c r="E31" s="778">
        <v>21871</v>
      </c>
      <c r="F31" s="778">
        <v>5905</v>
      </c>
      <c r="G31" s="779">
        <f t="shared" ref="G31:G43" si="6">E31+F31</f>
        <v>27776</v>
      </c>
      <c r="H31" s="468">
        <f t="shared" si="5"/>
        <v>27776</v>
      </c>
      <c r="I31" s="778"/>
      <c r="J31" s="581"/>
    </row>
    <row r="32" spans="1:12" s="101" customFormat="1" ht="24.75" customHeight="1" x14ac:dyDescent="0.2">
      <c r="A32" s="1254"/>
      <c r="B32" s="1244" t="s">
        <v>488</v>
      </c>
      <c r="C32" s="96" t="s">
        <v>957</v>
      </c>
      <c r="D32" s="467" t="s">
        <v>480</v>
      </c>
      <c r="E32" s="778">
        <f>23622-15748</f>
        <v>7874</v>
      </c>
      <c r="F32" s="778">
        <f>6378-4252</f>
        <v>2126</v>
      </c>
      <c r="G32" s="779">
        <f t="shared" si="6"/>
        <v>10000</v>
      </c>
      <c r="H32" s="468">
        <f t="shared" si="5"/>
        <v>10000</v>
      </c>
      <c r="I32" s="128"/>
      <c r="J32" s="581"/>
    </row>
    <row r="33" spans="1:13" s="101" customFormat="1" ht="36.75" customHeight="1" x14ac:dyDescent="0.2">
      <c r="A33" s="1254"/>
      <c r="B33" s="1244" t="s">
        <v>489</v>
      </c>
      <c r="C33" s="92" t="s">
        <v>1345</v>
      </c>
      <c r="D33" s="467" t="s">
        <v>480</v>
      </c>
      <c r="E33" s="1098">
        <v>211019</v>
      </c>
      <c r="F33" s="1098">
        <v>3525</v>
      </c>
      <c r="G33" s="1099">
        <f t="shared" si="6"/>
        <v>214544</v>
      </c>
      <c r="H33" s="1100">
        <f t="shared" si="5"/>
        <v>214544</v>
      </c>
      <c r="I33" s="128"/>
      <c r="J33" s="581"/>
    </row>
    <row r="34" spans="1:13" s="101" customFormat="1" ht="27" customHeight="1" x14ac:dyDescent="0.2">
      <c r="A34" s="1254"/>
      <c r="B34" s="1244" t="s">
        <v>490</v>
      </c>
      <c r="C34" s="721" t="s">
        <v>1310</v>
      </c>
      <c r="D34" s="467" t="s">
        <v>480</v>
      </c>
      <c r="E34" s="778">
        <v>12071</v>
      </c>
      <c r="F34" s="778">
        <v>3260</v>
      </c>
      <c r="G34" s="779">
        <f t="shared" si="6"/>
        <v>15331</v>
      </c>
      <c r="H34" s="468"/>
      <c r="I34" s="778">
        <f>G34</f>
        <v>15331</v>
      </c>
      <c r="J34" s="581"/>
    </row>
    <row r="35" spans="1:13" s="101" customFormat="1" ht="36.75" customHeight="1" x14ac:dyDescent="0.2">
      <c r="A35" s="1254"/>
      <c r="B35" s="1244" t="s">
        <v>1233</v>
      </c>
      <c r="C35" s="952" t="s">
        <v>1038</v>
      </c>
      <c r="D35" s="778" t="s">
        <v>480</v>
      </c>
      <c r="E35" s="778">
        <v>145378</v>
      </c>
      <c r="F35" s="778">
        <v>39252</v>
      </c>
      <c r="G35" s="779">
        <f t="shared" si="6"/>
        <v>184630</v>
      </c>
      <c r="H35" s="468">
        <f>G35</f>
        <v>184630</v>
      </c>
      <c r="I35" s="778"/>
      <c r="J35" s="929"/>
      <c r="K35" s="930"/>
      <c r="L35" s="930"/>
      <c r="M35" s="930"/>
    </row>
    <row r="36" spans="1:13" s="101" customFormat="1" ht="27" customHeight="1" x14ac:dyDescent="0.2">
      <c r="A36" s="1254"/>
      <c r="B36" s="1244" t="s">
        <v>1234</v>
      </c>
      <c r="C36" s="721" t="s">
        <v>1084</v>
      </c>
      <c r="D36" s="467"/>
      <c r="E36" s="778">
        <v>118110</v>
      </c>
      <c r="F36" s="778">
        <v>31890</v>
      </c>
      <c r="G36" s="779">
        <f t="shared" si="6"/>
        <v>150000</v>
      </c>
      <c r="H36" s="468">
        <f>G36</f>
        <v>150000</v>
      </c>
      <c r="I36" s="778"/>
      <c r="J36" s="581"/>
    </row>
    <row r="37" spans="1:13" s="101" customFormat="1" ht="27" customHeight="1" x14ac:dyDescent="0.2">
      <c r="A37" s="1254"/>
      <c r="B37" s="1244" t="s">
        <v>1373</v>
      </c>
      <c r="C37" s="721" t="s">
        <v>1374</v>
      </c>
      <c r="D37" s="467"/>
      <c r="E37" s="778">
        <v>0</v>
      </c>
      <c r="F37" s="778">
        <v>0</v>
      </c>
      <c r="G37" s="779">
        <f t="shared" si="6"/>
        <v>0</v>
      </c>
      <c r="H37" s="468">
        <f>G37</f>
        <v>0</v>
      </c>
      <c r="I37" s="778"/>
      <c r="J37" s="581"/>
    </row>
    <row r="38" spans="1:13" s="101" customFormat="1" ht="26.25" customHeight="1" x14ac:dyDescent="0.2">
      <c r="A38" s="1254"/>
      <c r="B38" s="1244" t="s">
        <v>492</v>
      </c>
      <c r="C38" s="721" t="s">
        <v>1031</v>
      </c>
      <c r="D38" s="467" t="s">
        <v>480</v>
      </c>
      <c r="E38" s="778">
        <v>0</v>
      </c>
      <c r="F38" s="778">
        <v>0</v>
      </c>
      <c r="G38" s="779">
        <f t="shared" ref="G38" si="7">E38+F38</f>
        <v>0</v>
      </c>
      <c r="H38" s="468">
        <f t="shared" ref="H38" si="8">G38</f>
        <v>0</v>
      </c>
      <c r="I38" s="778"/>
      <c r="J38" s="581"/>
    </row>
    <row r="39" spans="1:13" s="101" customFormat="1" ht="21.75" customHeight="1" x14ac:dyDescent="0.2">
      <c r="A39" s="1254"/>
      <c r="B39" s="1244" t="s">
        <v>493</v>
      </c>
      <c r="C39" s="721" t="s">
        <v>946</v>
      </c>
      <c r="D39" s="467" t="s">
        <v>480</v>
      </c>
      <c r="E39" s="778">
        <v>12367</v>
      </c>
      <c r="F39" s="778">
        <v>3339</v>
      </c>
      <c r="G39" s="779">
        <f t="shared" si="6"/>
        <v>15706</v>
      </c>
      <c r="H39" s="468">
        <f t="shared" ref="H39" si="9">G39</f>
        <v>15706</v>
      </c>
      <c r="I39" s="778"/>
      <c r="J39" s="780"/>
    </row>
    <row r="40" spans="1:13" s="101" customFormat="1" ht="21.75" customHeight="1" x14ac:dyDescent="0.2">
      <c r="A40" s="1254"/>
      <c r="B40" s="1245" t="s">
        <v>1281</v>
      </c>
      <c r="C40" s="721" t="s">
        <v>976</v>
      </c>
      <c r="D40" s="467" t="s">
        <v>480</v>
      </c>
      <c r="E40" s="778">
        <v>0</v>
      </c>
      <c r="F40" s="778">
        <v>0</v>
      </c>
      <c r="G40" s="779">
        <f t="shared" si="6"/>
        <v>0</v>
      </c>
      <c r="H40" s="468"/>
      <c r="I40" s="778">
        <f>G40</f>
        <v>0</v>
      </c>
      <c r="J40" s="780"/>
    </row>
    <row r="41" spans="1:13" s="101" customFormat="1" ht="27" customHeight="1" x14ac:dyDescent="0.2">
      <c r="A41" s="1254"/>
      <c r="B41" s="1245" t="s">
        <v>1282</v>
      </c>
      <c r="C41" s="721" t="s">
        <v>1082</v>
      </c>
      <c r="D41" s="778" t="s">
        <v>945</v>
      </c>
      <c r="E41" s="778">
        <v>69000</v>
      </c>
      <c r="F41" s="778">
        <v>0</v>
      </c>
      <c r="G41" s="779">
        <f t="shared" si="6"/>
        <v>69000</v>
      </c>
      <c r="H41" s="468"/>
      <c r="I41" s="778">
        <f>G41</f>
        <v>69000</v>
      </c>
      <c r="J41" s="780"/>
    </row>
    <row r="42" spans="1:13" s="101" customFormat="1" ht="26.25" customHeight="1" x14ac:dyDescent="0.2">
      <c r="A42" s="1254"/>
      <c r="B42" s="1245" t="s">
        <v>1312</v>
      </c>
      <c r="C42" s="721" t="s">
        <v>1331</v>
      </c>
      <c r="D42" s="467" t="s">
        <v>480</v>
      </c>
      <c r="E42" s="778">
        <v>77153</v>
      </c>
      <c r="F42" s="778">
        <v>20832</v>
      </c>
      <c r="G42" s="779">
        <f t="shared" si="6"/>
        <v>97985</v>
      </c>
      <c r="H42" s="468">
        <f t="shared" ref="H42:H47" si="10">G42</f>
        <v>97985</v>
      </c>
      <c r="I42" s="778"/>
      <c r="J42" s="780"/>
    </row>
    <row r="43" spans="1:13" s="101" customFormat="1" ht="39.75" customHeight="1" x14ac:dyDescent="0.2">
      <c r="A43" s="1254"/>
      <c r="B43" s="1245" t="s">
        <v>1313</v>
      </c>
      <c r="C43" s="721" t="s">
        <v>1314</v>
      </c>
      <c r="D43" s="778" t="s">
        <v>945</v>
      </c>
      <c r="E43" s="778">
        <v>17395</v>
      </c>
      <c r="F43" s="778">
        <v>4697</v>
      </c>
      <c r="G43" s="779">
        <f t="shared" si="6"/>
        <v>22092</v>
      </c>
      <c r="H43" s="468">
        <f>G43</f>
        <v>22092</v>
      </c>
      <c r="I43" s="778"/>
      <c r="J43" s="780"/>
    </row>
    <row r="44" spans="1:13" s="101" customFormat="1" ht="27.75" customHeight="1" x14ac:dyDescent="0.2">
      <c r="A44" s="1254"/>
      <c r="B44" s="1244" t="s">
        <v>531</v>
      </c>
      <c r="C44" s="935" t="s">
        <v>999</v>
      </c>
      <c r="D44" s="467" t="s">
        <v>480</v>
      </c>
      <c r="E44" s="778">
        <v>59056</v>
      </c>
      <c r="F44" s="778">
        <v>15945</v>
      </c>
      <c r="G44" s="779">
        <f t="shared" ref="G44:G56" si="11">SUM(E44:F44)</f>
        <v>75001</v>
      </c>
      <c r="H44" s="468">
        <f t="shared" si="10"/>
        <v>75001</v>
      </c>
      <c r="I44" s="778"/>
      <c r="J44" s="581"/>
    </row>
    <row r="45" spans="1:13" s="101" customFormat="1" ht="27.75" customHeight="1" x14ac:dyDescent="0.2">
      <c r="A45" s="1254"/>
      <c r="B45" s="1245" t="s">
        <v>1370</v>
      </c>
      <c r="C45" s="1009" t="s">
        <v>1228</v>
      </c>
      <c r="D45" s="778" t="s">
        <v>308</v>
      </c>
      <c r="E45" s="778">
        <v>67427</v>
      </c>
      <c r="F45" s="778">
        <v>540</v>
      </c>
      <c r="G45" s="779">
        <f t="shared" si="11"/>
        <v>67967</v>
      </c>
      <c r="H45" s="468">
        <f t="shared" si="10"/>
        <v>67967</v>
      </c>
      <c r="I45" s="778"/>
      <c r="J45" s="581"/>
    </row>
    <row r="46" spans="1:13" s="101" customFormat="1" ht="44.25" customHeight="1" x14ac:dyDescent="0.2">
      <c r="A46" s="1254"/>
      <c r="B46" s="1245" t="s">
        <v>1371</v>
      </c>
      <c r="C46" s="1009" t="s">
        <v>1372</v>
      </c>
      <c r="D46" s="778" t="s">
        <v>308</v>
      </c>
      <c r="E46" s="778">
        <v>20938</v>
      </c>
      <c r="F46" s="778">
        <v>5653</v>
      </c>
      <c r="G46" s="779">
        <f t="shared" si="11"/>
        <v>26591</v>
      </c>
      <c r="H46" s="468">
        <f>G46</f>
        <v>26591</v>
      </c>
      <c r="I46" s="778"/>
      <c r="J46" s="581"/>
    </row>
    <row r="47" spans="1:13" s="101" customFormat="1" ht="41.25" customHeight="1" x14ac:dyDescent="0.2">
      <c r="A47" s="1254"/>
      <c r="B47" s="1244" t="s">
        <v>533</v>
      </c>
      <c r="C47" s="1009" t="s">
        <v>1311</v>
      </c>
      <c r="D47" s="778" t="s">
        <v>308</v>
      </c>
      <c r="E47" s="778">
        <v>513064</v>
      </c>
      <c r="F47" s="778">
        <v>138527</v>
      </c>
      <c r="G47" s="779">
        <f t="shared" si="11"/>
        <v>651591</v>
      </c>
      <c r="H47" s="468">
        <f t="shared" si="10"/>
        <v>651591</v>
      </c>
      <c r="I47" s="778"/>
      <c r="J47" s="581"/>
    </row>
    <row r="48" spans="1:13" s="101" customFormat="1" ht="27.75" customHeight="1" x14ac:dyDescent="0.2">
      <c r="A48" s="1254"/>
      <c r="B48" s="1244" t="s">
        <v>534</v>
      </c>
      <c r="C48" s="1009" t="s">
        <v>1201</v>
      </c>
      <c r="D48" s="778" t="s">
        <v>308</v>
      </c>
      <c r="E48" s="778">
        <v>1181</v>
      </c>
      <c r="F48" s="778">
        <v>319</v>
      </c>
      <c r="G48" s="779">
        <f t="shared" si="11"/>
        <v>1500</v>
      </c>
      <c r="H48" s="468"/>
      <c r="I48" s="778">
        <f>G48</f>
        <v>1500</v>
      </c>
      <c r="J48" s="581"/>
    </row>
    <row r="49" spans="1:10" s="101" customFormat="1" ht="27.75" customHeight="1" x14ac:dyDescent="0.2">
      <c r="A49" s="1254"/>
      <c r="B49" s="1244" t="s">
        <v>535</v>
      </c>
      <c r="C49" s="1009" t="s">
        <v>1283</v>
      </c>
      <c r="D49" s="778" t="s">
        <v>308</v>
      </c>
      <c r="E49" s="778">
        <v>0</v>
      </c>
      <c r="F49" s="778">
        <v>0</v>
      </c>
      <c r="G49" s="779">
        <f t="shared" si="11"/>
        <v>0</v>
      </c>
      <c r="H49" s="468"/>
      <c r="I49" s="778">
        <v>0</v>
      </c>
      <c r="J49" s="581"/>
    </row>
    <row r="50" spans="1:10" s="101" customFormat="1" ht="27.75" customHeight="1" x14ac:dyDescent="0.2">
      <c r="A50" s="1254"/>
      <c r="B50" s="1244" t="s">
        <v>536</v>
      </c>
      <c r="C50" s="1009" t="s">
        <v>1284</v>
      </c>
      <c r="D50" s="778"/>
      <c r="E50" s="778">
        <v>41000</v>
      </c>
      <c r="F50" s="778">
        <v>11070</v>
      </c>
      <c r="G50" s="779">
        <f t="shared" si="11"/>
        <v>52070</v>
      </c>
      <c r="H50" s="468">
        <f>G50</f>
        <v>52070</v>
      </c>
      <c r="I50" s="778"/>
      <c r="J50" s="581"/>
    </row>
    <row r="51" spans="1:10" s="101" customFormat="1" ht="20.25" customHeight="1" x14ac:dyDescent="0.2">
      <c r="A51" s="1254"/>
      <c r="B51" s="1244" t="s">
        <v>537</v>
      </c>
      <c r="C51" s="1009" t="s">
        <v>1315</v>
      </c>
      <c r="D51" s="778" t="s">
        <v>308</v>
      </c>
      <c r="E51" s="778">
        <v>1200</v>
      </c>
      <c r="F51" s="778">
        <v>324</v>
      </c>
      <c r="G51" s="779">
        <f t="shared" si="11"/>
        <v>1524</v>
      </c>
      <c r="H51" s="468"/>
      <c r="I51" s="778">
        <f>G51</f>
        <v>1524</v>
      </c>
      <c r="J51" s="581"/>
    </row>
    <row r="52" spans="1:10" s="101" customFormat="1" ht="24.75" customHeight="1" x14ac:dyDescent="0.2">
      <c r="A52" s="1254"/>
      <c r="B52" s="1244" t="s">
        <v>539</v>
      </c>
      <c r="C52" s="1009" t="s">
        <v>1316</v>
      </c>
      <c r="D52" s="778" t="s">
        <v>308</v>
      </c>
      <c r="E52" s="778">
        <v>975</v>
      </c>
      <c r="F52" s="778">
        <v>264</v>
      </c>
      <c r="G52" s="779">
        <f t="shared" si="11"/>
        <v>1239</v>
      </c>
      <c r="H52" s="468">
        <f>G52</f>
        <v>1239</v>
      </c>
      <c r="I52" s="778"/>
      <c r="J52" s="581"/>
    </row>
    <row r="53" spans="1:10" s="101" customFormat="1" ht="24.75" customHeight="1" x14ac:dyDescent="0.2">
      <c r="A53" s="1254"/>
      <c r="B53" s="1244" t="s">
        <v>540</v>
      </c>
      <c r="C53" s="1009" t="s">
        <v>1329</v>
      </c>
      <c r="D53" s="778" t="s">
        <v>308</v>
      </c>
      <c r="E53" s="778">
        <v>23823</v>
      </c>
      <c r="F53" s="778">
        <v>0</v>
      </c>
      <c r="G53" s="779">
        <f t="shared" si="11"/>
        <v>23823</v>
      </c>
      <c r="H53" s="468">
        <f>G53</f>
        <v>23823</v>
      </c>
      <c r="I53" s="778"/>
      <c r="J53" s="581"/>
    </row>
    <row r="54" spans="1:10" s="101" customFormat="1" ht="24.75" customHeight="1" x14ac:dyDescent="0.2">
      <c r="A54" s="1254"/>
      <c r="B54" s="1244" t="s">
        <v>541</v>
      </c>
      <c r="C54" s="1009" t="s">
        <v>1375</v>
      </c>
      <c r="D54" s="778"/>
      <c r="E54" s="778">
        <v>294</v>
      </c>
      <c r="F54" s="778"/>
      <c r="G54" s="779">
        <f t="shared" si="11"/>
        <v>294</v>
      </c>
      <c r="H54" s="468">
        <f>G54</f>
        <v>294</v>
      </c>
      <c r="I54" s="778"/>
      <c r="J54" s="581"/>
    </row>
    <row r="55" spans="1:10" s="101" customFormat="1" ht="38.25" customHeight="1" x14ac:dyDescent="0.2">
      <c r="A55" s="1254"/>
      <c r="B55" s="1244" t="s">
        <v>542</v>
      </c>
      <c r="C55" s="1009" t="s">
        <v>1388</v>
      </c>
      <c r="D55" s="778" t="s">
        <v>308</v>
      </c>
      <c r="E55" s="778">
        <v>10377</v>
      </c>
      <c r="F55" s="778"/>
      <c r="G55" s="779">
        <f t="shared" si="11"/>
        <v>10377</v>
      </c>
      <c r="H55" s="468">
        <f>G55</f>
        <v>10377</v>
      </c>
      <c r="I55" s="778"/>
      <c r="J55" s="581"/>
    </row>
    <row r="56" spans="1:10" s="101" customFormat="1" ht="19.5" customHeight="1" x14ac:dyDescent="0.2">
      <c r="A56" s="1254"/>
      <c r="B56" s="1244" t="s">
        <v>543</v>
      </c>
      <c r="C56" s="1009" t="s">
        <v>1389</v>
      </c>
      <c r="D56" s="778" t="s">
        <v>308</v>
      </c>
      <c r="E56" s="778">
        <v>1893</v>
      </c>
      <c r="F56" s="778">
        <v>511</v>
      </c>
      <c r="G56" s="779">
        <f t="shared" si="11"/>
        <v>2404</v>
      </c>
      <c r="H56" s="468"/>
      <c r="I56" s="778">
        <f>G56</f>
        <v>2404</v>
      </c>
      <c r="J56" s="581"/>
    </row>
    <row r="57" spans="1:10" s="101" customFormat="1" ht="10.5" customHeight="1" thickBot="1" x14ac:dyDescent="0.25">
      <c r="A57" s="1254"/>
      <c r="B57" s="1244"/>
      <c r="C57" s="1009"/>
      <c r="D57" s="778"/>
      <c r="E57" s="778"/>
      <c r="F57" s="778"/>
      <c r="G57" s="779"/>
      <c r="H57" s="468"/>
      <c r="I57" s="778"/>
      <c r="J57" s="581"/>
    </row>
    <row r="58" spans="1:10" ht="13.9" customHeight="1" thickBot="1" x14ac:dyDescent="0.25">
      <c r="A58" s="1253"/>
      <c r="B58" s="1246"/>
      <c r="C58" s="93" t="s">
        <v>495</v>
      </c>
      <c r="D58" s="102"/>
      <c r="E58" s="793">
        <f t="shared" ref="E58:H58" si="12">SUM(E29:E56)</f>
        <v>1467659</v>
      </c>
      <c r="F58" s="793">
        <f t="shared" si="12"/>
        <v>297212</v>
      </c>
      <c r="G58" s="793">
        <f t="shared" si="12"/>
        <v>1764871</v>
      </c>
      <c r="H58" s="793">
        <f t="shared" si="12"/>
        <v>1675112</v>
      </c>
      <c r="I58" s="793">
        <f>SUM(I29:I56)</f>
        <v>89759</v>
      </c>
      <c r="J58" s="580"/>
    </row>
    <row r="59" spans="1:10" s="101" customFormat="1" ht="13.9" customHeight="1" x14ac:dyDescent="0.2">
      <c r="A59" s="1254"/>
      <c r="B59" s="1239"/>
      <c r="C59" s="92"/>
      <c r="D59" s="97"/>
      <c r="E59" s="90"/>
      <c r="F59" s="90"/>
      <c r="G59" s="91"/>
      <c r="H59" s="85"/>
      <c r="I59" s="91"/>
      <c r="J59" s="581"/>
    </row>
    <row r="60" spans="1:10" s="101" customFormat="1" ht="13.9" customHeight="1" x14ac:dyDescent="0.2">
      <c r="A60" s="1254"/>
      <c r="B60" s="1237"/>
      <c r="C60" s="92"/>
      <c r="D60" s="97"/>
      <c r="E60" s="90"/>
      <c r="F60" s="90"/>
      <c r="G60" s="91"/>
      <c r="H60" s="85"/>
      <c r="I60" s="90"/>
      <c r="J60" s="581"/>
    </row>
    <row r="61" spans="1:10" s="105" customFormat="1" ht="15.75" customHeight="1" x14ac:dyDescent="0.15">
      <c r="A61" s="1256"/>
      <c r="B61" s="1240" t="s">
        <v>496</v>
      </c>
      <c r="C61" s="103" t="s">
        <v>497</v>
      </c>
      <c r="D61" s="104"/>
      <c r="E61" s="91"/>
      <c r="F61" s="91"/>
      <c r="G61" s="91"/>
      <c r="H61" s="115"/>
      <c r="I61" s="598"/>
      <c r="J61" s="582"/>
    </row>
    <row r="62" spans="1:10" s="105" customFormat="1" ht="15.75" customHeight="1" x14ac:dyDescent="0.15">
      <c r="A62" s="1256"/>
      <c r="B62" s="1244" t="s">
        <v>479</v>
      </c>
      <c r="C62" s="92" t="s">
        <v>1384</v>
      </c>
      <c r="D62" s="466" t="s">
        <v>306</v>
      </c>
      <c r="E62" s="931">
        <v>7606</v>
      </c>
      <c r="F62" s="931">
        <v>2054</v>
      </c>
      <c r="G62" s="932">
        <f>E62+F62</f>
        <v>9660</v>
      </c>
      <c r="H62" s="933">
        <v>6350</v>
      </c>
      <c r="I62" s="931">
        <v>3310</v>
      </c>
      <c r="J62" s="582"/>
    </row>
    <row r="63" spans="1:10" s="105" customFormat="1" ht="15.75" customHeight="1" x14ac:dyDescent="0.2">
      <c r="A63" s="1256"/>
      <c r="B63" s="1244" t="s">
        <v>487</v>
      </c>
      <c r="C63" s="106" t="s">
        <v>171</v>
      </c>
      <c r="D63" s="466" t="s">
        <v>306</v>
      </c>
      <c r="E63" s="467">
        <v>1000</v>
      </c>
      <c r="F63" s="467">
        <v>270</v>
      </c>
      <c r="G63" s="469">
        <f>SUM(E63:F63)</f>
        <v>1270</v>
      </c>
      <c r="H63" s="934"/>
      <c r="I63" s="467">
        <v>1270</v>
      </c>
      <c r="J63" s="582"/>
    </row>
    <row r="64" spans="1:10" s="105" customFormat="1" ht="27" customHeight="1" x14ac:dyDescent="0.15">
      <c r="A64" s="1256"/>
      <c r="B64" s="1244" t="s">
        <v>488</v>
      </c>
      <c r="C64" s="721" t="s">
        <v>1085</v>
      </c>
      <c r="D64" s="466" t="s">
        <v>306</v>
      </c>
      <c r="E64" s="467">
        <v>0</v>
      </c>
      <c r="F64" s="467"/>
      <c r="G64" s="469">
        <f t="shared" ref="G64:G65" si="13">E64+F64</f>
        <v>0</v>
      </c>
      <c r="H64" s="894">
        <f>G64</f>
        <v>0</v>
      </c>
      <c r="I64" s="467"/>
      <c r="J64" s="582"/>
    </row>
    <row r="65" spans="1:16" s="105" customFormat="1" ht="31.5" customHeight="1" x14ac:dyDescent="0.15">
      <c r="A65" s="1256"/>
      <c r="B65" s="1244" t="s">
        <v>489</v>
      </c>
      <c r="C65" s="721" t="s">
        <v>1083</v>
      </c>
      <c r="D65" s="466" t="s">
        <v>306</v>
      </c>
      <c r="E65" s="467">
        <v>12598</v>
      </c>
      <c r="F65" s="467">
        <v>3402</v>
      </c>
      <c r="G65" s="469">
        <f t="shared" si="13"/>
        <v>16000</v>
      </c>
      <c r="H65" s="934"/>
      <c r="I65" s="467">
        <f>G65</f>
        <v>16000</v>
      </c>
      <c r="J65" s="582"/>
    </row>
    <row r="66" spans="1:16" s="105" customFormat="1" ht="9.75" customHeight="1" thickBot="1" x14ac:dyDescent="0.2">
      <c r="A66" s="1256"/>
      <c r="B66" s="1244"/>
      <c r="C66" s="721"/>
      <c r="D66" s="466"/>
      <c r="E66" s="467"/>
      <c r="F66" s="467"/>
      <c r="G66" s="469"/>
      <c r="H66" s="934"/>
      <c r="I66" s="467"/>
      <c r="J66" s="582"/>
    </row>
    <row r="67" spans="1:16" s="105" customFormat="1" ht="12" customHeight="1" thickBot="1" x14ac:dyDescent="0.2">
      <c r="A67" s="1256"/>
      <c r="B67" s="1255"/>
      <c r="C67" s="93" t="s">
        <v>499</v>
      </c>
      <c r="D67" s="102"/>
      <c r="E67" s="94">
        <f>SUM(E62:E65)</f>
        <v>21204</v>
      </c>
      <c r="F67" s="94">
        <f>SUM(F62:F65)</f>
        <v>5726</v>
      </c>
      <c r="G67" s="94">
        <f>SUM(G62:G65)</f>
        <v>26930</v>
      </c>
      <c r="H67" s="94">
        <f>SUM(H62:H65)</f>
        <v>6350</v>
      </c>
      <c r="I67" s="94">
        <f>SUM(I62:I65)</f>
        <v>20580</v>
      </c>
      <c r="J67" s="1160"/>
    </row>
    <row r="68" spans="1:16" s="105" customFormat="1" ht="12" customHeight="1" x14ac:dyDescent="0.15">
      <c r="A68" s="1256"/>
      <c r="B68" s="1240"/>
      <c r="C68" s="103"/>
      <c r="D68" s="104"/>
      <c r="E68" s="91"/>
      <c r="F68" s="91"/>
      <c r="G68" s="91"/>
      <c r="H68" s="91"/>
      <c r="I68" s="91"/>
      <c r="J68" s="582"/>
    </row>
    <row r="69" spans="1:16" s="105" customFormat="1" ht="12" customHeight="1" x14ac:dyDescent="0.15">
      <c r="A69" s="1256"/>
      <c r="B69" s="1240"/>
      <c r="C69" s="103"/>
      <c r="D69" s="104"/>
      <c r="E69" s="91"/>
      <c r="F69" s="91"/>
      <c r="G69" s="91"/>
      <c r="H69" s="115"/>
      <c r="I69" s="598"/>
      <c r="J69" s="582"/>
    </row>
    <row r="70" spans="1:16" s="83" customFormat="1" ht="15" customHeight="1" x14ac:dyDescent="0.2">
      <c r="A70" s="1251"/>
      <c r="B70" s="1240" t="s">
        <v>500</v>
      </c>
      <c r="C70" s="89" t="s">
        <v>501</v>
      </c>
      <c r="D70" s="91"/>
      <c r="E70" s="91"/>
      <c r="F70" s="91"/>
      <c r="G70" s="91"/>
      <c r="H70" s="86"/>
      <c r="I70" s="128"/>
      <c r="J70" s="583"/>
    </row>
    <row r="71" spans="1:16" s="83" customFormat="1" ht="15" customHeight="1" thickBot="1" x14ac:dyDescent="0.25">
      <c r="A71" s="1251"/>
      <c r="B71" s="1240"/>
      <c r="C71" s="109"/>
      <c r="D71" s="97"/>
      <c r="E71" s="90"/>
      <c r="F71" s="90"/>
      <c r="G71" s="91"/>
      <c r="H71" s="86"/>
      <c r="I71" s="128"/>
      <c r="J71" s="583"/>
    </row>
    <row r="72" spans="1:16" s="83" customFormat="1" ht="13.5" customHeight="1" thickBot="1" x14ac:dyDescent="0.25">
      <c r="A72" s="1251"/>
      <c r="B72" s="1255"/>
      <c r="C72" s="108" t="s">
        <v>502</v>
      </c>
      <c r="D72" s="94"/>
      <c r="E72" s="94">
        <f>SUM(E71)</f>
        <v>0</v>
      </c>
      <c r="F72" s="94">
        <f>SUM(F71)</f>
        <v>0</v>
      </c>
      <c r="G72" s="94">
        <f>SUM(G71)</f>
        <v>0</v>
      </c>
      <c r="H72" s="94">
        <f>SUM(H71)</f>
        <v>0</v>
      </c>
      <c r="I72" s="94">
        <f>SUM(I71)</f>
        <v>0</v>
      </c>
      <c r="J72" s="583"/>
    </row>
    <row r="73" spans="1:16" s="83" customFormat="1" ht="13.5" customHeight="1" x14ac:dyDescent="0.2">
      <c r="A73" s="1251"/>
      <c r="B73" s="1240"/>
      <c r="C73" s="89"/>
      <c r="D73" s="91"/>
      <c r="E73" s="91"/>
      <c r="F73" s="91"/>
      <c r="G73" s="91"/>
      <c r="H73" s="91"/>
      <c r="I73" s="91"/>
      <c r="J73" s="583"/>
    </row>
    <row r="74" spans="1:16" s="83" customFormat="1" ht="13.5" customHeight="1" x14ac:dyDescent="0.2">
      <c r="A74" s="1251"/>
      <c r="B74" s="1240" t="s">
        <v>88</v>
      </c>
      <c r="C74" s="89" t="s">
        <v>172</v>
      </c>
      <c r="D74" s="91"/>
      <c r="E74" s="595"/>
      <c r="F74" s="595"/>
      <c r="G74" s="90"/>
      <c r="H74" s="128"/>
      <c r="I74" s="1181"/>
      <c r="J74" s="595"/>
    </row>
    <row r="75" spans="1:16" s="83" customFormat="1" ht="20.25" customHeight="1" x14ac:dyDescent="0.2">
      <c r="A75" s="1251"/>
      <c r="B75" s="1237" t="s">
        <v>498</v>
      </c>
      <c r="C75" s="109" t="s">
        <v>1000</v>
      </c>
      <c r="D75" s="91" t="s">
        <v>306</v>
      </c>
      <c r="E75" s="467">
        <v>10000</v>
      </c>
      <c r="F75" s="467">
        <v>2700</v>
      </c>
      <c r="G75" s="469">
        <f>SUM(E75:F75)</f>
        <v>12700</v>
      </c>
      <c r="H75" s="778"/>
      <c r="I75" s="1182">
        <f>SUM(G75:H75)</f>
        <v>12700</v>
      </c>
      <c r="J75" s="595"/>
    </row>
    <row r="76" spans="1:16" s="83" customFormat="1" ht="25.5" customHeight="1" x14ac:dyDescent="0.2">
      <c r="A76" s="1251"/>
      <c r="B76" s="1237" t="s">
        <v>665</v>
      </c>
      <c r="C76" s="1178" t="s">
        <v>1036</v>
      </c>
      <c r="D76" s="466" t="s">
        <v>306</v>
      </c>
      <c r="E76" s="467">
        <v>2000</v>
      </c>
      <c r="F76" s="467">
        <v>540</v>
      </c>
      <c r="G76" s="469">
        <f>SUM(E76:F76)</f>
        <v>2540</v>
      </c>
      <c r="H76" s="778"/>
      <c r="I76" s="1182">
        <f>G76</f>
        <v>2540</v>
      </c>
      <c r="J76" s="595"/>
    </row>
    <row r="77" spans="1:16" s="83" customFormat="1" ht="25.5" customHeight="1" x14ac:dyDescent="0.2">
      <c r="A77" s="1251"/>
      <c r="B77" s="1237" t="s">
        <v>1318</v>
      </c>
      <c r="C77" s="1178" t="s">
        <v>1317</v>
      </c>
      <c r="D77" s="466" t="s">
        <v>306</v>
      </c>
      <c r="E77" s="467">
        <v>0</v>
      </c>
      <c r="F77" s="467">
        <v>0</v>
      </c>
      <c r="G77" s="469">
        <f>SUM(E77:F77)</f>
        <v>0</v>
      </c>
      <c r="H77" s="778">
        <f>G77</f>
        <v>0</v>
      </c>
      <c r="I77" s="1182"/>
      <c r="J77" s="595"/>
    </row>
    <row r="78" spans="1:16" s="83" customFormat="1" ht="7.5" customHeight="1" thickBot="1" x14ac:dyDescent="0.25">
      <c r="A78" s="1251"/>
      <c r="B78" s="1247"/>
      <c r="C78" s="472"/>
      <c r="D78" s="1179"/>
      <c r="E78" s="897"/>
      <c r="F78" s="897"/>
      <c r="G78" s="898"/>
      <c r="H78" s="1180"/>
      <c r="I78" s="1183"/>
      <c r="J78" s="1177"/>
    </row>
    <row r="79" spans="1:16" s="83" customFormat="1" ht="12.75" customHeight="1" thickBot="1" x14ac:dyDescent="0.25">
      <c r="A79" s="1251"/>
      <c r="B79" s="1247"/>
      <c r="C79" s="471" t="s">
        <v>173</v>
      </c>
      <c r="D79" s="475"/>
      <c r="E79" s="475">
        <f>SUM(E75:E78)</f>
        <v>12000</v>
      </c>
      <c r="F79" s="475">
        <f>SUM(F75:F78)</f>
        <v>3240</v>
      </c>
      <c r="G79" s="475">
        <f>SUM(G75:G78)</f>
        <v>15240</v>
      </c>
      <c r="H79" s="475">
        <f>SUM(H75:H78)</f>
        <v>0</v>
      </c>
      <c r="I79" s="475">
        <f>SUM(I75:I78)</f>
        <v>15240</v>
      </c>
      <c r="J79" s="1161"/>
      <c r="L79" s="1159"/>
      <c r="M79" s="1159"/>
      <c r="O79" s="1159"/>
      <c r="P79" s="1159"/>
    </row>
    <row r="80" spans="1:16" s="83" customFormat="1" ht="12.75" customHeight="1" x14ac:dyDescent="0.2">
      <c r="A80" s="1251"/>
      <c r="B80" s="1237"/>
      <c r="C80" s="89"/>
      <c r="D80" s="91"/>
      <c r="E80" s="91"/>
      <c r="F80" s="91"/>
      <c r="G80" s="91"/>
      <c r="H80" s="86"/>
      <c r="I80" s="128"/>
      <c r="J80" s="1161"/>
      <c r="O80" s="1159"/>
    </row>
    <row r="81" spans="1:10" s="83" customFormat="1" ht="24" customHeight="1" x14ac:dyDescent="0.2">
      <c r="A81" s="1251"/>
      <c r="B81" s="1240" t="s">
        <v>89</v>
      </c>
      <c r="C81" s="89" t="s">
        <v>72</v>
      </c>
      <c r="D81" s="91"/>
      <c r="E81" s="91"/>
      <c r="F81" s="91"/>
      <c r="G81" s="91"/>
      <c r="H81" s="86"/>
      <c r="I81" s="128"/>
      <c r="J81" s="583"/>
    </row>
    <row r="82" spans="1:10" s="83" customFormat="1" ht="33.75" customHeight="1" x14ac:dyDescent="0.2">
      <c r="A82" s="1251"/>
      <c r="B82" s="1240" t="s">
        <v>479</v>
      </c>
      <c r="C82" s="109" t="s">
        <v>1319</v>
      </c>
      <c r="D82" s="91"/>
      <c r="E82" s="90">
        <v>12004</v>
      </c>
      <c r="F82" s="90"/>
      <c r="G82" s="91">
        <f>E82+F82</f>
        <v>12004</v>
      </c>
      <c r="H82" s="86">
        <f>G82</f>
        <v>12004</v>
      </c>
      <c r="I82" s="128"/>
      <c r="J82" s="583"/>
    </row>
    <row r="83" spans="1:10" s="83" customFormat="1" ht="24" customHeight="1" x14ac:dyDescent="0.2">
      <c r="A83" s="1251"/>
      <c r="B83" s="1240" t="s">
        <v>487</v>
      </c>
      <c r="C83" s="109" t="s">
        <v>1320</v>
      </c>
      <c r="D83" s="91"/>
      <c r="E83" s="90">
        <v>78232</v>
      </c>
      <c r="F83" s="91"/>
      <c r="G83" s="91">
        <f>E83+F83</f>
        <v>78232</v>
      </c>
      <c r="H83" s="86"/>
      <c r="I83" s="128">
        <f>G83</f>
        <v>78232</v>
      </c>
      <c r="J83" s="583"/>
    </row>
    <row r="84" spans="1:10" s="83" customFormat="1" ht="8.25" customHeight="1" thickBot="1" x14ac:dyDescent="0.25">
      <c r="A84" s="1251"/>
      <c r="B84" s="1237"/>
      <c r="C84" s="109"/>
      <c r="D84" s="466"/>
      <c r="E84" s="467"/>
      <c r="F84" s="467"/>
      <c r="G84" s="469"/>
      <c r="H84" s="468"/>
      <c r="I84" s="778"/>
      <c r="J84" s="583"/>
    </row>
    <row r="85" spans="1:10" s="83" customFormat="1" ht="22.5" customHeight="1" thickBot="1" x14ac:dyDescent="0.25">
      <c r="A85" s="1251"/>
      <c r="B85" s="1248"/>
      <c r="C85" s="473" t="s">
        <v>503</v>
      </c>
      <c r="D85" s="477"/>
      <c r="E85" s="94">
        <f>SUM(E82:E83)</f>
        <v>90236</v>
      </c>
      <c r="F85" s="94">
        <f t="shared" ref="F85:I85" si="14">SUM(F82:F83)</f>
        <v>0</v>
      </c>
      <c r="G85" s="94">
        <f t="shared" si="14"/>
        <v>90236</v>
      </c>
      <c r="H85" s="94">
        <f t="shared" si="14"/>
        <v>12004</v>
      </c>
      <c r="I85" s="94">
        <f t="shared" si="14"/>
        <v>78232</v>
      </c>
      <c r="J85" s="583"/>
    </row>
    <row r="86" spans="1:10" s="83" customFormat="1" ht="12.75" customHeight="1" x14ac:dyDescent="0.2">
      <c r="A86" s="1251"/>
      <c r="B86" s="1237"/>
      <c r="C86" s="110"/>
      <c r="D86" s="90"/>
      <c r="E86" s="91"/>
      <c r="F86" s="91"/>
      <c r="G86" s="91"/>
      <c r="H86" s="86"/>
      <c r="I86" s="128"/>
      <c r="J86" s="583"/>
    </row>
    <row r="87" spans="1:10" s="83" customFormat="1" ht="12" customHeight="1" x14ac:dyDescent="0.2">
      <c r="A87" s="1251"/>
      <c r="B87" s="1237"/>
      <c r="C87" s="109"/>
      <c r="D87" s="90"/>
      <c r="E87" s="90"/>
      <c r="F87" s="90"/>
      <c r="G87" s="91"/>
      <c r="H87" s="86"/>
      <c r="I87" s="128"/>
      <c r="J87" s="583"/>
    </row>
    <row r="88" spans="1:10" s="83" customFormat="1" ht="12.75" customHeight="1" x14ac:dyDescent="0.2">
      <c r="A88" s="1251"/>
      <c r="B88" s="1240" t="s">
        <v>90</v>
      </c>
      <c r="C88" s="89" t="s">
        <v>301</v>
      </c>
      <c r="D88" s="90"/>
      <c r="E88" s="90"/>
      <c r="F88" s="90"/>
      <c r="G88" s="91"/>
      <c r="H88" s="86"/>
      <c r="I88" s="128"/>
      <c r="J88" s="583"/>
    </row>
    <row r="89" spans="1:10" s="111" customFormat="1" ht="13.5" customHeight="1" x14ac:dyDescent="0.2">
      <c r="A89" s="1257"/>
      <c r="B89" s="1237" t="s">
        <v>479</v>
      </c>
      <c r="C89" s="109" t="s">
        <v>73</v>
      </c>
      <c r="D89" s="90"/>
      <c r="E89" s="1153">
        <v>49688</v>
      </c>
      <c r="F89" s="1153"/>
      <c r="G89" s="1154">
        <f>SUM(E89:F89)</f>
        <v>49688</v>
      </c>
      <c r="H89" s="1155">
        <f>G89</f>
        <v>49688</v>
      </c>
      <c r="I89" s="717"/>
      <c r="J89" s="584"/>
    </row>
    <row r="90" spans="1:10" s="111" customFormat="1" ht="13.5" customHeight="1" x14ac:dyDescent="0.2">
      <c r="A90" s="1257"/>
      <c r="B90" s="1237" t="s">
        <v>487</v>
      </c>
      <c r="C90" s="109" t="s">
        <v>1376</v>
      </c>
      <c r="D90" s="90"/>
      <c r="E90" s="1153">
        <v>4156</v>
      </c>
      <c r="F90" s="1153"/>
      <c r="G90" s="1154">
        <v>4156</v>
      </c>
      <c r="H90" s="1155">
        <f>G90</f>
        <v>4156</v>
      </c>
      <c r="I90" s="717"/>
      <c r="J90" s="584"/>
    </row>
    <row r="91" spans="1:10" s="111" customFormat="1" ht="24.75" customHeight="1" x14ac:dyDescent="0.2">
      <c r="A91" s="1257"/>
      <c r="B91" s="1237" t="s">
        <v>488</v>
      </c>
      <c r="C91" s="792" t="s">
        <v>1160</v>
      </c>
      <c r="D91" s="778"/>
      <c r="E91" s="778"/>
      <c r="F91" s="778"/>
      <c r="G91" s="779">
        <f>E91+F91</f>
        <v>0</v>
      </c>
      <c r="H91" s="468"/>
      <c r="I91" s="778">
        <f>G91</f>
        <v>0</v>
      </c>
      <c r="J91" s="584"/>
    </row>
    <row r="92" spans="1:10" s="111" customFormat="1" ht="15.75" customHeight="1" x14ac:dyDescent="0.2">
      <c r="A92" s="1257"/>
      <c r="B92" s="1237" t="s">
        <v>489</v>
      </c>
      <c r="C92" s="792" t="s">
        <v>287</v>
      </c>
      <c r="D92" s="778"/>
      <c r="E92" s="778">
        <v>4350</v>
      </c>
      <c r="F92" s="778"/>
      <c r="G92" s="779">
        <f>E92+F92</f>
        <v>4350</v>
      </c>
      <c r="H92" s="468"/>
      <c r="I92" s="778">
        <f>G92</f>
        <v>4350</v>
      </c>
      <c r="J92" s="584"/>
    </row>
    <row r="93" spans="1:10" s="111" customFormat="1" ht="15.75" customHeight="1" x14ac:dyDescent="0.2">
      <c r="A93" s="1257"/>
      <c r="B93" s="1237" t="s">
        <v>490</v>
      </c>
      <c r="C93" s="792" t="s">
        <v>1390</v>
      </c>
      <c r="D93" s="778"/>
      <c r="E93" s="778">
        <v>9530</v>
      </c>
      <c r="F93" s="778"/>
      <c r="G93" s="779">
        <f>E93</f>
        <v>9530</v>
      </c>
      <c r="H93" s="468"/>
      <c r="I93" s="778">
        <f>G93</f>
        <v>9530</v>
      </c>
      <c r="J93" s="584"/>
    </row>
    <row r="94" spans="1:10" s="111" customFormat="1" ht="12" customHeight="1" thickBot="1" x14ac:dyDescent="0.25">
      <c r="A94" s="1257"/>
      <c r="B94" s="1237"/>
      <c r="C94" s="792"/>
      <c r="D94" s="778"/>
      <c r="E94" s="778"/>
      <c r="F94" s="778"/>
      <c r="G94" s="779"/>
      <c r="H94" s="468"/>
      <c r="I94" s="778"/>
      <c r="J94" s="584"/>
    </row>
    <row r="95" spans="1:10" s="83" customFormat="1" ht="13.5" customHeight="1" thickBot="1" x14ac:dyDescent="0.25">
      <c r="A95" s="1251"/>
      <c r="B95" s="1248"/>
      <c r="C95" s="108" t="s">
        <v>504</v>
      </c>
      <c r="D95" s="94"/>
      <c r="E95" s="94">
        <f>SUM(E89:E94)</f>
        <v>67724</v>
      </c>
      <c r="F95" s="94">
        <f>SUM(F89:F94)</f>
        <v>0</v>
      </c>
      <c r="G95" s="94">
        <f>SUM(G89:G94)</f>
        <v>67724</v>
      </c>
      <c r="H95" s="94">
        <f>SUM(H89:H94)</f>
        <v>53844</v>
      </c>
      <c r="I95" s="94">
        <f>SUM(I89:I94)</f>
        <v>13880</v>
      </c>
      <c r="J95" s="583"/>
    </row>
    <row r="96" spans="1:10" s="83" customFormat="1" ht="12.75" customHeight="1" x14ac:dyDescent="0.2">
      <c r="A96" s="1251"/>
      <c r="B96" s="1237"/>
      <c r="C96" s="89"/>
      <c r="D96" s="90"/>
      <c r="E96" s="90"/>
      <c r="F96" s="90"/>
      <c r="G96" s="91"/>
      <c r="H96" s="86"/>
      <c r="I96" s="128"/>
      <c r="J96" s="583"/>
    </row>
    <row r="97" spans="1:20" ht="12.75" customHeight="1" x14ac:dyDescent="0.2">
      <c r="A97" s="1253"/>
      <c r="B97" s="1240" t="s">
        <v>506</v>
      </c>
      <c r="C97" s="89" t="s">
        <v>1040</v>
      </c>
      <c r="D97" s="90"/>
      <c r="E97" s="90"/>
      <c r="F97" s="90"/>
      <c r="G97" s="91"/>
      <c r="I97" s="597"/>
      <c r="J97" s="580"/>
    </row>
    <row r="98" spans="1:20" s="111" customFormat="1" ht="15" customHeight="1" x14ac:dyDescent="0.2">
      <c r="A98" s="1257"/>
      <c r="B98" s="1237" t="s">
        <v>479</v>
      </c>
      <c r="C98" s="109" t="s">
        <v>1143</v>
      </c>
      <c r="D98" s="467"/>
      <c r="E98" s="467">
        <v>5000</v>
      </c>
      <c r="F98" s="467"/>
      <c r="G98" s="469">
        <f>E98</f>
        <v>5000</v>
      </c>
      <c r="H98" s="1091"/>
      <c r="I98" s="467">
        <f>G98</f>
        <v>5000</v>
      </c>
      <c r="J98" s="584"/>
      <c r="N98" s="1030"/>
    </row>
    <row r="99" spans="1:20" s="111" customFormat="1" ht="12" customHeight="1" thickBot="1" x14ac:dyDescent="0.25">
      <c r="A99" s="1257"/>
      <c r="B99" s="1237"/>
      <c r="C99" s="109"/>
      <c r="D99" s="90"/>
      <c r="E99" s="90"/>
      <c r="F99" s="90"/>
      <c r="G99" s="91"/>
      <c r="H99" s="150"/>
      <c r="I99" s="90"/>
      <c r="J99" s="584"/>
    </row>
    <row r="100" spans="1:20" s="83" customFormat="1" ht="21.75" customHeight="1" thickBot="1" x14ac:dyDescent="0.25">
      <c r="A100" s="1251"/>
      <c r="B100" s="1248"/>
      <c r="C100" s="108" t="s">
        <v>505</v>
      </c>
      <c r="D100" s="497"/>
      <c r="E100" s="497">
        <f>SUM(E98:E98)</f>
        <v>5000</v>
      </c>
      <c r="F100" s="497">
        <f>SUM(F98:F98)</f>
        <v>0</v>
      </c>
      <c r="G100" s="497">
        <f>SUM(G98:G98)</f>
        <v>5000</v>
      </c>
      <c r="H100" s="497">
        <f>SUM(H98:H98)</f>
        <v>0</v>
      </c>
      <c r="I100" s="497">
        <f>SUM(I98:I98)</f>
        <v>5000</v>
      </c>
      <c r="J100" s="583"/>
    </row>
    <row r="101" spans="1:20" s="83" customFormat="1" ht="13.5" customHeight="1" x14ac:dyDescent="0.2">
      <c r="A101" s="1251"/>
      <c r="B101" s="1237"/>
      <c r="C101" s="89"/>
      <c r="D101" s="91"/>
      <c r="E101" s="91"/>
      <c r="F101" s="91"/>
      <c r="G101" s="91"/>
      <c r="H101" s="91"/>
      <c r="I101" s="91"/>
      <c r="J101" s="583"/>
    </row>
    <row r="102" spans="1:20" s="83" customFormat="1" ht="13.5" customHeight="1" thickBot="1" x14ac:dyDescent="0.25">
      <c r="A102" s="1251"/>
      <c r="B102" s="1247"/>
      <c r="C102" s="471"/>
      <c r="D102" s="475"/>
      <c r="E102" s="475"/>
      <c r="F102" s="475"/>
      <c r="G102" s="475"/>
      <c r="H102" s="476"/>
      <c r="I102" s="476"/>
      <c r="J102" s="583"/>
    </row>
    <row r="103" spans="1:20" s="83" customFormat="1" ht="13.5" customHeight="1" thickBot="1" x14ac:dyDescent="0.25">
      <c r="A103" s="1251"/>
      <c r="B103" s="1248"/>
      <c r="C103" s="470" t="s">
        <v>174</v>
      </c>
      <c r="D103" s="151"/>
      <c r="E103" s="151">
        <f>E18+E26+E58+E67+E72+E79+E85+E95+E100</f>
        <v>1732148</v>
      </c>
      <c r="F103" s="151">
        <f>F18+F26+F58+F67+F72+F79+F85+F95+F100</f>
        <v>324625</v>
      </c>
      <c r="G103" s="151">
        <f>G18+G26+G58+G67+G72+G79+G85+G95+G100</f>
        <v>2056773</v>
      </c>
      <c r="H103" s="151">
        <f>H18+H26+H58+H67+H72+H79+H85+H95+H100</f>
        <v>1800376</v>
      </c>
      <c r="I103" s="781">
        <f>I18+I26+I58+I67+I72+I79+I85+I95+I100</f>
        <v>256397</v>
      </c>
      <c r="J103" s="595"/>
    </row>
    <row r="104" spans="1:20" s="83" customFormat="1" ht="13.5" customHeight="1" x14ac:dyDescent="0.2">
      <c r="A104" s="1251"/>
      <c r="B104" s="1237"/>
      <c r="C104" s="89"/>
      <c r="D104" s="91"/>
      <c r="E104" s="91"/>
      <c r="F104" s="91"/>
      <c r="G104" s="91"/>
      <c r="H104" s="128"/>
      <c r="I104" s="128"/>
      <c r="J104" s="583"/>
    </row>
    <row r="105" spans="1:20" s="112" customFormat="1" ht="13.5" customHeight="1" x14ac:dyDescent="0.15">
      <c r="A105" s="1249"/>
      <c r="B105" s="1237"/>
      <c r="C105" s="89"/>
      <c r="D105" s="91"/>
      <c r="E105" s="91"/>
      <c r="F105" s="91"/>
      <c r="G105" s="91"/>
      <c r="H105" s="107"/>
      <c r="I105" s="107"/>
      <c r="J105" s="585"/>
    </row>
    <row r="106" spans="1:20" s="112" customFormat="1" ht="15.75" customHeight="1" x14ac:dyDescent="0.15">
      <c r="A106" s="1249"/>
      <c r="B106" s="1240" t="s">
        <v>509</v>
      </c>
      <c r="C106" s="89" t="s">
        <v>507</v>
      </c>
      <c r="D106" s="91"/>
      <c r="E106" s="91"/>
      <c r="F106" s="91"/>
      <c r="G106" s="91"/>
      <c r="H106" s="107"/>
      <c r="I106" s="1184"/>
      <c r="J106" s="608"/>
    </row>
    <row r="107" spans="1:20" s="896" customFormat="1" ht="21.75" customHeight="1" x14ac:dyDescent="0.2">
      <c r="A107" s="1250"/>
      <c r="B107" s="1237" t="s">
        <v>479</v>
      </c>
      <c r="C107" s="109" t="s">
        <v>1383</v>
      </c>
      <c r="D107" s="467" t="s">
        <v>306</v>
      </c>
      <c r="E107" s="778">
        <v>1500</v>
      </c>
      <c r="F107" s="778">
        <v>464</v>
      </c>
      <c r="G107" s="779">
        <f>SUM(E107:F107)</f>
        <v>1964</v>
      </c>
      <c r="H107" s="778"/>
      <c r="I107" s="1185">
        <v>1964</v>
      </c>
      <c r="J107" s="1158"/>
    </row>
    <row r="108" spans="1:20" s="112" customFormat="1" ht="21.75" customHeight="1" x14ac:dyDescent="0.15">
      <c r="A108" s="1249"/>
      <c r="B108" s="1237" t="s">
        <v>487</v>
      </c>
      <c r="C108" s="109" t="s">
        <v>978</v>
      </c>
      <c r="D108" s="467" t="s">
        <v>306</v>
      </c>
      <c r="E108" s="467">
        <v>4717</v>
      </c>
      <c r="F108" s="467">
        <v>1493</v>
      </c>
      <c r="G108" s="469">
        <f>SUM(E108:F108)</f>
        <v>6210</v>
      </c>
      <c r="H108" s="778">
        <v>1839</v>
      </c>
      <c r="I108" s="1186">
        <v>4371</v>
      </c>
      <c r="J108" s="608"/>
      <c r="T108" s="608"/>
    </row>
    <row r="109" spans="1:20" s="112" customFormat="1" ht="21.75" customHeight="1" x14ac:dyDescent="0.15">
      <c r="A109" s="1249"/>
      <c r="B109" s="1237" t="s">
        <v>488</v>
      </c>
      <c r="C109" s="109" t="s">
        <v>478</v>
      </c>
      <c r="D109" s="467" t="s">
        <v>306</v>
      </c>
      <c r="E109" s="467">
        <v>783</v>
      </c>
      <c r="F109" s="467">
        <v>211</v>
      </c>
      <c r="G109" s="469">
        <f>SUM(E109:F109)</f>
        <v>994</v>
      </c>
      <c r="H109" s="778">
        <f>G109</f>
        <v>994</v>
      </c>
      <c r="I109" s="1267"/>
      <c r="J109" s="585"/>
      <c r="T109" s="608"/>
    </row>
    <row r="110" spans="1:20" s="112" customFormat="1" ht="12.75" customHeight="1" thickBot="1" x14ac:dyDescent="0.2">
      <c r="A110" s="1249"/>
      <c r="B110" s="1247"/>
      <c r="C110" s="109"/>
      <c r="D110" s="467"/>
      <c r="E110" s="467"/>
      <c r="F110" s="467"/>
      <c r="G110" s="469"/>
      <c r="H110" s="468"/>
      <c r="I110" s="778"/>
      <c r="J110" s="585"/>
    </row>
    <row r="111" spans="1:20" s="112" customFormat="1" ht="21.75" customHeight="1" thickBot="1" x14ac:dyDescent="0.2">
      <c r="A111" s="1249"/>
      <c r="B111" s="1248"/>
      <c r="C111" s="108" t="s">
        <v>508</v>
      </c>
      <c r="D111" s="94"/>
      <c r="E111" s="1010">
        <f>SUM(E107:E109)</f>
        <v>7000</v>
      </c>
      <c r="F111" s="1010">
        <f t="shared" ref="F111:I111" si="15">SUM(F107:F109)</f>
        <v>2168</v>
      </c>
      <c r="G111" s="1010">
        <f t="shared" si="15"/>
        <v>9168</v>
      </c>
      <c r="H111" s="1010">
        <f t="shared" si="15"/>
        <v>2833</v>
      </c>
      <c r="I111" s="1010">
        <f t="shared" si="15"/>
        <v>6335</v>
      </c>
      <c r="J111" s="585"/>
    </row>
    <row r="112" spans="1:20" s="112" customFormat="1" ht="13.5" customHeight="1" x14ac:dyDescent="0.15">
      <c r="A112" s="1249"/>
      <c r="B112" s="1237"/>
      <c r="C112" s="89"/>
      <c r="D112" s="91"/>
      <c r="E112" s="91"/>
      <c r="F112" s="91"/>
      <c r="G112" s="91"/>
      <c r="H112" s="99"/>
      <c r="I112" s="107"/>
      <c r="J112" s="585"/>
    </row>
    <row r="113" spans="1:10" s="112" customFormat="1" ht="13.5" customHeight="1" x14ac:dyDescent="0.15">
      <c r="A113" s="1249"/>
      <c r="B113" s="1240" t="s">
        <v>175</v>
      </c>
      <c r="C113" s="89" t="s">
        <v>75</v>
      </c>
      <c r="D113" s="91"/>
      <c r="E113" s="107"/>
      <c r="F113" s="107"/>
      <c r="G113" s="107"/>
      <c r="H113" s="99"/>
      <c r="I113" s="107"/>
      <c r="J113" s="585"/>
    </row>
    <row r="114" spans="1:10" s="83" customFormat="1" ht="17.25" customHeight="1" x14ac:dyDescent="0.2">
      <c r="A114" s="1251"/>
      <c r="B114" s="1237" t="s">
        <v>479</v>
      </c>
      <c r="C114" s="109" t="s">
        <v>1226</v>
      </c>
      <c r="D114" s="467" t="s">
        <v>308</v>
      </c>
      <c r="E114" s="778">
        <v>23000</v>
      </c>
      <c r="F114" s="778">
        <v>6210</v>
      </c>
      <c r="G114" s="779">
        <f>E114+F114</f>
        <v>29210</v>
      </c>
      <c r="H114" s="468">
        <f>G114</f>
        <v>29210</v>
      </c>
      <c r="I114" s="778">
        <v>0</v>
      </c>
      <c r="J114" s="583"/>
    </row>
    <row r="115" spans="1:10" s="83" customFormat="1" ht="17.25" customHeight="1" x14ac:dyDescent="0.2">
      <c r="A115" s="1251"/>
      <c r="B115" s="1237" t="s">
        <v>487</v>
      </c>
      <c r="C115" s="109" t="s">
        <v>1285</v>
      </c>
      <c r="D115" s="467" t="s">
        <v>308</v>
      </c>
      <c r="E115" s="778">
        <v>4445</v>
      </c>
      <c r="F115" s="778">
        <v>1200</v>
      </c>
      <c r="G115" s="779">
        <f>E115+F115</f>
        <v>5645</v>
      </c>
      <c r="H115" s="468">
        <f>G115</f>
        <v>5645</v>
      </c>
      <c r="I115" s="778">
        <v>0</v>
      </c>
      <c r="J115" s="583"/>
    </row>
    <row r="116" spans="1:10" s="83" customFormat="1" ht="17.25" customHeight="1" x14ac:dyDescent="0.2">
      <c r="A116" s="1251"/>
      <c r="B116" s="1237" t="s">
        <v>488</v>
      </c>
      <c r="C116" s="109" t="s">
        <v>1377</v>
      </c>
      <c r="D116" s="467" t="s">
        <v>308</v>
      </c>
      <c r="E116" s="778">
        <v>913</v>
      </c>
      <c r="F116" s="778">
        <v>247</v>
      </c>
      <c r="G116" s="779">
        <f>E116+F116</f>
        <v>1160</v>
      </c>
      <c r="H116" s="468">
        <f>G116</f>
        <v>1160</v>
      </c>
      <c r="I116" s="778"/>
      <c r="J116" s="583"/>
    </row>
    <row r="117" spans="1:10" s="83" customFormat="1" ht="17.25" customHeight="1" x14ac:dyDescent="0.2">
      <c r="A117" s="1251"/>
      <c r="B117" s="1237" t="s">
        <v>489</v>
      </c>
      <c r="C117" s="109" t="s">
        <v>1391</v>
      </c>
      <c r="D117" s="467" t="s">
        <v>308</v>
      </c>
      <c r="E117" s="778">
        <v>3453</v>
      </c>
      <c r="F117" s="778">
        <v>932</v>
      </c>
      <c r="G117" s="779">
        <f>E117+F117</f>
        <v>4385</v>
      </c>
      <c r="H117" s="468">
        <f>G117</f>
        <v>4385</v>
      </c>
      <c r="I117" s="778"/>
      <c r="J117" s="583"/>
    </row>
    <row r="118" spans="1:10" s="83" customFormat="1" ht="10.5" customHeight="1" thickBot="1" x14ac:dyDescent="0.25">
      <c r="A118" s="1251"/>
      <c r="B118" s="1237"/>
      <c r="C118" s="109"/>
      <c r="D118" s="467"/>
      <c r="E118" s="1141"/>
      <c r="F118" s="1141"/>
      <c r="G118" s="1142"/>
      <c r="H118" s="1143"/>
      <c r="I118" s="1141"/>
      <c r="J118" s="583"/>
    </row>
    <row r="119" spans="1:10" s="83" customFormat="1" ht="21.75" customHeight="1" thickBot="1" x14ac:dyDescent="0.25">
      <c r="A119" s="1251"/>
      <c r="B119" s="1248"/>
      <c r="C119" s="470" t="s">
        <v>74</v>
      </c>
      <c r="D119" s="829"/>
      <c r="E119" s="829">
        <f>SUM(E114:E117)</f>
        <v>31811</v>
      </c>
      <c r="F119" s="829">
        <f t="shared" ref="F119:I119" si="16">SUM(F114:F117)</f>
        <v>8589</v>
      </c>
      <c r="G119" s="829">
        <f t="shared" si="16"/>
        <v>40400</v>
      </c>
      <c r="H119" s="829">
        <f t="shared" si="16"/>
        <v>40400</v>
      </c>
      <c r="I119" s="829">
        <f t="shared" si="16"/>
        <v>0</v>
      </c>
      <c r="J119" s="583"/>
    </row>
    <row r="120" spans="1:10" s="83" customFormat="1" ht="13.5" customHeight="1" x14ac:dyDescent="0.2">
      <c r="A120" s="1251"/>
      <c r="B120" s="1237"/>
      <c r="C120" s="109"/>
      <c r="D120" s="90"/>
      <c r="E120" s="90"/>
      <c r="F120" s="90"/>
      <c r="G120" s="90"/>
      <c r="H120" s="86"/>
      <c r="I120" s="128"/>
      <c r="J120" s="583"/>
    </row>
    <row r="121" spans="1:10" s="112" customFormat="1" ht="26.25" customHeight="1" x14ac:dyDescent="0.2">
      <c r="A121" s="1249"/>
      <c r="B121" s="1237"/>
      <c r="C121" s="89" t="s">
        <v>948</v>
      </c>
      <c r="D121" s="91"/>
      <c r="E121" s="90"/>
      <c r="F121" s="90"/>
      <c r="G121" s="91"/>
      <c r="H121" s="99"/>
      <c r="I121" s="107"/>
      <c r="J121" s="585"/>
    </row>
    <row r="122" spans="1:10" s="112" customFormat="1" ht="21.75" customHeight="1" x14ac:dyDescent="0.15">
      <c r="A122" s="1249"/>
      <c r="B122" s="1237" t="s">
        <v>479</v>
      </c>
      <c r="C122" s="782" t="s">
        <v>1139</v>
      </c>
      <c r="D122" s="467" t="s">
        <v>306</v>
      </c>
      <c r="E122" s="778">
        <v>1027</v>
      </c>
      <c r="F122" s="778">
        <v>277</v>
      </c>
      <c r="G122" s="779">
        <f>SUM(E122:F122)</f>
        <v>1304</v>
      </c>
      <c r="H122" s="496"/>
      <c r="I122" s="778">
        <f>G122</f>
        <v>1304</v>
      </c>
      <c r="J122" s="585"/>
    </row>
    <row r="123" spans="1:10" s="112" customFormat="1" ht="21.75" customHeight="1" x14ac:dyDescent="0.15">
      <c r="A123" s="1249"/>
      <c r="B123" s="1237" t="s">
        <v>487</v>
      </c>
      <c r="C123" s="782" t="s">
        <v>1286</v>
      </c>
      <c r="D123" s="467" t="s">
        <v>306</v>
      </c>
      <c r="E123" s="778">
        <v>1011</v>
      </c>
      <c r="F123" s="778">
        <v>273</v>
      </c>
      <c r="G123" s="779">
        <f>E123+F123</f>
        <v>1284</v>
      </c>
      <c r="H123" s="496"/>
      <c r="I123" s="778">
        <f>G123</f>
        <v>1284</v>
      </c>
      <c r="J123" s="585"/>
    </row>
    <row r="124" spans="1:10" s="112" customFormat="1" ht="21.75" customHeight="1" x14ac:dyDescent="0.15">
      <c r="A124" s="1249"/>
      <c r="B124" s="1237" t="s">
        <v>488</v>
      </c>
      <c r="C124" s="782" t="s">
        <v>1287</v>
      </c>
      <c r="D124" s="467" t="s">
        <v>306</v>
      </c>
      <c r="E124" s="778">
        <v>1121</v>
      </c>
      <c r="F124" s="778">
        <v>302</v>
      </c>
      <c r="G124" s="779">
        <f>E124+F124</f>
        <v>1423</v>
      </c>
      <c r="H124" s="496">
        <f>G124</f>
        <v>1423</v>
      </c>
      <c r="I124" s="778"/>
      <c r="J124" s="585"/>
    </row>
    <row r="125" spans="1:10" s="112" customFormat="1" ht="12" customHeight="1" thickBot="1" x14ac:dyDescent="0.25">
      <c r="A125" s="1249"/>
      <c r="B125" s="1237"/>
      <c r="C125" s="720"/>
      <c r="D125" s="717"/>
      <c r="E125" s="128"/>
      <c r="F125" s="128"/>
      <c r="G125" s="128"/>
      <c r="H125" s="99"/>
      <c r="I125" s="128"/>
      <c r="J125" s="585"/>
    </row>
    <row r="126" spans="1:10" s="112" customFormat="1" ht="21.75" customHeight="1" thickBot="1" x14ac:dyDescent="0.2">
      <c r="A126" s="1249"/>
      <c r="B126" s="1241"/>
      <c r="C126" s="474" t="s">
        <v>947</v>
      </c>
      <c r="D126" s="828"/>
      <c r="E126" s="829">
        <f>SUM(E122:E125)</f>
        <v>3159</v>
      </c>
      <c r="F126" s="829">
        <f>SUM(F122:F125)</f>
        <v>852</v>
      </c>
      <c r="G126" s="829">
        <f>SUM(G122:G125)</f>
        <v>4011</v>
      </c>
      <c r="H126" s="829">
        <f>SUM(H122:H125)</f>
        <v>1423</v>
      </c>
      <c r="I126" s="829">
        <f>SUM(I122:I125)</f>
        <v>2588</v>
      </c>
      <c r="J126" s="585"/>
    </row>
    <row r="127" spans="1:10" s="112" customFormat="1" ht="13.5" customHeight="1" x14ac:dyDescent="0.15">
      <c r="A127" s="1249"/>
      <c r="B127" s="1240"/>
      <c r="C127" s="89"/>
      <c r="D127" s="91"/>
      <c r="E127" s="91"/>
      <c r="F127" s="91"/>
      <c r="G127" s="91"/>
      <c r="H127" s="91"/>
      <c r="I127" s="91"/>
      <c r="J127" s="585"/>
    </row>
    <row r="128" spans="1:10" s="112" customFormat="1" ht="13.5" customHeight="1" x14ac:dyDescent="0.15">
      <c r="A128" s="1249"/>
      <c r="B128" s="1240"/>
      <c r="C128" s="89" t="s">
        <v>691</v>
      </c>
      <c r="D128" s="91"/>
      <c r="E128" s="91"/>
      <c r="F128" s="91"/>
      <c r="G128" s="91"/>
      <c r="H128" s="91"/>
      <c r="I128" s="91"/>
      <c r="J128" s="585"/>
    </row>
    <row r="129" spans="1:15" s="896" customFormat="1" ht="21.75" customHeight="1" x14ac:dyDescent="0.2">
      <c r="A129" s="1250"/>
      <c r="B129" s="1237" t="s">
        <v>479</v>
      </c>
      <c r="C129" s="109" t="s">
        <v>1139</v>
      </c>
      <c r="D129" s="467" t="s">
        <v>306</v>
      </c>
      <c r="E129" s="778">
        <v>1874</v>
      </c>
      <c r="F129" s="778">
        <v>506</v>
      </c>
      <c r="G129" s="779">
        <f>SUM(E129:F129)</f>
        <v>2380</v>
      </c>
      <c r="H129" s="778">
        <v>600</v>
      </c>
      <c r="I129" s="778">
        <f>G129-H129</f>
        <v>1780</v>
      </c>
      <c r="J129" s="895"/>
    </row>
    <row r="130" spans="1:15" s="896" customFormat="1" ht="12.75" customHeight="1" thickBot="1" x14ac:dyDescent="0.25">
      <c r="A130" s="1250"/>
      <c r="B130" s="1237"/>
      <c r="C130" s="109"/>
      <c r="D130" s="467"/>
      <c r="E130" s="467"/>
      <c r="F130" s="467"/>
      <c r="G130" s="469"/>
      <c r="H130" s="467"/>
      <c r="I130" s="467"/>
      <c r="J130" s="895"/>
    </row>
    <row r="131" spans="1:15" s="112" customFormat="1" ht="21.75" customHeight="1" thickBot="1" x14ac:dyDescent="0.2">
      <c r="A131" s="1249"/>
      <c r="B131" s="1241"/>
      <c r="C131" s="470" t="s">
        <v>16</v>
      </c>
      <c r="D131" s="829"/>
      <c r="E131" s="829">
        <f>SUM(E129:E130)</f>
        <v>1874</v>
      </c>
      <c r="F131" s="829">
        <f>SUM(F129:F130)</f>
        <v>506</v>
      </c>
      <c r="G131" s="829">
        <f>SUM(G129:G130)</f>
        <v>2380</v>
      </c>
      <c r="H131" s="829">
        <f>SUM(H129:H130)</f>
        <v>600</v>
      </c>
      <c r="I131" s="829">
        <f>SUM(I129:I130)</f>
        <v>1780</v>
      </c>
      <c r="J131" s="585"/>
    </row>
    <row r="132" spans="1:15" s="112" customFormat="1" ht="13.5" customHeight="1" x14ac:dyDescent="0.15">
      <c r="A132" s="1249"/>
      <c r="B132" s="1240"/>
      <c r="C132" s="89"/>
      <c r="D132" s="91"/>
      <c r="E132" s="91"/>
      <c r="F132" s="91"/>
      <c r="G132" s="91"/>
      <c r="H132" s="91"/>
      <c r="I132" s="91"/>
      <c r="J132" s="585"/>
    </row>
    <row r="133" spans="1:15" s="112" customFormat="1" ht="13.5" customHeight="1" x14ac:dyDescent="0.15">
      <c r="A133" s="1249"/>
      <c r="B133" s="1240"/>
      <c r="C133" s="89" t="s">
        <v>1114</v>
      </c>
      <c r="D133" s="91"/>
      <c r="E133" s="91"/>
      <c r="F133" s="91"/>
      <c r="G133" s="91"/>
      <c r="H133" s="91"/>
      <c r="I133" s="91"/>
      <c r="J133" s="585"/>
    </row>
    <row r="134" spans="1:15" s="896" customFormat="1" ht="21.75" customHeight="1" x14ac:dyDescent="0.2">
      <c r="A134" s="1250"/>
      <c r="B134" s="1237" t="s">
        <v>479</v>
      </c>
      <c r="C134" s="109" t="s">
        <v>184</v>
      </c>
      <c r="D134" s="467" t="s">
        <v>306</v>
      </c>
      <c r="E134" s="778">
        <v>621</v>
      </c>
      <c r="F134" s="778">
        <v>168</v>
      </c>
      <c r="G134" s="779">
        <f>E134+F134</f>
        <v>789</v>
      </c>
      <c r="H134" s="778">
        <f>G134</f>
        <v>789</v>
      </c>
      <c r="I134" s="936"/>
      <c r="J134" s="895"/>
    </row>
    <row r="135" spans="1:15" s="896" customFormat="1" ht="21.75" customHeight="1" x14ac:dyDescent="0.2">
      <c r="A135" s="1250"/>
      <c r="B135" s="1237" t="s">
        <v>487</v>
      </c>
      <c r="C135" s="109" t="s">
        <v>1140</v>
      </c>
      <c r="D135" s="467" t="s">
        <v>306</v>
      </c>
      <c r="E135" s="778">
        <v>1099</v>
      </c>
      <c r="F135" s="778">
        <v>297</v>
      </c>
      <c r="G135" s="779">
        <f>SUM(E135:F135)</f>
        <v>1396</v>
      </c>
      <c r="H135" s="778">
        <f>G135</f>
        <v>1396</v>
      </c>
      <c r="I135" s="936"/>
      <c r="J135" s="1158"/>
    </row>
    <row r="136" spans="1:15" s="896" customFormat="1" ht="12" customHeight="1" thickBot="1" x14ac:dyDescent="0.25">
      <c r="A136" s="1250"/>
      <c r="B136" s="1247"/>
      <c r="C136" s="472"/>
      <c r="D136" s="897"/>
      <c r="E136" s="897"/>
      <c r="F136" s="897"/>
      <c r="G136" s="898"/>
      <c r="H136" s="897"/>
      <c r="I136" s="898"/>
      <c r="J136" s="895"/>
    </row>
    <row r="137" spans="1:15" s="896" customFormat="1" ht="21.75" customHeight="1" thickBot="1" x14ac:dyDescent="0.25">
      <c r="A137" s="1250"/>
      <c r="B137" s="1241"/>
      <c r="C137" s="470" t="s">
        <v>185</v>
      </c>
      <c r="D137" s="829"/>
      <c r="E137" s="829">
        <f>SUM(E134:E135)</f>
        <v>1720</v>
      </c>
      <c r="F137" s="829">
        <f>SUM(F134:F135)</f>
        <v>465</v>
      </c>
      <c r="G137" s="829">
        <f>SUM(G134:G135)</f>
        <v>2185</v>
      </c>
      <c r="H137" s="829">
        <f>SUM(H134:H135)</f>
        <v>2185</v>
      </c>
      <c r="I137" s="829"/>
      <c r="J137" s="895"/>
    </row>
    <row r="138" spans="1:15" s="112" customFormat="1" ht="13.5" customHeight="1" x14ac:dyDescent="0.2">
      <c r="A138" s="1249"/>
      <c r="B138" s="1237"/>
      <c r="C138" s="109"/>
      <c r="D138" s="90"/>
      <c r="E138" s="90"/>
      <c r="F138" s="90"/>
      <c r="G138" s="91"/>
      <c r="H138" s="99"/>
      <c r="I138" s="107"/>
      <c r="J138" s="585"/>
      <c r="O138" s="608"/>
    </row>
    <row r="139" spans="1:15" s="112" customFormat="1" ht="13.5" customHeight="1" x14ac:dyDescent="0.15">
      <c r="A139" s="1249"/>
      <c r="B139" s="1240" t="s">
        <v>510</v>
      </c>
      <c r="C139" s="89" t="s">
        <v>511</v>
      </c>
      <c r="D139" s="91"/>
      <c r="E139" s="91"/>
      <c r="F139" s="91"/>
      <c r="G139" s="91"/>
      <c r="H139" s="99"/>
      <c r="I139" s="107"/>
      <c r="J139" s="585"/>
    </row>
    <row r="140" spans="1:15" s="112" customFormat="1" ht="11.25" customHeight="1" thickBot="1" x14ac:dyDescent="0.25">
      <c r="A140" s="1249"/>
      <c r="B140" s="1247"/>
      <c r="C140" s="109"/>
      <c r="D140" s="90"/>
      <c r="E140" s="90"/>
      <c r="F140" s="90"/>
      <c r="G140" s="91"/>
      <c r="H140" s="86"/>
      <c r="I140" s="599"/>
      <c r="J140" s="585"/>
    </row>
    <row r="141" spans="1:15" s="112" customFormat="1" ht="21.75" customHeight="1" thickBot="1" x14ac:dyDescent="0.25">
      <c r="A141" s="1249"/>
      <c r="B141" s="1248"/>
      <c r="C141" s="108" t="s">
        <v>512</v>
      </c>
      <c r="D141" s="113"/>
      <c r="E141" s="94">
        <f>E139</f>
        <v>0</v>
      </c>
      <c r="F141" s="94">
        <f t="shared" ref="F141:H141" si="17">F139</f>
        <v>0</v>
      </c>
      <c r="G141" s="94">
        <f t="shared" si="17"/>
        <v>0</v>
      </c>
      <c r="H141" s="94">
        <f t="shared" si="17"/>
        <v>0</v>
      </c>
      <c r="I141" s="94"/>
      <c r="J141" s="585"/>
    </row>
    <row r="142" spans="1:15" s="83" customFormat="1" ht="13.5" customHeight="1" thickBot="1" x14ac:dyDescent="0.25">
      <c r="A142" s="1251"/>
      <c r="B142" s="1237"/>
      <c r="C142" s="109"/>
      <c r="D142" s="90"/>
      <c r="E142" s="90"/>
      <c r="F142" s="90"/>
      <c r="G142" s="91"/>
      <c r="H142" s="86"/>
      <c r="I142" s="128"/>
      <c r="J142" s="583"/>
    </row>
    <row r="143" spans="1:15" s="112" customFormat="1" ht="20.25" customHeight="1" thickBot="1" x14ac:dyDescent="0.2">
      <c r="A143" s="1249"/>
      <c r="B143" s="1248"/>
      <c r="C143" s="108" t="s">
        <v>513</v>
      </c>
      <c r="D143" s="497"/>
      <c r="E143" s="497">
        <f>E18+E26+E58+E67+E72+E79+E85+E95+E100+E111+E119+E126+E131+E141+E137</f>
        <v>1777712</v>
      </c>
      <c r="F143" s="497">
        <f t="shared" ref="F143:I143" si="18">F18+F26+F58+F67+F72+F79+F85+F95+F100+F111+F119+F126+F131+F141+F137</f>
        <v>337205</v>
      </c>
      <c r="G143" s="497">
        <f t="shared" si="18"/>
        <v>2114917</v>
      </c>
      <c r="H143" s="497">
        <f t="shared" si="18"/>
        <v>1847817</v>
      </c>
      <c r="I143" s="497">
        <f t="shared" si="18"/>
        <v>267100</v>
      </c>
      <c r="J143" s="585"/>
    </row>
    <row r="146" spans="6:7" ht="14.1" customHeight="1" x14ac:dyDescent="0.2">
      <c r="F146" s="114"/>
      <c r="G146" s="115"/>
    </row>
  </sheetData>
  <sheetProtection selectLockedCells="1" selectUnlockedCells="1"/>
  <mergeCells count="14">
    <mergeCell ref="B1:I1"/>
    <mergeCell ref="B2:I2"/>
    <mergeCell ref="H7:I7"/>
    <mergeCell ref="B4:I4"/>
    <mergeCell ref="B5:B9"/>
    <mergeCell ref="C8:C9"/>
    <mergeCell ref="D8:D9"/>
    <mergeCell ref="H8:H9"/>
    <mergeCell ref="I8:I9"/>
    <mergeCell ref="C3:I3"/>
    <mergeCell ref="E7:G7"/>
    <mergeCell ref="F8:F9"/>
    <mergeCell ref="G8:G9"/>
    <mergeCell ref="E8:E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39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8" x14ac:dyDescent="0.25">
      <c r="B1" s="17"/>
      <c r="C1" s="25"/>
    </row>
    <row r="2" spans="1:8" x14ac:dyDescent="0.25">
      <c r="A2" s="1376" t="s">
        <v>1403</v>
      </c>
      <c r="B2" s="1376"/>
      <c r="C2" s="1376"/>
      <c r="D2" s="1376"/>
      <c r="E2" s="1376"/>
    </row>
    <row r="3" spans="1:8" x14ac:dyDescent="0.25">
      <c r="B3" s="18"/>
      <c r="C3" s="322"/>
    </row>
    <row r="4" spans="1:8" ht="15" customHeight="1" x14ac:dyDescent="0.25">
      <c r="A4" s="1377" t="s">
        <v>77</v>
      </c>
      <c r="B4" s="1377"/>
      <c r="C4" s="1377"/>
      <c r="D4" s="1377"/>
      <c r="E4" s="1377"/>
    </row>
    <row r="5" spans="1:8" ht="15" customHeight="1" x14ac:dyDescent="0.25">
      <c r="A5" s="1378" t="s">
        <v>1157</v>
      </c>
      <c r="B5" s="1378"/>
      <c r="C5" s="1378"/>
      <c r="D5" s="1378"/>
      <c r="E5" s="1378"/>
    </row>
    <row r="6" spans="1:8" ht="15" customHeight="1" x14ac:dyDescent="0.25">
      <c r="A6" s="1378" t="s">
        <v>519</v>
      </c>
      <c r="B6" s="1378"/>
      <c r="C6" s="1378"/>
      <c r="D6" s="1378"/>
      <c r="E6" s="1378"/>
    </row>
    <row r="7" spans="1:8" ht="15" customHeight="1" x14ac:dyDescent="0.25">
      <c r="B7" s="1378"/>
      <c r="C7" s="1378"/>
    </row>
    <row r="8" spans="1:8" s="19" customFormat="1" ht="20.100000000000001" customHeight="1" x14ac:dyDescent="0.25">
      <c r="A8" s="1379" t="s">
        <v>302</v>
      </c>
      <c r="B8" s="1380"/>
      <c r="C8" s="1380"/>
      <c r="D8" s="1380"/>
      <c r="E8" s="1380"/>
    </row>
    <row r="9" spans="1:8" s="19" customFormat="1" ht="20.100000000000001" customHeight="1" x14ac:dyDescent="0.25">
      <c r="A9" s="1383" t="s">
        <v>76</v>
      </c>
      <c r="B9" s="479" t="s">
        <v>57</v>
      </c>
      <c r="C9" s="1382" t="s">
        <v>58</v>
      </c>
      <c r="D9" s="1382"/>
      <c r="E9" s="1382"/>
    </row>
    <row r="10" spans="1:8" ht="46.5" customHeight="1" x14ac:dyDescent="0.25">
      <c r="A10" s="1383"/>
      <c r="B10" s="1375" t="s">
        <v>85</v>
      </c>
      <c r="C10" s="1381" t="s">
        <v>1200</v>
      </c>
      <c r="D10" s="1381"/>
      <c r="E10" s="1381"/>
    </row>
    <row r="11" spans="1:8" ht="20.100000000000001" customHeight="1" x14ac:dyDescent="0.25">
      <c r="A11" s="1383"/>
      <c r="B11" s="1375"/>
      <c r="C11" s="478" t="s">
        <v>176</v>
      </c>
      <c r="D11" s="1258" t="s">
        <v>177</v>
      </c>
      <c r="E11" s="1259" t="s">
        <v>178</v>
      </c>
    </row>
    <row r="12" spans="1:8" ht="20.100000000000001" customHeight="1" x14ac:dyDescent="0.25">
      <c r="A12" s="21" t="s">
        <v>479</v>
      </c>
      <c r="B12" s="22" t="s">
        <v>520</v>
      </c>
      <c r="C12" s="600"/>
      <c r="D12" s="601"/>
      <c r="E12" s="602"/>
    </row>
    <row r="13" spans="1:8" ht="20.100000000000001" customHeight="1" x14ac:dyDescent="0.25">
      <c r="A13" s="21" t="s">
        <v>487</v>
      </c>
      <c r="B13" s="23" t="s">
        <v>630</v>
      </c>
      <c r="C13" s="603"/>
      <c r="D13" s="604"/>
      <c r="E13" s="605"/>
    </row>
    <row r="14" spans="1:8" ht="24.6" customHeight="1" x14ac:dyDescent="0.25">
      <c r="A14" s="21" t="s">
        <v>488</v>
      </c>
      <c r="B14" s="1031" t="s">
        <v>639</v>
      </c>
      <c r="C14" s="607">
        <v>22391</v>
      </c>
      <c r="D14" s="607">
        <v>733</v>
      </c>
      <c r="E14" s="1035">
        <f t="shared" ref="E14:E17" si="0">C14+D14</f>
        <v>23124</v>
      </c>
    </row>
    <row r="15" spans="1:8" ht="36" customHeight="1" x14ac:dyDescent="0.25">
      <c r="A15" s="21" t="s">
        <v>489</v>
      </c>
      <c r="B15" s="1144" t="s">
        <v>1087</v>
      </c>
      <c r="C15" s="1034">
        <v>0</v>
      </c>
      <c r="D15" s="607">
        <v>0</v>
      </c>
      <c r="E15" s="1035">
        <f t="shared" si="0"/>
        <v>0</v>
      </c>
      <c r="G15" s="492"/>
      <c r="H15" s="492"/>
    </row>
    <row r="16" spans="1:8" ht="24" customHeight="1" x14ac:dyDescent="0.25">
      <c r="A16" s="21" t="s">
        <v>490</v>
      </c>
      <c r="B16" s="762" t="s">
        <v>1086</v>
      </c>
      <c r="C16" s="880">
        <v>0</v>
      </c>
      <c r="D16" s="607">
        <v>0</v>
      </c>
      <c r="E16" s="1035">
        <f t="shared" si="0"/>
        <v>0</v>
      </c>
    </row>
    <row r="17" spans="1:15" ht="31.5" customHeight="1" thickBot="1" x14ac:dyDescent="0.3">
      <c r="A17" s="21" t="s">
        <v>491</v>
      </c>
      <c r="B17" s="1071" t="s">
        <v>1163</v>
      </c>
      <c r="C17" s="880">
        <v>0</v>
      </c>
      <c r="D17" s="607">
        <v>0</v>
      </c>
      <c r="E17" s="1035">
        <f t="shared" si="0"/>
        <v>0</v>
      </c>
    </row>
    <row r="18" spans="1:15" s="15" customFormat="1" ht="19.5" customHeight="1" thickBot="1" x14ac:dyDescent="0.3">
      <c r="A18" s="21" t="s">
        <v>492</v>
      </c>
      <c r="B18" s="1077" t="s">
        <v>49</v>
      </c>
      <c r="C18" s="1078">
        <f>SUM(C14:C17)</f>
        <v>22391</v>
      </c>
      <c r="D18" s="1078">
        <f>SUM(D14:D17)</f>
        <v>733</v>
      </c>
      <c r="E18" s="1152">
        <f>SUM(E14:E17)</f>
        <v>23124</v>
      </c>
    </row>
    <row r="19" spans="1:15" s="15" customFormat="1" ht="20.25" customHeight="1" x14ac:dyDescent="0.25">
      <c r="A19" s="21" t="s">
        <v>493</v>
      </c>
      <c r="B19" s="26"/>
      <c r="C19" s="1036"/>
      <c r="D19" s="1037"/>
      <c r="E19" s="1038"/>
    </row>
    <row r="20" spans="1:15" ht="19.5" customHeight="1" x14ac:dyDescent="0.25">
      <c r="A20" s="21" t="s">
        <v>494</v>
      </c>
      <c r="B20" s="26" t="s">
        <v>631</v>
      </c>
      <c r="C20" s="1033"/>
      <c r="D20" s="1039"/>
      <c r="E20" s="1040"/>
    </row>
    <row r="21" spans="1:15" ht="21" customHeight="1" x14ac:dyDescent="0.25">
      <c r="A21" s="21" t="s">
        <v>530</v>
      </c>
      <c r="B21" s="17" t="s">
        <v>521</v>
      </c>
      <c r="C21" s="1033"/>
      <c r="D21" s="1034">
        <v>0</v>
      </c>
      <c r="E21" s="1035">
        <f>C21+D21</f>
        <v>0</v>
      </c>
    </row>
    <row r="22" spans="1:15" ht="21.75" customHeight="1" x14ac:dyDescent="0.25">
      <c r="A22" s="21" t="s">
        <v>531</v>
      </c>
      <c r="B22" s="24" t="s">
        <v>522</v>
      </c>
      <c r="C22" s="1033"/>
      <c r="D22" s="1034">
        <v>2469</v>
      </c>
      <c r="E22" s="1035">
        <f>C22+D22</f>
        <v>2469</v>
      </c>
    </row>
    <row r="23" spans="1:15" ht="41.25" customHeight="1" thickBot="1" x14ac:dyDescent="0.3">
      <c r="A23" s="21" t="s">
        <v>532</v>
      </c>
      <c r="B23" s="893" t="s">
        <v>970</v>
      </c>
      <c r="C23" s="890"/>
      <c r="D23" s="891">
        <v>0</v>
      </c>
      <c r="E23" s="892">
        <f>C23+D23</f>
        <v>0</v>
      </c>
    </row>
    <row r="24" spans="1:15" s="15" customFormat="1" ht="21" customHeight="1" thickBot="1" x14ac:dyDescent="0.3">
      <c r="A24" s="21" t="s">
        <v>533</v>
      </c>
      <c r="B24" s="1077" t="s">
        <v>632</v>
      </c>
      <c r="C24" s="1078">
        <f>SUM(C21:C22)</f>
        <v>0</v>
      </c>
      <c r="D24" s="1079">
        <f>SUM(D21:D23)</f>
        <v>2469</v>
      </c>
      <c r="E24" s="1075">
        <f>C24+D24</f>
        <v>2469</v>
      </c>
    </row>
    <row r="25" spans="1:15" s="15" customFormat="1" ht="22.5" customHeight="1" thickBot="1" x14ac:dyDescent="0.3">
      <c r="A25" s="21" t="s">
        <v>534</v>
      </c>
      <c r="B25" s="296" t="s">
        <v>523</v>
      </c>
      <c r="C25" s="1073">
        <f>C18+C24</f>
        <v>22391</v>
      </c>
      <c r="D25" s="1074">
        <f>D18+D24</f>
        <v>3202</v>
      </c>
      <c r="E25" s="1075">
        <f>C25+D25</f>
        <v>25593</v>
      </c>
    </row>
    <row r="26" spans="1:15" ht="20.100000000000001" customHeight="1" x14ac:dyDescent="0.25">
      <c r="A26" s="21" t="s">
        <v>535</v>
      </c>
      <c r="B26" s="24"/>
      <c r="C26" s="880"/>
      <c r="D26" s="607"/>
      <c r="E26" s="1040"/>
    </row>
    <row r="27" spans="1:15" ht="20.100000000000001" customHeight="1" x14ac:dyDescent="0.25">
      <c r="A27" s="21" t="s">
        <v>536</v>
      </c>
      <c r="B27" s="22" t="s">
        <v>524</v>
      </c>
      <c r="C27" s="880"/>
      <c r="D27" s="607"/>
      <c r="E27" s="1040"/>
    </row>
    <row r="28" spans="1:15" ht="20.100000000000001" customHeight="1" x14ac:dyDescent="0.25">
      <c r="A28" s="21" t="s">
        <v>537</v>
      </c>
      <c r="B28" s="17" t="s">
        <v>525</v>
      </c>
      <c r="C28" s="880">
        <v>127845</v>
      </c>
      <c r="D28" s="607">
        <v>1789</v>
      </c>
      <c r="E28" s="1035">
        <f>C28+D28</f>
        <v>129634</v>
      </c>
    </row>
    <row r="29" spans="1:15" ht="20.100000000000001" customHeight="1" x14ac:dyDescent="0.25">
      <c r="A29" s="21" t="s">
        <v>539</v>
      </c>
      <c r="B29" s="28" t="s">
        <v>186</v>
      </c>
      <c r="C29" s="880"/>
      <c r="D29" s="607"/>
      <c r="E29" s="1035"/>
    </row>
    <row r="30" spans="1:15" ht="32.25" customHeight="1" x14ac:dyDescent="0.25">
      <c r="A30" s="21" t="s">
        <v>540</v>
      </c>
      <c r="B30" s="762" t="s">
        <v>1088</v>
      </c>
      <c r="C30" s="880">
        <v>0</v>
      </c>
      <c r="D30" s="607">
        <v>0</v>
      </c>
      <c r="E30" s="1035">
        <f>SUM(C30:D30)</f>
        <v>0</v>
      </c>
    </row>
    <row r="31" spans="1:15" ht="32.25" customHeight="1" thickBot="1" x14ac:dyDescent="0.3">
      <c r="A31" s="21" t="s">
        <v>541</v>
      </c>
      <c r="B31" s="1031" t="s">
        <v>1089</v>
      </c>
      <c r="C31" s="607">
        <v>2223</v>
      </c>
      <c r="D31" s="607"/>
      <c r="E31" s="1035">
        <f>SUM(C31:D31)</f>
        <v>2223</v>
      </c>
    </row>
    <row r="32" spans="1:15" s="15" customFormat="1" ht="20.100000000000001" customHeight="1" thickBot="1" x14ac:dyDescent="0.3">
      <c r="A32" s="21" t="s">
        <v>542</v>
      </c>
      <c r="B32" s="1076" t="s">
        <v>526</v>
      </c>
      <c r="C32" s="1074">
        <f>C28+C30+C31</f>
        <v>130068</v>
      </c>
      <c r="D32" s="1074">
        <f t="shared" ref="D32:E32" si="1">D28+D30+D31</f>
        <v>1789</v>
      </c>
      <c r="E32" s="1075">
        <f t="shared" si="1"/>
        <v>131857</v>
      </c>
      <c r="O32" s="1032"/>
    </row>
    <row r="33" spans="1:15" s="15" customFormat="1" ht="20.100000000000001" customHeight="1" thickBot="1" x14ac:dyDescent="0.3">
      <c r="A33" s="21" t="s">
        <v>543</v>
      </c>
      <c r="B33" s="1072" t="s">
        <v>303</v>
      </c>
      <c r="C33" s="1073">
        <f>C25+C32</f>
        <v>152459</v>
      </c>
      <c r="D33" s="1074">
        <f>D25+D32</f>
        <v>4991</v>
      </c>
      <c r="E33" s="1075">
        <f>E25+E32</f>
        <v>157450</v>
      </c>
      <c r="O33" s="1032"/>
    </row>
    <row r="34" spans="1:15" s="15" customFormat="1" ht="20.100000000000001" customHeight="1" x14ac:dyDescent="0.25">
      <c r="A34" s="16"/>
      <c r="B34" s="29"/>
      <c r="C34" s="27"/>
      <c r="D34" s="351"/>
    </row>
    <row r="35" spans="1:15" ht="19.5" customHeight="1" x14ac:dyDescent="0.25">
      <c r="B35" s="30"/>
      <c r="C35" s="25"/>
    </row>
    <row r="36" spans="1:15" ht="15" customHeight="1" x14ac:dyDescent="0.25">
      <c r="B36" s="17"/>
      <c r="C36" s="25"/>
      <c r="H36" s="492"/>
    </row>
    <row r="37" spans="1:15" x14ac:dyDescent="0.25">
      <c r="B37" s="17"/>
      <c r="C37" s="25"/>
    </row>
    <row r="38" spans="1:15" x14ac:dyDescent="0.25">
      <c r="B38" s="17"/>
      <c r="C38" s="25"/>
    </row>
    <row r="39" spans="1:15" x14ac:dyDescent="0.25">
      <c r="B39" s="17"/>
      <c r="C39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62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4" customWidth="1"/>
    <col min="2" max="2" width="37.28515625" style="154" customWidth="1"/>
    <col min="3" max="3" width="12" style="155" customWidth="1"/>
    <col min="4" max="4" width="11.140625" style="155" customWidth="1"/>
    <col min="5" max="5" width="12.140625" style="155" customWidth="1"/>
    <col min="6" max="6" width="40.42578125" style="155" customWidth="1"/>
    <col min="7" max="7" width="11.5703125" style="155" customWidth="1"/>
    <col min="8" max="8" width="11.7109375" style="155" customWidth="1"/>
    <col min="9" max="9" width="14.5703125" style="155" customWidth="1"/>
    <col min="10" max="10" width="7.7109375" style="319" hidden="1" customWidth="1"/>
    <col min="11" max="11" width="7.140625" style="319" hidden="1" customWidth="1"/>
    <col min="12" max="12" width="7.85546875" style="319" hidden="1" customWidth="1"/>
    <col min="13" max="16384" width="9.140625" style="10"/>
  </cols>
  <sheetData>
    <row r="1" spans="1:13" ht="12.75" x14ac:dyDescent="0.2">
      <c r="C1" s="1268" t="s">
        <v>1404</v>
      </c>
      <c r="D1" s="1323"/>
      <c r="E1" s="1323"/>
      <c r="F1" s="1323"/>
      <c r="G1" s="1323"/>
      <c r="H1" s="1323"/>
      <c r="I1" s="1323"/>
      <c r="J1" s="1323"/>
      <c r="K1" s="1323"/>
      <c r="L1" s="1323"/>
    </row>
    <row r="2" spans="1:13" x14ac:dyDescent="0.2">
      <c r="I2" s="156"/>
    </row>
    <row r="3" spans="1:13" s="122" customFormat="1" ht="12.75" x14ac:dyDescent="0.2">
      <c r="A3" s="157"/>
      <c r="B3" s="1271" t="s">
        <v>77</v>
      </c>
      <c r="C3" s="1271"/>
      <c r="D3" s="1271"/>
      <c r="E3" s="1271"/>
      <c r="F3" s="1271"/>
      <c r="G3" s="1271"/>
      <c r="H3" s="1271"/>
      <c r="I3" s="1271"/>
      <c r="J3" s="1323"/>
      <c r="K3" s="1323"/>
      <c r="L3" s="1323"/>
    </row>
    <row r="4" spans="1:13" s="122" customFormat="1" x14ac:dyDescent="0.2">
      <c r="A4" s="157"/>
      <c r="B4" s="1384" t="s">
        <v>1158</v>
      </c>
      <c r="C4" s="1384"/>
      <c r="D4" s="1384"/>
      <c r="E4" s="1384"/>
      <c r="F4" s="1384"/>
      <c r="G4" s="1384"/>
      <c r="H4" s="1384"/>
      <c r="I4" s="1384"/>
    </row>
    <row r="5" spans="1:13" s="122" customFormat="1" ht="12.75" x14ac:dyDescent="0.2">
      <c r="A5" s="1272" t="s">
        <v>302</v>
      </c>
      <c r="B5" s="1325"/>
      <c r="C5" s="1325"/>
      <c r="D5" s="1325"/>
      <c r="E5" s="1325"/>
      <c r="F5" s="1325"/>
      <c r="G5" s="1325"/>
      <c r="H5" s="1325"/>
      <c r="I5" s="1325"/>
      <c r="J5" s="1325"/>
      <c r="K5" s="1325"/>
      <c r="L5" s="1325"/>
    </row>
    <row r="6" spans="1:13" s="122" customFormat="1" ht="12.75" customHeight="1" x14ac:dyDescent="0.2">
      <c r="A6" s="1276" t="s">
        <v>56</v>
      </c>
      <c r="B6" s="1277" t="s">
        <v>57</v>
      </c>
      <c r="C6" s="1292" t="s">
        <v>58</v>
      </c>
      <c r="D6" s="1292"/>
      <c r="E6" s="1293"/>
      <c r="F6" s="1386" t="s">
        <v>59</v>
      </c>
      <c r="G6" s="1274" t="s">
        <v>60</v>
      </c>
      <c r="H6" s="1275"/>
      <c r="I6" s="1385"/>
      <c r="M6" s="587"/>
    </row>
    <row r="7" spans="1:13" s="122" customFormat="1" ht="12.75" customHeight="1" x14ac:dyDescent="0.2">
      <c r="A7" s="1276"/>
      <c r="B7" s="1277"/>
      <c r="C7" s="1269" t="s">
        <v>1137</v>
      </c>
      <c r="D7" s="1269"/>
      <c r="E7" s="1270"/>
      <c r="F7" s="1386"/>
      <c r="G7" s="1269" t="s">
        <v>1137</v>
      </c>
      <c r="H7" s="1269"/>
      <c r="I7" s="1269"/>
      <c r="M7" s="587"/>
    </row>
    <row r="8" spans="1:13" s="123" customFormat="1" ht="36.6" customHeight="1" x14ac:dyDescent="0.2">
      <c r="A8" s="1276"/>
      <c r="B8" s="158" t="s">
        <v>61</v>
      </c>
      <c r="C8" s="134" t="s">
        <v>62</v>
      </c>
      <c r="D8" s="134" t="s">
        <v>63</v>
      </c>
      <c r="E8" s="159" t="s">
        <v>64</v>
      </c>
      <c r="F8" s="160" t="s">
        <v>65</v>
      </c>
      <c r="G8" s="134" t="s">
        <v>62</v>
      </c>
      <c r="H8" s="134" t="s">
        <v>63</v>
      </c>
      <c r="I8" s="134" t="s">
        <v>64</v>
      </c>
      <c r="M8" s="588"/>
    </row>
    <row r="9" spans="1:13" ht="11.45" customHeight="1" x14ac:dyDescent="0.2">
      <c r="A9" s="161">
        <v>1</v>
      </c>
      <c r="B9" s="162" t="s">
        <v>24</v>
      </c>
      <c r="C9" s="163"/>
      <c r="D9" s="163"/>
      <c r="E9" s="163"/>
      <c r="F9" s="137" t="s">
        <v>25</v>
      </c>
      <c r="G9" s="163"/>
      <c r="H9" s="163"/>
      <c r="I9" s="439"/>
      <c r="J9" s="10"/>
      <c r="K9" s="10"/>
      <c r="L9" s="10"/>
      <c r="M9" s="187"/>
    </row>
    <row r="10" spans="1:13" x14ac:dyDescent="0.2">
      <c r="A10" s="161">
        <f t="shared" ref="A10:A55" si="0">A9+1</f>
        <v>2</v>
      </c>
      <c r="B10" s="164" t="s">
        <v>35</v>
      </c>
      <c r="C10" s="291"/>
      <c r="D10" s="291"/>
      <c r="E10" s="279"/>
      <c r="F10" s="482" t="s">
        <v>215</v>
      </c>
      <c r="G10" s="279">
        <f>'műk. kiad. szakf Önkorm. '!D73</f>
        <v>64325</v>
      </c>
      <c r="H10" s="279">
        <f>'műk. kiad. szakf Önkorm. '!E73</f>
        <v>37793</v>
      </c>
      <c r="I10" s="456">
        <f>SUM(G10:H10)</f>
        <v>102118</v>
      </c>
      <c r="J10" s="10"/>
      <c r="K10" s="10"/>
      <c r="L10" s="10"/>
      <c r="M10" s="187"/>
    </row>
    <row r="11" spans="1:13" x14ac:dyDescent="0.2">
      <c r="A11" s="161">
        <f t="shared" si="0"/>
        <v>3</v>
      </c>
      <c r="B11" s="164" t="s">
        <v>191</v>
      </c>
      <c r="C11" s="291">
        <f>'tám, végl. pe.átv  '!C11+'tám, végl. pe.átv  '!C17+'tám, végl. pe.átv  '!C18</f>
        <v>812195</v>
      </c>
      <c r="D11" s="291">
        <f>'tám, végl. pe.átv  '!D11+'tám, végl. pe.átv  '!D17+'tám, végl. pe.átv  '!D18</f>
        <v>129474</v>
      </c>
      <c r="E11" s="291">
        <f>'tám, végl. pe.átv  '!E11+'tám, végl. pe.átv  '!E17+'tám, végl. pe.átv  '!E18</f>
        <v>941669</v>
      </c>
      <c r="F11" s="482" t="s">
        <v>216</v>
      </c>
      <c r="G11" s="279">
        <f>'műk. kiad. szakf Önkorm. '!F73</f>
        <v>12271</v>
      </c>
      <c r="H11" s="279">
        <f>'műk. kiad. szakf Önkorm. '!G73</f>
        <v>13590</v>
      </c>
      <c r="I11" s="456">
        <f>SUM(G11:H11)</f>
        <v>25861</v>
      </c>
      <c r="J11" s="10"/>
      <c r="K11" s="10"/>
      <c r="L11" s="10"/>
      <c r="M11" s="187"/>
    </row>
    <row r="12" spans="1:13" x14ac:dyDescent="0.2">
      <c r="A12" s="161">
        <f t="shared" si="0"/>
        <v>4</v>
      </c>
      <c r="B12" s="164" t="s">
        <v>188</v>
      </c>
      <c r="C12" s="291"/>
      <c r="D12" s="291">
        <v>0</v>
      </c>
      <c r="E12" s="291">
        <f>C12+D12</f>
        <v>0</v>
      </c>
      <c r="F12" s="482" t="s">
        <v>217</v>
      </c>
      <c r="G12" s="279">
        <f>'műk. kiad. szakf Önkorm. '!H73</f>
        <v>356883</v>
      </c>
      <c r="H12" s="279">
        <f>'műk. kiad. szakf Önkorm. '!I73</f>
        <v>290375</v>
      </c>
      <c r="I12" s="456">
        <f>SUM(G12:H12)</f>
        <v>647258</v>
      </c>
      <c r="J12" s="10"/>
      <c r="K12" s="10"/>
      <c r="L12" s="10"/>
      <c r="M12" s="187"/>
    </row>
    <row r="13" spans="1:13" ht="12" customHeight="1" x14ac:dyDescent="0.2">
      <c r="A13" s="161">
        <f t="shared" si="0"/>
        <v>5</v>
      </c>
      <c r="B13" s="521" t="s">
        <v>192</v>
      </c>
      <c r="C13" s="291">
        <f>'tám, végl. pe.átv  '!C39</f>
        <v>56629</v>
      </c>
      <c r="D13" s="291">
        <f>'tám, végl. pe.átv  '!D39</f>
        <v>2776</v>
      </c>
      <c r="E13" s="291">
        <f>'tám, végl. pe.átv  '!E39</f>
        <v>59405</v>
      </c>
      <c r="F13" s="482"/>
      <c r="G13" s="291"/>
      <c r="H13" s="291"/>
      <c r="I13" s="456"/>
      <c r="J13" s="10"/>
      <c r="K13" s="10"/>
      <c r="L13" s="10"/>
      <c r="M13" s="187"/>
    </row>
    <row r="14" spans="1:13" x14ac:dyDescent="0.2">
      <c r="A14" s="161">
        <f>A13+1</f>
        <v>6</v>
      </c>
      <c r="B14" s="164" t="s">
        <v>1117</v>
      </c>
      <c r="C14" s="291"/>
      <c r="D14" s="291"/>
      <c r="E14" s="279"/>
      <c r="F14" s="482" t="s">
        <v>218</v>
      </c>
      <c r="G14" s="286">
        <f>'ellátottak önk.'!E29</f>
        <v>2526</v>
      </c>
      <c r="H14" s="286">
        <f>'ellátottak önk.'!F29</f>
        <v>11113</v>
      </c>
      <c r="I14" s="456">
        <f>SUM(G14:H14)</f>
        <v>13639</v>
      </c>
      <c r="J14" s="10"/>
      <c r="K14" s="10"/>
      <c r="L14" s="10"/>
      <c r="M14" s="187"/>
    </row>
    <row r="15" spans="1:13" x14ac:dyDescent="0.2">
      <c r="A15" s="161">
        <f t="shared" ref="A15:A26" si="1">A14+1</f>
        <v>7</v>
      </c>
      <c r="B15" s="164" t="s">
        <v>1115</v>
      </c>
      <c r="C15" s="291">
        <f>'felh. bev.  '!D24</f>
        <v>0</v>
      </c>
      <c r="D15" s="291"/>
      <c r="E15" s="279">
        <f t="shared" ref="E15:E16" si="2">SUM(C15:D15)</f>
        <v>0</v>
      </c>
      <c r="F15" s="482"/>
      <c r="G15" s="286"/>
      <c r="H15" s="286"/>
      <c r="I15" s="456"/>
      <c r="J15" s="10"/>
      <c r="K15" s="10"/>
      <c r="L15" s="10"/>
      <c r="M15" s="187"/>
    </row>
    <row r="16" spans="1:13" x14ac:dyDescent="0.2">
      <c r="A16" s="161">
        <f t="shared" si="1"/>
        <v>8</v>
      </c>
      <c r="B16" s="1080" t="s">
        <v>1116</v>
      </c>
      <c r="C16" s="291">
        <f>'felh. bev.  '!D29</f>
        <v>621278</v>
      </c>
      <c r="D16" s="291">
        <f>'felh. bev.  '!E29</f>
        <v>14540</v>
      </c>
      <c r="E16" s="279">
        <f t="shared" si="2"/>
        <v>635818</v>
      </c>
      <c r="F16" s="482" t="s">
        <v>219</v>
      </c>
      <c r="G16" s="286"/>
      <c r="H16" s="286"/>
      <c r="I16" s="456"/>
      <c r="J16" s="10"/>
      <c r="K16" s="10"/>
      <c r="L16" s="10"/>
      <c r="M16" s="187"/>
    </row>
    <row r="17" spans="1:14" x14ac:dyDescent="0.2">
      <c r="A17" s="161">
        <f t="shared" si="1"/>
        <v>9</v>
      </c>
      <c r="B17" s="164" t="s">
        <v>193</v>
      </c>
      <c r="C17" s="291">
        <f>'közhatalmi bevételek'!D30</f>
        <v>527224</v>
      </c>
      <c r="D17" s="291">
        <f>'közhatalmi bevételek'!E30</f>
        <v>876260</v>
      </c>
      <c r="E17" s="291">
        <f>'közhatalmi bevételek'!F30</f>
        <v>1403484</v>
      </c>
      <c r="F17" s="482" t="s">
        <v>220</v>
      </c>
      <c r="G17" s="286">
        <f>mc.pe.átad!E23</f>
        <v>9763</v>
      </c>
      <c r="H17" s="286">
        <f>mc.pe.átad!F23</f>
        <v>58149</v>
      </c>
      <c r="I17" s="286">
        <f>mc.pe.átad!G23</f>
        <v>67912</v>
      </c>
      <c r="J17" s="10"/>
      <c r="K17" s="10"/>
      <c r="L17" s="10"/>
      <c r="M17" s="187"/>
    </row>
    <row r="18" spans="1:14" x14ac:dyDescent="0.2">
      <c r="A18" s="161">
        <f t="shared" si="1"/>
        <v>10</v>
      </c>
      <c r="B18" s="167" t="s">
        <v>40</v>
      </c>
      <c r="C18" s="346"/>
      <c r="D18" s="346"/>
      <c r="E18" s="346"/>
      <c r="F18" s="482" t="s">
        <v>221</v>
      </c>
      <c r="G18" s="286">
        <f>mc.pe.átad!E67</f>
        <v>159080</v>
      </c>
      <c r="H18" s="286">
        <f>mc.pe.átad!F67</f>
        <v>175035</v>
      </c>
      <c r="I18" s="286">
        <f>mc.pe.átad!G67</f>
        <v>334115</v>
      </c>
      <c r="J18" s="10"/>
      <c r="K18" s="10"/>
      <c r="L18" s="10"/>
      <c r="M18" s="187"/>
    </row>
    <row r="19" spans="1:14" x14ac:dyDescent="0.2">
      <c r="A19" s="161">
        <f t="shared" si="1"/>
        <v>11</v>
      </c>
      <c r="B19" s="167"/>
      <c r="C19" s="346"/>
      <c r="D19" s="346"/>
      <c r="E19" s="346"/>
      <c r="F19" s="482" t="s">
        <v>268</v>
      </c>
      <c r="G19" s="286">
        <f>'műk. kiad. szakf Önkorm. '!N73</f>
        <v>0</v>
      </c>
      <c r="H19" s="286">
        <f>'műk. kiad. szakf Önkorm. '!O73</f>
        <v>0</v>
      </c>
      <c r="I19" s="286">
        <f>G19+H19</f>
        <v>0</v>
      </c>
      <c r="J19" s="10"/>
      <c r="K19" s="10"/>
      <c r="L19" s="10"/>
      <c r="M19" s="187"/>
    </row>
    <row r="20" spans="1:14" x14ac:dyDescent="0.2">
      <c r="A20" s="161">
        <f>A19+1</f>
        <v>12</v>
      </c>
      <c r="B20" s="116" t="s">
        <v>194</v>
      </c>
      <c r="C20" s="346">
        <v>106519</v>
      </c>
      <c r="D20" s="346">
        <v>81500</v>
      </c>
      <c r="E20" s="346">
        <f>SUM(C20:D20)</f>
        <v>188019</v>
      </c>
      <c r="F20" s="482" t="s">
        <v>223</v>
      </c>
      <c r="G20" s="286">
        <f>tartalék!C24</f>
        <v>0</v>
      </c>
      <c r="H20" s="286">
        <f>tartalék!D24</f>
        <v>2469</v>
      </c>
      <c r="I20" s="881">
        <f>SUM(G20:H20)</f>
        <v>2469</v>
      </c>
      <c r="J20" s="10"/>
      <c r="K20" s="10"/>
      <c r="L20" s="10"/>
      <c r="M20" s="187"/>
    </row>
    <row r="21" spans="1:14" x14ac:dyDescent="0.2">
      <c r="A21" s="161">
        <f t="shared" si="1"/>
        <v>13</v>
      </c>
      <c r="C21" s="346"/>
      <c r="D21" s="346"/>
      <c r="E21" s="346"/>
      <c r="F21" s="482" t="s">
        <v>269</v>
      </c>
      <c r="G21" s="286">
        <f>tartalék!C32</f>
        <v>130068</v>
      </c>
      <c r="H21" s="286">
        <f>tartalék!D32</f>
        <v>1789</v>
      </c>
      <c r="I21" s="286">
        <f>tartalék!E32</f>
        <v>131857</v>
      </c>
      <c r="J21" s="10"/>
      <c r="K21" s="10"/>
      <c r="L21" s="10"/>
      <c r="M21" s="187"/>
    </row>
    <row r="22" spans="1:14" s="124" customFormat="1" x14ac:dyDescent="0.2">
      <c r="A22" s="161">
        <f t="shared" si="1"/>
        <v>14</v>
      </c>
      <c r="B22" s="154" t="s">
        <v>42</v>
      </c>
      <c r="C22" s="346"/>
      <c r="D22" s="346"/>
      <c r="E22" s="346"/>
      <c r="F22" s="586"/>
      <c r="G22" s="286"/>
      <c r="H22" s="286"/>
      <c r="I22" s="458"/>
      <c r="M22" s="589"/>
    </row>
    <row r="23" spans="1:14" s="124" customFormat="1" x14ac:dyDescent="0.2">
      <c r="A23" s="161">
        <f t="shared" si="1"/>
        <v>15</v>
      </c>
      <c r="B23" s="154" t="s">
        <v>195</v>
      </c>
      <c r="C23" s="346"/>
      <c r="D23" s="346"/>
      <c r="E23" s="346"/>
      <c r="F23" s="586"/>
      <c r="G23" s="286"/>
      <c r="H23" s="286"/>
      <c r="I23" s="458"/>
      <c r="M23" s="589"/>
    </row>
    <row r="24" spans="1:14" x14ac:dyDescent="0.2">
      <c r="A24" s="161">
        <f t="shared" si="1"/>
        <v>16</v>
      </c>
      <c r="B24" s="177" t="s">
        <v>198</v>
      </c>
      <c r="C24" s="279">
        <f>'felh. bev.  '!D12</f>
        <v>19447</v>
      </c>
      <c r="D24" s="279">
        <f>'felh. bev.  '!E12</f>
        <v>40800</v>
      </c>
      <c r="E24" s="346">
        <f>SUM(C24:D24)</f>
        <v>60247</v>
      </c>
      <c r="F24" s="844" t="s">
        <v>66</v>
      </c>
      <c r="G24" s="347">
        <f t="shared" ref="G24:L24" si="3">SUM(G10:G22)</f>
        <v>734916</v>
      </c>
      <c r="H24" s="347">
        <f t="shared" si="3"/>
        <v>590313</v>
      </c>
      <c r="I24" s="459">
        <f t="shared" si="3"/>
        <v>1325229</v>
      </c>
      <c r="J24" s="125">
        <f t="shared" si="3"/>
        <v>0</v>
      </c>
      <c r="K24" s="125">
        <f t="shared" si="3"/>
        <v>0</v>
      </c>
      <c r="L24" s="433">
        <f t="shared" si="3"/>
        <v>0</v>
      </c>
      <c r="M24" s="187"/>
    </row>
    <row r="25" spans="1:14" x14ac:dyDescent="0.2">
      <c r="A25" s="161">
        <f t="shared" si="1"/>
        <v>17</v>
      </c>
      <c r="B25" s="177" t="s">
        <v>199</v>
      </c>
      <c r="C25" s="346">
        <f>'felh. bev.  '!D13+'felh. bev.  '!D14</f>
        <v>0</v>
      </c>
      <c r="D25" s="346">
        <f>'felh. bev.  '!E13+'felh. bev.  '!E14</f>
        <v>24</v>
      </c>
      <c r="E25" s="346">
        <f>SUM(C25:D25)</f>
        <v>24</v>
      </c>
      <c r="F25" s="586"/>
      <c r="G25" s="286"/>
      <c r="H25" s="286"/>
      <c r="I25" s="458"/>
      <c r="J25" s="10"/>
      <c r="K25" s="10"/>
      <c r="L25" s="10"/>
      <c r="M25" s="187"/>
    </row>
    <row r="26" spans="1:14" x14ac:dyDescent="0.2">
      <c r="A26" s="161">
        <f t="shared" si="1"/>
        <v>18</v>
      </c>
      <c r="B26" s="154" t="s">
        <v>200</v>
      </c>
      <c r="C26" s="279">
        <f>'felh. bev.  '!D21</f>
        <v>0</v>
      </c>
      <c r="D26" s="279">
        <f>'felh. bev.  '!E21</f>
        <v>180</v>
      </c>
      <c r="E26" s="279">
        <f>'felh. bev.  '!F21</f>
        <v>180</v>
      </c>
      <c r="F26" s="845" t="s">
        <v>34</v>
      </c>
      <c r="G26" s="349"/>
      <c r="H26" s="349"/>
      <c r="I26" s="458"/>
      <c r="J26" s="10"/>
      <c r="K26" s="10"/>
      <c r="L26" s="10"/>
      <c r="M26" s="187"/>
    </row>
    <row r="27" spans="1:14" x14ac:dyDescent="0.2">
      <c r="A27" s="161">
        <f t="shared" si="0"/>
        <v>19</v>
      </c>
      <c r="B27" s="164" t="s">
        <v>201</v>
      </c>
      <c r="C27" s="279"/>
      <c r="D27" s="279"/>
      <c r="E27" s="279"/>
      <c r="F27" s="482" t="s">
        <v>270</v>
      </c>
      <c r="G27" s="286">
        <f>'felhalm. kiad.  '!H18+'felhalm. kiad.  '!H58+'felhalm. kiad.  '!H67+'felhalm. kiad.  '!H72+'felhalm. kiad.  '!H79</f>
        <v>1684813</v>
      </c>
      <c r="H27" s="286">
        <f>'felhalm. kiad.  '!I18+'felhalm. kiad.  '!I58+'felhalm. kiad.  '!I67+'felhalm. kiad.  '!I72+'felhalm. kiad.  '!I79+'felhalm. kiad.  '!I141</f>
        <v>159285</v>
      </c>
      <c r="I27" s="458">
        <f t="shared" ref="I27:I32" si="4">SUM(G27:H27)</f>
        <v>1844098</v>
      </c>
      <c r="J27" s="10"/>
      <c r="K27" s="10"/>
      <c r="L27" s="10"/>
      <c r="M27" s="586"/>
      <c r="N27" s="841"/>
    </row>
    <row r="28" spans="1:14" x14ac:dyDescent="0.2">
      <c r="A28" s="161">
        <f t="shared" si="0"/>
        <v>20</v>
      </c>
      <c r="B28" s="164"/>
      <c r="C28" s="279"/>
      <c r="D28" s="279"/>
      <c r="E28" s="279"/>
      <c r="F28" s="482" t="s">
        <v>227</v>
      </c>
      <c r="G28" s="286">
        <f>'felhalm. kiad.  '!H26</f>
        <v>49715</v>
      </c>
      <c r="H28" s="286">
        <f>'felhalm. kiad.  '!I26</f>
        <v>0</v>
      </c>
      <c r="I28" s="458">
        <f t="shared" si="4"/>
        <v>49715</v>
      </c>
      <c r="J28" s="10"/>
      <c r="K28" s="10"/>
      <c r="L28" s="10"/>
      <c r="M28" s="187"/>
    </row>
    <row r="29" spans="1:14" x14ac:dyDescent="0.2">
      <c r="A29" s="161">
        <f t="shared" si="0"/>
        <v>21</v>
      </c>
      <c r="B29" s="154" t="s">
        <v>202</v>
      </c>
      <c r="C29" s="279">
        <f>'tám, végl. pe.átv  '!C43</f>
        <v>0</v>
      </c>
      <c r="D29" s="279">
        <f>'tám, végl. pe.átv  '!D43</f>
        <v>19610</v>
      </c>
      <c r="E29" s="279">
        <f>'tám, végl. pe.átv  '!E43</f>
        <v>19610</v>
      </c>
      <c r="F29" s="482" t="s">
        <v>228</v>
      </c>
      <c r="G29" s="286"/>
      <c r="H29" s="286"/>
      <c r="I29" s="458"/>
      <c r="J29" s="10"/>
      <c r="K29" s="10"/>
      <c r="L29" s="10"/>
      <c r="M29" s="187"/>
    </row>
    <row r="30" spans="1:14" s="124" customFormat="1" x14ac:dyDescent="0.2">
      <c r="A30" s="161">
        <f t="shared" si="0"/>
        <v>22</v>
      </c>
      <c r="B30" s="154" t="s">
        <v>267</v>
      </c>
      <c r="C30" s="279">
        <f>'felh. bev.  '!D34+'felh. bev.  '!D38</f>
        <v>9900</v>
      </c>
      <c r="D30" s="279">
        <f>'felh. bev.  '!E34+'felh. bev.  '!E38</f>
        <v>4232</v>
      </c>
      <c r="E30" s="279">
        <f>'felh. bev.  '!F34+'felh. bev.  '!F38</f>
        <v>14132</v>
      </c>
      <c r="F30" s="482" t="s">
        <v>229</v>
      </c>
      <c r="G30" s="286">
        <f>'felhalm. kiad.  '!H85</f>
        <v>12004</v>
      </c>
      <c r="H30" s="286">
        <f>'felhalm. kiad.  '!I85</f>
        <v>78232</v>
      </c>
      <c r="I30" s="458">
        <f t="shared" si="4"/>
        <v>90236</v>
      </c>
      <c r="M30" s="589"/>
    </row>
    <row r="31" spans="1:14" s="124" customFormat="1" x14ac:dyDescent="0.2">
      <c r="A31" s="161">
        <f t="shared" si="0"/>
        <v>23</v>
      </c>
      <c r="B31" s="154"/>
      <c r="C31" s="279"/>
      <c r="D31" s="279"/>
      <c r="E31" s="279"/>
      <c r="F31" s="482" t="s">
        <v>1131</v>
      </c>
      <c r="G31" s="286">
        <f>'felhalm. kiad.  '!H100</f>
        <v>0</v>
      </c>
      <c r="H31" s="286">
        <f>'felhalm. kiad.  '!I100</f>
        <v>5000</v>
      </c>
      <c r="I31" s="458">
        <f t="shared" si="4"/>
        <v>5000</v>
      </c>
      <c r="M31" s="589"/>
    </row>
    <row r="32" spans="1:14" x14ac:dyDescent="0.2">
      <c r="A32" s="161">
        <f t="shared" si="0"/>
        <v>24</v>
      </c>
      <c r="C32" s="279"/>
      <c r="D32" s="279"/>
      <c r="E32" s="279"/>
      <c r="F32" s="482" t="s">
        <v>1129</v>
      </c>
      <c r="G32" s="286">
        <f>'felhalm. kiad.  '!H95</f>
        <v>53844</v>
      </c>
      <c r="H32" s="286">
        <f>'felhalm. kiad.  '!I95</f>
        <v>13880</v>
      </c>
      <c r="I32" s="458">
        <f t="shared" si="4"/>
        <v>67724</v>
      </c>
      <c r="J32" s="10"/>
      <c r="K32" s="10"/>
      <c r="L32" s="10"/>
      <c r="M32" s="187"/>
    </row>
    <row r="33" spans="1:13" s="11" customFormat="1" x14ac:dyDescent="0.2">
      <c r="A33" s="161">
        <f t="shared" si="0"/>
        <v>25</v>
      </c>
      <c r="B33" s="171" t="s">
        <v>52</v>
      </c>
      <c r="C33" s="882">
        <f>C12+C20+C11+C17+C13+C29</f>
        <v>1502567</v>
      </c>
      <c r="D33" s="882">
        <f>D12+D20+D11+D17+D13+D29</f>
        <v>1109620</v>
      </c>
      <c r="E33" s="882">
        <f>E12+E20+E11+E17+E13+E29</f>
        <v>2612187</v>
      </c>
      <c r="F33" s="482" t="s">
        <v>1130</v>
      </c>
      <c r="G33" s="284">
        <f>tartalék!C18</f>
        <v>22391</v>
      </c>
      <c r="H33" s="284">
        <f>tartalék!D18</f>
        <v>733</v>
      </c>
      <c r="I33" s="284">
        <f>tartalék!E18</f>
        <v>23124</v>
      </c>
      <c r="M33" s="494"/>
    </row>
    <row r="34" spans="1:13" x14ac:dyDescent="0.2">
      <c r="A34" s="161">
        <f t="shared" si="0"/>
        <v>26</v>
      </c>
      <c r="B34" s="172" t="s">
        <v>67</v>
      </c>
      <c r="C34" s="347">
        <f>C15+C16+C24+C25+C26+C27+C30</f>
        <v>650625</v>
      </c>
      <c r="D34" s="347">
        <f t="shared" ref="D34:E34" si="5">D15+D16+D24+D25+D26+D27+D30</f>
        <v>59776</v>
      </c>
      <c r="E34" s="347">
        <f t="shared" si="5"/>
        <v>710401</v>
      </c>
      <c r="F34" s="818" t="s">
        <v>68</v>
      </c>
      <c r="G34" s="347">
        <f>SUM(G27:G33)</f>
        <v>1822767</v>
      </c>
      <c r="H34" s="347">
        <f>SUM(H27:H33)</f>
        <v>257130</v>
      </c>
      <c r="I34" s="459">
        <f>SUM(I27:I33)</f>
        <v>2079897</v>
      </c>
      <c r="J34" s="10"/>
      <c r="K34" s="10"/>
      <c r="L34" s="10"/>
      <c r="M34" s="187"/>
    </row>
    <row r="35" spans="1:13" x14ac:dyDescent="0.2">
      <c r="A35" s="161">
        <f t="shared" si="0"/>
        <v>27</v>
      </c>
      <c r="B35" s="175" t="s">
        <v>51</v>
      </c>
      <c r="C35" s="349">
        <f>SUM(C33:C34)</f>
        <v>2153192</v>
      </c>
      <c r="D35" s="349">
        <f>SUM(D33:D34)</f>
        <v>1169396</v>
      </c>
      <c r="E35" s="349">
        <f>SUM(C35:D35)</f>
        <v>3322588</v>
      </c>
      <c r="F35" s="846" t="s">
        <v>69</v>
      </c>
      <c r="G35" s="349">
        <f t="shared" ref="G35:L35" si="6">G24+G34</f>
        <v>2557683</v>
      </c>
      <c r="H35" s="349">
        <f t="shared" si="6"/>
        <v>847443</v>
      </c>
      <c r="I35" s="435">
        <f t="shared" si="6"/>
        <v>3405126</v>
      </c>
      <c r="J35" s="170">
        <f t="shared" si="6"/>
        <v>0</v>
      </c>
      <c r="K35" s="170">
        <f t="shared" si="6"/>
        <v>0</v>
      </c>
      <c r="L35" s="437">
        <f t="shared" si="6"/>
        <v>0</v>
      </c>
      <c r="M35" s="187"/>
    </row>
    <row r="36" spans="1:13" x14ac:dyDescent="0.2">
      <c r="A36" s="161">
        <f t="shared" si="0"/>
        <v>28</v>
      </c>
      <c r="B36" s="177"/>
      <c r="C36" s="286"/>
      <c r="D36" s="286"/>
      <c r="E36" s="286"/>
      <c r="F36" s="586"/>
      <c r="G36" s="286"/>
      <c r="H36" s="286"/>
      <c r="I36" s="458"/>
      <c r="J36" s="10"/>
      <c r="K36" s="10"/>
      <c r="L36" s="10"/>
      <c r="M36" s="187"/>
    </row>
    <row r="37" spans="1:13" x14ac:dyDescent="0.2">
      <c r="A37" s="161">
        <f t="shared" si="0"/>
        <v>29</v>
      </c>
      <c r="B37" s="175" t="s">
        <v>23</v>
      </c>
      <c r="C37" s="349">
        <f>C35-G35</f>
        <v>-404491</v>
      </c>
      <c r="D37" s="349">
        <f t="shared" ref="D37:E37" si="7">D35-H35</f>
        <v>321953</v>
      </c>
      <c r="E37" s="349">
        <f t="shared" si="7"/>
        <v>-82538</v>
      </c>
      <c r="F37" s="844"/>
      <c r="G37" s="347"/>
      <c r="H37" s="347"/>
      <c r="I37" s="459"/>
      <c r="J37" s="10"/>
      <c r="K37" s="10"/>
      <c r="L37" s="10"/>
      <c r="M37" s="187"/>
    </row>
    <row r="38" spans="1:13" s="11" customFormat="1" x14ac:dyDescent="0.2">
      <c r="A38" s="161">
        <f t="shared" si="0"/>
        <v>30</v>
      </c>
      <c r="B38" s="177"/>
      <c r="C38" s="286"/>
      <c r="D38" s="286"/>
      <c r="E38" s="458"/>
      <c r="F38" s="586"/>
      <c r="G38" s="286"/>
      <c r="H38" s="286"/>
      <c r="I38" s="458"/>
      <c r="M38" s="494"/>
    </row>
    <row r="39" spans="1:13" s="11" customFormat="1" x14ac:dyDescent="0.2">
      <c r="A39" s="161">
        <f t="shared" si="0"/>
        <v>31</v>
      </c>
      <c r="B39" s="126" t="s">
        <v>53</v>
      </c>
      <c r="C39" s="612"/>
      <c r="D39" s="612"/>
      <c r="E39" s="612"/>
      <c r="F39" s="845" t="s">
        <v>33</v>
      </c>
      <c r="G39" s="349"/>
      <c r="H39" s="349"/>
      <c r="I39" s="435"/>
      <c r="M39" s="494"/>
    </row>
    <row r="40" spans="1:13" s="11" customFormat="1" x14ac:dyDescent="0.2">
      <c r="A40" s="161">
        <f t="shared" si="0"/>
        <v>32</v>
      </c>
      <c r="B40" s="135" t="s">
        <v>682</v>
      </c>
      <c r="C40" s="612"/>
      <c r="D40" s="612"/>
      <c r="E40" s="612"/>
      <c r="F40" s="847" t="s">
        <v>4</v>
      </c>
      <c r="G40" s="186"/>
      <c r="I40" s="461"/>
      <c r="M40" s="494"/>
    </row>
    <row r="41" spans="1:13" s="11" customFormat="1" ht="22.5" customHeight="1" x14ac:dyDescent="0.2">
      <c r="A41" s="321">
        <f t="shared" si="0"/>
        <v>33</v>
      </c>
      <c r="B41" s="1095" t="s">
        <v>994</v>
      </c>
      <c r="C41" s="789">
        <v>588859</v>
      </c>
      <c r="D41" s="1096"/>
      <c r="E41" s="1097">
        <f>SUM(C41:D41)</f>
        <v>588859</v>
      </c>
      <c r="F41" s="883" t="s">
        <v>3</v>
      </c>
      <c r="G41" s="349"/>
      <c r="H41" s="349"/>
      <c r="I41" s="435"/>
      <c r="M41" s="494"/>
    </row>
    <row r="42" spans="1:13" x14ac:dyDescent="0.2">
      <c r="A42" s="161">
        <f t="shared" si="0"/>
        <v>34</v>
      </c>
      <c r="B42" s="118" t="s">
        <v>684</v>
      </c>
      <c r="C42" s="848"/>
      <c r="D42" s="849"/>
      <c r="E42" s="849">
        <f>SUM(C42:D42)</f>
        <v>0</v>
      </c>
      <c r="F42" s="482" t="s">
        <v>5</v>
      </c>
      <c r="G42" s="349"/>
      <c r="H42" s="349"/>
      <c r="I42" s="435"/>
      <c r="J42" s="10"/>
      <c r="K42" s="10"/>
      <c r="L42" s="10"/>
      <c r="M42" s="187"/>
    </row>
    <row r="43" spans="1:13" x14ac:dyDescent="0.2">
      <c r="A43" s="161">
        <f t="shared" si="0"/>
        <v>35</v>
      </c>
      <c r="B43" s="118" t="s">
        <v>207</v>
      </c>
      <c r="C43" s="279"/>
      <c r="D43" s="279"/>
      <c r="E43" s="279"/>
      <c r="F43" s="482" t="s">
        <v>6</v>
      </c>
      <c r="G43" s="186"/>
      <c r="H43" s="186"/>
      <c r="I43" s="435"/>
      <c r="J43" s="10"/>
      <c r="K43" s="10"/>
      <c r="L43" s="10"/>
      <c r="M43" s="187"/>
    </row>
    <row r="44" spans="1:13" x14ac:dyDescent="0.2">
      <c r="A44" s="161">
        <f t="shared" si="0"/>
        <v>36</v>
      </c>
      <c r="B44" s="518" t="s">
        <v>208</v>
      </c>
      <c r="C44" s="279">
        <v>610610</v>
      </c>
      <c r="D44" s="279">
        <v>248353</v>
      </c>
      <c r="E44" s="279">
        <f>C44+D44</f>
        <v>858963</v>
      </c>
      <c r="F44" s="482" t="s">
        <v>7</v>
      </c>
      <c r="G44" s="186"/>
      <c r="H44" s="186"/>
      <c r="I44" s="435"/>
      <c r="J44" s="10"/>
      <c r="K44" s="10"/>
      <c r="L44" s="10"/>
      <c r="M44" s="187"/>
    </row>
    <row r="45" spans="1:13" x14ac:dyDescent="0.2">
      <c r="A45" s="161">
        <f t="shared" si="0"/>
        <v>37</v>
      </c>
      <c r="B45" s="518" t="s">
        <v>958</v>
      </c>
      <c r="C45" s="279"/>
      <c r="D45" s="279"/>
      <c r="E45" s="279"/>
      <c r="F45" s="482"/>
      <c r="G45" s="186"/>
      <c r="H45" s="186"/>
      <c r="I45" s="435"/>
      <c r="J45" s="10"/>
      <c r="K45" s="10"/>
      <c r="L45" s="10"/>
      <c r="M45" s="187"/>
    </row>
    <row r="46" spans="1:13" x14ac:dyDescent="0.2">
      <c r="A46" s="161">
        <f t="shared" si="0"/>
        <v>38</v>
      </c>
      <c r="B46" s="119" t="s">
        <v>209</v>
      </c>
      <c r="C46" s="279">
        <v>33212</v>
      </c>
      <c r="D46" s="279">
        <v>4730</v>
      </c>
      <c r="E46" s="279">
        <f>C46+D46</f>
        <v>37942</v>
      </c>
      <c r="F46" s="482" t="s">
        <v>8</v>
      </c>
      <c r="G46" s="349"/>
      <c r="H46" s="349"/>
      <c r="I46" s="458"/>
      <c r="J46" s="10"/>
      <c r="K46" s="10"/>
      <c r="L46" s="10"/>
      <c r="M46" s="187"/>
    </row>
    <row r="47" spans="1:13" x14ac:dyDescent="0.2">
      <c r="A47" s="161">
        <f t="shared" si="0"/>
        <v>39</v>
      </c>
      <c r="B47" s="119" t="s">
        <v>686</v>
      </c>
      <c r="C47" s="612"/>
      <c r="D47" s="612"/>
      <c r="E47" s="612"/>
      <c r="F47" s="482" t="s">
        <v>271</v>
      </c>
      <c r="G47" s="286">
        <v>32439</v>
      </c>
      <c r="H47" s="286">
        <v>4260</v>
      </c>
      <c r="I47" s="458">
        <f>SUM(G47:H47)</f>
        <v>36699</v>
      </c>
      <c r="J47" s="10"/>
      <c r="K47" s="10"/>
      <c r="L47" s="10"/>
      <c r="M47" s="187"/>
    </row>
    <row r="48" spans="1:13" x14ac:dyDescent="0.2">
      <c r="A48" s="161">
        <f t="shared" si="0"/>
        <v>40</v>
      </c>
      <c r="B48" s="118" t="s">
        <v>687</v>
      </c>
      <c r="C48" s="279"/>
      <c r="D48" s="279"/>
      <c r="E48" s="279"/>
      <c r="F48" s="482" t="s">
        <v>237</v>
      </c>
      <c r="G48" s="286"/>
      <c r="H48" s="286"/>
      <c r="I48" s="458"/>
      <c r="J48" s="10"/>
      <c r="K48" s="10"/>
      <c r="L48" s="10"/>
      <c r="M48" s="187"/>
    </row>
    <row r="49" spans="1:15" x14ac:dyDescent="0.2">
      <c r="A49" s="161">
        <f t="shared" si="0"/>
        <v>41</v>
      </c>
      <c r="B49" s="118" t="s">
        <v>688</v>
      </c>
      <c r="C49" s="279"/>
      <c r="D49" s="279"/>
      <c r="E49" s="279"/>
      <c r="F49" s="842" t="s">
        <v>238</v>
      </c>
      <c r="G49" s="286">
        <f>'pü.mérleg Hivatal'!D48+'püm. GAMESZ. '!C48+'püm-TASZII.'!C48+püm.Brunszvik!C48+'püm Festetics'!C48</f>
        <v>749595</v>
      </c>
      <c r="H49" s="286">
        <f>'pü.mérleg Hivatal'!E48+'püm. GAMESZ. '!D48+'püm-TASZII.'!D48+püm.Brunszvik!D48+'püm Festetics'!D48</f>
        <v>560126</v>
      </c>
      <c r="I49" s="458">
        <f>SUM(G49:H49)</f>
        <v>1309721</v>
      </c>
      <c r="J49" s="10"/>
      <c r="K49" s="10"/>
      <c r="L49" s="10"/>
      <c r="M49" s="187"/>
    </row>
    <row r="50" spans="1:15" x14ac:dyDescent="0.2">
      <c r="A50" s="161">
        <f t="shared" si="0"/>
        <v>42</v>
      </c>
      <c r="B50" s="118" t="s">
        <v>0</v>
      </c>
      <c r="C50" s="279"/>
      <c r="D50" s="279"/>
      <c r="E50" s="279"/>
      <c r="F50" s="842" t="s">
        <v>239</v>
      </c>
      <c r="G50" s="286">
        <f>'pü.mérleg Hivatal'!D49+'püm. GAMESZ. '!C49+'püm-TASZII.'!C49+püm.Brunszvik!C49+'püm Festetics'!C49</f>
        <v>46156</v>
      </c>
      <c r="H50" s="286">
        <f>'pü.mérleg Hivatal'!E49+'püm. GAMESZ. '!D49+püm.Brunszvik!D49+'püm Festetics'!D49+'püm-TASZII.'!D49</f>
        <v>10650</v>
      </c>
      <c r="I50" s="286">
        <f>'pü.mérleg Hivatal'!F49+'püm. GAMESZ. '!E49+'püm-TASZII.'!E49+püm.Brunszvik!E49+'püm Festetics'!E49</f>
        <v>56806</v>
      </c>
      <c r="J50" s="10"/>
      <c r="K50" s="10"/>
      <c r="L50" s="10"/>
      <c r="M50" s="187"/>
    </row>
    <row r="51" spans="1:15" x14ac:dyDescent="0.2">
      <c r="A51" s="161">
        <f t="shared" si="0"/>
        <v>43</v>
      </c>
      <c r="B51" s="118" t="s">
        <v>1</v>
      </c>
      <c r="C51" s="279"/>
      <c r="D51" s="279"/>
      <c r="E51" s="279">
        <f>SUM(C51:D51)</f>
        <v>0</v>
      </c>
      <c r="F51" s="482" t="s">
        <v>13</v>
      </c>
      <c r="G51" s="1041"/>
      <c r="H51" s="1041"/>
      <c r="I51" s="1042"/>
      <c r="J51" s="10"/>
      <c r="K51" s="10"/>
      <c r="L51" s="10"/>
      <c r="M51" s="187"/>
    </row>
    <row r="52" spans="1:15" x14ac:dyDescent="0.2">
      <c r="A52" s="161">
        <f t="shared" si="0"/>
        <v>44</v>
      </c>
      <c r="B52" s="118"/>
      <c r="C52" s="279"/>
      <c r="D52" s="279"/>
      <c r="E52" s="279"/>
      <c r="F52" s="482" t="s">
        <v>14</v>
      </c>
      <c r="G52" s="286"/>
      <c r="H52" s="286"/>
      <c r="I52" s="458"/>
      <c r="J52" s="10"/>
      <c r="K52" s="10"/>
      <c r="L52" s="10"/>
      <c r="M52" s="187"/>
    </row>
    <row r="53" spans="1:15" x14ac:dyDescent="0.2">
      <c r="A53" s="161">
        <f t="shared" si="0"/>
        <v>45</v>
      </c>
      <c r="B53" s="118"/>
      <c r="C53" s="279"/>
      <c r="D53" s="279"/>
      <c r="E53" s="279"/>
      <c r="F53" s="482" t="s">
        <v>15</v>
      </c>
      <c r="G53" s="286"/>
      <c r="H53" s="286"/>
      <c r="I53" s="458"/>
      <c r="J53" s="10"/>
      <c r="K53" s="10"/>
      <c r="L53" s="10"/>
      <c r="M53" s="187"/>
    </row>
    <row r="54" spans="1:15" ht="12" thickBot="1" x14ac:dyDescent="0.25">
      <c r="A54" s="161">
        <f t="shared" si="0"/>
        <v>46</v>
      </c>
      <c r="B54" s="175" t="s">
        <v>448</v>
      </c>
      <c r="C54" s="612">
        <f>SUM(C40:C52)</f>
        <v>1232681</v>
      </c>
      <c r="D54" s="612">
        <f>SUM(D40:D52)</f>
        <v>253083</v>
      </c>
      <c r="E54" s="612">
        <f>SUM(E40:E52)</f>
        <v>1485764</v>
      </c>
      <c r="F54" s="845" t="s">
        <v>441</v>
      </c>
      <c r="G54" s="349">
        <f t="shared" ref="G54:L54" si="8">SUM(G40:G53)</f>
        <v>828190</v>
      </c>
      <c r="H54" s="349">
        <f t="shared" si="8"/>
        <v>575036</v>
      </c>
      <c r="I54" s="435">
        <f t="shared" si="8"/>
        <v>1403226</v>
      </c>
      <c r="J54" s="170">
        <f t="shared" si="8"/>
        <v>0</v>
      </c>
      <c r="K54" s="170">
        <f t="shared" si="8"/>
        <v>0</v>
      </c>
      <c r="L54" s="437">
        <f t="shared" si="8"/>
        <v>0</v>
      </c>
      <c r="M54" s="187"/>
    </row>
    <row r="55" spans="1:15" ht="12" thickBot="1" x14ac:dyDescent="0.25">
      <c r="A55" s="905">
        <f t="shared" si="0"/>
        <v>47</v>
      </c>
      <c r="B55" s="1083" t="s">
        <v>443</v>
      </c>
      <c r="C55" s="1047">
        <f>C35+C54</f>
        <v>3385873</v>
      </c>
      <c r="D55" s="884">
        <f>D35+D54</f>
        <v>1422479</v>
      </c>
      <c r="E55" s="885">
        <f>E35+E54</f>
        <v>4808352</v>
      </c>
      <c r="F55" s="886" t="s">
        <v>442</v>
      </c>
      <c r="G55" s="1082">
        <f t="shared" ref="G55:L55" si="9">G35+G54</f>
        <v>3385873</v>
      </c>
      <c r="H55" s="1082">
        <f t="shared" si="9"/>
        <v>1422479</v>
      </c>
      <c r="I55" s="1207">
        <f t="shared" si="9"/>
        <v>4808352</v>
      </c>
      <c r="J55" s="444">
        <f t="shared" si="9"/>
        <v>0</v>
      </c>
      <c r="K55" s="487">
        <f t="shared" si="9"/>
        <v>0</v>
      </c>
      <c r="L55" s="543">
        <f t="shared" si="9"/>
        <v>0</v>
      </c>
      <c r="M55" s="285"/>
      <c r="O55" s="1102"/>
    </row>
    <row r="56" spans="1:15" x14ac:dyDescent="0.2">
      <c r="B56" s="180"/>
      <c r="C56" s="179"/>
      <c r="D56" s="179"/>
      <c r="E56" s="179"/>
      <c r="F56" s="170"/>
      <c r="G56" s="179"/>
      <c r="H56" s="179"/>
      <c r="I56" s="179"/>
      <c r="J56" s="10"/>
      <c r="K56" s="10"/>
      <c r="L56" s="10"/>
    </row>
    <row r="62" spans="1:15" x14ac:dyDescent="0.2">
      <c r="H62" s="166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4" customWidth="1"/>
    <col min="3" max="3" width="36.140625" style="154" customWidth="1"/>
    <col min="4" max="5" width="10.28515625" style="155" customWidth="1"/>
    <col min="6" max="6" width="9" style="155" customWidth="1"/>
    <col min="7" max="7" width="36.140625" style="155" customWidth="1"/>
    <col min="8" max="8" width="7.85546875" style="155" customWidth="1"/>
    <col min="9" max="9" width="10.140625" style="155" customWidth="1"/>
    <col min="10" max="10" width="10" style="155" customWidth="1"/>
    <col min="11" max="16384" width="9.140625" style="10"/>
  </cols>
  <sheetData>
    <row r="1" spans="2:11" ht="12.75" x14ac:dyDescent="0.2">
      <c r="D1" s="1268" t="s">
        <v>1405</v>
      </c>
      <c r="E1" s="1323"/>
      <c r="F1" s="1323"/>
      <c r="G1" s="1323"/>
      <c r="H1" s="1323"/>
      <c r="I1" s="1323"/>
      <c r="J1" s="1323"/>
    </row>
    <row r="2" spans="2:11" x14ac:dyDescent="0.2">
      <c r="G2" s="156"/>
      <c r="H2" s="156"/>
      <c r="I2" s="156"/>
      <c r="J2" s="156"/>
    </row>
    <row r="3" spans="2:11" x14ac:dyDescent="0.2">
      <c r="G3" s="156"/>
      <c r="H3" s="156"/>
      <c r="I3" s="156"/>
      <c r="J3" s="156"/>
    </row>
    <row r="4" spans="2:11" s="122" customFormat="1" x14ac:dyDescent="0.2">
      <c r="B4" s="157"/>
      <c r="C4" s="1271" t="s">
        <v>77</v>
      </c>
      <c r="D4" s="1271"/>
      <c r="E4" s="1271"/>
      <c r="F4" s="1271"/>
      <c r="G4" s="1271"/>
      <c r="H4" s="1271"/>
      <c r="I4" s="1271"/>
      <c r="J4" s="1271"/>
    </row>
    <row r="5" spans="2:11" s="122" customFormat="1" x14ac:dyDescent="0.2">
      <c r="B5" s="157"/>
      <c r="C5" s="1387" t="s">
        <v>181</v>
      </c>
      <c r="D5" s="1387"/>
      <c r="E5" s="1387"/>
      <c r="F5" s="1387"/>
      <c r="G5" s="1387"/>
      <c r="H5" s="1387"/>
      <c r="I5" s="1387"/>
      <c r="J5" s="1387"/>
    </row>
    <row r="6" spans="2:11" s="122" customFormat="1" x14ac:dyDescent="0.2">
      <c r="B6" s="157"/>
      <c r="C6" s="1271" t="s">
        <v>1136</v>
      </c>
      <c r="D6" s="1271"/>
      <c r="E6" s="1271"/>
      <c r="F6" s="1271"/>
      <c r="G6" s="1271"/>
      <c r="H6" s="1271"/>
      <c r="I6" s="1271"/>
      <c r="J6" s="1271"/>
    </row>
    <row r="7" spans="2:11" s="122" customFormat="1" ht="12.75" x14ac:dyDescent="0.2">
      <c r="B7" s="1272" t="s">
        <v>302</v>
      </c>
      <c r="C7" s="1325"/>
      <c r="D7" s="1325"/>
      <c r="E7" s="1325"/>
      <c r="F7" s="1325"/>
      <c r="G7" s="1325"/>
      <c r="H7" s="1325"/>
      <c r="I7" s="1325"/>
      <c r="J7" s="1325"/>
    </row>
    <row r="8" spans="2:11" s="122" customFormat="1" ht="12.75" customHeight="1" x14ac:dyDescent="0.2">
      <c r="B8" s="1276" t="s">
        <v>56</v>
      </c>
      <c r="C8" s="1277" t="s">
        <v>57</v>
      </c>
      <c r="D8" s="1292" t="s">
        <v>58</v>
      </c>
      <c r="E8" s="1292"/>
      <c r="F8" s="1293"/>
      <c r="G8" s="1386" t="s">
        <v>59</v>
      </c>
      <c r="H8" s="1274" t="s">
        <v>60</v>
      </c>
      <c r="I8" s="1275"/>
      <c r="J8" s="1275"/>
      <c r="K8" s="587"/>
    </row>
    <row r="9" spans="2:11" s="122" customFormat="1" ht="12.75" customHeight="1" x14ac:dyDescent="0.2">
      <c r="B9" s="1276"/>
      <c r="C9" s="1277"/>
      <c r="D9" s="1269" t="s">
        <v>1137</v>
      </c>
      <c r="E9" s="1269"/>
      <c r="F9" s="1270"/>
      <c r="G9" s="1388"/>
      <c r="H9" s="1269" t="s">
        <v>1137</v>
      </c>
      <c r="I9" s="1269"/>
      <c r="J9" s="1269"/>
      <c r="K9" s="587"/>
    </row>
    <row r="10" spans="2:11" s="123" customFormat="1" ht="36.6" customHeight="1" x14ac:dyDescent="0.2">
      <c r="B10" s="1276"/>
      <c r="C10" s="158" t="s">
        <v>61</v>
      </c>
      <c r="D10" s="134" t="s">
        <v>62</v>
      </c>
      <c r="E10" s="134" t="s">
        <v>63</v>
      </c>
      <c r="F10" s="159" t="s">
        <v>64</v>
      </c>
      <c r="G10" s="160" t="s">
        <v>65</v>
      </c>
      <c r="H10" s="134" t="s">
        <v>62</v>
      </c>
      <c r="I10" s="134" t="s">
        <v>63</v>
      </c>
      <c r="J10" s="134" t="s">
        <v>64</v>
      </c>
      <c r="K10" s="588"/>
    </row>
    <row r="11" spans="2:11" ht="11.45" customHeight="1" x14ac:dyDescent="0.2">
      <c r="B11" s="161">
        <v>1</v>
      </c>
      <c r="C11" s="162" t="s">
        <v>24</v>
      </c>
      <c r="D11" s="163"/>
      <c r="E11" s="163"/>
      <c r="F11" s="163"/>
      <c r="G11" s="137" t="s">
        <v>25</v>
      </c>
      <c r="H11" s="163"/>
      <c r="I11" s="163"/>
      <c r="J11" s="439"/>
      <c r="K11" s="187"/>
    </row>
    <row r="12" spans="2:11" x14ac:dyDescent="0.2">
      <c r="B12" s="161">
        <f t="shared" ref="B12:B54" si="0">B11+1</f>
        <v>2</v>
      </c>
      <c r="C12" s="164" t="s">
        <v>35</v>
      </c>
      <c r="D12" s="118"/>
      <c r="E12" s="118"/>
      <c r="F12" s="119">
        <f>SUM(D12:E12)</f>
        <v>0</v>
      </c>
      <c r="G12" s="138" t="s">
        <v>215</v>
      </c>
      <c r="H12" s="119">
        <v>95099</v>
      </c>
      <c r="I12" s="119">
        <v>98067</v>
      </c>
      <c r="J12" s="432">
        <f>SUM(H12:I12)</f>
        <v>193166</v>
      </c>
      <c r="K12" s="187"/>
    </row>
    <row r="13" spans="2:11" x14ac:dyDescent="0.2">
      <c r="B13" s="161">
        <f t="shared" si="0"/>
        <v>3</v>
      </c>
      <c r="C13" s="164" t="s">
        <v>36</v>
      </c>
      <c r="D13" s="118"/>
      <c r="E13" s="118"/>
      <c r="F13" s="119">
        <f>SUM(D13:E13)</f>
        <v>0</v>
      </c>
      <c r="G13" s="519" t="s">
        <v>216</v>
      </c>
      <c r="H13" s="119">
        <v>20088</v>
      </c>
      <c r="I13" s="119">
        <v>19206</v>
      </c>
      <c r="J13" s="432">
        <f>SUM(H13:I13)</f>
        <v>39294</v>
      </c>
      <c r="K13" s="187"/>
    </row>
    <row r="14" spans="2:11" x14ac:dyDescent="0.2">
      <c r="B14" s="161">
        <f t="shared" si="0"/>
        <v>4</v>
      </c>
      <c r="C14" s="164" t="s">
        <v>37</v>
      </c>
      <c r="D14" s="118">
        <f>'tám, végl. pe.átv  '!C50</f>
        <v>2847</v>
      </c>
      <c r="E14" s="118"/>
      <c r="F14" s="119">
        <f>SUM(D14:E14)</f>
        <v>2847</v>
      </c>
      <c r="G14" s="138" t="s">
        <v>217</v>
      </c>
      <c r="H14" s="119">
        <v>4961</v>
      </c>
      <c r="I14" s="119">
        <v>57091</v>
      </c>
      <c r="J14" s="432">
        <f>SUM(H14:I14)</f>
        <v>62052</v>
      </c>
      <c r="K14" s="187"/>
    </row>
    <row r="15" spans="2:11" ht="12" customHeight="1" x14ac:dyDescent="0.2">
      <c r="B15" s="161">
        <f t="shared" si="0"/>
        <v>5</v>
      </c>
      <c r="C15" s="127"/>
      <c r="D15" s="118"/>
      <c r="E15" s="118"/>
      <c r="F15" s="119"/>
      <c r="G15" s="138"/>
      <c r="H15" s="118"/>
      <c r="I15" s="118"/>
      <c r="J15" s="432"/>
      <c r="K15" s="187"/>
    </row>
    <row r="16" spans="2:11" x14ac:dyDescent="0.2">
      <c r="B16" s="161">
        <f t="shared" si="0"/>
        <v>6</v>
      </c>
      <c r="C16" s="164" t="s">
        <v>38</v>
      </c>
      <c r="D16" s="118"/>
      <c r="E16" s="118"/>
      <c r="F16" s="119">
        <f>SUM(D16:E16)</f>
        <v>0</v>
      </c>
      <c r="G16" s="138" t="s">
        <v>28</v>
      </c>
      <c r="H16" s="166">
        <v>0</v>
      </c>
      <c r="I16" s="166">
        <f>'ellátottak hivatal'!F17</f>
        <v>0</v>
      </c>
      <c r="J16" s="432">
        <f>SUM(H16:I16)</f>
        <v>0</v>
      </c>
      <c r="K16" s="187"/>
    </row>
    <row r="17" spans="2:11" x14ac:dyDescent="0.2">
      <c r="B17" s="161">
        <f t="shared" si="0"/>
        <v>7</v>
      </c>
      <c r="C17" s="164"/>
      <c r="D17" s="118"/>
      <c r="E17" s="118"/>
      <c r="F17" s="119"/>
      <c r="G17" s="138" t="s">
        <v>30</v>
      </c>
      <c r="H17" s="166"/>
      <c r="I17" s="166"/>
      <c r="J17" s="432"/>
      <c r="K17" s="187"/>
    </row>
    <row r="18" spans="2:11" x14ac:dyDescent="0.2">
      <c r="B18" s="161">
        <f t="shared" si="0"/>
        <v>8</v>
      </c>
      <c r="C18" s="164" t="s">
        <v>39</v>
      </c>
      <c r="D18" s="118"/>
      <c r="E18" s="118"/>
      <c r="F18" s="119">
        <f>SUM(D18:E18)</f>
        <v>0</v>
      </c>
      <c r="G18" s="138" t="s">
        <v>446</v>
      </c>
      <c r="H18" s="166">
        <f>mc.pe.átad!E74</f>
        <v>26</v>
      </c>
      <c r="I18" s="166">
        <f>mc.pe.átad!F74</f>
        <v>0</v>
      </c>
      <c r="J18" s="166">
        <f>mc.pe.átad!G74</f>
        <v>26</v>
      </c>
      <c r="K18" s="187"/>
    </row>
    <row r="19" spans="2:11" x14ac:dyDescent="0.2">
      <c r="B19" s="161">
        <f t="shared" si="0"/>
        <v>9</v>
      </c>
      <c r="C19" s="167" t="s">
        <v>40</v>
      </c>
      <c r="D19" s="165"/>
      <c r="E19" s="165"/>
      <c r="F19" s="165"/>
      <c r="G19" s="138" t="s">
        <v>445</v>
      </c>
      <c r="H19" s="166">
        <f>mc.pe.átad!E78</f>
        <v>18</v>
      </c>
      <c r="I19" s="166">
        <f>mc.pe.átad!F78</f>
        <v>0</v>
      </c>
      <c r="J19" s="166">
        <f>mc.pe.átad!G78</f>
        <v>18</v>
      </c>
      <c r="K19" s="187"/>
    </row>
    <row r="20" spans="2:11" x14ac:dyDescent="0.2">
      <c r="B20" s="161">
        <f t="shared" si="0"/>
        <v>10</v>
      </c>
      <c r="C20" s="116" t="s">
        <v>194</v>
      </c>
      <c r="D20" s="346">
        <f>'mük. bev.Önkor és Hivatal '!C80</f>
        <v>15</v>
      </c>
      <c r="E20" s="346">
        <v>786</v>
      </c>
      <c r="F20" s="346">
        <f>SUM(D20:E20)</f>
        <v>801</v>
      </c>
      <c r="G20" s="138" t="s">
        <v>222</v>
      </c>
      <c r="H20" s="166"/>
      <c r="I20" s="166"/>
      <c r="J20" s="434"/>
      <c r="K20" s="187"/>
    </row>
    <row r="21" spans="2:11" x14ac:dyDescent="0.2">
      <c r="B21" s="161">
        <f t="shared" si="0"/>
        <v>11</v>
      </c>
      <c r="D21" s="165"/>
      <c r="E21" s="165"/>
      <c r="F21" s="165"/>
      <c r="G21" s="138" t="s">
        <v>438</v>
      </c>
      <c r="H21" s="166"/>
      <c r="I21" s="166"/>
      <c r="J21" s="434"/>
      <c r="K21" s="187"/>
    </row>
    <row r="22" spans="2:11" s="124" customFormat="1" x14ac:dyDescent="0.2">
      <c r="B22" s="161">
        <f t="shared" si="0"/>
        <v>12</v>
      </c>
      <c r="C22" s="154" t="s">
        <v>42</v>
      </c>
      <c r="D22" s="165"/>
      <c r="E22" s="165"/>
      <c r="F22" s="165"/>
      <c r="G22" s="138" t="s">
        <v>439</v>
      </c>
      <c r="H22" s="166"/>
      <c r="I22" s="166"/>
      <c r="J22" s="434"/>
      <c r="K22" s="589"/>
    </row>
    <row r="23" spans="2:11" s="124" customFormat="1" x14ac:dyDescent="0.2">
      <c r="B23" s="161">
        <f t="shared" si="0"/>
        <v>13</v>
      </c>
      <c r="C23" s="154" t="s">
        <v>43</v>
      </c>
      <c r="D23" s="165"/>
      <c r="E23" s="165"/>
      <c r="F23" s="165"/>
      <c r="G23" s="168"/>
      <c r="H23" s="166"/>
      <c r="I23" s="166"/>
      <c r="J23" s="434"/>
      <c r="K23" s="589"/>
    </row>
    <row r="24" spans="2:11" x14ac:dyDescent="0.2">
      <c r="B24" s="161">
        <f t="shared" si="0"/>
        <v>14</v>
      </c>
      <c r="C24" s="164" t="s">
        <v>44</v>
      </c>
      <c r="D24" s="129"/>
      <c r="E24" s="129"/>
      <c r="F24" s="129"/>
      <c r="G24" s="169" t="s">
        <v>66</v>
      </c>
      <c r="H24" s="125">
        <f>SUM(H12:H22)</f>
        <v>120192</v>
      </c>
      <c r="I24" s="125">
        <f>SUM(I12:I22)</f>
        <v>174364</v>
      </c>
      <c r="J24" s="433">
        <f>SUM(J12:J22)</f>
        <v>294556</v>
      </c>
      <c r="K24" s="187"/>
    </row>
    <row r="25" spans="2:11" x14ac:dyDescent="0.2">
      <c r="B25" s="161">
        <f t="shared" si="0"/>
        <v>15</v>
      </c>
      <c r="C25" s="164" t="s">
        <v>45</v>
      </c>
      <c r="D25" s="165"/>
      <c r="E25" s="165">
        <v>53</v>
      </c>
      <c r="F25" s="165">
        <f>D25+E25</f>
        <v>53</v>
      </c>
      <c r="G25" s="168"/>
      <c r="H25" s="166"/>
      <c r="I25" s="166"/>
      <c r="J25" s="434"/>
      <c r="K25" s="187"/>
    </row>
    <row r="26" spans="2:11" x14ac:dyDescent="0.2">
      <c r="B26" s="161">
        <f t="shared" si="0"/>
        <v>16</v>
      </c>
      <c r="C26" s="116" t="s">
        <v>46</v>
      </c>
      <c r="D26" s="126"/>
      <c r="E26" s="126"/>
      <c r="F26" s="126"/>
      <c r="G26" s="139" t="s">
        <v>34</v>
      </c>
      <c r="H26" s="170"/>
      <c r="I26" s="170"/>
      <c r="J26" s="434"/>
      <c r="K26" s="187"/>
    </row>
    <row r="27" spans="2:11" x14ac:dyDescent="0.2">
      <c r="B27" s="161">
        <f t="shared" si="0"/>
        <v>17</v>
      </c>
      <c r="C27" s="164" t="s">
        <v>47</v>
      </c>
      <c r="D27" s="119"/>
      <c r="E27" s="119"/>
      <c r="F27" s="119"/>
      <c r="G27" s="138" t="s">
        <v>226</v>
      </c>
      <c r="H27" s="166">
        <f>'felhalm. kiad.  '!H111</f>
        <v>2833</v>
      </c>
      <c r="I27" s="166">
        <f>'felhalm. kiad.  '!I111</f>
        <v>6335</v>
      </c>
      <c r="J27" s="434">
        <f>SUM(H27:I27)</f>
        <v>9168</v>
      </c>
      <c r="K27" s="187"/>
    </row>
    <row r="28" spans="2:11" x14ac:dyDescent="0.2">
      <c r="B28" s="161">
        <f t="shared" si="0"/>
        <v>18</v>
      </c>
      <c r="C28" s="164"/>
      <c r="D28" s="119"/>
      <c r="E28" s="119"/>
      <c r="F28" s="119"/>
      <c r="G28" s="138" t="s">
        <v>31</v>
      </c>
      <c r="H28" s="166"/>
      <c r="I28" s="166"/>
      <c r="J28" s="434"/>
      <c r="K28" s="187"/>
    </row>
    <row r="29" spans="2:11" x14ac:dyDescent="0.2">
      <c r="B29" s="161">
        <f t="shared" si="0"/>
        <v>19</v>
      </c>
      <c r="C29" s="154" t="s">
        <v>50</v>
      </c>
      <c r="D29" s="119"/>
      <c r="E29" s="119"/>
      <c r="F29" s="119"/>
      <c r="G29" s="138" t="s">
        <v>32</v>
      </c>
      <c r="H29" s="166"/>
      <c r="I29" s="166"/>
      <c r="J29" s="434"/>
      <c r="K29" s="187"/>
    </row>
    <row r="30" spans="2:11" s="124" customFormat="1" x14ac:dyDescent="0.2">
      <c r="B30" s="161">
        <f t="shared" si="0"/>
        <v>20</v>
      </c>
      <c r="C30" s="154" t="s">
        <v>48</v>
      </c>
      <c r="D30" s="119"/>
      <c r="E30" s="119"/>
      <c r="F30" s="119"/>
      <c r="G30" s="138" t="s">
        <v>447</v>
      </c>
      <c r="H30" s="166"/>
      <c r="I30" s="166"/>
      <c r="J30" s="434"/>
      <c r="K30" s="589"/>
    </row>
    <row r="31" spans="2:11" x14ac:dyDescent="0.2">
      <c r="B31" s="161">
        <f t="shared" si="0"/>
        <v>21</v>
      </c>
      <c r="D31" s="119"/>
      <c r="E31" s="119"/>
      <c r="F31" s="119"/>
      <c r="G31" s="138" t="s">
        <v>444</v>
      </c>
      <c r="H31" s="166"/>
      <c r="I31" s="166"/>
      <c r="J31" s="434"/>
      <c r="K31" s="187"/>
    </row>
    <row r="32" spans="2:11" s="11" customFormat="1" x14ac:dyDescent="0.2">
      <c r="B32" s="161">
        <f t="shared" si="0"/>
        <v>22</v>
      </c>
      <c r="C32" s="171" t="s">
        <v>52</v>
      </c>
      <c r="D32" s="346">
        <f>D13+D14+D18+D20+D29</f>
        <v>2862</v>
      </c>
      <c r="E32" s="346">
        <f t="shared" ref="E32:F32" si="1">E13+E14+E18+E20+E29</f>
        <v>786</v>
      </c>
      <c r="F32" s="346">
        <f t="shared" si="1"/>
        <v>3648</v>
      </c>
      <c r="G32" s="138" t="s">
        <v>440</v>
      </c>
      <c r="H32" s="155"/>
      <c r="I32" s="155"/>
      <c r="J32" s="434"/>
      <c r="K32" s="494"/>
    </row>
    <row r="33" spans="2:11" x14ac:dyDescent="0.2">
      <c r="B33" s="161">
        <f t="shared" si="0"/>
        <v>23</v>
      </c>
      <c r="C33" s="172" t="s">
        <v>67</v>
      </c>
      <c r="D33" s="348">
        <f>D16+D23+D24+D25+D26+D27+D30</f>
        <v>0</v>
      </c>
      <c r="E33" s="348">
        <f t="shared" ref="E33:F33" si="2">E16+E23+E24+E25+E26+E27+E30</f>
        <v>53</v>
      </c>
      <c r="F33" s="348">
        <f t="shared" si="2"/>
        <v>53</v>
      </c>
      <c r="G33" s="173" t="s">
        <v>68</v>
      </c>
      <c r="H33" s="174">
        <f>SUM(H27:H32)</f>
        <v>2833</v>
      </c>
      <c r="I33" s="174">
        <f>SUM(I27:I32)</f>
        <v>6335</v>
      </c>
      <c r="J33" s="436">
        <f>SUM(J27:J31)</f>
        <v>9168</v>
      </c>
      <c r="K33" s="187"/>
    </row>
    <row r="34" spans="2:11" x14ac:dyDescent="0.2">
      <c r="B34" s="161">
        <f t="shared" si="0"/>
        <v>24</v>
      </c>
      <c r="C34" s="175" t="s">
        <v>51</v>
      </c>
      <c r="D34" s="349">
        <f>SUM(D32:D33)</f>
        <v>2862</v>
      </c>
      <c r="E34" s="349">
        <f>SUM(E32:E33)</f>
        <v>839</v>
      </c>
      <c r="F34" s="349">
        <f>SUM(F32:F33)</f>
        <v>3701</v>
      </c>
      <c r="G34" s="176" t="s">
        <v>69</v>
      </c>
      <c r="H34" s="170">
        <f>H24+H33</f>
        <v>123025</v>
      </c>
      <c r="I34" s="170">
        <f>I24+I33</f>
        <v>180699</v>
      </c>
      <c r="J34" s="437">
        <f>J24+J33</f>
        <v>303724</v>
      </c>
      <c r="K34" s="187"/>
    </row>
    <row r="35" spans="2:11" x14ac:dyDescent="0.2">
      <c r="B35" s="161">
        <f t="shared" si="0"/>
        <v>25</v>
      </c>
      <c r="C35" s="177"/>
      <c r="D35" s="166"/>
      <c r="E35" s="166"/>
      <c r="F35" s="166"/>
      <c r="G35" s="168"/>
      <c r="H35" s="166"/>
      <c r="I35" s="166"/>
      <c r="J35" s="434"/>
      <c r="K35" s="187"/>
    </row>
    <row r="36" spans="2:11" x14ac:dyDescent="0.2">
      <c r="B36" s="161">
        <f t="shared" si="0"/>
        <v>26</v>
      </c>
      <c r="C36" s="177"/>
      <c r="D36" s="166"/>
      <c r="E36" s="166"/>
      <c r="F36" s="166"/>
      <c r="G36" s="169"/>
      <c r="H36" s="125"/>
      <c r="I36" s="125"/>
      <c r="J36" s="433"/>
      <c r="K36" s="187"/>
    </row>
    <row r="37" spans="2:11" s="11" customFormat="1" x14ac:dyDescent="0.2">
      <c r="B37" s="161">
        <f t="shared" si="0"/>
        <v>27</v>
      </c>
      <c r="C37" s="177"/>
      <c r="D37" s="166"/>
      <c r="E37" s="166"/>
      <c r="F37" s="166"/>
      <c r="G37" s="168"/>
      <c r="H37" s="166"/>
      <c r="I37" s="166"/>
      <c r="J37" s="434"/>
      <c r="K37" s="494"/>
    </row>
    <row r="38" spans="2:11" s="11" customFormat="1" x14ac:dyDescent="0.2">
      <c r="B38" s="760">
        <f t="shared" si="0"/>
        <v>28</v>
      </c>
      <c r="C38" s="126" t="s">
        <v>53</v>
      </c>
      <c r="D38" s="126"/>
      <c r="E38" s="126"/>
      <c r="F38" s="126"/>
      <c r="G38" s="139" t="s">
        <v>33</v>
      </c>
      <c r="H38" s="170"/>
      <c r="I38" s="170"/>
      <c r="J38" s="437"/>
      <c r="K38" s="494"/>
    </row>
    <row r="39" spans="2:11" s="11" customFormat="1" x14ac:dyDescent="0.2">
      <c r="B39" s="161">
        <f t="shared" si="0"/>
        <v>29</v>
      </c>
      <c r="C39" s="135" t="s">
        <v>682</v>
      </c>
      <c r="D39" s="126"/>
      <c r="E39" s="126"/>
      <c r="F39" s="126"/>
      <c r="G39" s="178" t="s">
        <v>4</v>
      </c>
      <c r="H39" s="179"/>
      <c r="I39" s="180"/>
      <c r="J39" s="438"/>
      <c r="K39" s="494"/>
    </row>
    <row r="40" spans="2:11" s="11" customFormat="1" x14ac:dyDescent="0.2">
      <c r="B40" s="161">
        <f t="shared" si="0"/>
        <v>30</v>
      </c>
      <c r="C40" s="154" t="s">
        <v>959</v>
      </c>
      <c r="D40" s="126"/>
      <c r="E40" s="126"/>
      <c r="F40" s="126"/>
      <c r="G40" s="520" t="s">
        <v>3</v>
      </c>
      <c r="H40" s="170"/>
      <c r="I40" s="170"/>
      <c r="J40" s="437"/>
      <c r="K40" s="494"/>
    </row>
    <row r="41" spans="2:11" x14ac:dyDescent="0.2">
      <c r="B41" s="161">
        <f t="shared" si="0"/>
        <v>31</v>
      </c>
      <c r="C41" s="118" t="s">
        <v>684</v>
      </c>
      <c r="D41" s="182"/>
      <c r="E41" s="182"/>
      <c r="F41" s="182"/>
      <c r="G41" s="138" t="s">
        <v>5</v>
      </c>
      <c r="H41" s="170"/>
      <c r="I41" s="170"/>
      <c r="J41" s="437"/>
      <c r="K41" s="187"/>
    </row>
    <row r="42" spans="2:11" x14ac:dyDescent="0.2">
      <c r="B42" s="161">
        <f t="shared" si="0"/>
        <v>32</v>
      </c>
      <c r="C42" s="118" t="s">
        <v>207</v>
      </c>
      <c r="D42" s="119"/>
      <c r="E42" s="119"/>
      <c r="F42" s="119"/>
      <c r="G42" s="138" t="s">
        <v>6</v>
      </c>
      <c r="H42" s="179"/>
      <c r="I42" s="179"/>
      <c r="J42" s="437"/>
      <c r="K42" s="187"/>
    </row>
    <row r="43" spans="2:11" x14ac:dyDescent="0.2">
      <c r="B43" s="161">
        <f t="shared" si="0"/>
        <v>33</v>
      </c>
      <c r="C43" s="518" t="s">
        <v>208</v>
      </c>
      <c r="D43" s="119">
        <v>81</v>
      </c>
      <c r="E43" s="119">
        <v>13966</v>
      </c>
      <c r="F43" s="119">
        <f>D43+E43</f>
        <v>14047</v>
      </c>
      <c r="G43" s="138" t="s">
        <v>7</v>
      </c>
      <c r="H43" s="179"/>
      <c r="I43" s="179"/>
      <c r="J43" s="437"/>
      <c r="K43" s="187"/>
    </row>
    <row r="44" spans="2:11" x14ac:dyDescent="0.2">
      <c r="B44" s="161">
        <f t="shared" si="0"/>
        <v>34</v>
      </c>
      <c r="C44" s="518" t="s">
        <v>958</v>
      </c>
      <c r="D44" s="119"/>
      <c r="E44" s="119"/>
      <c r="F44" s="119"/>
      <c r="G44" s="138"/>
      <c r="H44" s="179"/>
      <c r="I44" s="179"/>
      <c r="J44" s="437"/>
      <c r="K44" s="187"/>
    </row>
    <row r="45" spans="2:11" x14ac:dyDescent="0.2">
      <c r="B45" s="161">
        <f t="shared" si="0"/>
        <v>35</v>
      </c>
      <c r="C45" s="119" t="s">
        <v>685</v>
      </c>
      <c r="D45" s="119"/>
      <c r="E45" s="119"/>
      <c r="F45" s="119"/>
      <c r="G45" s="138" t="s">
        <v>8</v>
      </c>
      <c r="H45" s="170"/>
      <c r="I45" s="170"/>
      <c r="J45" s="434"/>
      <c r="K45" s="187"/>
    </row>
    <row r="46" spans="2:11" x14ac:dyDescent="0.2">
      <c r="B46" s="161">
        <f t="shared" si="0"/>
        <v>36</v>
      </c>
      <c r="C46" s="119" t="s">
        <v>686</v>
      </c>
      <c r="D46" s="126"/>
      <c r="E46" s="126"/>
      <c r="F46" s="126"/>
      <c r="G46" s="138" t="s">
        <v>9</v>
      </c>
      <c r="H46" s="170"/>
      <c r="I46" s="170"/>
      <c r="J46" s="434"/>
      <c r="K46" s="187"/>
    </row>
    <row r="47" spans="2:11" x14ac:dyDescent="0.2">
      <c r="B47" s="161">
        <f t="shared" si="0"/>
        <v>37</v>
      </c>
      <c r="C47" s="118" t="s">
        <v>211</v>
      </c>
      <c r="D47" s="119"/>
      <c r="E47" s="119"/>
      <c r="F47" s="119"/>
      <c r="G47" s="138" t="s">
        <v>10</v>
      </c>
      <c r="H47" s="166"/>
      <c r="I47" s="166"/>
      <c r="J47" s="434"/>
      <c r="K47" s="187"/>
    </row>
    <row r="48" spans="2:11" x14ac:dyDescent="0.2">
      <c r="B48" s="161">
        <f t="shared" si="0"/>
        <v>38</v>
      </c>
      <c r="C48" s="518" t="s">
        <v>212</v>
      </c>
      <c r="D48" s="279">
        <f>H24-(D32+D43)</f>
        <v>117249</v>
      </c>
      <c r="E48" s="279">
        <f>I24-(E32+E43)</f>
        <v>159612</v>
      </c>
      <c r="F48" s="279">
        <f>J24-(F32+F43)</f>
        <v>276861</v>
      </c>
      <c r="G48" s="138" t="s">
        <v>11</v>
      </c>
      <c r="H48" s="166"/>
      <c r="I48" s="166"/>
      <c r="J48" s="434"/>
      <c r="K48" s="187"/>
    </row>
    <row r="49" spans="2:11" x14ac:dyDescent="0.2">
      <c r="B49" s="161">
        <f t="shared" si="0"/>
        <v>39</v>
      </c>
      <c r="C49" s="518" t="s">
        <v>213</v>
      </c>
      <c r="D49" s="119">
        <f>H33-D33</f>
        <v>2833</v>
      </c>
      <c r="E49" s="119">
        <f>I33-E33</f>
        <v>6282</v>
      </c>
      <c r="F49" s="119">
        <f>J33-F33</f>
        <v>9115</v>
      </c>
      <c r="G49" s="138" t="s">
        <v>12</v>
      </c>
      <c r="H49" s="166"/>
      <c r="I49" s="166"/>
      <c r="J49" s="434"/>
      <c r="K49" s="187"/>
    </row>
    <row r="50" spans="2:11" x14ac:dyDescent="0.2">
      <c r="B50" s="161">
        <f t="shared" si="0"/>
        <v>40</v>
      </c>
      <c r="C50" s="118" t="s">
        <v>1</v>
      </c>
      <c r="D50" s="119"/>
      <c r="E50" s="119"/>
      <c r="F50" s="119"/>
      <c r="G50" s="138" t="s">
        <v>13</v>
      </c>
      <c r="H50" s="166"/>
      <c r="I50" s="166"/>
      <c r="J50" s="434"/>
      <c r="K50" s="187"/>
    </row>
    <row r="51" spans="2:11" x14ac:dyDescent="0.2">
      <c r="B51" s="161">
        <f t="shared" si="0"/>
        <v>41</v>
      </c>
      <c r="C51" s="118"/>
      <c r="D51" s="119"/>
      <c r="E51" s="119"/>
      <c r="F51" s="119"/>
      <c r="G51" s="138" t="s">
        <v>14</v>
      </c>
      <c r="H51" s="166"/>
      <c r="I51" s="166"/>
      <c r="J51" s="434"/>
      <c r="K51" s="187"/>
    </row>
    <row r="52" spans="2:11" x14ac:dyDescent="0.2">
      <c r="B52" s="161">
        <f t="shared" si="0"/>
        <v>42</v>
      </c>
      <c r="C52" s="118"/>
      <c r="D52" s="119"/>
      <c r="E52" s="119"/>
      <c r="F52" s="119"/>
      <c r="G52" s="138" t="s">
        <v>15</v>
      </c>
      <c r="H52" s="166"/>
      <c r="I52" s="166"/>
      <c r="J52" s="434"/>
      <c r="K52" s="187"/>
    </row>
    <row r="53" spans="2:11" ht="12" thickBot="1" x14ac:dyDescent="0.25">
      <c r="B53" s="161">
        <f t="shared" si="0"/>
        <v>43</v>
      </c>
      <c r="C53" s="175" t="s">
        <v>448</v>
      </c>
      <c r="D53" s="126">
        <f>SUM(D39:D51)</f>
        <v>120163</v>
      </c>
      <c r="E53" s="126">
        <f>SUM(E39:E51)</f>
        <v>179860</v>
      </c>
      <c r="F53" s="126">
        <f>SUM(F39:F51)</f>
        <v>300023</v>
      </c>
      <c r="G53" s="139" t="s">
        <v>441</v>
      </c>
      <c r="H53" s="170">
        <f>SUM(H39:H52)</f>
        <v>0</v>
      </c>
      <c r="I53" s="170">
        <f>SUM(I39:I52)</f>
        <v>0</v>
      </c>
      <c r="J53" s="437">
        <f>SUM(J39:J52)</f>
        <v>0</v>
      </c>
      <c r="K53" s="187"/>
    </row>
    <row r="54" spans="2:11" ht="12" thickBot="1" x14ac:dyDescent="0.25">
      <c r="B54" s="905">
        <f t="shared" si="0"/>
        <v>44</v>
      </c>
      <c r="C54" s="1083" t="s">
        <v>443</v>
      </c>
      <c r="D54" s="299">
        <f>D34+D53</f>
        <v>123025</v>
      </c>
      <c r="E54" s="1048">
        <f>E34+E53</f>
        <v>180699</v>
      </c>
      <c r="F54" s="901">
        <f>F34+F53</f>
        <v>303724</v>
      </c>
      <c r="G54" s="488" t="s">
        <v>442</v>
      </c>
      <c r="H54" s="1049">
        <f>H34+H53</f>
        <v>123025</v>
      </c>
      <c r="I54" s="1049">
        <f>I34+I53</f>
        <v>180699</v>
      </c>
      <c r="J54" s="902">
        <f>J34+J53</f>
        <v>303724</v>
      </c>
      <c r="K54" s="285"/>
    </row>
    <row r="55" spans="2:11" x14ac:dyDescent="0.2">
      <c r="C55" s="180"/>
      <c r="D55" s="179"/>
      <c r="E55" s="179"/>
      <c r="F55" s="179"/>
      <c r="G55" s="179"/>
      <c r="H55" s="179"/>
      <c r="I55" s="179"/>
      <c r="J55" s="179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07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1" hidden="1" customWidth="1"/>
    <col min="13" max="13" width="8.5703125" style="291" hidden="1" customWidth="1"/>
    <col min="14" max="14" width="7.5703125" style="291" hidden="1" customWidth="1"/>
    <col min="15" max="15" width="8.28515625" style="291" hidden="1" customWidth="1"/>
    <col min="16" max="16" width="5.7109375" style="291" hidden="1" customWidth="1"/>
    <col min="17" max="17" width="8" style="291" hidden="1" customWidth="1"/>
    <col min="18" max="18" width="6.140625" style="291" hidden="1" customWidth="1"/>
    <col min="19" max="19" width="4.42578125" style="550" customWidth="1"/>
    <col min="20" max="16384" width="9.140625" style="80"/>
  </cols>
  <sheetData>
    <row r="1" spans="1:19" ht="17.25" customHeight="1" x14ac:dyDescent="0.2">
      <c r="B1" s="1412" t="s">
        <v>292</v>
      </c>
      <c r="C1" s="1412"/>
      <c r="D1" s="1412"/>
      <c r="E1" s="1412"/>
      <c r="F1" s="1412"/>
      <c r="G1" s="1412"/>
      <c r="H1" s="1412"/>
      <c r="I1" s="1412"/>
      <c r="J1" s="1412"/>
      <c r="K1" s="1420"/>
      <c r="L1" s="1323"/>
      <c r="M1" s="1323"/>
      <c r="N1" s="1323"/>
      <c r="O1" s="1323"/>
      <c r="P1" s="1323"/>
      <c r="Q1" s="1323"/>
      <c r="R1" s="1323"/>
    </row>
    <row r="2" spans="1:19" ht="13.5" customHeight="1" x14ac:dyDescent="0.2">
      <c r="A2" s="1422" t="s">
        <v>86</v>
      </c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80"/>
      <c r="M2" s="80"/>
      <c r="N2" s="80"/>
      <c r="O2" s="80"/>
      <c r="P2" s="80"/>
      <c r="Q2" s="80"/>
      <c r="R2" s="80"/>
      <c r="S2" s="538"/>
    </row>
    <row r="3" spans="1:19" s="82" customFormat="1" ht="12" customHeight="1" x14ac:dyDescent="0.2">
      <c r="A3" s="1271" t="s">
        <v>291</v>
      </c>
      <c r="B3" s="1421"/>
      <c r="C3" s="1421"/>
      <c r="D3" s="1421"/>
      <c r="E3" s="1421"/>
      <c r="F3" s="1421"/>
      <c r="G3" s="1421"/>
      <c r="H3" s="1421"/>
      <c r="I3" s="1421"/>
      <c r="J3" s="1421"/>
      <c r="K3" s="1421"/>
      <c r="L3" s="1323"/>
      <c r="M3" s="1323"/>
      <c r="N3" s="1323"/>
      <c r="O3" s="1323"/>
      <c r="P3" s="1323"/>
      <c r="Q3" s="1323"/>
      <c r="R3" s="1323"/>
      <c r="S3" s="551"/>
    </row>
    <row r="4" spans="1:19" s="82" customFormat="1" ht="23.25" customHeight="1" thickBot="1" x14ac:dyDescent="0.25">
      <c r="A4" s="208"/>
      <c r="B4" s="209"/>
      <c r="C4" s="210"/>
      <c r="D4" s="210"/>
      <c r="E4" s="210"/>
      <c r="F4" s="210"/>
      <c r="G4" s="1423" t="s">
        <v>302</v>
      </c>
      <c r="H4" s="1423"/>
      <c r="I4" s="1423"/>
      <c r="J4" s="1423"/>
      <c r="K4" s="1423"/>
      <c r="L4" s="329"/>
      <c r="M4" s="329"/>
      <c r="N4" s="329"/>
      <c r="O4" s="329"/>
      <c r="P4" s="329"/>
      <c r="Q4" s="329"/>
      <c r="R4" s="329"/>
      <c r="S4" s="551"/>
    </row>
    <row r="5" spans="1:19" s="117" customFormat="1" ht="17.25" customHeight="1" thickBot="1" x14ac:dyDescent="0.25">
      <c r="A5" s="1427" t="s">
        <v>469</v>
      </c>
      <c r="B5" s="1425" t="s">
        <v>528</v>
      </c>
      <c r="C5" s="1407" t="s">
        <v>57</v>
      </c>
      <c r="D5" s="1407"/>
      <c r="E5" s="1407" t="s">
        <v>58</v>
      </c>
      <c r="F5" s="1407"/>
      <c r="G5" s="1407" t="s">
        <v>59</v>
      </c>
      <c r="H5" s="1407"/>
      <c r="I5" s="1428" t="s">
        <v>60</v>
      </c>
      <c r="J5" s="1411"/>
      <c r="K5" s="211" t="s">
        <v>470</v>
      </c>
      <c r="L5" s="290"/>
      <c r="S5" s="538"/>
    </row>
    <row r="6" spans="1:19" s="117" customFormat="1" ht="17.25" customHeight="1" thickBot="1" x14ac:dyDescent="0.25">
      <c r="A6" s="1427"/>
      <c r="B6" s="1425"/>
      <c r="C6" s="1270" t="s">
        <v>290</v>
      </c>
      <c r="D6" s="1416"/>
      <c r="E6" s="1416"/>
      <c r="F6" s="1416"/>
      <c r="G6" s="1416"/>
      <c r="H6" s="1416"/>
      <c r="I6" s="1416"/>
      <c r="J6" s="1416"/>
      <c r="K6" s="1426"/>
      <c r="L6" s="290"/>
      <c r="S6" s="538"/>
    </row>
    <row r="7" spans="1:19" ht="40.15" customHeight="1" thickBot="1" x14ac:dyDescent="0.25">
      <c r="A7" s="1427"/>
      <c r="B7" s="1425"/>
      <c r="C7" s="1395" t="s">
        <v>452</v>
      </c>
      <c r="D7" s="1395"/>
      <c r="E7" s="1395" t="s">
        <v>453</v>
      </c>
      <c r="F7" s="1395"/>
      <c r="G7" s="1395" t="s">
        <v>22</v>
      </c>
      <c r="H7" s="1395"/>
      <c r="I7" s="1396" t="s">
        <v>253</v>
      </c>
      <c r="J7" s="1397"/>
      <c r="K7" s="1424" t="s">
        <v>529</v>
      </c>
      <c r="M7" s="80"/>
      <c r="N7" s="80"/>
      <c r="O7" s="80"/>
      <c r="P7" s="80"/>
      <c r="Q7" s="80"/>
      <c r="R7" s="80"/>
      <c r="S7" s="538"/>
    </row>
    <row r="8" spans="1:19" ht="50.25" customHeight="1" thickBot="1" x14ac:dyDescent="0.25">
      <c r="A8" s="1427"/>
      <c r="B8" s="1425"/>
      <c r="C8" s="1395"/>
      <c r="D8" s="1395"/>
      <c r="E8" s="1395"/>
      <c r="F8" s="1395"/>
      <c r="G8" s="1395"/>
      <c r="H8" s="1395"/>
      <c r="I8" s="1398"/>
      <c r="J8" s="1399"/>
      <c r="K8" s="1424"/>
      <c r="M8" s="80"/>
      <c r="N8" s="80"/>
      <c r="O8" s="80"/>
      <c r="P8" s="80"/>
      <c r="Q8" s="80"/>
      <c r="R8" s="80"/>
      <c r="S8" s="538"/>
    </row>
    <row r="9" spans="1:19" ht="33" customHeight="1" thickBot="1" x14ac:dyDescent="0.25">
      <c r="A9" s="1427"/>
      <c r="B9" s="1425"/>
      <c r="C9" s="212" t="s">
        <v>62</v>
      </c>
      <c r="D9" s="213" t="s">
        <v>63</v>
      </c>
      <c r="E9" s="212" t="s">
        <v>62</v>
      </c>
      <c r="F9" s="212" t="s">
        <v>63</v>
      </c>
      <c r="G9" s="212" t="s">
        <v>62</v>
      </c>
      <c r="H9" s="212" t="s">
        <v>63</v>
      </c>
      <c r="I9" s="212" t="s">
        <v>62</v>
      </c>
      <c r="J9" s="212" t="s">
        <v>63</v>
      </c>
      <c r="K9" s="1424"/>
      <c r="M9" s="80"/>
      <c r="N9" s="80"/>
      <c r="O9" s="80"/>
      <c r="P9" s="80"/>
      <c r="Q9" s="80"/>
      <c r="R9" s="80"/>
      <c r="S9" s="538"/>
    </row>
    <row r="10" spans="1:19" ht="17.25" customHeight="1" x14ac:dyDescent="0.2">
      <c r="A10" s="214" t="s">
        <v>479</v>
      </c>
      <c r="B10" s="215" t="s">
        <v>243</v>
      </c>
      <c r="C10" s="216">
        <v>1600</v>
      </c>
      <c r="E10" s="217"/>
      <c r="F10" s="218"/>
      <c r="G10" s="217"/>
      <c r="H10" s="502"/>
      <c r="I10" s="218"/>
      <c r="J10" s="218"/>
      <c r="K10" s="219">
        <f t="shared" ref="K10:K39" si="0">SUM(C10:J10)</f>
        <v>1600</v>
      </c>
      <c r="M10" s="80"/>
      <c r="N10" s="80"/>
      <c r="O10" s="80"/>
      <c r="P10" s="80"/>
      <c r="Q10" s="80"/>
      <c r="R10" s="80"/>
      <c r="S10" s="538"/>
    </row>
    <row r="11" spans="1:19" s="81" customFormat="1" ht="17.25" customHeight="1" x14ac:dyDescent="0.2">
      <c r="A11" s="214" t="s">
        <v>487</v>
      </c>
      <c r="B11" s="498" t="s">
        <v>244</v>
      </c>
      <c r="C11" s="499">
        <v>33533</v>
      </c>
      <c r="D11" s="500"/>
      <c r="E11" s="564">
        <f>'közhatalmi bevételek'!D25</f>
        <v>1500</v>
      </c>
      <c r="F11" s="220"/>
      <c r="G11" s="221"/>
      <c r="H11" s="503"/>
      <c r="I11" s="220"/>
      <c r="J11" s="220"/>
      <c r="K11" s="219">
        <f t="shared" si="0"/>
        <v>35033</v>
      </c>
      <c r="L11" s="279"/>
      <c r="S11" s="552"/>
    </row>
    <row r="12" spans="1:19" ht="17.25" customHeight="1" x14ac:dyDescent="0.2">
      <c r="A12" s="214" t="s">
        <v>488</v>
      </c>
      <c r="B12" s="164" t="s">
        <v>245</v>
      </c>
      <c r="C12" s="138"/>
      <c r="D12" s="119">
        <v>53</v>
      </c>
      <c r="E12" s="120"/>
      <c r="F12" s="119"/>
      <c r="G12" s="120"/>
      <c r="H12" s="440"/>
      <c r="I12" s="119"/>
      <c r="J12" s="119"/>
      <c r="K12" s="219">
        <f t="shared" si="0"/>
        <v>53</v>
      </c>
      <c r="M12" s="80"/>
      <c r="N12" s="80"/>
      <c r="O12" s="80"/>
      <c r="P12" s="80"/>
      <c r="Q12" s="80"/>
      <c r="R12" s="80"/>
      <c r="S12" s="538"/>
    </row>
    <row r="13" spans="1:19" ht="17.25" customHeight="1" x14ac:dyDescent="0.2">
      <c r="A13" s="214" t="s">
        <v>489</v>
      </c>
      <c r="B13" s="164" t="s">
        <v>246</v>
      </c>
      <c r="C13" s="138"/>
      <c r="D13" s="119">
        <v>391</v>
      </c>
      <c r="E13" s="120"/>
      <c r="F13" s="119"/>
      <c r="G13" s="120"/>
      <c r="H13" s="504"/>
      <c r="I13" s="222"/>
      <c r="J13" s="222"/>
      <c r="K13" s="219">
        <f t="shared" si="0"/>
        <v>391</v>
      </c>
      <c r="M13" s="80"/>
      <c r="N13" s="80"/>
      <c r="O13" s="80"/>
      <c r="P13" s="80"/>
      <c r="Q13" s="80"/>
      <c r="R13" s="80"/>
      <c r="S13" s="538"/>
    </row>
    <row r="14" spans="1:19" ht="17.25" customHeight="1" x14ac:dyDescent="0.2">
      <c r="A14" s="214" t="s">
        <v>490</v>
      </c>
      <c r="B14" s="164" t="s">
        <v>247</v>
      </c>
      <c r="C14" s="138"/>
      <c r="D14" s="119"/>
      <c r="E14" s="120"/>
      <c r="F14" s="119"/>
      <c r="G14" s="120"/>
      <c r="H14" s="504"/>
      <c r="I14" s="222"/>
      <c r="J14" s="222"/>
      <c r="K14" s="219">
        <f t="shared" si="0"/>
        <v>0</v>
      </c>
      <c r="M14" s="80"/>
      <c r="N14" s="80"/>
      <c r="O14" s="80"/>
      <c r="P14" s="80"/>
      <c r="Q14" s="80"/>
      <c r="R14" s="80"/>
      <c r="S14" s="538"/>
    </row>
    <row r="15" spans="1:19" ht="17.25" customHeight="1" x14ac:dyDescent="0.2">
      <c r="A15" s="214" t="s">
        <v>491</v>
      </c>
      <c r="B15" s="164" t="s">
        <v>248</v>
      </c>
      <c r="C15" s="138"/>
      <c r="D15" s="119">
        <v>20031</v>
      </c>
      <c r="E15" s="120"/>
      <c r="F15" s="119"/>
      <c r="G15" s="120"/>
      <c r="H15" s="504"/>
      <c r="I15" s="222"/>
      <c r="J15" s="222"/>
      <c r="K15" s="219">
        <f t="shared" si="0"/>
        <v>20031</v>
      </c>
      <c r="M15" s="80"/>
      <c r="N15" s="80"/>
      <c r="O15" s="80"/>
      <c r="P15" s="80"/>
      <c r="Q15" s="80"/>
      <c r="R15" s="80"/>
      <c r="S15" s="538"/>
    </row>
    <row r="16" spans="1:19" ht="17.25" customHeight="1" x14ac:dyDescent="0.2">
      <c r="A16" s="214" t="s">
        <v>492</v>
      </c>
      <c r="B16" s="164" t="s">
        <v>249</v>
      </c>
      <c r="C16" s="138">
        <v>3600</v>
      </c>
      <c r="D16" s="119">
        <v>8084</v>
      </c>
      <c r="E16" s="120"/>
      <c r="F16" s="119"/>
      <c r="G16" s="120"/>
      <c r="H16" s="504"/>
      <c r="I16" s="222"/>
      <c r="J16" s="222"/>
      <c r="K16" s="219">
        <f t="shared" si="0"/>
        <v>11684</v>
      </c>
      <c r="M16" s="80"/>
      <c r="N16" s="80"/>
      <c r="O16" s="80"/>
      <c r="P16" s="80"/>
      <c r="Q16" s="80"/>
      <c r="R16" s="80"/>
      <c r="S16" s="538"/>
    </row>
    <row r="17" spans="1:19" ht="17.25" customHeight="1" x14ac:dyDescent="0.2">
      <c r="A17" s="214" t="s">
        <v>493</v>
      </c>
      <c r="B17" s="164" t="s">
        <v>250</v>
      </c>
      <c r="C17" s="138"/>
      <c r="D17" s="119">
        <v>10160</v>
      </c>
      <c r="E17" s="120"/>
      <c r="F17" s="119"/>
      <c r="G17" s="120"/>
      <c r="H17" s="504"/>
      <c r="I17" s="222"/>
      <c r="J17" s="222"/>
      <c r="K17" s="219">
        <f t="shared" si="0"/>
        <v>10160</v>
      </c>
      <c r="M17" s="80"/>
      <c r="N17" s="80"/>
      <c r="O17" s="80"/>
      <c r="P17" s="80"/>
      <c r="Q17" s="80"/>
      <c r="R17" s="80"/>
      <c r="S17" s="538"/>
    </row>
    <row r="18" spans="1:19" ht="17.25" customHeight="1" x14ac:dyDescent="0.2">
      <c r="A18" s="214" t="s">
        <v>494</v>
      </c>
      <c r="B18" s="164" t="s">
        <v>251</v>
      </c>
      <c r="C18" s="138">
        <v>183</v>
      </c>
      <c r="D18" s="119"/>
      <c r="E18" s="120"/>
      <c r="F18" s="119"/>
      <c r="G18" s="120"/>
      <c r="H18" s="504"/>
      <c r="I18" s="222"/>
      <c r="J18" s="222"/>
      <c r="K18" s="219">
        <f t="shared" si="0"/>
        <v>183</v>
      </c>
      <c r="M18" s="80"/>
      <c r="N18" s="80"/>
      <c r="O18" s="80"/>
      <c r="P18" s="80"/>
      <c r="Q18" s="80"/>
      <c r="R18" s="80"/>
      <c r="S18" s="538"/>
    </row>
    <row r="19" spans="1:19" ht="17.25" customHeight="1" x14ac:dyDescent="0.2">
      <c r="A19" s="214" t="s">
        <v>530</v>
      </c>
      <c r="B19" s="167" t="s">
        <v>252</v>
      </c>
      <c r="C19" s="138">
        <v>1288</v>
      </c>
      <c r="D19" s="119">
        <v>2062</v>
      </c>
      <c r="E19" s="120"/>
      <c r="F19" s="119"/>
      <c r="G19" s="120" t="e">
        <f>'tám, végl. pe.átv  '!#REF!</f>
        <v>#REF!</v>
      </c>
      <c r="H19" s="440"/>
      <c r="J19" s="118">
        <v>0</v>
      </c>
      <c r="K19" s="219" t="e">
        <f>SUM(C19:J19)</f>
        <v>#REF!</v>
      </c>
      <c r="M19" s="80"/>
      <c r="N19" s="80"/>
      <c r="O19" s="80"/>
      <c r="P19" s="80"/>
      <c r="Q19" s="80"/>
      <c r="R19" s="80"/>
      <c r="S19" s="538"/>
    </row>
    <row r="20" spans="1:19" ht="17.25" customHeight="1" x14ac:dyDescent="0.2">
      <c r="A20" s="214" t="s">
        <v>531</v>
      </c>
      <c r="B20" s="164" t="s">
        <v>274</v>
      </c>
      <c r="C20" s="138">
        <v>25</v>
      </c>
      <c r="D20" s="119"/>
      <c r="E20" s="120"/>
      <c r="F20" s="119"/>
      <c r="G20" s="480">
        <v>447</v>
      </c>
      <c r="H20" s="505"/>
      <c r="I20" s="292"/>
      <c r="J20" s="292"/>
      <c r="K20" s="219">
        <f t="shared" si="0"/>
        <v>472</v>
      </c>
      <c r="M20" s="80"/>
      <c r="N20" s="80"/>
      <c r="O20" s="80"/>
      <c r="P20" s="80"/>
      <c r="Q20" s="80"/>
      <c r="R20" s="80"/>
      <c r="S20" s="538"/>
    </row>
    <row r="21" spans="1:19" s="82" customFormat="1" ht="17.25" customHeight="1" x14ac:dyDescent="0.2">
      <c r="A21" s="214" t="s">
        <v>532</v>
      </c>
      <c r="B21" s="164" t="s">
        <v>275</v>
      </c>
      <c r="C21" s="138"/>
      <c r="D21" s="119"/>
      <c r="E21" s="120"/>
      <c r="F21" s="119"/>
      <c r="G21" s="480">
        <f>'tám, végl. pe.átv  '!C11</f>
        <v>809771</v>
      </c>
      <c r="H21" s="457">
        <f>'tám, végl. pe.átv  '!D11</f>
        <v>127978</v>
      </c>
      <c r="I21" s="279"/>
      <c r="J21" s="279"/>
      <c r="K21" s="219">
        <f t="shared" si="0"/>
        <v>937749</v>
      </c>
      <c r="L21" s="292"/>
      <c r="S21" s="553"/>
    </row>
    <row r="22" spans="1:19" ht="17.25" customHeight="1" x14ac:dyDescent="0.2">
      <c r="A22" s="214" t="s">
        <v>533</v>
      </c>
      <c r="B22" s="164" t="s">
        <v>276</v>
      </c>
      <c r="C22" s="138"/>
      <c r="D22" s="119"/>
      <c r="E22" s="120"/>
      <c r="F22" s="119"/>
      <c r="G22" s="480">
        <f>'tám, végl. pe.átv  '!C17</f>
        <v>2272</v>
      </c>
      <c r="H22" s="505"/>
      <c r="I22" s="292"/>
      <c r="J22" s="292"/>
      <c r="K22" s="219">
        <f t="shared" si="0"/>
        <v>2272</v>
      </c>
      <c r="M22" s="80"/>
      <c r="N22" s="80"/>
      <c r="O22" s="80"/>
      <c r="P22" s="80"/>
      <c r="Q22" s="80"/>
      <c r="R22" s="80"/>
      <c r="S22" s="538"/>
    </row>
    <row r="23" spans="1:19" ht="17.25" customHeight="1" x14ac:dyDescent="0.2">
      <c r="A23" s="214" t="s">
        <v>534</v>
      </c>
      <c r="B23" s="164" t="s">
        <v>288</v>
      </c>
      <c r="C23" s="138"/>
      <c r="D23" s="119"/>
      <c r="E23" s="120"/>
      <c r="F23" s="119"/>
      <c r="G23" s="480"/>
      <c r="H23" s="457">
        <f>'tám, végl. pe.átv  '!D18</f>
        <v>1496</v>
      </c>
      <c r="I23" s="292"/>
      <c r="J23" s="292"/>
      <c r="K23" s="219">
        <f t="shared" si="0"/>
        <v>1496</v>
      </c>
      <c r="M23" s="80"/>
      <c r="N23" s="80"/>
      <c r="O23" s="80"/>
      <c r="P23" s="80"/>
      <c r="Q23" s="80"/>
      <c r="R23" s="80"/>
      <c r="S23" s="538"/>
    </row>
    <row r="24" spans="1:19" ht="17.25" customHeight="1" x14ac:dyDescent="0.2">
      <c r="A24" s="214" t="s">
        <v>535</v>
      </c>
      <c r="B24" s="164" t="s">
        <v>289</v>
      </c>
      <c r="C24" s="138"/>
      <c r="D24" s="119"/>
      <c r="E24" s="120"/>
      <c r="F24" s="119"/>
      <c r="G24" s="480">
        <v>1300</v>
      </c>
      <c r="H24" s="505"/>
      <c r="I24" s="292"/>
      <c r="J24" s="292"/>
      <c r="K24" s="219">
        <f t="shared" si="0"/>
        <v>1300</v>
      </c>
      <c r="M24" s="80"/>
      <c r="N24" s="80"/>
      <c r="O24" s="80"/>
      <c r="P24" s="80"/>
      <c r="Q24" s="80"/>
      <c r="R24" s="80"/>
      <c r="S24" s="538"/>
    </row>
    <row r="25" spans="1:19" ht="17.25" customHeight="1" x14ac:dyDescent="0.2">
      <c r="A25" s="214" t="s">
        <v>536</v>
      </c>
      <c r="B25" s="164" t="s">
        <v>277</v>
      </c>
      <c r="C25" s="138"/>
      <c r="D25" s="119"/>
      <c r="E25" s="120"/>
      <c r="F25" s="119"/>
      <c r="G25" s="480">
        <v>14203</v>
      </c>
      <c r="H25" s="457"/>
      <c r="I25" s="279"/>
      <c r="J25" s="279"/>
      <c r="K25" s="219">
        <f t="shared" si="0"/>
        <v>14203</v>
      </c>
      <c r="M25" s="80"/>
      <c r="N25" s="80"/>
      <c r="O25" s="80"/>
      <c r="P25" s="80"/>
      <c r="Q25" s="80"/>
      <c r="R25" s="80"/>
      <c r="S25" s="538"/>
    </row>
    <row r="26" spans="1:19" ht="17.25" customHeight="1" x14ac:dyDescent="0.2">
      <c r="A26" s="214" t="s">
        <v>537</v>
      </c>
      <c r="B26" s="164" t="s">
        <v>254</v>
      </c>
      <c r="C26" s="138"/>
      <c r="E26" s="120">
        <f>'közhatalmi bevételek'!D13</f>
        <v>504640</v>
      </c>
      <c r="F26" s="119">
        <f>'közhatalmi bevételek'!E13</f>
        <v>876260</v>
      </c>
      <c r="G26" s="120"/>
      <c r="H26" s="504"/>
      <c r="I26" s="222"/>
      <c r="J26" s="222"/>
      <c r="K26" s="219">
        <f t="shared" si="0"/>
        <v>1380900</v>
      </c>
      <c r="M26" s="80"/>
      <c r="N26" s="80"/>
      <c r="O26" s="80"/>
      <c r="P26" s="80"/>
      <c r="Q26" s="80"/>
      <c r="R26" s="80"/>
      <c r="S26" s="538"/>
    </row>
    <row r="27" spans="1:19" ht="17.25" customHeight="1" x14ac:dyDescent="0.2">
      <c r="A27" s="214" t="s">
        <v>539</v>
      </c>
      <c r="B27" s="167" t="s">
        <v>538</v>
      </c>
      <c r="C27" s="138"/>
      <c r="E27" s="120"/>
      <c r="F27" s="119"/>
      <c r="G27" s="120"/>
      <c r="H27" s="504"/>
      <c r="I27" s="222"/>
      <c r="J27" s="222"/>
      <c r="K27" s="219">
        <f t="shared" si="0"/>
        <v>0</v>
      </c>
      <c r="M27" s="80"/>
      <c r="N27" s="80"/>
      <c r="O27" s="80"/>
      <c r="P27" s="80"/>
      <c r="Q27" s="80"/>
      <c r="R27" s="80"/>
      <c r="S27" s="538"/>
    </row>
    <row r="28" spans="1:19" ht="17.25" customHeight="1" x14ac:dyDescent="0.2">
      <c r="A28" s="214" t="s">
        <v>540</v>
      </c>
      <c r="B28" s="164" t="s">
        <v>278</v>
      </c>
      <c r="C28" s="138"/>
      <c r="E28" s="120">
        <f>'közhatalmi bevételek'!D19</f>
        <v>19000</v>
      </c>
      <c r="F28" s="119"/>
      <c r="G28" s="120"/>
      <c r="H28" s="504"/>
      <c r="I28" s="222"/>
      <c r="J28" s="222"/>
      <c r="K28" s="219">
        <f t="shared" si="0"/>
        <v>19000</v>
      </c>
      <c r="M28" s="80"/>
      <c r="N28" s="80"/>
      <c r="O28" s="80"/>
      <c r="P28" s="80"/>
      <c r="Q28" s="80"/>
      <c r="R28" s="80"/>
      <c r="S28" s="538"/>
    </row>
    <row r="29" spans="1:19" s="82" customFormat="1" ht="17.25" customHeight="1" x14ac:dyDescent="0.2">
      <c r="A29" s="214" t="s">
        <v>541</v>
      </c>
      <c r="B29" s="164" t="s">
        <v>255</v>
      </c>
      <c r="C29" s="138"/>
      <c r="D29" s="121"/>
      <c r="E29" s="480">
        <f>'közhatalmi bevételek'!D15</f>
        <v>2076</v>
      </c>
      <c r="F29" s="119">
        <f>'közhatalmi bevételek'!E15</f>
        <v>0</v>
      </c>
      <c r="G29" s="138"/>
      <c r="H29" s="504"/>
      <c r="I29" s="222"/>
      <c r="J29" s="222"/>
      <c r="K29" s="219">
        <f t="shared" si="0"/>
        <v>2076</v>
      </c>
      <c r="L29" s="292"/>
      <c r="S29" s="553"/>
    </row>
    <row r="30" spans="1:19" ht="17.25" customHeight="1" x14ac:dyDescent="0.2">
      <c r="A30" s="214" t="s">
        <v>542</v>
      </c>
      <c r="B30" s="164" t="s">
        <v>256</v>
      </c>
      <c r="C30" s="138"/>
      <c r="D30" s="119"/>
      <c r="E30" s="480">
        <f>'közhatalmi bevételek'!D24</f>
        <v>0</v>
      </c>
      <c r="F30" s="119"/>
      <c r="G30" s="120"/>
      <c r="H30" s="504"/>
      <c r="I30" s="222"/>
      <c r="J30" s="222"/>
      <c r="K30" s="219">
        <f t="shared" si="0"/>
        <v>0</v>
      </c>
      <c r="M30" s="80"/>
      <c r="N30" s="80"/>
      <c r="O30" s="80"/>
      <c r="P30" s="80"/>
      <c r="Q30" s="80"/>
      <c r="R30" s="80"/>
      <c r="S30" s="538"/>
    </row>
    <row r="31" spans="1:19" ht="17.25" customHeight="1" x14ac:dyDescent="0.2">
      <c r="A31" s="214" t="s">
        <v>543</v>
      </c>
      <c r="B31" s="164" t="s">
        <v>257</v>
      </c>
      <c r="C31" s="138"/>
      <c r="D31" s="119"/>
      <c r="E31" s="120"/>
      <c r="F31" s="119"/>
      <c r="G31" s="120"/>
      <c r="H31" s="504"/>
      <c r="I31" s="222"/>
      <c r="J31" s="222"/>
      <c r="K31" s="219">
        <f t="shared" si="0"/>
        <v>0</v>
      </c>
      <c r="M31" s="80"/>
      <c r="N31" s="80"/>
      <c r="O31" s="80"/>
      <c r="P31" s="80"/>
      <c r="Q31" s="80"/>
      <c r="R31" s="80"/>
      <c r="S31" s="538"/>
    </row>
    <row r="32" spans="1:19" ht="17.25" customHeight="1" x14ac:dyDescent="0.2">
      <c r="A32" s="214" t="s">
        <v>545</v>
      </c>
      <c r="B32" s="164" t="s">
        <v>258</v>
      </c>
      <c r="C32" s="138">
        <v>140</v>
      </c>
      <c r="D32" s="119">
        <v>46</v>
      </c>
      <c r="E32" s="120"/>
      <c r="F32" s="119"/>
      <c r="G32" s="120"/>
      <c r="H32" s="504"/>
      <c r="I32" s="222"/>
      <c r="J32" s="222"/>
      <c r="K32" s="219">
        <f t="shared" si="0"/>
        <v>186</v>
      </c>
      <c r="M32" s="80"/>
      <c r="N32" s="80"/>
      <c r="O32" s="80"/>
      <c r="P32" s="80"/>
      <c r="Q32" s="80"/>
      <c r="R32" s="80"/>
      <c r="S32" s="538"/>
    </row>
    <row r="33" spans="1:19" ht="17.25" customHeight="1" x14ac:dyDescent="0.2">
      <c r="A33" s="214" t="s">
        <v>546</v>
      </c>
      <c r="B33" s="215" t="s">
        <v>259</v>
      </c>
      <c r="C33" s="223"/>
      <c r="D33" s="218"/>
      <c r="E33" s="217"/>
      <c r="F33" s="218"/>
      <c r="G33" s="481">
        <v>5065</v>
      </c>
      <c r="H33" s="504"/>
      <c r="I33" s="222"/>
      <c r="J33" s="222"/>
      <c r="K33" s="219">
        <f t="shared" si="0"/>
        <v>5065</v>
      </c>
      <c r="M33" s="80"/>
      <c r="N33" s="80"/>
      <c r="O33" s="80"/>
      <c r="P33" s="80"/>
      <c r="Q33" s="80"/>
      <c r="R33" s="80"/>
      <c r="S33" s="538"/>
    </row>
    <row r="34" spans="1:19" ht="17.25" customHeight="1" x14ac:dyDescent="0.2">
      <c r="A34" s="214" t="s">
        <v>564</v>
      </c>
      <c r="B34" s="215" t="s">
        <v>260</v>
      </c>
      <c r="C34" s="223"/>
      <c r="D34" s="218"/>
      <c r="E34" s="217"/>
      <c r="F34" s="218"/>
      <c r="G34" s="481">
        <v>0</v>
      </c>
      <c r="H34" s="504"/>
      <c r="I34" s="222"/>
      <c r="J34" s="222"/>
      <c r="K34" s="219">
        <f t="shared" si="0"/>
        <v>0</v>
      </c>
      <c r="M34" s="80"/>
      <c r="N34" s="80"/>
      <c r="O34" s="80"/>
      <c r="P34" s="80"/>
      <c r="Q34" s="80"/>
      <c r="R34" s="80"/>
      <c r="S34" s="538"/>
    </row>
    <row r="35" spans="1:19" ht="17.25" customHeight="1" x14ac:dyDescent="0.2">
      <c r="A35" s="214" t="s">
        <v>565</v>
      </c>
      <c r="B35" s="215" t="s">
        <v>261</v>
      </c>
      <c r="C35" s="223"/>
      <c r="D35" s="218"/>
      <c r="E35" s="217"/>
      <c r="F35" s="218"/>
      <c r="G35" s="481">
        <v>455</v>
      </c>
      <c r="H35" s="504"/>
      <c r="I35" s="222"/>
      <c r="J35" s="222"/>
      <c r="K35" s="219">
        <f t="shared" si="0"/>
        <v>455</v>
      </c>
      <c r="M35" s="80"/>
      <c r="N35" s="80"/>
      <c r="O35" s="80"/>
      <c r="P35" s="80"/>
      <c r="Q35" s="80"/>
      <c r="R35" s="80"/>
      <c r="S35" s="538"/>
    </row>
    <row r="36" spans="1:19" ht="17.25" customHeight="1" x14ac:dyDescent="0.2">
      <c r="A36" s="214" t="s">
        <v>566</v>
      </c>
      <c r="B36" s="215" t="s">
        <v>549</v>
      </c>
      <c r="C36" s="223"/>
      <c r="D36" s="218"/>
      <c r="E36" s="217"/>
      <c r="F36" s="218"/>
      <c r="G36" s="481">
        <v>500</v>
      </c>
      <c r="H36" s="504"/>
      <c r="I36" s="222"/>
      <c r="J36" s="222"/>
      <c r="K36" s="219">
        <f t="shared" si="0"/>
        <v>500</v>
      </c>
      <c r="M36" s="80"/>
      <c r="N36" s="80"/>
      <c r="O36" s="80"/>
      <c r="P36" s="80"/>
      <c r="Q36" s="80"/>
      <c r="R36" s="80"/>
      <c r="S36" s="538"/>
    </row>
    <row r="37" spans="1:19" ht="17.25" customHeight="1" x14ac:dyDescent="0.2">
      <c r="A37" s="214" t="s">
        <v>567</v>
      </c>
      <c r="B37" s="215" t="s">
        <v>262</v>
      </c>
      <c r="C37" s="223"/>
      <c r="D37" s="218"/>
      <c r="E37" s="217"/>
      <c r="F37" s="218"/>
      <c r="G37" s="481">
        <v>2032</v>
      </c>
      <c r="H37" s="504"/>
      <c r="I37" s="222"/>
      <c r="J37" s="222"/>
      <c r="K37" s="219">
        <f t="shared" si="0"/>
        <v>2032</v>
      </c>
      <c r="M37" s="80"/>
      <c r="N37" s="80"/>
      <c r="O37" s="80"/>
      <c r="P37" s="80"/>
      <c r="Q37" s="80"/>
      <c r="R37" s="80"/>
      <c r="S37" s="538"/>
    </row>
    <row r="38" spans="1:19" ht="17.25" customHeight="1" x14ac:dyDescent="0.2">
      <c r="A38" s="214" t="s">
        <v>568</v>
      </c>
      <c r="B38" s="215" t="s">
        <v>263</v>
      </c>
      <c r="C38" s="223"/>
      <c r="D38" s="483">
        <v>2286</v>
      </c>
      <c r="E38" s="223"/>
      <c r="F38" s="218"/>
      <c r="G38" s="482"/>
      <c r="H38" s="440"/>
      <c r="K38" s="219">
        <f t="shared" si="0"/>
        <v>2286</v>
      </c>
      <c r="M38" s="80"/>
      <c r="N38" s="80"/>
      <c r="O38" s="80"/>
      <c r="P38" s="80"/>
      <c r="Q38" s="80"/>
      <c r="R38" s="80"/>
      <c r="S38" s="538"/>
    </row>
    <row r="39" spans="1:19" ht="17.25" customHeight="1" thickBot="1" x14ac:dyDescent="0.25">
      <c r="A39" s="214" t="s">
        <v>569</v>
      </c>
      <c r="B39" s="215" t="s">
        <v>264</v>
      </c>
      <c r="C39" s="223"/>
      <c r="D39" s="218"/>
      <c r="E39" s="217"/>
      <c r="F39" s="218"/>
      <c r="G39" s="217"/>
      <c r="H39" s="504"/>
      <c r="I39" s="222"/>
      <c r="J39" s="222"/>
      <c r="K39" s="219">
        <f t="shared" si="0"/>
        <v>0</v>
      </c>
      <c r="M39" s="80"/>
      <c r="N39" s="80"/>
      <c r="O39" s="80"/>
      <c r="P39" s="80"/>
      <c r="Q39" s="80"/>
      <c r="R39" s="80"/>
      <c r="S39" s="538"/>
    </row>
    <row r="40" spans="1:19" ht="17.25" customHeight="1" thickBot="1" x14ac:dyDescent="0.25">
      <c r="A40" s="1389" t="s">
        <v>573</v>
      </c>
      <c r="B40" s="1390"/>
      <c r="C40" s="342">
        <f>SUM(C10:C39)</f>
        <v>40369</v>
      </c>
      <c r="D40" s="342">
        <f>SUM(D10:D39)</f>
        <v>43113</v>
      </c>
      <c r="E40" s="525">
        <f>SUM(E10:E39)</f>
        <v>527216</v>
      </c>
      <c r="F40" s="526">
        <f>SUM(F10:F39)</f>
        <v>876260</v>
      </c>
      <c r="G40" s="342" t="e">
        <f>SUM(G10:G39)</f>
        <v>#REF!</v>
      </c>
      <c r="H40" s="506">
        <f>SUM(H12:H39)</f>
        <v>129474</v>
      </c>
      <c r="I40" s="506">
        <f>SUM(I12:I39)</f>
        <v>0</v>
      </c>
      <c r="J40" s="506">
        <f>SUM(J12:J39)</f>
        <v>0</v>
      </c>
      <c r="K40" s="343" t="e">
        <f>SUM(C40:J40)</f>
        <v>#REF!</v>
      </c>
      <c r="M40" s="80"/>
      <c r="N40" s="80"/>
      <c r="O40" s="80"/>
      <c r="P40" s="80"/>
      <c r="Q40" s="80"/>
      <c r="R40" s="80"/>
      <c r="S40" s="538"/>
    </row>
    <row r="41" spans="1:19" ht="17.25" customHeight="1" x14ac:dyDescent="0.2">
      <c r="M41" s="80"/>
      <c r="N41" s="80"/>
      <c r="O41" s="80"/>
      <c r="P41" s="80"/>
      <c r="Q41" s="80"/>
      <c r="R41" s="80"/>
      <c r="S41" s="538"/>
    </row>
    <row r="42" spans="1:19" ht="17.25" customHeight="1" x14ac:dyDescent="0.2">
      <c r="M42" s="80"/>
      <c r="N42" s="80"/>
      <c r="O42" s="80"/>
      <c r="P42" s="80"/>
      <c r="Q42" s="80"/>
      <c r="R42" s="80"/>
      <c r="S42" s="538"/>
    </row>
    <row r="43" spans="1:19" ht="17.25" customHeight="1" x14ac:dyDescent="0.2">
      <c r="M43" s="80"/>
      <c r="N43" s="80"/>
      <c r="O43" s="80"/>
      <c r="P43" s="80"/>
      <c r="Q43" s="80"/>
      <c r="R43" s="80"/>
      <c r="S43" s="538"/>
    </row>
    <row r="44" spans="1:19" ht="17.25" customHeight="1" x14ac:dyDescent="0.2">
      <c r="M44" s="80"/>
      <c r="N44" s="80"/>
      <c r="O44" s="80"/>
      <c r="P44" s="80"/>
      <c r="Q44" s="80"/>
      <c r="R44" s="80"/>
      <c r="S44" s="538"/>
    </row>
    <row r="45" spans="1:19" ht="17.25" customHeight="1" x14ac:dyDescent="0.2">
      <c r="M45" s="80"/>
      <c r="N45" s="80"/>
      <c r="O45" s="80"/>
      <c r="P45" s="80"/>
      <c r="Q45" s="80"/>
      <c r="R45" s="80"/>
      <c r="S45" s="538"/>
    </row>
    <row r="46" spans="1:19" ht="17.25" customHeight="1" x14ac:dyDescent="0.2">
      <c r="M46" s="80"/>
      <c r="N46" s="80"/>
      <c r="O46" s="80"/>
      <c r="P46" s="80"/>
      <c r="Q46" s="80"/>
      <c r="R46" s="80"/>
      <c r="S46" s="538"/>
    </row>
    <row r="47" spans="1:19" ht="17.25" customHeight="1" x14ac:dyDescent="0.2">
      <c r="M47" s="80"/>
      <c r="N47" s="80"/>
      <c r="O47" s="80"/>
      <c r="P47" s="80"/>
      <c r="Q47" s="80"/>
      <c r="R47" s="80"/>
      <c r="S47" s="538"/>
    </row>
    <row r="48" spans="1:19" ht="17.25" customHeight="1" x14ac:dyDescent="0.2">
      <c r="M48" s="80"/>
      <c r="N48" s="80"/>
      <c r="O48" s="80"/>
      <c r="P48" s="80"/>
      <c r="Q48" s="80"/>
      <c r="R48" s="80"/>
      <c r="S48" s="538"/>
    </row>
    <row r="49" spans="2:24" ht="17.25" customHeight="1" x14ac:dyDescent="0.2">
      <c r="M49" s="80"/>
      <c r="N49" s="80"/>
      <c r="O49" s="80"/>
      <c r="P49" s="80"/>
      <c r="Q49" s="80"/>
      <c r="R49" s="80"/>
      <c r="S49" s="538"/>
    </row>
    <row r="50" spans="2:24" ht="17.25" customHeight="1" x14ac:dyDescent="0.2">
      <c r="M50" s="80"/>
      <c r="N50" s="80"/>
      <c r="O50" s="80"/>
      <c r="P50" s="80"/>
      <c r="Q50" s="80"/>
      <c r="R50" s="80"/>
      <c r="S50" s="538"/>
    </row>
    <row r="51" spans="2:24" ht="17.25" customHeight="1" x14ac:dyDescent="0.2">
      <c r="M51" s="80"/>
      <c r="N51" s="80"/>
      <c r="O51" s="80"/>
      <c r="P51" s="80"/>
      <c r="Q51" s="80"/>
      <c r="R51" s="80"/>
      <c r="S51" s="538"/>
    </row>
    <row r="52" spans="2:24" ht="17.25" customHeight="1" x14ac:dyDescent="0.2">
      <c r="M52" s="80"/>
      <c r="N52" s="80"/>
      <c r="O52" s="80"/>
      <c r="P52" s="80"/>
      <c r="Q52" s="80"/>
      <c r="R52" s="80"/>
      <c r="S52" s="538"/>
    </row>
    <row r="53" spans="2:24" ht="17.25" customHeight="1" x14ac:dyDescent="0.2">
      <c r="M53" s="80"/>
      <c r="N53" s="80"/>
      <c r="O53" s="80"/>
      <c r="P53" s="80"/>
      <c r="Q53" s="80"/>
      <c r="R53" s="80"/>
      <c r="S53" s="538"/>
    </row>
    <row r="54" spans="2:24" ht="17.25" customHeight="1" x14ac:dyDescent="0.2">
      <c r="M54" s="80"/>
      <c r="N54" s="80"/>
      <c r="O54" s="80"/>
      <c r="P54" s="80"/>
      <c r="Q54" s="80"/>
      <c r="R54" s="80"/>
      <c r="S54" s="538"/>
    </row>
    <row r="55" spans="2:24" ht="17.25" customHeight="1" x14ac:dyDescent="0.2">
      <c r="M55" s="80"/>
      <c r="N55" s="80"/>
      <c r="O55" s="80"/>
      <c r="P55" s="80"/>
      <c r="Q55" s="80"/>
      <c r="R55" s="80"/>
      <c r="S55" s="538"/>
    </row>
    <row r="56" spans="2:24" ht="17.25" customHeight="1" x14ac:dyDescent="0.2">
      <c r="M56" s="80"/>
      <c r="N56" s="80"/>
      <c r="O56" s="80"/>
      <c r="P56" s="80"/>
      <c r="Q56" s="80"/>
      <c r="R56" s="80"/>
      <c r="S56" s="538"/>
    </row>
    <row r="57" spans="2:24" ht="17.25" customHeight="1" x14ac:dyDescent="0.2">
      <c r="M57" s="80"/>
      <c r="N57" s="80"/>
      <c r="O57" s="80"/>
      <c r="P57" s="80"/>
      <c r="Q57" s="80"/>
      <c r="R57" s="80"/>
      <c r="S57" s="538"/>
    </row>
    <row r="58" spans="2:24" ht="17.25" customHeight="1" x14ac:dyDescent="0.2">
      <c r="M58" s="80"/>
      <c r="N58" s="80"/>
      <c r="O58" s="80"/>
      <c r="P58" s="80"/>
      <c r="Q58" s="80"/>
      <c r="R58" s="80"/>
      <c r="S58" s="538"/>
    </row>
    <row r="64" spans="2:24" ht="17.25" customHeight="1" x14ac:dyDescent="0.2">
      <c r="B64" s="1412" t="s">
        <v>550</v>
      </c>
      <c r="C64" s="1323"/>
      <c r="D64" s="1323"/>
      <c r="E64" s="1323"/>
      <c r="F64" s="1323"/>
      <c r="G64" s="1323"/>
      <c r="H64" s="1323"/>
      <c r="I64" s="1323"/>
      <c r="J64" s="1323"/>
      <c r="K64" s="1323"/>
      <c r="L64" s="1323"/>
      <c r="M64" s="1323"/>
      <c r="N64" s="1323"/>
      <c r="O64" s="1323"/>
      <c r="P64" s="1323"/>
      <c r="Q64" s="1323"/>
      <c r="R64" s="1323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271" t="s">
        <v>527</v>
      </c>
      <c r="B66" s="1323"/>
      <c r="C66" s="1323"/>
      <c r="D66" s="1323"/>
      <c r="E66" s="1323"/>
      <c r="F66" s="1323"/>
      <c r="G66" s="1323"/>
      <c r="H66" s="1323"/>
      <c r="I66" s="1323"/>
      <c r="J66" s="1323"/>
      <c r="K66" s="1323"/>
      <c r="L66" s="1323"/>
      <c r="M66" s="1323"/>
      <c r="N66" s="1323"/>
      <c r="O66" s="1323"/>
      <c r="P66" s="1323"/>
      <c r="Q66" s="1323"/>
      <c r="R66" s="1323"/>
    </row>
    <row r="67" spans="1:23" ht="17.25" customHeight="1" x14ac:dyDescent="0.2">
      <c r="A67" s="1271" t="s">
        <v>291</v>
      </c>
      <c r="B67" s="1323"/>
      <c r="C67" s="1323"/>
      <c r="D67" s="1323"/>
      <c r="E67" s="1323"/>
      <c r="F67" s="1323"/>
      <c r="G67" s="1323"/>
      <c r="H67" s="1323"/>
      <c r="I67" s="1323"/>
      <c r="J67" s="1323"/>
      <c r="K67" s="1323"/>
      <c r="L67" s="1323"/>
      <c r="M67" s="1323"/>
      <c r="N67" s="1323"/>
      <c r="O67" s="1323"/>
      <c r="P67" s="1323"/>
      <c r="Q67" s="1323"/>
      <c r="R67" s="1323"/>
    </row>
    <row r="68" spans="1:23" ht="17.25" customHeight="1" x14ac:dyDescent="0.2">
      <c r="B68" s="209"/>
      <c r="C68" s="210"/>
      <c r="D68" s="210"/>
      <c r="E68" s="210"/>
      <c r="F68" s="210"/>
      <c r="G68" s="210"/>
      <c r="H68" s="210"/>
      <c r="I68" s="210"/>
      <c r="J68" s="210"/>
      <c r="K68" s="210"/>
    </row>
    <row r="69" spans="1:23" ht="12.75" customHeight="1" thickBot="1" x14ac:dyDescent="0.25">
      <c r="A69" s="1418" t="s">
        <v>302</v>
      </c>
      <c r="B69" s="1419"/>
      <c r="C69" s="1419"/>
      <c r="D69" s="1419"/>
      <c r="E69" s="1419"/>
      <c r="F69" s="1419"/>
      <c r="G69" s="1419"/>
      <c r="H69" s="1419"/>
      <c r="I69" s="1419"/>
      <c r="J69" s="1419"/>
      <c r="K69" s="1419"/>
      <c r="L69" s="1363"/>
      <c r="M69" s="1363"/>
      <c r="N69" s="1363"/>
      <c r="O69" s="1363"/>
      <c r="P69" s="1363"/>
      <c r="Q69" s="1363"/>
      <c r="R69" s="1363"/>
    </row>
    <row r="70" spans="1:23" s="117" customFormat="1" ht="11.25" customHeight="1" x14ac:dyDescent="0.2">
      <c r="A70" s="1402" t="s">
        <v>469</v>
      </c>
      <c r="B70" s="1391" t="s">
        <v>85</v>
      </c>
      <c r="C70" s="1409" t="s">
        <v>57</v>
      </c>
      <c r="D70" s="1408"/>
      <c r="E70" s="1408" t="s">
        <v>58</v>
      </c>
      <c r="F70" s="1408"/>
      <c r="G70" s="1408" t="s">
        <v>59</v>
      </c>
      <c r="H70" s="1408"/>
      <c r="I70" s="1410"/>
      <c r="J70" s="1409"/>
      <c r="K70" s="307" t="s">
        <v>60</v>
      </c>
      <c r="L70" s="1411" t="s">
        <v>470</v>
      </c>
      <c r="M70" s="1407"/>
      <c r="N70" s="1407" t="s">
        <v>471</v>
      </c>
      <c r="O70" s="1407"/>
      <c r="P70" s="1407" t="s">
        <v>472</v>
      </c>
      <c r="Q70" s="1407"/>
      <c r="R70" s="303" t="s">
        <v>592</v>
      </c>
      <c r="S70" s="550"/>
    </row>
    <row r="71" spans="1:23" ht="31.5" customHeight="1" x14ac:dyDescent="0.2">
      <c r="A71" s="1403"/>
      <c r="B71" s="1392"/>
      <c r="C71" s="1413" t="s">
        <v>551</v>
      </c>
      <c r="D71" s="1416"/>
      <c r="E71" s="1416"/>
      <c r="F71" s="1416"/>
      <c r="G71" s="1416"/>
      <c r="H71" s="1416"/>
      <c r="I71" s="1416"/>
      <c r="J71" s="1416"/>
      <c r="K71" s="1417"/>
      <c r="L71" s="1413" t="s">
        <v>514</v>
      </c>
      <c r="M71" s="1414"/>
      <c r="N71" s="1414"/>
      <c r="O71" s="1414"/>
      <c r="P71" s="1414"/>
      <c r="Q71" s="1414"/>
      <c r="R71" s="1415"/>
    </row>
    <row r="72" spans="1:23" ht="36" customHeight="1" thickBot="1" x14ac:dyDescent="0.25">
      <c r="A72" s="1403"/>
      <c r="B72" s="1392"/>
      <c r="C72" s="1394" t="s">
        <v>452</v>
      </c>
      <c r="D72" s="1395"/>
      <c r="E72" s="1395" t="s">
        <v>453</v>
      </c>
      <c r="F72" s="1395"/>
      <c r="G72" s="1395" t="s">
        <v>22</v>
      </c>
      <c r="H72" s="1395"/>
      <c r="I72" s="1396"/>
      <c r="J72" s="1397"/>
      <c r="K72" s="1405" t="s">
        <v>529</v>
      </c>
      <c r="L72" s="1394" t="s">
        <v>452</v>
      </c>
      <c r="M72" s="1395"/>
      <c r="N72" s="1395" t="s">
        <v>453</v>
      </c>
      <c r="O72" s="1395"/>
      <c r="P72" s="1395" t="s">
        <v>22</v>
      </c>
      <c r="Q72" s="1395"/>
      <c r="R72" s="1400" t="s">
        <v>529</v>
      </c>
    </row>
    <row r="73" spans="1:23" ht="35.25" customHeight="1" thickBot="1" x14ac:dyDescent="0.25">
      <c r="A73" s="1403"/>
      <c r="B73" s="1392"/>
      <c r="C73" s="1394"/>
      <c r="D73" s="1395"/>
      <c r="E73" s="1395"/>
      <c r="F73" s="1395"/>
      <c r="G73" s="1395"/>
      <c r="H73" s="1395"/>
      <c r="I73" s="1398"/>
      <c r="J73" s="1399"/>
      <c r="K73" s="1405"/>
      <c r="L73" s="1394"/>
      <c r="M73" s="1395"/>
      <c r="N73" s="1395"/>
      <c r="O73" s="1395"/>
      <c r="P73" s="1395"/>
      <c r="Q73" s="1395"/>
      <c r="R73" s="1400"/>
    </row>
    <row r="74" spans="1:23" ht="32.25" customHeight="1" thickBot="1" x14ac:dyDescent="0.25">
      <c r="A74" s="1404"/>
      <c r="B74" s="1393"/>
      <c r="C74" s="486" t="s">
        <v>62</v>
      </c>
      <c r="D74" s="309" t="s">
        <v>63</v>
      </c>
      <c r="E74" s="308" t="s">
        <v>62</v>
      </c>
      <c r="F74" s="308" t="s">
        <v>63</v>
      </c>
      <c r="G74" s="308" t="s">
        <v>62</v>
      </c>
      <c r="H74" s="308" t="s">
        <v>63</v>
      </c>
      <c r="I74" s="308" t="s">
        <v>62</v>
      </c>
      <c r="J74" s="308" t="s">
        <v>63</v>
      </c>
      <c r="K74" s="1406"/>
      <c r="L74" s="311" t="s">
        <v>62</v>
      </c>
      <c r="M74" s="312" t="s">
        <v>63</v>
      </c>
      <c r="N74" s="306" t="s">
        <v>62</v>
      </c>
      <c r="O74" s="306" t="s">
        <v>63</v>
      </c>
      <c r="P74" s="306" t="s">
        <v>62</v>
      </c>
      <c r="Q74" s="306" t="s">
        <v>63</v>
      </c>
      <c r="R74" s="1401"/>
    </row>
    <row r="75" spans="1:23" ht="17.25" customHeight="1" x14ac:dyDescent="0.2">
      <c r="A75" s="224">
        <v>1</v>
      </c>
      <c r="B75" s="546" t="s">
        <v>554</v>
      </c>
      <c r="C75" s="243">
        <v>10</v>
      </c>
      <c r="D75" s="243">
        <v>0</v>
      </c>
      <c r="E75" s="243"/>
      <c r="F75" s="243"/>
      <c r="G75" s="243"/>
      <c r="H75" s="243"/>
      <c r="I75" s="243"/>
      <c r="J75" s="243"/>
      <c r="K75" s="485">
        <f>SUM(C75:H75)</f>
        <v>10</v>
      </c>
      <c r="L75" s="313">
        <v>20</v>
      </c>
      <c r="M75" s="313">
        <v>188</v>
      </c>
      <c r="N75" s="313"/>
      <c r="O75" s="313"/>
      <c r="P75" s="313"/>
      <c r="Q75" s="313"/>
      <c r="R75" s="314">
        <f>SUM(L75:Q75)</f>
        <v>208</v>
      </c>
    </row>
    <row r="76" spans="1:23" ht="17.25" customHeight="1" x14ac:dyDescent="0.2">
      <c r="A76" s="224">
        <v>2</v>
      </c>
      <c r="B76" s="547" t="s">
        <v>553</v>
      </c>
      <c r="C76" s="243"/>
      <c r="D76" s="243">
        <v>284</v>
      </c>
      <c r="E76" s="243"/>
      <c r="F76" s="243"/>
      <c r="G76" s="243"/>
      <c r="H76" s="243"/>
      <c r="I76" s="243"/>
      <c r="J76" s="243"/>
      <c r="K76" s="513">
        <f>SUM(C76:H76)</f>
        <v>284</v>
      </c>
      <c r="L76" s="243"/>
      <c r="M76" s="243"/>
      <c r="N76" s="243"/>
      <c r="O76" s="243"/>
      <c r="P76" s="243"/>
      <c r="Q76" s="243"/>
      <c r="R76" s="507"/>
    </row>
    <row r="77" spans="1:23" ht="17.25" customHeight="1" x14ac:dyDescent="0.2">
      <c r="A77" s="224">
        <v>3</v>
      </c>
      <c r="B77" s="547" t="s">
        <v>552</v>
      </c>
      <c r="C77" s="243">
        <v>3</v>
      </c>
      <c r="D77" s="243">
        <v>78</v>
      </c>
      <c r="E77" s="243"/>
      <c r="F77" s="243"/>
      <c r="G77" s="243"/>
      <c r="H77" s="243"/>
      <c r="I77" s="243"/>
      <c r="J77" s="243"/>
      <c r="K77" s="513">
        <f>SUM(C77:H77)</f>
        <v>81</v>
      </c>
      <c r="L77" s="243"/>
      <c r="M77" s="243"/>
      <c r="N77" s="243"/>
      <c r="O77" s="243"/>
      <c r="P77" s="243"/>
      <c r="Q77" s="243"/>
      <c r="R77" s="507"/>
    </row>
    <row r="78" spans="1:23" ht="17.25" customHeight="1" x14ac:dyDescent="0.2">
      <c r="A78" s="214">
        <v>4</v>
      </c>
      <c r="B78" s="547" t="s">
        <v>555</v>
      </c>
      <c r="C78" s="545">
        <v>2</v>
      </c>
      <c r="D78" s="310"/>
      <c r="E78" s="310"/>
      <c r="F78" s="310"/>
      <c r="G78" s="310"/>
      <c r="H78" s="310"/>
      <c r="I78" s="310"/>
      <c r="J78" s="310"/>
      <c r="K78" s="513">
        <f>SUM(C78:H78)</f>
        <v>2</v>
      </c>
      <c r="L78" s="315"/>
      <c r="M78" s="315"/>
      <c r="N78" s="315"/>
      <c r="O78" s="315"/>
      <c r="P78" s="315"/>
      <c r="Q78" s="315"/>
      <c r="R78" s="316"/>
    </row>
    <row r="79" spans="1:23" ht="17.25" customHeight="1" thickBot="1" x14ac:dyDescent="0.25">
      <c r="A79" s="514">
        <v>5</v>
      </c>
      <c r="B79" s="548" t="s">
        <v>556</v>
      </c>
      <c r="C79" s="545"/>
      <c r="D79" s="310">
        <v>40</v>
      </c>
      <c r="E79" s="310"/>
      <c r="F79" s="310"/>
      <c r="G79" s="310"/>
      <c r="H79" s="310"/>
      <c r="I79" s="310"/>
      <c r="J79" s="310"/>
      <c r="K79" s="549">
        <f>SUM(C79:J79)</f>
        <v>40</v>
      </c>
      <c r="L79" s="315"/>
      <c r="M79" s="315"/>
      <c r="N79" s="315"/>
      <c r="O79" s="315"/>
      <c r="P79" s="315"/>
      <c r="Q79" s="315"/>
      <c r="R79" s="316"/>
    </row>
    <row r="80" spans="1:23" ht="17.25" customHeight="1" thickBot="1" x14ac:dyDescent="0.25">
      <c r="A80" s="501" t="s">
        <v>265</v>
      </c>
      <c r="B80" s="508"/>
      <c r="C80" s="509">
        <f>SUM(C74:C78)</f>
        <v>15</v>
      </c>
      <c r="D80" s="509">
        <f>SUM(D74:D79)</f>
        <v>402</v>
      </c>
      <c r="E80" s="510">
        <f>SUM(E74)</f>
        <v>0</v>
      </c>
      <c r="F80" s="510">
        <f>SUM(F74)</f>
        <v>0</v>
      </c>
      <c r="G80" s="510">
        <f>SUM(G74)</f>
        <v>0</v>
      </c>
      <c r="H80" s="510">
        <f>SUM(H74:H78)</f>
        <v>0</v>
      </c>
      <c r="I80" s="511"/>
      <c r="J80" s="511"/>
      <c r="K80" s="512">
        <f>SUM(K74:K79)</f>
        <v>417</v>
      </c>
      <c r="L80" s="484">
        <f>SUM(L75:L78)</f>
        <v>20</v>
      </c>
      <c r="M80" s="304">
        <f>SUM(M75:M78)</f>
        <v>188</v>
      </c>
      <c r="N80" s="304"/>
      <c r="O80" s="304"/>
      <c r="P80" s="304"/>
      <c r="Q80" s="304"/>
      <c r="R80" s="317">
        <f>SUM(L80:Q80)</f>
        <v>208</v>
      </c>
      <c r="S80" s="551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V83"/>
  <sheetViews>
    <sheetView zoomScale="130" zoomScaleNormal="13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32" customWidth="1"/>
    <col min="3" max="3" width="26.7109375" style="339" customWidth="1"/>
    <col min="4" max="4" width="5.85546875" style="340" customWidth="1"/>
    <col min="5" max="5" width="6.7109375" style="341" customWidth="1"/>
    <col min="6" max="6" width="5.85546875" style="341" customWidth="1"/>
    <col min="7" max="7" width="6.42578125" style="341" customWidth="1"/>
    <col min="8" max="8" width="5.28515625" style="341" customWidth="1"/>
    <col min="9" max="9" width="6.42578125" style="341" customWidth="1"/>
    <col min="10" max="10" width="5.7109375" style="341" customWidth="1"/>
    <col min="11" max="11" width="5.5703125" style="341" customWidth="1"/>
    <col min="12" max="12" width="6" style="341" customWidth="1"/>
    <col min="13" max="15" width="5.85546875" style="341" customWidth="1"/>
    <col min="16" max="16" width="4.7109375" style="341" customWidth="1"/>
    <col min="17" max="17" width="5" style="341" customWidth="1"/>
    <col min="18" max="18" width="6.5703125" style="341" bestFit="1" customWidth="1"/>
    <col min="19" max="19" width="12.85546875" style="331" customWidth="1"/>
    <col min="20" max="22" width="9.140625" style="331"/>
    <col min="23" max="16384" width="9.140625" style="80"/>
  </cols>
  <sheetData>
    <row r="1" spans="1:22" ht="12.75" x14ac:dyDescent="0.2">
      <c r="B1" s="1412" t="s">
        <v>1406</v>
      </c>
      <c r="C1" s="1439"/>
      <c r="D1" s="1439"/>
      <c r="E1" s="1439"/>
      <c r="F1" s="1439"/>
      <c r="G1" s="1439"/>
      <c r="H1" s="1439"/>
      <c r="I1" s="1439"/>
      <c r="J1" s="1439"/>
      <c r="K1" s="1439"/>
      <c r="L1" s="1439"/>
      <c r="M1" s="1439"/>
      <c r="N1" s="1439"/>
      <c r="O1" s="1439"/>
      <c r="P1" s="1439"/>
      <c r="Q1" s="1439"/>
      <c r="R1" s="1439"/>
    </row>
    <row r="2" spans="1:22" ht="12.75" x14ac:dyDescent="0.2">
      <c r="B2" s="1440" t="s">
        <v>77</v>
      </c>
      <c r="C2" s="1441"/>
      <c r="D2" s="1441"/>
      <c r="E2" s="1441"/>
      <c r="F2" s="1441"/>
      <c r="G2" s="1441"/>
      <c r="H2" s="1441"/>
      <c r="I2" s="1441"/>
      <c r="J2" s="1441"/>
      <c r="K2" s="1441"/>
      <c r="L2" s="1441"/>
      <c r="M2" s="1441"/>
      <c r="N2" s="1441"/>
      <c r="O2" s="1441"/>
      <c r="P2" s="1441"/>
      <c r="Q2" s="1441"/>
      <c r="R2" s="1441"/>
    </row>
    <row r="3" spans="1:22" ht="12.75" x14ac:dyDescent="0.2">
      <c r="A3" s="81"/>
      <c r="B3" s="1271" t="s">
        <v>1147</v>
      </c>
      <c r="C3" s="1439"/>
      <c r="D3" s="1439"/>
      <c r="E3" s="1439"/>
      <c r="F3" s="1439"/>
      <c r="G3" s="1439"/>
      <c r="H3" s="1439"/>
      <c r="I3" s="1439"/>
      <c r="J3" s="1439"/>
      <c r="K3" s="1439"/>
      <c r="L3" s="1439"/>
      <c r="M3" s="1439"/>
      <c r="N3" s="1439"/>
      <c r="O3" s="1439"/>
      <c r="P3" s="1439"/>
      <c r="Q3" s="1439"/>
      <c r="R3" s="1439"/>
    </row>
    <row r="4" spans="1:22" x14ac:dyDescent="0.2">
      <c r="A4" s="81"/>
      <c r="C4" s="1452" t="s">
        <v>302</v>
      </c>
      <c r="D4" s="1452"/>
      <c r="E4" s="1452"/>
      <c r="F4" s="1452"/>
      <c r="G4" s="1452"/>
      <c r="H4" s="1452"/>
      <c r="I4" s="1452"/>
      <c r="J4" s="1452"/>
      <c r="K4" s="1452"/>
      <c r="L4" s="1452"/>
      <c r="M4" s="1452"/>
      <c r="N4" s="1452"/>
      <c r="O4" s="1452"/>
      <c r="P4" s="1452"/>
      <c r="Q4" s="1452"/>
      <c r="R4" s="1452"/>
    </row>
    <row r="5" spans="1:22" x14ac:dyDescent="0.2">
      <c r="A5" s="824"/>
      <c r="B5" s="1442" t="s">
        <v>469</v>
      </c>
      <c r="C5" s="822" t="s">
        <v>57</v>
      </c>
      <c r="D5" s="1436" t="s">
        <v>58</v>
      </c>
      <c r="E5" s="1435"/>
      <c r="F5" s="1436" t="s">
        <v>59</v>
      </c>
      <c r="G5" s="1435"/>
      <c r="H5" s="1436" t="s">
        <v>591</v>
      </c>
      <c r="I5" s="1435"/>
      <c r="J5" s="1436" t="s">
        <v>470</v>
      </c>
      <c r="K5" s="1435"/>
      <c r="L5" s="1434" t="s">
        <v>471</v>
      </c>
      <c r="M5" s="1435"/>
      <c r="N5" s="1434" t="s">
        <v>472</v>
      </c>
      <c r="O5" s="1435"/>
      <c r="P5" s="1434" t="s">
        <v>592</v>
      </c>
      <c r="Q5" s="1435"/>
      <c r="R5" s="516" t="s">
        <v>600</v>
      </c>
    </row>
    <row r="6" spans="1:22" ht="12.75" x14ac:dyDescent="0.2">
      <c r="A6" s="824"/>
      <c r="B6" s="1443"/>
      <c r="C6" s="823"/>
      <c r="D6" s="1453" t="s">
        <v>1137</v>
      </c>
      <c r="E6" s="1454"/>
      <c r="F6" s="1454"/>
      <c r="G6" s="1454"/>
      <c r="H6" s="1454"/>
      <c r="I6" s="1454"/>
      <c r="J6" s="1454"/>
      <c r="K6" s="1454"/>
      <c r="L6" s="1454"/>
      <c r="M6" s="1454"/>
      <c r="N6" s="1454"/>
      <c r="O6" s="1454"/>
      <c r="P6" s="1454"/>
      <c r="Q6" s="1454"/>
      <c r="R6" s="1455"/>
    </row>
    <row r="7" spans="1:22" ht="24.95" customHeight="1" x14ac:dyDescent="0.2">
      <c r="A7" s="824"/>
      <c r="B7" s="1443"/>
      <c r="C7" s="1429" t="s">
        <v>85</v>
      </c>
      <c r="D7" s="1445" t="s">
        <v>451</v>
      </c>
      <c r="E7" s="1438"/>
      <c r="F7" s="1437" t="s">
        <v>21</v>
      </c>
      <c r="G7" s="1437"/>
      <c r="H7" s="1437" t="s">
        <v>449</v>
      </c>
      <c r="I7" s="1437"/>
      <c r="J7" s="1438" t="s">
        <v>459</v>
      </c>
      <c r="K7" s="1438"/>
      <c r="L7" s="1438" t="s">
        <v>458</v>
      </c>
      <c r="M7" s="1438"/>
      <c r="N7" s="1396" t="s">
        <v>266</v>
      </c>
      <c r="O7" s="1446"/>
      <c r="P7" s="1438" t="s">
        <v>450</v>
      </c>
      <c r="Q7" s="1438"/>
      <c r="R7" s="1449" t="s">
        <v>529</v>
      </c>
    </row>
    <row r="8" spans="1:22" ht="26.25" customHeight="1" x14ac:dyDescent="0.2">
      <c r="A8" s="824"/>
      <c r="B8" s="1443"/>
      <c r="C8" s="1430"/>
      <c r="D8" s="1445"/>
      <c r="E8" s="1438"/>
      <c r="F8" s="1437"/>
      <c r="G8" s="1437"/>
      <c r="H8" s="1437"/>
      <c r="I8" s="1437"/>
      <c r="J8" s="1438"/>
      <c r="K8" s="1438"/>
      <c r="L8" s="1438"/>
      <c r="M8" s="1438"/>
      <c r="N8" s="1447"/>
      <c r="O8" s="1448"/>
      <c r="P8" s="1438"/>
      <c r="Q8" s="1438"/>
      <c r="R8" s="1450"/>
      <c r="S8" s="788"/>
      <c r="T8" s="338"/>
    </row>
    <row r="9" spans="1:22" s="266" customFormat="1" ht="40.9" customHeight="1" x14ac:dyDescent="0.15">
      <c r="A9" s="825"/>
      <c r="B9" s="1444"/>
      <c r="C9" s="1431"/>
      <c r="D9" s="333" t="s">
        <v>62</v>
      </c>
      <c r="E9" s="334" t="s">
        <v>63</v>
      </c>
      <c r="F9" s="335" t="s">
        <v>62</v>
      </c>
      <c r="G9" s="334" t="s">
        <v>63</v>
      </c>
      <c r="H9" s="335" t="s">
        <v>62</v>
      </c>
      <c r="I9" s="334" t="s">
        <v>63</v>
      </c>
      <c r="J9" s="335" t="s">
        <v>62</v>
      </c>
      <c r="K9" s="335" t="s">
        <v>63</v>
      </c>
      <c r="L9" s="335" t="s">
        <v>62</v>
      </c>
      <c r="M9" s="334" t="s">
        <v>63</v>
      </c>
      <c r="N9" s="335" t="s">
        <v>62</v>
      </c>
      <c r="O9" s="334" t="s">
        <v>63</v>
      </c>
      <c r="P9" s="335" t="s">
        <v>62</v>
      </c>
      <c r="Q9" s="335" t="s">
        <v>63</v>
      </c>
      <c r="R9" s="1451"/>
      <c r="S9" s="336"/>
      <c r="T9" s="336"/>
      <c r="U9" s="336"/>
      <c r="V9" s="336"/>
    </row>
    <row r="10" spans="1:22" s="266" customFormat="1" ht="15" customHeight="1" x14ac:dyDescent="0.2">
      <c r="A10" s="825"/>
      <c r="B10" s="900" t="s">
        <v>479</v>
      </c>
      <c r="C10" s="821" t="s">
        <v>981</v>
      </c>
      <c r="D10" s="798">
        <v>0</v>
      </c>
      <c r="E10" s="798"/>
      <c r="F10" s="799">
        <v>0</v>
      </c>
      <c r="G10" s="798"/>
      <c r="H10" s="804">
        <v>180</v>
      </c>
      <c r="I10" s="798"/>
      <c r="J10" s="804"/>
      <c r="K10" s="801"/>
      <c r="L10" s="799"/>
      <c r="M10" s="1092"/>
      <c r="N10" s="798"/>
      <c r="O10" s="798"/>
      <c r="P10" s="799"/>
      <c r="Q10" s="798"/>
      <c r="R10" s="796">
        <f>SUM(D10:Q10)</f>
        <v>180</v>
      </c>
      <c r="S10" s="723"/>
      <c r="T10" s="724"/>
      <c r="U10" s="336"/>
      <c r="V10" s="336"/>
    </row>
    <row r="11" spans="1:22" s="266" customFormat="1" ht="23.25" customHeight="1" x14ac:dyDescent="0.2">
      <c r="A11" s="825"/>
      <c r="B11" s="900" t="s">
        <v>487</v>
      </c>
      <c r="C11" s="821" t="s">
        <v>980</v>
      </c>
      <c r="D11" s="803">
        <v>4098</v>
      </c>
      <c r="E11" s="803"/>
      <c r="F11" s="804">
        <v>902</v>
      </c>
      <c r="G11" s="798"/>
      <c r="H11" s="804">
        <v>26740</v>
      </c>
      <c r="I11" s="798"/>
      <c r="J11" s="799"/>
      <c r="K11" s="801"/>
      <c r="L11" s="799"/>
      <c r="M11" s="802"/>
      <c r="N11" s="798"/>
      <c r="O11" s="798"/>
      <c r="P11" s="799"/>
      <c r="Q11" s="798"/>
      <c r="R11" s="796">
        <f>SUM(D11:Q11)</f>
        <v>31740</v>
      </c>
      <c r="S11" s="723"/>
      <c r="T11" s="724"/>
      <c r="U11" s="336"/>
      <c r="V11" s="336"/>
    </row>
    <row r="12" spans="1:22" s="266" customFormat="1" ht="20.25" customHeight="1" x14ac:dyDescent="0.2">
      <c r="A12" s="825"/>
      <c r="B12" s="900" t="s">
        <v>488</v>
      </c>
      <c r="C12" s="795" t="s">
        <v>1229</v>
      </c>
      <c r="D12" s="803"/>
      <c r="E12" s="803"/>
      <c r="F12" s="804"/>
      <c r="G12" s="798"/>
      <c r="H12" s="804">
        <v>17665</v>
      </c>
      <c r="I12" s="798"/>
      <c r="J12" s="799"/>
      <c r="K12" s="801"/>
      <c r="L12" s="799"/>
      <c r="M12" s="802"/>
      <c r="N12" s="798"/>
      <c r="O12" s="798"/>
      <c r="P12" s="799"/>
      <c r="Q12" s="798"/>
      <c r="R12" s="796">
        <f>SUM(D12:Q12)</f>
        <v>17665</v>
      </c>
      <c r="S12" s="723"/>
      <c r="T12" s="724"/>
      <c r="U12" s="336"/>
      <c r="V12" s="336"/>
    </row>
    <row r="13" spans="1:22" s="330" customFormat="1" ht="13.5" customHeight="1" x14ac:dyDescent="0.2">
      <c r="A13" s="826"/>
      <c r="B13" s="900" t="s">
        <v>489</v>
      </c>
      <c r="C13" s="899" t="s">
        <v>986</v>
      </c>
      <c r="D13" s="797"/>
      <c r="E13" s="798"/>
      <c r="F13" s="799"/>
      <c r="G13" s="798"/>
      <c r="H13" s="800"/>
      <c r="I13" s="789">
        <v>5000</v>
      </c>
      <c r="J13" s="800"/>
      <c r="K13" s="801"/>
      <c r="L13" s="799"/>
      <c r="M13" s="802"/>
      <c r="N13" s="798"/>
      <c r="O13" s="798"/>
      <c r="P13" s="799"/>
      <c r="Q13" s="798"/>
      <c r="R13" s="796">
        <f t="shared" ref="R13:R72" si="0">SUM(D13:Q13)</f>
        <v>5000</v>
      </c>
      <c r="S13" s="116"/>
      <c r="T13" s="331"/>
      <c r="U13" s="331"/>
      <c r="V13" s="331"/>
    </row>
    <row r="14" spans="1:22" s="330" customFormat="1" ht="17.25" customHeight="1" x14ac:dyDescent="0.2">
      <c r="A14" s="826"/>
      <c r="B14" s="900" t="s">
        <v>490</v>
      </c>
      <c r="C14" s="795" t="s">
        <v>979</v>
      </c>
      <c r="D14" s="797"/>
      <c r="E14" s="798"/>
      <c r="F14" s="799"/>
      <c r="G14" s="798"/>
      <c r="H14" s="800">
        <v>1969</v>
      </c>
      <c r="I14" s="279"/>
      <c r="J14" s="800"/>
      <c r="K14" s="801"/>
      <c r="L14" s="799"/>
      <c r="M14" s="802"/>
      <c r="N14" s="798"/>
      <c r="O14" s="798"/>
      <c r="P14" s="799"/>
      <c r="Q14" s="798"/>
      <c r="R14" s="796">
        <f t="shared" si="0"/>
        <v>1969</v>
      </c>
      <c r="S14" s="723"/>
      <c r="T14" s="724"/>
      <c r="U14" s="331"/>
      <c r="V14" s="331"/>
    </row>
    <row r="15" spans="1:22" s="330" customFormat="1" ht="16.5" customHeight="1" x14ac:dyDescent="0.2">
      <c r="A15" s="826"/>
      <c r="B15" s="900" t="s">
        <v>491</v>
      </c>
      <c r="C15" s="795" t="s">
        <v>1091</v>
      </c>
      <c r="D15" s="797"/>
      <c r="E15" s="798"/>
      <c r="F15" s="799"/>
      <c r="G15" s="798"/>
      <c r="H15" s="800"/>
      <c r="I15" s="789"/>
      <c r="J15" s="800"/>
      <c r="K15" s="801"/>
      <c r="L15" s="799"/>
      <c r="M15" s="802"/>
      <c r="N15" s="798"/>
      <c r="O15" s="798"/>
      <c r="P15" s="799"/>
      <c r="Q15" s="803">
        <f>'ellátottak önk.'!F13</f>
        <v>500</v>
      </c>
      <c r="R15" s="796">
        <f t="shared" si="0"/>
        <v>500</v>
      </c>
      <c r="S15" s="331"/>
      <c r="T15" s="331"/>
      <c r="U15" s="331"/>
      <c r="V15" s="331"/>
    </row>
    <row r="16" spans="1:22" s="330" customFormat="1" ht="16.5" customHeight="1" x14ac:dyDescent="0.2">
      <c r="A16" s="826"/>
      <c r="B16" s="900" t="s">
        <v>492</v>
      </c>
      <c r="C16" s="795" t="s">
        <v>1090</v>
      </c>
      <c r="D16" s="797"/>
      <c r="E16" s="798"/>
      <c r="F16" s="799"/>
      <c r="G16" s="798"/>
      <c r="H16" s="800"/>
      <c r="I16" s="789"/>
      <c r="J16" s="800"/>
      <c r="K16" s="801"/>
      <c r="L16" s="799"/>
      <c r="M16" s="802"/>
      <c r="N16" s="798"/>
      <c r="O16" s="798"/>
      <c r="P16" s="799"/>
      <c r="Q16" s="803">
        <v>600</v>
      </c>
      <c r="R16" s="796">
        <f t="shared" ref="R16:R27" si="1">SUM(D16:Q16)</f>
        <v>600</v>
      </c>
      <c r="S16" s="331"/>
      <c r="T16" s="331"/>
      <c r="U16" s="331"/>
      <c r="V16" s="331"/>
    </row>
    <row r="17" spans="1:22" s="330" customFormat="1" ht="16.5" customHeight="1" x14ac:dyDescent="0.2">
      <c r="A17" s="826"/>
      <c r="B17" s="900" t="s">
        <v>493</v>
      </c>
      <c r="C17" s="795" t="s">
        <v>1092</v>
      </c>
      <c r="D17" s="797"/>
      <c r="E17" s="798"/>
      <c r="F17" s="799"/>
      <c r="G17" s="798"/>
      <c r="H17" s="800"/>
      <c r="I17" s="789"/>
      <c r="J17" s="800"/>
      <c r="K17" s="801"/>
      <c r="L17" s="799"/>
      <c r="M17" s="802"/>
      <c r="N17" s="798"/>
      <c r="O17" s="798"/>
      <c r="P17" s="799"/>
      <c r="Q17" s="803">
        <v>800</v>
      </c>
      <c r="R17" s="796">
        <f t="shared" si="1"/>
        <v>800</v>
      </c>
      <c r="S17" s="331"/>
      <c r="T17" s="331"/>
      <c r="U17" s="331"/>
      <c r="V17" s="331"/>
    </row>
    <row r="18" spans="1:22" s="330" customFormat="1" ht="15.75" customHeight="1" x14ac:dyDescent="0.2">
      <c r="A18" s="826"/>
      <c r="B18" s="900" t="s">
        <v>494</v>
      </c>
      <c r="C18" s="795" t="s">
        <v>1093</v>
      </c>
      <c r="D18" s="797"/>
      <c r="E18" s="798"/>
      <c r="F18" s="799"/>
      <c r="G18" s="798"/>
      <c r="H18" s="800"/>
      <c r="I18" s="789"/>
      <c r="J18" s="800"/>
      <c r="K18" s="801"/>
      <c r="L18" s="799"/>
      <c r="M18" s="802"/>
      <c r="N18" s="798"/>
      <c r="O18" s="798"/>
      <c r="P18" s="799"/>
      <c r="Q18" s="803">
        <v>1000</v>
      </c>
      <c r="R18" s="796">
        <f t="shared" si="1"/>
        <v>1000</v>
      </c>
      <c r="S18" s="331"/>
      <c r="T18" s="331"/>
      <c r="U18" s="331"/>
      <c r="V18" s="331"/>
    </row>
    <row r="19" spans="1:22" s="330" customFormat="1" ht="13.5" customHeight="1" x14ac:dyDescent="0.2">
      <c r="A19" s="826"/>
      <c r="B19" s="900" t="s">
        <v>530</v>
      </c>
      <c r="C19" s="795" t="s">
        <v>1094</v>
      </c>
      <c r="D19" s="797"/>
      <c r="E19" s="798"/>
      <c r="F19" s="799"/>
      <c r="G19" s="798"/>
      <c r="H19" s="800"/>
      <c r="I19" s="789"/>
      <c r="J19" s="800"/>
      <c r="K19" s="801"/>
      <c r="L19" s="799"/>
      <c r="M19" s="802"/>
      <c r="N19" s="798"/>
      <c r="O19" s="798"/>
      <c r="P19" s="799"/>
      <c r="Q19" s="803">
        <v>717</v>
      </c>
      <c r="R19" s="796">
        <f t="shared" si="1"/>
        <v>717</v>
      </c>
      <c r="S19" s="331"/>
      <c r="T19" s="331"/>
      <c r="U19" s="331"/>
      <c r="V19" s="331"/>
    </row>
    <row r="20" spans="1:22" s="330" customFormat="1" ht="13.5" customHeight="1" x14ac:dyDescent="0.2">
      <c r="A20" s="826"/>
      <c r="B20" s="900" t="s">
        <v>531</v>
      </c>
      <c r="C20" s="795" t="s">
        <v>1095</v>
      </c>
      <c r="D20" s="797"/>
      <c r="E20" s="798"/>
      <c r="F20" s="799"/>
      <c r="G20" s="798"/>
      <c r="H20" s="800"/>
      <c r="I20" s="789"/>
      <c r="J20" s="800"/>
      <c r="K20" s="801"/>
      <c r="L20" s="799"/>
      <c r="M20" s="802"/>
      <c r="N20" s="798"/>
      <c r="O20" s="798"/>
      <c r="P20" s="804">
        <v>2137</v>
      </c>
      <c r="Q20" s="803"/>
      <c r="R20" s="796">
        <f t="shared" si="1"/>
        <v>2137</v>
      </c>
      <c r="S20" s="331"/>
      <c r="T20" s="331"/>
      <c r="U20" s="331"/>
      <c r="V20" s="331"/>
    </row>
    <row r="21" spans="1:22" s="330" customFormat="1" ht="12" customHeight="1" x14ac:dyDescent="0.2">
      <c r="A21" s="826"/>
      <c r="B21" s="900" t="s">
        <v>532</v>
      </c>
      <c r="C21" s="795" t="s">
        <v>1332</v>
      </c>
      <c r="D21" s="797"/>
      <c r="E21" s="798"/>
      <c r="F21" s="799"/>
      <c r="G21" s="798"/>
      <c r="H21" s="800"/>
      <c r="I21" s="789"/>
      <c r="J21" s="800"/>
      <c r="K21" s="801"/>
      <c r="L21" s="799"/>
      <c r="M21" s="802"/>
      <c r="N21" s="798"/>
      <c r="O21" s="798"/>
      <c r="P21" s="799"/>
      <c r="Q21" s="803">
        <f>'ellátottak önk.'!F22</f>
        <v>1100</v>
      </c>
      <c r="R21" s="796">
        <f t="shared" si="1"/>
        <v>1100</v>
      </c>
      <c r="S21" s="331"/>
      <c r="T21" s="331"/>
      <c r="U21" s="331"/>
      <c r="V21" s="331"/>
    </row>
    <row r="22" spans="1:22" s="330" customFormat="1" ht="15" customHeight="1" x14ac:dyDescent="0.2">
      <c r="A22" s="826"/>
      <c r="B22" s="900" t="s">
        <v>533</v>
      </c>
      <c r="C22" s="795" t="s">
        <v>1333</v>
      </c>
      <c r="D22" s="797"/>
      <c r="E22" s="798"/>
      <c r="F22" s="799"/>
      <c r="G22" s="798"/>
      <c r="H22" s="800"/>
      <c r="I22" s="789"/>
      <c r="J22" s="800"/>
      <c r="K22" s="801"/>
      <c r="L22" s="799"/>
      <c r="M22" s="802"/>
      <c r="N22" s="798"/>
      <c r="O22" s="798"/>
      <c r="P22" s="799"/>
      <c r="Q22" s="803">
        <f>'ellátottak önk.'!F21</f>
        <v>1846</v>
      </c>
      <c r="R22" s="796">
        <f t="shared" si="1"/>
        <v>1846</v>
      </c>
      <c r="S22" s="331"/>
      <c r="T22" s="331"/>
      <c r="U22" s="331"/>
      <c r="V22" s="331"/>
    </row>
    <row r="23" spans="1:22" s="330" customFormat="1" ht="13.5" customHeight="1" x14ac:dyDescent="0.2">
      <c r="A23" s="826"/>
      <c r="B23" s="900" t="s">
        <v>534</v>
      </c>
      <c r="C23" s="795" t="s">
        <v>1096</v>
      </c>
      <c r="D23" s="797"/>
      <c r="E23" s="798"/>
      <c r="F23" s="799"/>
      <c r="G23" s="798"/>
      <c r="H23" s="800">
        <v>121</v>
      </c>
      <c r="I23" s="789"/>
      <c r="J23" s="800"/>
      <c r="K23" s="801"/>
      <c r="L23" s="799"/>
      <c r="M23" s="802"/>
      <c r="N23" s="798"/>
      <c r="O23" s="798"/>
      <c r="P23" s="804">
        <v>389</v>
      </c>
      <c r="Q23" s="803">
        <f>'ellátottak önk.'!F20</f>
        <v>0</v>
      </c>
      <c r="R23" s="796">
        <f t="shared" si="1"/>
        <v>510</v>
      </c>
      <c r="S23" s="331"/>
      <c r="T23" s="331"/>
      <c r="U23" s="331"/>
      <c r="V23" s="331"/>
    </row>
    <row r="24" spans="1:22" s="330" customFormat="1" ht="13.5" customHeight="1" x14ac:dyDescent="0.2">
      <c r="A24" s="826"/>
      <c r="B24" s="900" t="s">
        <v>535</v>
      </c>
      <c r="C24" s="795" t="s">
        <v>1322</v>
      </c>
      <c r="D24" s="797"/>
      <c r="E24" s="798"/>
      <c r="F24" s="799"/>
      <c r="G24" s="798"/>
      <c r="H24" s="800"/>
      <c r="I24" s="789"/>
      <c r="J24" s="800"/>
      <c r="K24" s="801"/>
      <c r="L24" s="799"/>
      <c r="M24" s="802"/>
      <c r="N24" s="798"/>
      <c r="O24" s="798"/>
      <c r="P24" s="804"/>
      <c r="Q24" s="803">
        <f>'ellátottak önk.'!F23</f>
        <v>350</v>
      </c>
      <c r="R24" s="796">
        <f t="shared" si="1"/>
        <v>350</v>
      </c>
      <c r="S24" s="331"/>
      <c r="T24" s="331"/>
      <c r="U24" s="331"/>
      <c r="V24" s="331"/>
    </row>
    <row r="25" spans="1:22" s="330" customFormat="1" ht="13.5" customHeight="1" x14ac:dyDescent="0.2">
      <c r="A25" s="826"/>
      <c r="B25" s="900" t="s">
        <v>536</v>
      </c>
      <c r="C25" s="795" t="s">
        <v>988</v>
      </c>
      <c r="D25" s="797"/>
      <c r="E25" s="798"/>
      <c r="F25" s="799"/>
      <c r="G25" s="798"/>
      <c r="H25" s="800"/>
      <c r="I25" s="789"/>
      <c r="J25" s="800"/>
      <c r="K25" s="801"/>
      <c r="L25" s="799"/>
      <c r="M25" s="802"/>
      <c r="N25" s="798"/>
      <c r="O25" s="798"/>
      <c r="P25" s="799"/>
      <c r="Q25" s="803">
        <f>'ellátottak önk.'!F27</f>
        <v>4200</v>
      </c>
      <c r="R25" s="796">
        <f t="shared" si="1"/>
        <v>4200</v>
      </c>
      <c r="S25" s="331"/>
      <c r="T25" s="331"/>
      <c r="U25" s="331"/>
      <c r="V25" s="331"/>
    </row>
    <row r="26" spans="1:22" s="330" customFormat="1" ht="12.75" customHeight="1" x14ac:dyDescent="0.2">
      <c r="A26" s="826"/>
      <c r="B26" s="900" t="s">
        <v>537</v>
      </c>
      <c r="C26" s="795" t="s">
        <v>1323</v>
      </c>
      <c r="D26" s="797"/>
      <c r="E26" s="798"/>
      <c r="F26" s="799"/>
      <c r="G26" s="798"/>
      <c r="H26" s="800"/>
      <c r="I26" s="789">
        <v>400</v>
      </c>
      <c r="J26" s="800"/>
      <c r="K26" s="801"/>
      <c r="L26" s="799"/>
      <c r="M26" s="802"/>
      <c r="N26" s="798"/>
      <c r="O26" s="798"/>
      <c r="P26" s="804"/>
      <c r="Q26" s="803"/>
      <c r="R26" s="796">
        <f t="shared" si="1"/>
        <v>400</v>
      </c>
      <c r="S26" s="722"/>
      <c r="T26" s="331"/>
      <c r="U26" s="331"/>
      <c r="V26" s="331"/>
    </row>
    <row r="27" spans="1:22" s="330" customFormat="1" ht="14.25" customHeight="1" x14ac:dyDescent="0.2">
      <c r="A27" s="826"/>
      <c r="B27" s="900" t="s">
        <v>539</v>
      </c>
      <c r="C27" s="795" t="s">
        <v>1330</v>
      </c>
      <c r="D27" s="797"/>
      <c r="E27" s="798"/>
      <c r="F27" s="799"/>
      <c r="G27" s="798"/>
      <c r="H27" s="800">
        <v>1922</v>
      </c>
      <c r="I27" s="789">
        <v>2268</v>
      </c>
      <c r="J27" s="800"/>
      <c r="K27" s="801"/>
      <c r="L27" s="799"/>
      <c r="M27" s="802"/>
      <c r="N27" s="798"/>
      <c r="O27" s="798"/>
      <c r="P27" s="804">
        <f>'ellátottak önk.'!E25</f>
        <v>0</v>
      </c>
      <c r="Q27" s="803">
        <v>0</v>
      </c>
      <c r="R27" s="796">
        <f t="shared" si="1"/>
        <v>4190</v>
      </c>
      <c r="S27" s="722"/>
      <c r="T27" s="331"/>
      <c r="U27" s="331"/>
      <c r="V27" s="331"/>
    </row>
    <row r="28" spans="1:22" s="330" customFormat="1" ht="15" customHeight="1" x14ac:dyDescent="0.2">
      <c r="A28" s="826"/>
      <c r="B28" s="900" t="s">
        <v>540</v>
      </c>
      <c r="C28" s="81" t="s">
        <v>1334</v>
      </c>
      <c r="D28" s="482"/>
      <c r="E28" s="279"/>
      <c r="F28" s="480"/>
      <c r="G28" s="279"/>
      <c r="H28" s="480"/>
      <c r="I28" s="279">
        <v>20</v>
      </c>
      <c r="J28" s="480"/>
      <c r="K28" s="805"/>
      <c r="L28" s="480"/>
      <c r="M28" s="457"/>
      <c r="N28" s="279"/>
      <c r="O28" s="279"/>
      <c r="P28" s="480"/>
      <c r="Q28" s="279"/>
      <c r="R28" s="806">
        <f t="shared" si="0"/>
        <v>20</v>
      </c>
      <c r="S28" s="116"/>
      <c r="T28" s="331"/>
      <c r="U28" s="331"/>
      <c r="V28" s="331"/>
    </row>
    <row r="29" spans="1:22" s="330" customFormat="1" ht="15" customHeight="1" x14ac:dyDescent="0.2">
      <c r="A29" s="826"/>
      <c r="B29" s="900" t="s">
        <v>541</v>
      </c>
      <c r="C29" s="81" t="s">
        <v>1335</v>
      </c>
      <c r="D29" s="482"/>
      <c r="E29" s="279"/>
      <c r="F29" s="480"/>
      <c r="G29" s="279"/>
      <c r="H29" s="480"/>
      <c r="I29" s="279">
        <v>110</v>
      </c>
      <c r="J29" s="480"/>
      <c r="K29" s="805"/>
      <c r="L29" s="480"/>
      <c r="M29" s="457"/>
      <c r="N29" s="279"/>
      <c r="O29" s="279"/>
      <c r="P29" s="480"/>
      <c r="Q29" s="279"/>
      <c r="R29" s="806">
        <f t="shared" si="0"/>
        <v>110</v>
      </c>
      <c r="S29" s="331"/>
      <c r="T29" s="331"/>
      <c r="U29" s="331"/>
      <c r="V29" s="331"/>
    </row>
    <row r="30" spans="1:22" s="330" customFormat="1" ht="15" customHeight="1" x14ac:dyDescent="0.2">
      <c r="A30" s="826"/>
      <c r="B30" s="900" t="s">
        <v>542</v>
      </c>
      <c r="C30" s="81" t="s">
        <v>989</v>
      </c>
      <c r="D30" s="482"/>
      <c r="E30" s="279"/>
      <c r="F30" s="480"/>
      <c r="G30" s="279"/>
      <c r="H30" s="480">
        <v>6431</v>
      </c>
      <c r="I30" s="279">
        <v>3554</v>
      </c>
      <c r="J30" s="480"/>
      <c r="K30" s="805"/>
      <c r="L30" s="480"/>
      <c r="M30" s="457"/>
      <c r="N30" s="279"/>
      <c r="O30" s="279"/>
      <c r="P30" s="480"/>
      <c r="Q30" s="279"/>
      <c r="R30" s="806">
        <f>SUM(D30:Q30)</f>
        <v>9985</v>
      </c>
      <c r="S30" s="331"/>
      <c r="T30" s="331"/>
      <c r="U30" s="331"/>
      <c r="V30" s="331"/>
    </row>
    <row r="31" spans="1:22" s="330" customFormat="1" ht="15" customHeight="1" x14ac:dyDescent="0.2">
      <c r="A31" s="826"/>
      <c r="B31" s="900" t="s">
        <v>543</v>
      </c>
      <c r="C31" s="81" t="s">
        <v>1336</v>
      </c>
      <c r="D31" s="482"/>
      <c r="E31" s="279"/>
      <c r="F31" s="480"/>
      <c r="G31" s="279"/>
      <c r="H31" s="480">
        <v>288</v>
      </c>
      <c r="I31" s="279">
        <v>13763</v>
      </c>
      <c r="J31" s="480"/>
      <c r="K31" s="805"/>
      <c r="L31" s="480"/>
      <c r="M31" s="457"/>
      <c r="N31" s="279"/>
      <c r="O31" s="279"/>
      <c r="P31" s="480"/>
      <c r="Q31" s="279"/>
      <c r="R31" s="806">
        <f t="shared" si="0"/>
        <v>14051</v>
      </c>
      <c r="S31" s="331"/>
      <c r="T31" s="331"/>
      <c r="U31" s="331"/>
      <c r="V31" s="331"/>
    </row>
    <row r="32" spans="1:22" s="330" customFormat="1" ht="15" customHeight="1" x14ac:dyDescent="0.2">
      <c r="A32" s="826"/>
      <c r="B32" s="900" t="s">
        <v>544</v>
      </c>
      <c r="C32" s="81" t="s">
        <v>1337</v>
      </c>
      <c r="D32" s="482">
        <v>44895</v>
      </c>
      <c r="E32" s="279"/>
      <c r="F32" s="480">
        <v>8035</v>
      </c>
      <c r="G32" s="279"/>
      <c r="H32" s="480">
        <v>1220</v>
      </c>
      <c r="I32" s="279"/>
      <c r="J32" s="480"/>
      <c r="K32" s="805"/>
      <c r="L32" s="480"/>
      <c r="M32" s="457"/>
      <c r="N32" s="279"/>
      <c r="O32" s="279"/>
      <c r="P32" s="480"/>
      <c r="Q32" s="279"/>
      <c r="R32" s="806">
        <f>SUM(D32:Q32)</f>
        <v>54150</v>
      </c>
      <c r="S32" s="116"/>
      <c r="T32" s="331"/>
      <c r="U32" s="331"/>
      <c r="V32" s="331"/>
    </row>
    <row r="33" spans="1:22" s="330" customFormat="1" ht="15" customHeight="1" x14ac:dyDescent="0.2">
      <c r="A33" s="826"/>
      <c r="B33" s="900" t="s">
        <v>545</v>
      </c>
      <c r="C33" s="81" t="s">
        <v>1338</v>
      </c>
      <c r="D33" s="482">
        <v>0</v>
      </c>
      <c r="E33" s="279"/>
      <c r="F33" s="480">
        <v>0</v>
      </c>
      <c r="G33" s="279"/>
      <c r="H33" s="480">
        <v>3361</v>
      </c>
      <c r="I33" s="279"/>
      <c r="J33" s="480"/>
      <c r="K33" s="805"/>
      <c r="L33" s="480"/>
      <c r="M33" s="457"/>
      <c r="N33" s="279"/>
      <c r="O33" s="279"/>
      <c r="P33" s="480"/>
      <c r="Q33" s="279"/>
      <c r="R33" s="806">
        <f t="shared" si="0"/>
        <v>3361</v>
      </c>
      <c r="S33" s="331"/>
      <c r="T33" s="515"/>
      <c r="U33" s="331"/>
      <c r="V33" s="331"/>
    </row>
    <row r="34" spans="1:22" s="560" customFormat="1" ht="15" customHeight="1" x14ac:dyDescent="0.2">
      <c r="A34" s="827"/>
      <c r="B34" s="900" t="s">
        <v>546</v>
      </c>
      <c r="C34" s="807" t="s">
        <v>1339</v>
      </c>
      <c r="D34" s="808"/>
      <c r="E34" s="483">
        <f>2200+1000</f>
        <v>3200</v>
      </c>
      <c r="F34" s="481"/>
      <c r="G34" s="483">
        <f>600+200</f>
        <v>800</v>
      </c>
      <c r="H34" s="481"/>
      <c r="I34" s="483">
        <f>9272+2000</f>
        <v>11272</v>
      </c>
      <c r="J34" s="481"/>
      <c r="K34" s="809"/>
      <c r="L34" s="481"/>
      <c r="M34" s="810"/>
      <c r="N34" s="483"/>
      <c r="O34" s="483"/>
      <c r="P34" s="481"/>
      <c r="Q34" s="483"/>
      <c r="R34" s="811">
        <f t="shared" si="0"/>
        <v>15272</v>
      </c>
      <c r="S34" s="558"/>
      <c r="T34" s="559"/>
      <c r="U34" s="559"/>
      <c r="V34" s="559"/>
    </row>
    <row r="35" spans="1:22" s="330" customFormat="1" ht="15" customHeight="1" x14ac:dyDescent="0.2">
      <c r="A35" s="826"/>
      <c r="B35" s="900" t="s">
        <v>564</v>
      </c>
      <c r="C35" s="81" t="s">
        <v>1340</v>
      </c>
      <c r="D35" s="482"/>
      <c r="E35" s="457"/>
      <c r="F35" s="279"/>
      <c r="G35" s="279"/>
      <c r="H35" s="480">
        <f>20530-5939</f>
        <v>14591</v>
      </c>
      <c r="I35" s="279"/>
      <c r="J35" s="480"/>
      <c r="K35" s="805"/>
      <c r="L35" s="480"/>
      <c r="M35" s="457"/>
      <c r="N35" s="279"/>
      <c r="O35" s="279"/>
      <c r="P35" s="480"/>
      <c r="Q35" s="279"/>
      <c r="R35" s="806">
        <f t="shared" ref="R35:R41" si="2">SUM(D35:Q35)</f>
        <v>14591</v>
      </c>
      <c r="S35" s="538"/>
      <c r="T35" s="331"/>
      <c r="U35" s="331"/>
      <c r="V35" s="331"/>
    </row>
    <row r="36" spans="1:22" s="330" customFormat="1" ht="21.75" customHeight="1" x14ac:dyDescent="0.2">
      <c r="A36" s="826"/>
      <c r="B36" s="900" t="s">
        <v>565</v>
      </c>
      <c r="C36" s="812" t="s">
        <v>1324</v>
      </c>
      <c r="D36" s="482"/>
      <c r="E36" s="279"/>
      <c r="F36" s="480"/>
      <c r="G36" s="279"/>
      <c r="H36" s="813">
        <v>12738</v>
      </c>
      <c r="I36" s="789"/>
      <c r="J36" s="813"/>
      <c r="K36" s="814"/>
      <c r="L36" s="813"/>
      <c r="M36" s="790"/>
      <c r="N36" s="789"/>
      <c r="O36" s="789"/>
      <c r="P36" s="813"/>
      <c r="Q36" s="789"/>
      <c r="R36" s="796">
        <f t="shared" si="2"/>
        <v>12738</v>
      </c>
      <c r="S36" s="538"/>
      <c r="T36" s="331"/>
      <c r="U36" s="331"/>
      <c r="V36" s="331"/>
    </row>
    <row r="37" spans="1:22" s="330" customFormat="1" ht="23.25" customHeight="1" x14ac:dyDescent="0.2">
      <c r="A37" s="826"/>
      <c r="B37" s="900" t="s">
        <v>566</v>
      </c>
      <c r="C37" s="812" t="s">
        <v>1288</v>
      </c>
      <c r="D37" s="482"/>
      <c r="E37" s="279"/>
      <c r="F37" s="480"/>
      <c r="G37" s="279"/>
      <c r="H37" s="813"/>
      <c r="I37" s="789"/>
      <c r="J37" s="813"/>
      <c r="K37" s="814">
        <v>1778</v>
      </c>
      <c r="L37" s="813"/>
      <c r="M37" s="790"/>
      <c r="N37" s="789"/>
      <c r="O37" s="789"/>
      <c r="P37" s="813"/>
      <c r="Q37" s="789"/>
      <c r="R37" s="796">
        <f t="shared" si="2"/>
        <v>1778</v>
      </c>
      <c r="S37" s="538"/>
      <c r="T37" s="331"/>
      <c r="U37" s="331"/>
      <c r="V37" s="331"/>
    </row>
    <row r="38" spans="1:22" s="330" customFormat="1" ht="15" customHeight="1" x14ac:dyDescent="0.2">
      <c r="A38" s="826"/>
      <c r="B38" s="900" t="s">
        <v>567</v>
      </c>
      <c r="C38" s="81" t="s">
        <v>1326</v>
      </c>
      <c r="D38" s="482"/>
      <c r="E38" s="279"/>
      <c r="F38" s="480"/>
      <c r="G38" s="279"/>
      <c r="H38" s="480">
        <v>6833</v>
      </c>
      <c r="I38" s="279"/>
      <c r="J38" s="480"/>
      <c r="K38" s="805"/>
      <c r="L38" s="480"/>
      <c r="M38" s="457"/>
      <c r="N38" s="279"/>
      <c r="O38" s="279"/>
      <c r="P38" s="480"/>
      <c r="Q38" s="279"/>
      <c r="R38" s="806">
        <f t="shared" si="2"/>
        <v>6833</v>
      </c>
      <c r="S38" s="538"/>
      <c r="T38" s="331"/>
      <c r="U38" s="331"/>
      <c r="V38" s="331"/>
    </row>
    <row r="39" spans="1:22" s="330" customFormat="1" ht="15" customHeight="1" x14ac:dyDescent="0.2">
      <c r="A39" s="826"/>
      <c r="B39" s="900" t="s">
        <v>568</v>
      </c>
      <c r="C39" s="81" t="s">
        <v>1327</v>
      </c>
      <c r="D39" s="482"/>
      <c r="E39" s="279"/>
      <c r="F39" s="480"/>
      <c r="G39" s="279"/>
      <c r="H39" s="480">
        <v>62103</v>
      </c>
      <c r="I39" s="279">
        <v>6648</v>
      </c>
      <c r="J39" s="480"/>
      <c r="K39" s="805"/>
      <c r="L39" s="480"/>
      <c r="M39" s="457"/>
      <c r="N39" s="279"/>
      <c r="O39" s="279"/>
      <c r="P39" s="480"/>
      <c r="Q39" s="279"/>
      <c r="R39" s="806">
        <f t="shared" si="2"/>
        <v>68751</v>
      </c>
      <c r="S39" s="538"/>
      <c r="T39" s="331"/>
      <c r="U39" s="331"/>
      <c r="V39" s="331"/>
    </row>
    <row r="40" spans="1:22" s="330" customFormat="1" ht="24" customHeight="1" x14ac:dyDescent="0.2">
      <c r="A40" s="826"/>
      <c r="B40" s="900" t="s">
        <v>569</v>
      </c>
      <c r="C40" s="795" t="s">
        <v>1054</v>
      </c>
      <c r="D40" s="954"/>
      <c r="E40" s="955"/>
      <c r="F40" s="956"/>
      <c r="G40" s="955"/>
      <c r="H40" s="956">
        <v>5000</v>
      </c>
      <c r="I40" s="955"/>
      <c r="J40" s="956"/>
      <c r="K40" s="957"/>
      <c r="L40" s="956"/>
      <c r="M40" s="958"/>
      <c r="N40" s="955"/>
      <c r="O40" s="955"/>
      <c r="P40" s="956"/>
      <c r="Q40" s="955"/>
      <c r="R40" s="1011">
        <f t="shared" si="2"/>
        <v>5000</v>
      </c>
      <c r="S40" s="538"/>
      <c r="T40" s="331"/>
      <c r="U40" s="331"/>
      <c r="V40" s="331"/>
    </row>
    <row r="41" spans="1:22" s="330" customFormat="1" ht="24" customHeight="1" x14ac:dyDescent="0.2">
      <c r="A41" s="826"/>
      <c r="B41" s="900" t="s">
        <v>570</v>
      </c>
      <c r="C41" s="812" t="s">
        <v>1142</v>
      </c>
      <c r="D41" s="820"/>
      <c r="E41" s="789"/>
      <c r="F41" s="813"/>
      <c r="G41" s="789"/>
      <c r="H41" s="813">
        <v>5000</v>
      </c>
      <c r="I41" s="789"/>
      <c r="J41" s="813"/>
      <c r="K41" s="814"/>
      <c r="L41" s="813"/>
      <c r="M41" s="790"/>
      <c r="N41" s="789"/>
      <c r="O41" s="789"/>
      <c r="P41" s="813"/>
      <c r="Q41" s="789"/>
      <c r="R41" s="796">
        <f t="shared" si="2"/>
        <v>5000</v>
      </c>
      <c r="S41" s="538"/>
      <c r="T41" s="331"/>
      <c r="U41" s="331"/>
      <c r="V41" s="331"/>
    </row>
    <row r="42" spans="1:22" s="330" customFormat="1" ht="15" customHeight="1" x14ac:dyDescent="0.2">
      <c r="A42" s="826"/>
      <c r="B42" s="900" t="s">
        <v>571</v>
      </c>
      <c r="C42" s="81" t="s">
        <v>984</v>
      </c>
      <c r="D42" s="482"/>
      <c r="E42" s="279"/>
      <c r="F42" s="480"/>
      <c r="G42" s="279"/>
      <c r="H42" s="480"/>
      <c r="I42" s="279">
        <v>14684</v>
      </c>
      <c r="J42" s="480"/>
      <c r="K42" s="805"/>
      <c r="L42" s="480"/>
      <c r="M42" s="457"/>
      <c r="N42" s="279"/>
      <c r="O42" s="279"/>
      <c r="P42" s="480"/>
      <c r="Q42" s="279"/>
      <c r="R42" s="806">
        <f t="shared" si="0"/>
        <v>14684</v>
      </c>
      <c r="S42" s="538"/>
      <c r="T42" s="331"/>
      <c r="U42" s="331"/>
      <c r="V42" s="331"/>
    </row>
    <row r="43" spans="1:22" s="330" customFormat="1" ht="17.25" customHeight="1" x14ac:dyDescent="0.2">
      <c r="A43" s="826"/>
      <c r="B43" s="900" t="s">
        <v>572</v>
      </c>
      <c r="C43" s="812" t="s">
        <v>987</v>
      </c>
      <c r="D43" s="482"/>
      <c r="E43" s="789">
        <v>2048</v>
      </c>
      <c r="F43" s="813"/>
      <c r="G43" s="789">
        <v>432</v>
      </c>
      <c r="H43" s="813">
        <v>350</v>
      </c>
      <c r="I43" s="789"/>
      <c r="J43" s="813"/>
      <c r="K43" s="814"/>
      <c r="L43" s="813"/>
      <c r="M43" s="790"/>
      <c r="N43" s="789"/>
      <c r="O43" s="789"/>
      <c r="P43" s="813"/>
      <c r="Q43" s="789"/>
      <c r="R43" s="796">
        <f t="shared" ref="R43:R47" si="3">SUM(D43:Q43)</f>
        <v>2830</v>
      </c>
      <c r="S43" s="538"/>
      <c r="T43" s="338"/>
      <c r="U43" s="331"/>
      <c r="V43" s="331"/>
    </row>
    <row r="44" spans="1:22" s="330" customFormat="1" ht="15" customHeight="1" x14ac:dyDescent="0.2">
      <c r="A44" s="826"/>
      <c r="B44" s="900" t="s">
        <v>624</v>
      </c>
      <c r="C44" s="81" t="s">
        <v>982</v>
      </c>
      <c r="D44" s="482"/>
      <c r="E44" s="279">
        <v>3562</v>
      </c>
      <c r="F44" s="480"/>
      <c r="G44" s="279">
        <v>2000</v>
      </c>
      <c r="H44" s="480"/>
      <c r="I44" s="279">
        <v>12716</v>
      </c>
      <c r="J44" s="480"/>
      <c r="K44" s="805"/>
      <c r="L44" s="480"/>
      <c r="M44" s="457"/>
      <c r="N44" s="279"/>
      <c r="O44" s="279"/>
      <c r="P44" s="480"/>
      <c r="Q44" s="279"/>
      <c r="R44" s="806">
        <f t="shared" si="3"/>
        <v>18278</v>
      </c>
      <c r="S44" s="538"/>
      <c r="T44" s="331"/>
      <c r="U44" s="331"/>
      <c r="V44" s="331"/>
    </row>
    <row r="45" spans="1:22" s="330" customFormat="1" ht="15" customHeight="1" x14ac:dyDescent="0.2">
      <c r="A45" s="826"/>
      <c r="B45" s="900" t="s">
        <v>625</v>
      </c>
      <c r="C45" s="81" t="s">
        <v>983</v>
      </c>
      <c r="D45" s="482"/>
      <c r="E45" s="279"/>
      <c r="F45" s="480"/>
      <c r="G45" s="279"/>
      <c r="H45" s="480"/>
      <c r="I45" s="279">
        <v>0</v>
      </c>
      <c r="J45" s="480"/>
      <c r="K45" s="805"/>
      <c r="L45" s="480"/>
      <c r="M45" s="457"/>
      <c r="N45" s="279"/>
      <c r="O45" s="279"/>
      <c r="P45" s="480"/>
      <c r="Q45" s="279"/>
      <c r="R45" s="806">
        <f t="shared" si="3"/>
        <v>0</v>
      </c>
      <c r="S45" s="538"/>
      <c r="T45" s="331"/>
      <c r="U45" s="331"/>
      <c r="V45" s="331"/>
    </row>
    <row r="46" spans="1:22" s="330" customFormat="1" ht="15" customHeight="1" x14ac:dyDescent="0.2">
      <c r="A46" s="826"/>
      <c r="B46" s="900" t="s">
        <v>626</v>
      </c>
      <c r="C46" s="81" t="s">
        <v>1052</v>
      </c>
      <c r="D46" s="482"/>
      <c r="E46" s="279"/>
      <c r="F46" s="480"/>
      <c r="G46" s="279"/>
      <c r="H46" s="480">
        <v>634</v>
      </c>
      <c r="I46" s="279">
        <v>32817</v>
      </c>
      <c r="J46" s="480"/>
      <c r="K46" s="805"/>
      <c r="L46" s="480"/>
      <c r="M46" s="457"/>
      <c r="N46" s="279"/>
      <c r="O46" s="279"/>
      <c r="P46" s="480"/>
      <c r="Q46" s="279"/>
      <c r="R46" s="806">
        <f t="shared" si="3"/>
        <v>33451</v>
      </c>
      <c r="S46" s="538"/>
      <c r="T46" s="338"/>
      <c r="U46" s="331"/>
      <c r="V46" s="331"/>
    </row>
    <row r="47" spans="1:22" s="330" customFormat="1" ht="15" customHeight="1" x14ac:dyDescent="0.2">
      <c r="A47" s="826"/>
      <c r="B47" s="900" t="s">
        <v>627</v>
      </c>
      <c r="C47" s="795" t="s">
        <v>985</v>
      </c>
      <c r="D47" s="815">
        <v>10187</v>
      </c>
      <c r="E47" s="816">
        <v>3061</v>
      </c>
      <c r="F47" s="800">
        <v>1945</v>
      </c>
      <c r="G47" s="279">
        <v>606</v>
      </c>
      <c r="H47" s="800">
        <v>10605</v>
      </c>
      <c r="I47" s="816"/>
      <c r="J47" s="800"/>
      <c r="K47" s="801"/>
      <c r="L47" s="799"/>
      <c r="M47" s="802"/>
      <c r="N47" s="798"/>
      <c r="O47" s="798"/>
      <c r="P47" s="799"/>
      <c r="Q47" s="798"/>
      <c r="R47" s="806">
        <f t="shared" si="3"/>
        <v>26404</v>
      </c>
      <c r="S47" s="538"/>
      <c r="T47" s="331"/>
      <c r="U47" s="331"/>
      <c r="V47" s="331"/>
    </row>
    <row r="48" spans="1:22" s="330" customFormat="1" ht="15" customHeight="1" x14ac:dyDescent="0.2">
      <c r="A48" s="826"/>
      <c r="B48" s="900" t="s">
        <v>115</v>
      </c>
      <c r="C48" s="81" t="s">
        <v>1341</v>
      </c>
      <c r="D48" s="482"/>
      <c r="E48" s="279">
        <v>17979</v>
      </c>
      <c r="F48" s="480"/>
      <c r="G48" s="279">
        <v>7805</v>
      </c>
      <c r="H48" s="480"/>
      <c r="I48" s="279">
        <v>3852</v>
      </c>
      <c r="J48" s="480"/>
      <c r="K48" s="805"/>
      <c r="L48" s="480"/>
      <c r="M48" s="457"/>
      <c r="N48" s="279"/>
      <c r="O48" s="279"/>
      <c r="P48" s="480"/>
      <c r="Q48" s="279"/>
      <c r="R48" s="806">
        <f t="shared" si="0"/>
        <v>29636</v>
      </c>
      <c r="S48" s="538"/>
      <c r="T48" s="338"/>
      <c r="U48" s="331"/>
      <c r="V48" s="331"/>
    </row>
    <row r="49" spans="1:22" s="330" customFormat="1" ht="15" customHeight="1" x14ac:dyDescent="0.2">
      <c r="A49" s="826"/>
      <c r="B49" s="900" t="s">
        <v>652</v>
      </c>
      <c r="C49" s="81" t="s">
        <v>1342</v>
      </c>
      <c r="D49" s="482"/>
      <c r="E49" s="457"/>
      <c r="F49" s="279"/>
      <c r="G49" s="279"/>
      <c r="H49" s="480"/>
      <c r="I49" s="279"/>
      <c r="J49" s="480">
        <v>5850</v>
      </c>
      <c r="K49" s="457">
        <v>56247</v>
      </c>
      <c r="L49" s="291">
        <v>139812</v>
      </c>
      <c r="M49" s="457">
        <f>mc.pe.átad!F67-M53</f>
        <v>158361</v>
      </c>
      <c r="N49" s="279"/>
      <c r="O49" s="279"/>
      <c r="P49" s="480"/>
      <c r="Q49" s="279"/>
      <c r="R49" s="806">
        <f t="shared" si="0"/>
        <v>360270</v>
      </c>
      <c r="S49" s="331"/>
      <c r="T49" s="331"/>
      <c r="U49" s="331"/>
      <c r="V49" s="331"/>
    </row>
    <row r="50" spans="1:22" s="330" customFormat="1" ht="15" customHeight="1" x14ac:dyDescent="0.2">
      <c r="A50" s="826"/>
      <c r="B50" s="900" t="s">
        <v>653</v>
      </c>
      <c r="C50" s="81" t="s">
        <v>1343</v>
      </c>
      <c r="D50" s="482"/>
      <c r="E50" s="457"/>
      <c r="F50" s="279"/>
      <c r="G50" s="457"/>
      <c r="H50" s="279"/>
      <c r="I50" s="457"/>
      <c r="J50" s="279"/>
      <c r="K50" s="457"/>
      <c r="L50" s="291"/>
      <c r="M50" s="457"/>
      <c r="N50" s="279"/>
      <c r="O50" s="457"/>
      <c r="P50" s="279"/>
      <c r="Q50" s="457"/>
      <c r="R50" s="806">
        <f t="shared" si="0"/>
        <v>0</v>
      </c>
      <c r="S50" s="722"/>
      <c r="T50" s="331"/>
      <c r="U50" s="331"/>
      <c r="V50" s="331"/>
    </row>
    <row r="51" spans="1:22" s="330" customFormat="1" ht="15" customHeight="1" x14ac:dyDescent="0.2">
      <c r="A51" s="826"/>
      <c r="B51" s="900" t="s">
        <v>118</v>
      </c>
      <c r="C51" s="819" t="s">
        <v>990</v>
      </c>
      <c r="D51" s="820"/>
      <c r="E51" s="790"/>
      <c r="F51" s="789"/>
      <c r="G51" s="790"/>
      <c r="H51" s="789"/>
      <c r="I51" s="790">
        <f>2515+1134</f>
        <v>3649</v>
      </c>
      <c r="J51" s="789"/>
      <c r="K51" s="790"/>
      <c r="L51" s="791"/>
      <c r="M51" s="790"/>
      <c r="N51" s="789"/>
      <c r="O51" s="790"/>
      <c r="P51" s="789"/>
      <c r="Q51" s="790"/>
      <c r="R51" s="796">
        <f t="shared" si="0"/>
        <v>3649</v>
      </c>
      <c r="S51" s="116"/>
      <c r="T51" s="331"/>
      <c r="U51" s="331"/>
      <c r="V51" s="331"/>
    </row>
    <row r="52" spans="1:22" s="330" customFormat="1" ht="15" customHeight="1" x14ac:dyDescent="0.2">
      <c r="A52" s="826"/>
      <c r="B52" s="900" t="s">
        <v>119</v>
      </c>
      <c r="C52" s="819" t="s">
        <v>991</v>
      </c>
      <c r="D52" s="820"/>
      <c r="E52" s="790"/>
      <c r="F52" s="789"/>
      <c r="G52" s="790"/>
      <c r="H52" s="789"/>
      <c r="I52" s="790"/>
      <c r="J52" s="789"/>
      <c r="K52" s="790"/>
      <c r="L52" s="791"/>
      <c r="M52" s="790"/>
      <c r="N52" s="789">
        <v>0</v>
      </c>
      <c r="O52" s="790"/>
      <c r="P52" s="789"/>
      <c r="Q52" s="790"/>
      <c r="R52" s="796">
        <f t="shared" si="0"/>
        <v>0</v>
      </c>
      <c r="S52" s="116"/>
      <c r="T52" s="331"/>
      <c r="U52" s="331"/>
      <c r="V52" s="331"/>
    </row>
    <row r="53" spans="1:22" s="330" customFormat="1" ht="15" customHeight="1" x14ac:dyDescent="0.2">
      <c r="A53" s="826"/>
      <c r="B53" s="900" t="s">
        <v>120</v>
      </c>
      <c r="C53" s="819" t="s">
        <v>1235</v>
      </c>
      <c r="D53" s="820"/>
      <c r="E53" s="790">
        <v>0</v>
      </c>
      <c r="F53" s="789"/>
      <c r="G53" s="790">
        <v>0</v>
      </c>
      <c r="H53" s="789"/>
      <c r="I53" s="790">
        <v>0</v>
      </c>
      <c r="J53" s="789"/>
      <c r="K53" s="790"/>
      <c r="L53" s="791"/>
      <c r="M53" s="790">
        <v>16674</v>
      </c>
      <c r="N53" s="789"/>
      <c r="O53" s="790"/>
      <c r="P53" s="789"/>
      <c r="Q53" s="790"/>
      <c r="R53" s="796">
        <f t="shared" si="0"/>
        <v>16674</v>
      </c>
      <c r="S53" s="116"/>
      <c r="T53" s="331"/>
      <c r="U53" s="331"/>
      <c r="V53" s="331"/>
    </row>
    <row r="54" spans="1:22" s="330" customFormat="1" ht="15" customHeight="1" x14ac:dyDescent="0.2">
      <c r="A54" s="826"/>
      <c r="B54" s="900" t="s">
        <v>123</v>
      </c>
      <c r="C54" s="819" t="s">
        <v>992</v>
      </c>
      <c r="D54" s="820"/>
      <c r="E54" s="790"/>
      <c r="F54" s="789"/>
      <c r="G54" s="790"/>
      <c r="H54" s="789">
        <v>13361</v>
      </c>
      <c r="I54" s="790"/>
      <c r="J54" s="789"/>
      <c r="K54" s="790"/>
      <c r="L54" s="791"/>
      <c r="M54" s="790"/>
      <c r="N54" s="789"/>
      <c r="O54" s="790"/>
      <c r="P54" s="789"/>
      <c r="Q54" s="790"/>
      <c r="R54" s="796">
        <f t="shared" si="0"/>
        <v>13361</v>
      </c>
      <c r="S54" s="116"/>
      <c r="T54" s="331"/>
      <c r="U54" s="331"/>
      <c r="V54" s="331"/>
    </row>
    <row r="55" spans="1:22" s="330" customFormat="1" ht="30" customHeight="1" x14ac:dyDescent="0.2">
      <c r="A55" s="826"/>
      <c r="B55" s="900" t="s">
        <v>126</v>
      </c>
      <c r="C55" s="819" t="s">
        <v>1344</v>
      </c>
      <c r="D55" s="820"/>
      <c r="E55" s="790"/>
      <c r="F55" s="789"/>
      <c r="G55" s="790"/>
      <c r="H55" s="789">
        <v>82193</v>
      </c>
      <c r="I55" s="790"/>
      <c r="J55" s="789"/>
      <c r="K55" s="790"/>
      <c r="L55" s="791"/>
      <c r="M55" s="790"/>
      <c r="N55" s="789"/>
      <c r="O55" s="790"/>
      <c r="P55" s="789"/>
      <c r="Q55" s="790"/>
      <c r="R55" s="796">
        <f t="shared" si="0"/>
        <v>82193</v>
      </c>
      <c r="S55" s="116"/>
      <c r="T55" s="331"/>
      <c r="U55" s="331"/>
      <c r="V55" s="331"/>
    </row>
    <row r="56" spans="1:22" s="330" customFormat="1" ht="15" customHeight="1" x14ac:dyDescent="0.2">
      <c r="A56" s="826"/>
      <c r="B56" s="900" t="s">
        <v>127</v>
      </c>
      <c r="C56" s="819" t="s">
        <v>993</v>
      </c>
      <c r="D56" s="820"/>
      <c r="E56" s="790">
        <v>7846</v>
      </c>
      <c r="F56" s="789"/>
      <c r="G56" s="790">
        <v>1947</v>
      </c>
      <c r="H56" s="789">
        <v>33139</v>
      </c>
      <c r="I56" s="790">
        <v>138389</v>
      </c>
      <c r="J56" s="789"/>
      <c r="K56" s="790"/>
      <c r="L56" s="791"/>
      <c r="M56" s="790"/>
      <c r="N56" s="789">
        <v>0</v>
      </c>
      <c r="O56" s="790"/>
      <c r="P56" s="789"/>
      <c r="Q56" s="790"/>
      <c r="R56" s="796">
        <f t="shared" si="0"/>
        <v>181321</v>
      </c>
      <c r="S56" s="116"/>
      <c r="T56" s="331"/>
      <c r="U56" s="331"/>
      <c r="V56" s="331"/>
    </row>
    <row r="57" spans="1:22" s="330" customFormat="1" ht="21.75" customHeight="1" x14ac:dyDescent="0.2">
      <c r="A57" s="826"/>
      <c r="B57" s="900" t="s">
        <v>128</v>
      </c>
      <c r="C57" s="819" t="s">
        <v>1097</v>
      </c>
      <c r="D57" s="820"/>
      <c r="E57" s="790"/>
      <c r="F57" s="789"/>
      <c r="G57" s="790"/>
      <c r="H57" s="789">
        <v>294</v>
      </c>
      <c r="I57" s="790"/>
      <c r="J57" s="789"/>
      <c r="K57" s="790"/>
      <c r="L57" s="791"/>
      <c r="M57" s="790"/>
      <c r="N57" s="789"/>
      <c r="O57" s="790"/>
      <c r="P57" s="789"/>
      <c r="Q57" s="790"/>
      <c r="R57" s="796">
        <f t="shared" si="0"/>
        <v>294</v>
      </c>
      <c r="S57" s="116"/>
      <c r="T57" s="331"/>
      <c r="U57" s="331"/>
      <c r="V57" s="331"/>
    </row>
    <row r="58" spans="1:22" s="330" customFormat="1" ht="15" customHeight="1" x14ac:dyDescent="0.2">
      <c r="A58" s="826"/>
      <c r="B58" s="900" t="s">
        <v>129</v>
      </c>
      <c r="C58" s="819" t="s">
        <v>1098</v>
      </c>
      <c r="D58" s="820"/>
      <c r="E58" s="790"/>
      <c r="F58" s="789"/>
      <c r="G58" s="790"/>
      <c r="H58" s="789"/>
      <c r="I58" s="790">
        <v>2</v>
      </c>
      <c r="J58" s="789"/>
      <c r="K58" s="790">
        <v>124</v>
      </c>
      <c r="L58" s="791"/>
      <c r="M58" s="790"/>
      <c r="N58" s="789"/>
      <c r="O58" s="790"/>
      <c r="P58" s="789"/>
      <c r="Q58" s="790"/>
      <c r="R58" s="796">
        <f t="shared" si="0"/>
        <v>126</v>
      </c>
      <c r="S58" s="116"/>
      <c r="T58" s="331"/>
      <c r="U58" s="331"/>
      <c r="V58" s="331"/>
    </row>
    <row r="59" spans="1:22" s="330" customFormat="1" ht="15" customHeight="1" x14ac:dyDescent="0.2">
      <c r="A59" s="826"/>
      <c r="B59" s="900" t="s">
        <v>132</v>
      </c>
      <c r="C59" s="819" t="s">
        <v>1099</v>
      </c>
      <c r="D59" s="820"/>
      <c r="E59" s="790"/>
      <c r="F59" s="789"/>
      <c r="G59" s="790"/>
      <c r="H59" s="789"/>
      <c r="I59" s="790">
        <v>21874</v>
      </c>
      <c r="J59" s="789"/>
      <c r="K59" s="790"/>
      <c r="L59" s="791"/>
      <c r="M59" s="790"/>
      <c r="N59" s="789"/>
      <c r="O59" s="790"/>
      <c r="P59" s="789"/>
      <c r="Q59" s="790"/>
      <c r="R59" s="796">
        <f t="shared" si="0"/>
        <v>21874</v>
      </c>
      <c r="S59" s="116"/>
      <c r="T59" s="331"/>
      <c r="U59" s="331"/>
      <c r="V59" s="331"/>
    </row>
    <row r="60" spans="1:22" s="330" customFormat="1" ht="21" customHeight="1" x14ac:dyDescent="0.2">
      <c r="A60" s="826"/>
      <c r="B60" s="900" t="s">
        <v>135</v>
      </c>
      <c r="C60" s="819" t="s">
        <v>1249</v>
      </c>
      <c r="D60" s="820"/>
      <c r="E60" s="790"/>
      <c r="F60" s="789"/>
      <c r="G60" s="790"/>
      <c r="H60" s="789"/>
      <c r="I60" s="790">
        <v>0</v>
      </c>
      <c r="J60" s="789"/>
      <c r="K60" s="790"/>
      <c r="L60" s="791"/>
      <c r="M60" s="790"/>
      <c r="N60" s="789"/>
      <c r="O60" s="790"/>
      <c r="P60" s="789"/>
      <c r="Q60" s="790"/>
      <c r="R60" s="796">
        <f t="shared" si="0"/>
        <v>0</v>
      </c>
      <c r="S60" s="116"/>
      <c r="T60" s="331"/>
      <c r="U60" s="331"/>
      <c r="V60" s="331"/>
    </row>
    <row r="61" spans="1:22" s="330" customFormat="1" ht="21" customHeight="1" x14ac:dyDescent="0.2">
      <c r="A61" s="826"/>
      <c r="B61" s="900" t="s">
        <v>138</v>
      </c>
      <c r="C61" s="819" t="s">
        <v>1289</v>
      </c>
      <c r="D61" s="820"/>
      <c r="E61" s="790"/>
      <c r="F61" s="789"/>
      <c r="G61" s="790"/>
      <c r="H61" s="789"/>
      <c r="I61" s="790">
        <v>2542</v>
      </c>
      <c r="J61" s="789"/>
      <c r="K61" s="790"/>
      <c r="L61" s="791"/>
      <c r="M61" s="790"/>
      <c r="N61" s="789"/>
      <c r="O61" s="790"/>
      <c r="P61" s="789"/>
      <c r="Q61" s="790"/>
      <c r="R61" s="1093">
        <f t="shared" si="0"/>
        <v>2542</v>
      </c>
      <c r="S61" s="116"/>
      <c r="T61" s="331"/>
      <c r="U61" s="331"/>
      <c r="V61" s="331"/>
    </row>
    <row r="62" spans="1:22" s="330" customFormat="1" ht="15" customHeight="1" x14ac:dyDescent="0.2">
      <c r="A62" s="826"/>
      <c r="B62" s="900" t="s">
        <v>139</v>
      </c>
      <c r="C62" s="819" t="s">
        <v>1128</v>
      </c>
      <c r="D62" s="820"/>
      <c r="E62" s="790"/>
      <c r="F62" s="789"/>
      <c r="G62" s="790"/>
      <c r="H62" s="789">
        <v>373</v>
      </c>
      <c r="I62" s="790"/>
      <c r="J62" s="789"/>
      <c r="K62" s="790"/>
      <c r="L62" s="791"/>
      <c r="M62" s="790"/>
      <c r="N62" s="789"/>
      <c r="O62" s="790"/>
      <c r="P62" s="789"/>
      <c r="Q62" s="790"/>
      <c r="R62" s="1093">
        <f t="shared" si="0"/>
        <v>373</v>
      </c>
      <c r="S62" s="116"/>
      <c r="T62" s="331"/>
      <c r="U62" s="331"/>
      <c r="V62" s="331"/>
    </row>
    <row r="63" spans="1:22" s="330" customFormat="1" ht="15" customHeight="1" x14ac:dyDescent="0.2">
      <c r="A63" s="826"/>
      <c r="B63" s="900" t="s">
        <v>142</v>
      </c>
      <c r="C63" s="819" t="s">
        <v>1164</v>
      </c>
      <c r="D63" s="820"/>
      <c r="E63" s="790">
        <v>97</v>
      </c>
      <c r="F63" s="789"/>
      <c r="G63" s="790"/>
      <c r="H63" s="789"/>
      <c r="I63" s="790">
        <v>10018</v>
      </c>
      <c r="J63" s="789"/>
      <c r="K63" s="790"/>
      <c r="L63" s="791"/>
      <c r="M63" s="790"/>
      <c r="N63" s="789"/>
      <c r="O63" s="790"/>
      <c r="P63" s="789"/>
      <c r="Q63" s="790"/>
      <c r="R63" s="1093">
        <f t="shared" si="0"/>
        <v>10115</v>
      </c>
      <c r="S63" s="116"/>
      <c r="T63" s="331"/>
      <c r="U63" s="331"/>
      <c r="V63" s="331"/>
    </row>
    <row r="64" spans="1:22" s="330" customFormat="1" ht="15" customHeight="1" x14ac:dyDescent="0.2">
      <c r="A64" s="826"/>
      <c r="B64" s="1206" t="s">
        <v>143</v>
      </c>
      <c r="C64" s="819" t="s">
        <v>1290</v>
      </c>
      <c r="D64" s="820"/>
      <c r="E64" s="790"/>
      <c r="F64" s="789"/>
      <c r="G64" s="790"/>
      <c r="H64" s="789">
        <v>1116</v>
      </c>
      <c r="I64" s="790"/>
      <c r="J64" s="789"/>
      <c r="K64" s="790"/>
      <c r="L64" s="791"/>
      <c r="M64" s="790"/>
      <c r="N64" s="789"/>
      <c r="O64" s="790"/>
      <c r="P64" s="789"/>
      <c r="Q64" s="790"/>
      <c r="R64" s="1093">
        <f t="shared" si="0"/>
        <v>1116</v>
      </c>
      <c r="S64" s="116"/>
      <c r="T64" s="331"/>
      <c r="U64" s="331"/>
      <c r="V64" s="331"/>
    </row>
    <row r="65" spans="1:22" s="330" customFormat="1" ht="22.5" customHeight="1" x14ac:dyDescent="0.2">
      <c r="A65" s="826"/>
      <c r="B65" s="1206" t="s">
        <v>144</v>
      </c>
      <c r="C65" s="819" t="s">
        <v>1325</v>
      </c>
      <c r="D65" s="820">
        <v>5145</v>
      </c>
      <c r="E65" s="790"/>
      <c r="F65" s="789">
        <v>1389</v>
      </c>
      <c r="G65" s="790"/>
      <c r="H65" s="789">
        <v>6553</v>
      </c>
      <c r="I65" s="790"/>
      <c r="J65" s="789"/>
      <c r="K65" s="790"/>
      <c r="L65" s="791"/>
      <c r="M65" s="790"/>
      <c r="N65" s="789"/>
      <c r="O65" s="790"/>
      <c r="P65" s="789"/>
      <c r="Q65" s="790"/>
      <c r="R65" s="1093">
        <f t="shared" si="0"/>
        <v>13087</v>
      </c>
      <c r="S65" s="116"/>
      <c r="T65" s="331"/>
      <c r="U65" s="331"/>
      <c r="V65" s="331"/>
    </row>
    <row r="66" spans="1:22" s="330" customFormat="1" ht="15" customHeight="1" x14ac:dyDescent="0.2">
      <c r="A66" s="826"/>
      <c r="B66" s="1206" t="s">
        <v>145</v>
      </c>
      <c r="C66" s="819" t="s">
        <v>1328</v>
      </c>
      <c r="D66" s="820"/>
      <c r="E66" s="790"/>
      <c r="F66" s="789"/>
      <c r="G66" s="790"/>
      <c r="H66" s="789"/>
      <c r="I66" s="790">
        <v>6797</v>
      </c>
      <c r="J66" s="789"/>
      <c r="K66" s="790"/>
      <c r="L66" s="791"/>
      <c r="M66" s="790"/>
      <c r="N66" s="789"/>
      <c r="O66" s="790"/>
      <c r="P66" s="789"/>
      <c r="Q66" s="790"/>
      <c r="R66" s="1093">
        <f t="shared" si="0"/>
        <v>6797</v>
      </c>
      <c r="S66" s="116"/>
      <c r="T66" s="331"/>
      <c r="U66" s="331"/>
      <c r="V66" s="331"/>
    </row>
    <row r="67" spans="1:22" s="330" customFormat="1" ht="21" customHeight="1" x14ac:dyDescent="0.2">
      <c r="A67" s="1260"/>
      <c r="B67" s="1206" t="s">
        <v>146</v>
      </c>
      <c r="C67" s="819" t="s">
        <v>1378</v>
      </c>
      <c r="D67" s="820"/>
      <c r="E67" s="790"/>
      <c r="F67" s="789"/>
      <c r="G67" s="790"/>
      <c r="H67" s="789">
        <v>3820</v>
      </c>
      <c r="I67" s="790"/>
      <c r="J67" s="789"/>
      <c r="K67" s="790"/>
      <c r="L67" s="791"/>
      <c r="M67" s="790"/>
      <c r="N67" s="789"/>
      <c r="O67" s="790"/>
      <c r="P67" s="789"/>
      <c r="Q67" s="790"/>
      <c r="R67" s="1093">
        <f t="shared" si="0"/>
        <v>3820</v>
      </c>
      <c r="S67" s="116"/>
      <c r="T67" s="331"/>
      <c r="U67" s="331"/>
      <c r="V67" s="331"/>
    </row>
    <row r="68" spans="1:22" s="330" customFormat="1" ht="20.25" customHeight="1" x14ac:dyDescent="0.2">
      <c r="A68" s="1260"/>
      <c r="B68" s="1206" t="s">
        <v>148</v>
      </c>
      <c r="C68" s="819" t="s">
        <v>1379</v>
      </c>
      <c r="D68" s="820"/>
      <c r="E68" s="790"/>
      <c r="F68" s="789"/>
      <c r="G68" s="790"/>
      <c r="H68" s="789">
        <v>7372</v>
      </c>
      <c r="I68" s="790"/>
      <c r="J68" s="789"/>
      <c r="K68" s="790"/>
      <c r="L68" s="791"/>
      <c r="M68" s="790"/>
      <c r="N68" s="789"/>
      <c r="O68" s="790"/>
      <c r="P68" s="789"/>
      <c r="Q68" s="790"/>
      <c r="R68" s="1093">
        <f t="shared" si="0"/>
        <v>7372</v>
      </c>
      <c r="S68" s="116"/>
      <c r="T68" s="331"/>
      <c r="U68" s="331"/>
      <c r="V68" s="331"/>
    </row>
    <row r="69" spans="1:22" s="330" customFormat="1" ht="21" customHeight="1" x14ac:dyDescent="0.2">
      <c r="A69" s="1260"/>
      <c r="B69" s="1206" t="s">
        <v>151</v>
      </c>
      <c r="C69" s="819" t="s">
        <v>1380</v>
      </c>
      <c r="D69" s="820"/>
      <c r="E69" s="790"/>
      <c r="F69" s="789"/>
      <c r="G69" s="790"/>
      <c r="H69" s="789">
        <v>29021</v>
      </c>
      <c r="I69" s="790"/>
      <c r="J69" s="789"/>
      <c r="K69" s="790"/>
      <c r="L69" s="791"/>
      <c r="M69" s="790"/>
      <c r="N69" s="789"/>
      <c r="O69" s="790"/>
      <c r="P69" s="789"/>
      <c r="Q69" s="790"/>
      <c r="R69" s="1093">
        <f t="shared" si="0"/>
        <v>29021</v>
      </c>
      <c r="S69" s="116"/>
      <c r="T69" s="331"/>
      <c r="U69" s="331"/>
      <c r="V69" s="331"/>
    </row>
    <row r="70" spans="1:22" s="330" customFormat="1" ht="15" customHeight="1" x14ac:dyDescent="0.2">
      <c r="A70" s="1260"/>
      <c r="B70" s="1206" t="s">
        <v>153</v>
      </c>
      <c r="C70" s="819" t="s">
        <v>1381</v>
      </c>
      <c r="D70" s="820"/>
      <c r="E70" s="790"/>
      <c r="F70" s="789"/>
      <c r="G70" s="790"/>
      <c r="H70" s="789"/>
      <c r="I70" s="790"/>
      <c r="J70" s="789">
        <v>3913</v>
      </c>
      <c r="K70" s="790"/>
      <c r="L70" s="791">
        <v>19268</v>
      </c>
      <c r="M70" s="790"/>
      <c r="N70" s="789"/>
      <c r="O70" s="790"/>
      <c r="P70" s="789"/>
      <c r="Q70" s="790"/>
      <c r="R70" s="1093">
        <f t="shared" si="0"/>
        <v>23181</v>
      </c>
      <c r="S70" s="116"/>
      <c r="T70" s="331"/>
      <c r="U70" s="331"/>
      <c r="V70" s="331"/>
    </row>
    <row r="71" spans="1:22" s="330" customFormat="1" ht="23.25" customHeight="1" x14ac:dyDescent="0.2">
      <c r="A71" s="1260"/>
      <c r="B71" s="1206" t="s">
        <v>154</v>
      </c>
      <c r="C71" s="819" t="s">
        <v>1382</v>
      </c>
      <c r="D71" s="820"/>
      <c r="E71" s="790"/>
      <c r="F71" s="789"/>
      <c r="G71" s="790"/>
      <c r="H71" s="789">
        <v>1640</v>
      </c>
      <c r="I71" s="790"/>
      <c r="J71" s="789"/>
      <c r="K71" s="790"/>
      <c r="L71" s="791"/>
      <c r="M71" s="790"/>
      <c r="N71" s="789"/>
      <c r="O71" s="790"/>
      <c r="P71" s="789"/>
      <c r="Q71" s="790"/>
      <c r="R71" s="1093">
        <f t="shared" si="0"/>
        <v>1640</v>
      </c>
      <c r="S71" s="116"/>
      <c r="T71" s="331"/>
      <c r="U71" s="331"/>
      <c r="V71" s="331"/>
    </row>
    <row r="72" spans="1:22" s="330" customFormat="1" ht="23.25" customHeight="1" thickBot="1" x14ac:dyDescent="0.25">
      <c r="A72" s="1260"/>
      <c r="B72" s="1206" t="s">
        <v>155</v>
      </c>
      <c r="C72" s="819" t="s">
        <v>1392</v>
      </c>
      <c r="D72" s="820"/>
      <c r="E72" s="790"/>
      <c r="F72" s="789"/>
      <c r="G72" s="790"/>
      <c r="H72" s="789">
        <v>250</v>
      </c>
      <c r="I72" s="790"/>
      <c r="J72" s="789"/>
      <c r="K72" s="790"/>
      <c r="L72" s="791"/>
      <c r="M72" s="790"/>
      <c r="N72" s="789"/>
      <c r="O72" s="790"/>
      <c r="P72" s="789"/>
      <c r="Q72" s="790"/>
      <c r="R72" s="1093">
        <f t="shared" si="0"/>
        <v>250</v>
      </c>
      <c r="S72" s="116"/>
      <c r="T72" s="331"/>
      <c r="U72" s="331"/>
      <c r="V72" s="331"/>
    </row>
    <row r="73" spans="1:22" ht="15.6" customHeight="1" thickBot="1" x14ac:dyDescent="0.25">
      <c r="B73" s="1432" t="s">
        <v>594</v>
      </c>
      <c r="C73" s="1433"/>
      <c r="D73" s="304">
        <f t="shared" ref="D73:G73" si="4">SUM(D10:D71)</f>
        <v>64325</v>
      </c>
      <c r="E73" s="304">
        <f t="shared" si="4"/>
        <v>37793</v>
      </c>
      <c r="F73" s="304">
        <f t="shared" si="4"/>
        <v>12271</v>
      </c>
      <c r="G73" s="304">
        <f t="shared" si="4"/>
        <v>13590</v>
      </c>
      <c r="H73" s="304">
        <f>SUM(H10:H72)</f>
        <v>356883</v>
      </c>
      <c r="I73" s="304">
        <f t="shared" ref="I73:Q73" si="5">SUM(I10:I71)</f>
        <v>290375</v>
      </c>
      <c r="J73" s="304">
        <f t="shared" si="5"/>
        <v>9763</v>
      </c>
      <c r="K73" s="304">
        <f t="shared" si="5"/>
        <v>58149</v>
      </c>
      <c r="L73" s="304">
        <f t="shared" si="5"/>
        <v>159080</v>
      </c>
      <c r="M73" s="304">
        <f t="shared" si="5"/>
        <v>175035</v>
      </c>
      <c r="N73" s="304">
        <f t="shared" si="5"/>
        <v>0</v>
      </c>
      <c r="O73" s="304">
        <f t="shared" si="5"/>
        <v>0</v>
      </c>
      <c r="P73" s="304">
        <f t="shared" si="5"/>
        <v>2526</v>
      </c>
      <c r="Q73" s="304">
        <f t="shared" si="5"/>
        <v>11113</v>
      </c>
      <c r="R73" s="304">
        <f>SUM(R10:R72)</f>
        <v>1190903</v>
      </c>
      <c r="S73" s="118"/>
    </row>
    <row r="74" spans="1:22" x14ac:dyDescent="0.2">
      <c r="S74" s="341"/>
    </row>
    <row r="78" spans="1:22" x14ac:dyDescent="0.2">
      <c r="S78" s="338"/>
    </row>
    <row r="79" spans="1:22" x14ac:dyDescent="0.2">
      <c r="S79" s="338"/>
    </row>
    <row r="83" spans="12:12" x14ac:dyDescent="0.2">
      <c r="L83" s="337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73:C73"/>
    <mergeCell ref="N5:O5"/>
    <mergeCell ref="J5:K5"/>
    <mergeCell ref="F7:G8"/>
    <mergeCell ref="L7:M8"/>
    <mergeCell ref="F5:G5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N40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295" hidden="1" customWidth="1"/>
    <col min="10" max="10" width="9.42578125" style="32" hidden="1" customWidth="1"/>
    <col min="11" max="16384" width="9.140625" style="32"/>
  </cols>
  <sheetData>
    <row r="1" spans="2:14" ht="18" customHeight="1" x14ac:dyDescent="0.25">
      <c r="B1" s="1456" t="s">
        <v>1407</v>
      </c>
      <c r="C1" s="1457"/>
      <c r="D1" s="1457"/>
      <c r="E1" s="1457"/>
      <c r="F1" s="1457"/>
      <c r="G1" s="1457"/>
      <c r="H1" s="1458"/>
      <c r="I1" s="1458"/>
      <c r="J1" s="1458"/>
    </row>
    <row r="2" spans="2:14" ht="18" customHeight="1" x14ac:dyDescent="0.25">
      <c r="N2" s="1188"/>
    </row>
    <row r="3" spans="2:14" ht="15.75" customHeight="1" x14ac:dyDescent="0.25">
      <c r="B3" s="1378" t="s">
        <v>77</v>
      </c>
      <c r="C3" s="1378"/>
      <c r="D3" s="1378"/>
      <c r="E3" s="1378"/>
      <c r="F3" s="1378"/>
      <c r="G3" s="1378"/>
      <c r="H3" s="1323"/>
      <c r="I3" s="1323"/>
      <c r="J3" s="1323"/>
    </row>
    <row r="4" spans="2:14" ht="15.75" customHeight="1" x14ac:dyDescent="0.25">
      <c r="B4" s="1467" t="s">
        <v>1157</v>
      </c>
      <c r="C4" s="1468"/>
      <c r="D4" s="1468"/>
      <c r="E4" s="1468"/>
      <c r="F4" s="1468"/>
      <c r="G4" s="1468"/>
    </row>
    <row r="5" spans="2:14" ht="15.75" customHeight="1" x14ac:dyDescent="0.25">
      <c r="B5" s="1378" t="s">
        <v>924</v>
      </c>
      <c r="C5" s="1378"/>
      <c r="D5" s="1378"/>
      <c r="E5" s="1378"/>
      <c r="F5" s="1378"/>
      <c r="G5" s="1378"/>
      <c r="H5" s="1323"/>
      <c r="I5" s="1323"/>
      <c r="J5" s="1323"/>
    </row>
    <row r="6" spans="2:14" s="34" customFormat="1" ht="14.25" customHeight="1" x14ac:dyDescent="0.25">
      <c r="B6" s="1460" t="s">
        <v>314</v>
      </c>
      <c r="C6" s="1460"/>
      <c r="D6" s="1460"/>
      <c r="E6" s="1460"/>
      <c r="F6" s="1460"/>
      <c r="G6" s="1460"/>
      <c r="H6" s="1323"/>
      <c r="I6" s="1323"/>
      <c r="J6" s="1323"/>
    </row>
    <row r="7" spans="2:14" s="34" customFormat="1" ht="14.25" customHeight="1" x14ac:dyDescent="0.25">
      <c r="B7" s="29"/>
      <c r="C7" s="244"/>
      <c r="D7" s="245"/>
      <c r="E7" s="29"/>
      <c r="F7" s="29"/>
      <c r="G7" s="29"/>
    </row>
    <row r="8" spans="2:14" ht="30.6" customHeight="1" x14ac:dyDescent="0.25">
      <c r="B8" s="1461" t="s">
        <v>469</v>
      </c>
      <c r="C8" s="1463" t="s">
        <v>57</v>
      </c>
      <c r="D8" s="1463"/>
      <c r="E8" s="20" t="s">
        <v>58</v>
      </c>
      <c r="F8" s="20" t="s">
        <v>59</v>
      </c>
      <c r="G8" s="20" t="s">
        <v>60</v>
      </c>
      <c r="H8" s="32"/>
      <c r="I8" s="32"/>
    </row>
    <row r="9" spans="2:14" ht="30" customHeight="1" x14ac:dyDescent="0.25">
      <c r="B9" s="1462"/>
      <c r="C9" s="1464" t="s">
        <v>528</v>
      </c>
      <c r="D9" s="1464"/>
      <c r="E9" s="1466" t="s">
        <v>1159</v>
      </c>
      <c r="F9" s="1466"/>
      <c r="G9" s="1466"/>
      <c r="H9" s="32"/>
      <c r="I9" s="32"/>
    </row>
    <row r="10" spans="2:14" ht="52.9" customHeight="1" x14ac:dyDescent="0.25">
      <c r="B10" s="1462"/>
      <c r="C10" s="1464"/>
      <c r="D10" s="1465"/>
      <c r="E10" s="246" t="s">
        <v>62</v>
      </c>
      <c r="F10" s="246" t="s">
        <v>63</v>
      </c>
      <c r="G10" s="246" t="s">
        <v>64</v>
      </c>
      <c r="H10" s="32"/>
      <c r="I10" s="32"/>
    </row>
    <row r="11" spans="2:14" ht="23.25" customHeight="1" x14ac:dyDescent="0.25">
      <c r="B11" s="963" t="s">
        <v>479</v>
      </c>
      <c r="C11" s="1459" t="s">
        <v>595</v>
      </c>
      <c r="D11" s="1459"/>
      <c r="E11" s="247"/>
      <c r="F11" s="247"/>
      <c r="G11" s="247"/>
      <c r="H11" s="32"/>
      <c r="I11" s="32"/>
      <c r="K11" s="592"/>
    </row>
    <row r="12" spans="2:14" ht="18" customHeight="1" x14ac:dyDescent="0.25">
      <c r="B12" s="964" t="s">
        <v>487</v>
      </c>
      <c r="C12" s="248" t="s">
        <v>560</v>
      </c>
      <c r="D12" s="245"/>
      <c r="E12" s="247"/>
      <c r="F12" s="247"/>
      <c r="G12" s="247"/>
      <c r="H12" s="32"/>
      <c r="I12" s="32"/>
      <c r="K12" s="592"/>
    </row>
    <row r="13" spans="2:14" ht="18" customHeight="1" x14ac:dyDescent="0.25">
      <c r="B13" s="964" t="s">
        <v>489</v>
      </c>
      <c r="C13" s="249"/>
      <c r="D13" s="250" t="s">
        <v>921</v>
      </c>
      <c r="E13" s="247">
        <v>0</v>
      </c>
      <c r="F13" s="247">
        <v>500</v>
      </c>
      <c r="G13" s="247">
        <f>SUM(E13:F13)</f>
        <v>500</v>
      </c>
      <c r="H13" s="32"/>
      <c r="I13" s="32"/>
      <c r="K13" s="592"/>
    </row>
    <row r="14" spans="2:14" ht="18" customHeight="1" x14ac:dyDescent="0.25">
      <c r="B14" s="964" t="s">
        <v>490</v>
      </c>
      <c r="C14" s="249"/>
      <c r="D14" s="24" t="s">
        <v>560</v>
      </c>
      <c r="E14" s="247"/>
      <c r="F14" s="251">
        <v>0</v>
      </c>
      <c r="G14" s="247">
        <f>SUM(E14:F14)</f>
        <v>0</v>
      </c>
      <c r="H14" s="32"/>
      <c r="I14" s="32"/>
      <c r="K14" s="592"/>
    </row>
    <row r="15" spans="2:14" ht="18" customHeight="1" x14ac:dyDescent="0.25">
      <c r="B15" s="964" t="s">
        <v>491</v>
      </c>
      <c r="C15" s="249"/>
      <c r="D15" s="24" t="s">
        <v>971</v>
      </c>
      <c r="E15" s="247"/>
      <c r="F15" s="251">
        <v>600</v>
      </c>
      <c r="G15" s="247">
        <f>SUM(E15:F15)</f>
        <v>600</v>
      </c>
      <c r="H15" s="32"/>
      <c r="I15" s="32"/>
      <c r="K15" s="592"/>
    </row>
    <row r="16" spans="2:14" ht="18" customHeight="1" x14ac:dyDescent="0.25">
      <c r="B16" s="964" t="s">
        <v>492</v>
      </c>
      <c r="C16" s="249"/>
      <c r="D16" s="24" t="s">
        <v>972</v>
      </c>
      <c r="E16" s="247"/>
      <c r="F16" s="251">
        <v>800</v>
      </c>
      <c r="G16" s="247">
        <f t="shared" ref="G16:G20" si="0">SUM(E16:F16)</f>
        <v>800</v>
      </c>
      <c r="H16" s="32"/>
      <c r="I16" s="32"/>
      <c r="K16" s="592"/>
    </row>
    <row r="17" spans="2:13" ht="18" customHeight="1" x14ac:dyDescent="0.25">
      <c r="B17" s="964" t="s">
        <v>493</v>
      </c>
      <c r="C17" s="249"/>
      <c r="D17" s="24" t="s">
        <v>973</v>
      </c>
      <c r="E17" s="247"/>
      <c r="F17" s="251">
        <v>1000</v>
      </c>
      <c r="G17" s="247">
        <f t="shared" si="0"/>
        <v>1000</v>
      </c>
      <c r="H17" s="32"/>
      <c r="I17" s="32"/>
      <c r="K17" s="592"/>
    </row>
    <row r="18" spans="2:13" ht="18" customHeight="1" x14ac:dyDescent="0.25">
      <c r="B18" s="964" t="s">
        <v>494</v>
      </c>
      <c r="C18" s="249"/>
      <c r="D18" s="24" t="s">
        <v>974</v>
      </c>
      <c r="E18" s="247"/>
      <c r="F18" s="251">
        <v>717</v>
      </c>
      <c r="G18" s="247">
        <f t="shared" si="0"/>
        <v>717</v>
      </c>
      <c r="H18" s="32"/>
      <c r="I18" s="32"/>
      <c r="K18" s="592"/>
    </row>
    <row r="19" spans="2:13" ht="18" customHeight="1" x14ac:dyDescent="0.25">
      <c r="B19" s="964" t="s">
        <v>530</v>
      </c>
      <c r="C19" s="249"/>
      <c r="D19" s="24" t="s">
        <v>975</v>
      </c>
      <c r="E19" s="247">
        <v>2137</v>
      </c>
      <c r="F19" s="251">
        <v>0</v>
      </c>
      <c r="G19" s="247">
        <f t="shared" si="0"/>
        <v>2137</v>
      </c>
      <c r="H19" s="32"/>
      <c r="I19" s="32"/>
      <c r="K19" s="592"/>
    </row>
    <row r="20" spans="2:13" ht="18" customHeight="1" x14ac:dyDescent="0.25">
      <c r="B20" s="964" t="s">
        <v>531</v>
      </c>
      <c r="C20" s="249"/>
      <c r="D20" s="565" t="s">
        <v>593</v>
      </c>
      <c r="E20" s="247">
        <v>389</v>
      </c>
      <c r="F20" s="251">
        <v>0</v>
      </c>
      <c r="G20" s="247">
        <f t="shared" si="0"/>
        <v>389</v>
      </c>
      <c r="H20" s="32"/>
      <c r="I20" s="32"/>
      <c r="K20" s="592"/>
    </row>
    <row r="21" spans="2:13" ht="18" customHeight="1" x14ac:dyDescent="0.25">
      <c r="B21" s="964" t="s">
        <v>532</v>
      </c>
      <c r="C21" s="753"/>
      <c r="D21" s="565" t="s">
        <v>558</v>
      </c>
      <c r="E21" s="247"/>
      <c r="F21" s="251">
        <v>1846</v>
      </c>
      <c r="G21" s="247">
        <f>SUM(E21:F21)</f>
        <v>1846</v>
      </c>
      <c r="H21" s="32"/>
      <c r="I21" s="32"/>
      <c r="K21" s="592"/>
    </row>
    <row r="22" spans="2:13" ht="18" customHeight="1" x14ac:dyDescent="0.25">
      <c r="B22" s="964" t="s">
        <v>533</v>
      </c>
      <c r="C22" s="753"/>
      <c r="D22" s="755" t="s">
        <v>557</v>
      </c>
      <c r="E22" s="754"/>
      <c r="F22" s="251">
        <v>1100</v>
      </c>
      <c r="G22" s="566">
        <f>SUM(E22:F22)</f>
        <v>1100</v>
      </c>
      <c r="H22" s="33"/>
      <c r="I22" s="33"/>
      <c r="J22" s="33"/>
      <c r="K22" s="592"/>
      <c r="M22" s="33"/>
    </row>
    <row r="23" spans="2:13" ht="18" customHeight="1" x14ac:dyDescent="0.25">
      <c r="B23" s="964" t="s">
        <v>534</v>
      </c>
      <c r="C23" s="753"/>
      <c r="D23" s="755" t="s">
        <v>1321</v>
      </c>
      <c r="E23" s="754"/>
      <c r="F23" s="251">
        <v>350</v>
      </c>
      <c r="G23" s="566">
        <f>SUM(E23:F23)</f>
        <v>350</v>
      </c>
      <c r="H23" s="33"/>
      <c r="I23" s="33"/>
      <c r="J23" s="33"/>
      <c r="K23" s="592"/>
      <c r="M23" s="33"/>
    </row>
    <row r="24" spans="2:13" ht="18" customHeight="1" x14ac:dyDescent="0.25">
      <c r="B24" s="964" t="s">
        <v>535</v>
      </c>
      <c r="C24" s="248" t="s">
        <v>922</v>
      </c>
      <c r="D24" s="245"/>
      <c r="E24" s="252">
        <f>SUM(E13:E22)</f>
        <v>2526</v>
      </c>
      <c r="F24" s="252">
        <f>SUM(F13:F23)</f>
        <v>6913</v>
      </c>
      <c r="G24" s="252">
        <f>SUM(G13:G23)</f>
        <v>9439</v>
      </c>
      <c r="H24" s="252">
        <f t="shared" ref="H24:J24" si="1">SUM(H13:H22)</f>
        <v>0</v>
      </c>
      <c r="I24" s="252">
        <f t="shared" si="1"/>
        <v>0</v>
      </c>
      <c r="J24" s="252">
        <f t="shared" si="1"/>
        <v>0</v>
      </c>
      <c r="K24" s="592"/>
    </row>
    <row r="25" spans="2:13" ht="18" customHeight="1" x14ac:dyDescent="0.25">
      <c r="B25" s="964"/>
      <c r="E25" s="251"/>
      <c r="F25" s="247"/>
      <c r="G25" s="247"/>
      <c r="H25" s="32"/>
      <c r="I25" s="32"/>
      <c r="K25" s="592"/>
    </row>
    <row r="26" spans="2:13" ht="18" customHeight="1" x14ac:dyDescent="0.25">
      <c r="B26" s="964"/>
      <c r="C26" s="29"/>
      <c r="E26" s="756"/>
      <c r="F26" s="756"/>
      <c r="G26" s="756"/>
      <c r="H26" s="32"/>
      <c r="I26" s="32"/>
      <c r="K26" s="592"/>
    </row>
    <row r="27" spans="2:13" ht="37.9" customHeight="1" x14ac:dyDescent="0.25">
      <c r="B27" s="965" t="s">
        <v>536</v>
      </c>
      <c r="D27" s="24" t="s">
        <v>598</v>
      </c>
      <c r="E27" s="247"/>
      <c r="F27" s="247">
        <v>4200</v>
      </c>
      <c r="G27" s="247">
        <f>SUM(E27:F27)</f>
        <v>4200</v>
      </c>
      <c r="H27" s="32"/>
      <c r="I27" s="32"/>
      <c r="K27" s="592"/>
    </row>
    <row r="28" spans="2:13" ht="23.25" customHeight="1" thickBot="1" x14ac:dyDescent="0.3">
      <c r="B28" s="965" t="s">
        <v>537</v>
      </c>
      <c r="C28" s="939"/>
      <c r="D28" s="937" t="s">
        <v>596</v>
      </c>
      <c r="E28" s="757">
        <f>E27</f>
        <v>0</v>
      </c>
      <c r="F28" s="757">
        <f t="shared" ref="F28:G28" si="2">F27</f>
        <v>4200</v>
      </c>
      <c r="G28" s="757">
        <f t="shared" si="2"/>
        <v>4200</v>
      </c>
      <c r="H28" s="32"/>
      <c r="I28" s="32"/>
      <c r="K28" s="592"/>
    </row>
    <row r="29" spans="2:13" s="34" customFormat="1" ht="18" customHeight="1" thickBot="1" x14ac:dyDescent="0.3">
      <c r="B29" s="965" t="s">
        <v>539</v>
      </c>
      <c r="C29" s="938" t="s">
        <v>923</v>
      </c>
      <c r="D29" s="296"/>
      <c r="E29" s="758">
        <f>E24+E26+E27</f>
        <v>2526</v>
      </c>
      <c r="F29" s="758">
        <f>F24+F26+F27</f>
        <v>11113</v>
      </c>
      <c r="G29" s="758">
        <f>G24+G26+G27</f>
        <v>13639</v>
      </c>
      <c r="K29" s="593"/>
      <c r="M29" s="38"/>
    </row>
    <row r="30" spans="2:13" ht="18" customHeight="1" x14ac:dyDescent="0.25">
      <c r="B30" s="566"/>
      <c r="H30" s="32"/>
      <c r="I30" s="32"/>
    </row>
    <row r="31" spans="2:13" ht="18" customHeight="1" x14ac:dyDescent="0.25">
      <c r="H31" s="32"/>
      <c r="I31" s="32"/>
    </row>
    <row r="32" spans="2:13" ht="18" customHeight="1" x14ac:dyDescent="0.25">
      <c r="H32" s="32"/>
      <c r="I32" s="32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  <row r="40" spans="8:9" ht="18" customHeight="1" x14ac:dyDescent="0.25">
      <c r="H40" s="32"/>
      <c r="I40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37" customWidth="1"/>
    <col min="5" max="6" width="9.42578125" style="3" customWidth="1"/>
    <col min="7" max="7" width="9.7109375" style="3" customWidth="1"/>
    <col min="8" max="9" width="0" style="242" hidden="1" customWidth="1"/>
    <col min="10" max="10" width="9.85546875" style="261" hidden="1" customWidth="1"/>
    <col min="11" max="11" width="0" style="261" hidden="1" customWidth="1"/>
    <col min="12" max="16384" width="9.140625" style="4"/>
  </cols>
  <sheetData>
    <row r="1" spans="1:12" ht="31.5" customHeight="1" x14ac:dyDescent="0.2">
      <c r="B1" s="1470" t="s">
        <v>1408</v>
      </c>
      <c r="C1" s="1470"/>
      <c r="D1" s="1470"/>
      <c r="E1" s="1470"/>
      <c r="F1" s="1470"/>
      <c r="G1" s="1470"/>
      <c r="H1" s="1471"/>
      <c r="I1" s="1471"/>
      <c r="J1" s="1471"/>
      <c r="K1" s="1323"/>
    </row>
    <row r="3" spans="1:12" ht="12.75" customHeight="1" x14ac:dyDescent="0.2">
      <c r="B3" s="1322" t="s">
        <v>507</v>
      </c>
      <c r="C3" s="1322"/>
      <c r="D3" s="1322"/>
      <c r="E3" s="1322"/>
      <c r="F3" s="1322"/>
      <c r="G3" s="1322"/>
      <c r="H3" s="1323"/>
      <c r="I3" s="1323"/>
      <c r="J3" s="1323"/>
    </row>
    <row r="4" spans="1:12" ht="12.75" customHeight="1" x14ac:dyDescent="0.2">
      <c r="B4" s="1322" t="s">
        <v>1030</v>
      </c>
      <c r="C4" s="1322"/>
      <c r="D4" s="1322"/>
      <c r="E4" s="1322"/>
      <c r="F4" s="1322"/>
      <c r="G4" s="1322"/>
      <c r="H4" s="1323"/>
      <c r="I4" s="1323"/>
      <c r="J4" s="1323"/>
    </row>
    <row r="5" spans="1:12" ht="12.75" customHeight="1" x14ac:dyDescent="0.2">
      <c r="B5" s="1322" t="s">
        <v>924</v>
      </c>
      <c r="C5" s="1322"/>
      <c r="D5" s="1322"/>
      <c r="E5" s="1322"/>
      <c r="F5" s="1322"/>
      <c r="G5" s="1322"/>
      <c r="H5" s="1323"/>
      <c r="I5" s="1323"/>
      <c r="J5" s="1323"/>
    </row>
    <row r="6" spans="1:12" s="142" customFormat="1" ht="14.25" customHeight="1" x14ac:dyDescent="0.2">
      <c r="B6" s="230"/>
      <c r="C6" s="1469" t="s">
        <v>302</v>
      </c>
      <c r="D6" s="1469"/>
      <c r="E6" s="1420"/>
      <c r="F6" s="1420"/>
      <c r="G6" s="1420"/>
      <c r="H6" s="1323"/>
      <c r="I6" s="1323"/>
      <c r="J6" s="1323"/>
      <c r="K6" s="263"/>
    </row>
    <row r="7" spans="1:12" s="142" customFormat="1" ht="6" customHeight="1" x14ac:dyDescent="0.2">
      <c r="B7" s="230"/>
      <c r="C7" s="225"/>
      <c r="D7" s="253"/>
      <c r="E7" s="230"/>
      <c r="F7" s="230"/>
      <c r="G7" s="230"/>
      <c r="H7" s="294"/>
      <c r="I7" s="294"/>
      <c r="J7" s="263"/>
      <c r="K7" s="263"/>
    </row>
    <row r="8" spans="1:12" ht="27" customHeight="1" x14ac:dyDescent="0.25">
      <c r="B8" s="1472" t="s">
        <v>469</v>
      </c>
      <c r="C8" s="1475" t="s">
        <v>57</v>
      </c>
      <c r="D8" s="1475"/>
      <c r="E8" s="20" t="s">
        <v>58</v>
      </c>
      <c r="F8" s="20" t="s">
        <v>59</v>
      </c>
      <c r="G8" s="20" t="s">
        <v>60</v>
      </c>
      <c r="H8" s="261"/>
      <c r="I8" s="4"/>
      <c r="J8" s="4"/>
      <c r="K8" s="4"/>
    </row>
    <row r="9" spans="1:12" ht="30" customHeight="1" x14ac:dyDescent="0.2">
      <c r="B9" s="1473"/>
      <c r="C9" s="1464" t="s">
        <v>85</v>
      </c>
      <c r="D9" s="1464"/>
      <c r="E9" s="1477" t="s">
        <v>1029</v>
      </c>
      <c r="F9" s="1477"/>
      <c r="G9" s="1477"/>
      <c r="H9" s="261"/>
      <c r="I9" s="4"/>
      <c r="J9" s="4"/>
      <c r="K9" s="4"/>
    </row>
    <row r="10" spans="1:12" ht="41.25" customHeight="1" x14ac:dyDescent="0.2">
      <c r="B10" s="1474"/>
      <c r="C10" s="1464"/>
      <c r="D10" s="1464"/>
      <c r="E10" s="246" t="s">
        <v>62</v>
      </c>
      <c r="F10" s="246" t="s">
        <v>63</v>
      </c>
      <c r="G10" s="246" t="s">
        <v>64</v>
      </c>
      <c r="H10" s="261"/>
      <c r="I10" s="4"/>
      <c r="J10" s="4"/>
      <c r="K10" s="4"/>
    </row>
    <row r="11" spans="1:12" ht="18" customHeight="1" x14ac:dyDescent="0.2">
      <c r="A11" s="959"/>
      <c r="B11" s="960" t="s">
        <v>479</v>
      </c>
      <c r="C11" s="1478" t="s">
        <v>599</v>
      </c>
      <c r="D11" s="1478"/>
      <c r="E11" s="254"/>
      <c r="F11" s="233"/>
      <c r="G11" s="561"/>
      <c r="H11" s="261"/>
      <c r="I11" s="4"/>
      <c r="J11" s="4"/>
      <c r="K11" s="4"/>
      <c r="L11" s="590"/>
    </row>
    <row r="12" spans="1:12" ht="26.45" customHeight="1" x14ac:dyDescent="0.2">
      <c r="A12" s="959"/>
      <c r="B12" s="961" t="s">
        <v>487</v>
      </c>
      <c r="C12" s="233"/>
      <c r="D12" s="320" t="s">
        <v>925</v>
      </c>
      <c r="E12" s="256">
        <f>'tám, végl. pe.átv  '!C29</f>
        <v>0</v>
      </c>
      <c r="F12" s="255"/>
      <c r="G12" s="561">
        <f>SUM(E12:F12)</f>
        <v>0</v>
      </c>
      <c r="H12" s="261"/>
      <c r="I12" s="4"/>
      <c r="J12" s="4"/>
      <c r="K12" s="4"/>
      <c r="L12" s="590"/>
    </row>
    <row r="13" spans="1:12" ht="20.25" customHeight="1" x14ac:dyDescent="0.2">
      <c r="A13" s="959"/>
      <c r="B13" s="961" t="s">
        <v>488</v>
      </c>
      <c r="C13" s="233"/>
      <c r="D13" s="320" t="s">
        <v>104</v>
      </c>
      <c r="E13" s="254">
        <v>0</v>
      </c>
      <c r="F13" s="233">
        <f>SUM(F12)</f>
        <v>0</v>
      </c>
      <c r="G13" s="561">
        <f>SUM(E13:F13)</f>
        <v>0</v>
      </c>
      <c r="H13" s="261"/>
      <c r="I13" s="4"/>
      <c r="J13" s="4"/>
      <c r="K13" s="4"/>
      <c r="L13" s="590"/>
    </row>
    <row r="14" spans="1:12" ht="18" customHeight="1" x14ac:dyDescent="0.2">
      <c r="A14" s="959"/>
      <c r="B14" s="961" t="s">
        <v>489</v>
      </c>
      <c r="D14" s="257" t="s">
        <v>596</v>
      </c>
      <c r="E14" s="258">
        <f>SUM(E12:E13)</f>
        <v>0</v>
      </c>
      <c r="F14" s="235"/>
      <c r="G14" s="562">
        <f>SUM(G12:G13)</f>
        <v>0</v>
      </c>
      <c r="H14" s="261"/>
      <c r="I14" s="4"/>
      <c r="J14" s="4"/>
      <c r="K14" s="4"/>
      <c r="L14" s="590"/>
    </row>
    <row r="15" spans="1:12" ht="18" customHeight="1" x14ac:dyDescent="0.2">
      <c r="A15" s="959"/>
      <c r="B15" s="961" t="s">
        <v>490</v>
      </c>
      <c r="D15" s="257"/>
      <c r="E15" s="254"/>
      <c r="F15" s="233"/>
      <c r="G15" s="561"/>
      <c r="H15" s="261"/>
      <c r="I15" s="4"/>
      <c r="J15" s="4"/>
      <c r="K15" s="4"/>
      <c r="L15" s="590"/>
    </row>
    <row r="16" spans="1:12" ht="18" customHeight="1" x14ac:dyDescent="0.2">
      <c r="A16" s="959"/>
      <c r="B16" s="962" t="s">
        <v>491</v>
      </c>
      <c r="E16" s="297"/>
      <c r="F16" s="233"/>
      <c r="G16" s="563"/>
      <c r="H16" s="261"/>
      <c r="I16" s="4"/>
      <c r="J16" s="4"/>
      <c r="K16" s="4"/>
      <c r="L16" s="590"/>
    </row>
    <row r="17" spans="2:12" ht="18" customHeight="1" x14ac:dyDescent="0.2">
      <c r="B17" s="259" t="s">
        <v>492</v>
      </c>
      <c r="C17" s="1476" t="s">
        <v>597</v>
      </c>
      <c r="D17" s="1476"/>
      <c r="E17" s="260">
        <f>E14</f>
        <v>0</v>
      </c>
      <c r="F17" s="260">
        <f t="shared" ref="F17:G17" si="0">F14</f>
        <v>0</v>
      </c>
      <c r="G17" s="260">
        <f t="shared" si="0"/>
        <v>0</v>
      </c>
      <c r="H17" s="261"/>
      <c r="I17" s="4"/>
      <c r="J17" s="4"/>
      <c r="K17" s="4"/>
      <c r="L17" s="590"/>
    </row>
    <row r="18" spans="2:12" ht="18" customHeight="1" x14ac:dyDescent="0.2">
      <c r="B18" s="5"/>
      <c r="H18" s="261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4" customWidth="1"/>
    <col min="2" max="2" width="39.85546875" style="154" customWidth="1"/>
    <col min="3" max="3" width="10.28515625" style="155" customWidth="1"/>
    <col min="4" max="4" width="11" style="155" customWidth="1"/>
    <col min="5" max="5" width="10.85546875" style="155" customWidth="1"/>
    <col min="6" max="6" width="33.7109375" style="155" customWidth="1"/>
    <col min="7" max="7" width="10.5703125" style="284" customWidth="1"/>
    <col min="8" max="8" width="12.42578125" style="284" customWidth="1"/>
    <col min="9" max="9" width="13" style="284" customWidth="1"/>
    <col min="10" max="10" width="9.140625" style="154"/>
    <col min="11" max="16384" width="9.140625" style="10"/>
  </cols>
  <sheetData>
    <row r="1" spans="1:10" ht="12.75" customHeight="1" x14ac:dyDescent="0.2">
      <c r="B1" s="1268" t="s">
        <v>1409</v>
      </c>
      <c r="C1" s="1323"/>
      <c r="D1" s="1323"/>
      <c r="E1" s="1323"/>
      <c r="F1" s="1323"/>
      <c r="G1" s="1323"/>
      <c r="H1" s="1323"/>
      <c r="I1" s="1323"/>
    </row>
    <row r="2" spans="1:10" x14ac:dyDescent="0.2">
      <c r="I2" s="344"/>
    </row>
    <row r="3" spans="1:10" x14ac:dyDescent="0.2">
      <c r="I3" s="344"/>
    </row>
    <row r="4" spans="1:10" s="122" customFormat="1" x14ac:dyDescent="0.2">
      <c r="A4" s="157"/>
      <c r="B4" s="1271" t="s">
        <v>77</v>
      </c>
      <c r="C4" s="1271"/>
      <c r="D4" s="1271"/>
      <c r="E4" s="1271"/>
      <c r="F4" s="1271"/>
      <c r="G4" s="1271"/>
      <c r="H4" s="1271"/>
      <c r="I4" s="1271"/>
      <c r="J4" s="157"/>
    </row>
    <row r="5" spans="1:10" s="122" customFormat="1" x14ac:dyDescent="0.2">
      <c r="A5" s="157"/>
      <c r="B5" s="1387" t="s">
        <v>182</v>
      </c>
      <c r="C5" s="1387"/>
      <c r="D5" s="1387"/>
      <c r="E5" s="1387"/>
      <c r="F5" s="1387"/>
      <c r="G5" s="1387"/>
      <c r="H5" s="1387"/>
      <c r="I5" s="1387"/>
      <c r="J5" s="157"/>
    </row>
    <row r="6" spans="1:10" s="122" customFormat="1" x14ac:dyDescent="0.2">
      <c r="A6" s="157"/>
      <c r="B6" s="1271" t="s">
        <v>1136</v>
      </c>
      <c r="C6" s="1271"/>
      <c r="D6" s="1271"/>
      <c r="E6" s="1271"/>
      <c r="F6" s="1271"/>
      <c r="G6" s="1271"/>
      <c r="H6" s="1271"/>
      <c r="I6" s="1271"/>
      <c r="J6" s="157"/>
    </row>
    <row r="7" spans="1:10" s="122" customFormat="1" x14ac:dyDescent="0.2">
      <c r="A7" s="157"/>
      <c r="B7" s="1272" t="s">
        <v>302</v>
      </c>
      <c r="C7" s="1272"/>
      <c r="D7" s="1272"/>
      <c r="E7" s="1272"/>
      <c r="F7" s="1272"/>
      <c r="G7" s="1272"/>
      <c r="H7" s="1272"/>
      <c r="I7" s="1272"/>
      <c r="J7" s="157"/>
    </row>
    <row r="8" spans="1:10" s="122" customFormat="1" ht="12.75" customHeight="1" x14ac:dyDescent="0.2">
      <c r="A8" s="1276" t="s">
        <v>56</v>
      </c>
      <c r="B8" s="1277" t="s">
        <v>57</v>
      </c>
      <c r="C8" s="1292" t="s">
        <v>58</v>
      </c>
      <c r="D8" s="1292"/>
      <c r="E8" s="1293"/>
      <c r="F8" s="1386" t="s">
        <v>59</v>
      </c>
      <c r="G8" s="1290" t="s">
        <v>60</v>
      </c>
      <c r="H8" s="1291"/>
      <c r="I8" s="1291"/>
      <c r="J8" s="587"/>
    </row>
    <row r="9" spans="1:10" s="122" customFormat="1" ht="12.75" customHeight="1" x14ac:dyDescent="0.2">
      <c r="A9" s="1276"/>
      <c r="B9" s="1277"/>
      <c r="C9" s="1269" t="s">
        <v>1137</v>
      </c>
      <c r="D9" s="1269"/>
      <c r="E9" s="1270"/>
      <c r="F9" s="1386"/>
      <c r="G9" s="1282" t="s">
        <v>1137</v>
      </c>
      <c r="H9" s="1282"/>
      <c r="I9" s="1282"/>
      <c r="J9" s="587"/>
    </row>
    <row r="10" spans="1:10" s="302" customFormat="1" ht="36.6" customHeight="1" x14ac:dyDescent="0.2">
      <c r="A10" s="1276"/>
      <c r="B10" s="300" t="s">
        <v>61</v>
      </c>
      <c r="C10" s="134" t="s">
        <v>62</v>
      </c>
      <c r="D10" s="134" t="s">
        <v>63</v>
      </c>
      <c r="E10" s="159" t="s">
        <v>64</v>
      </c>
      <c r="F10" s="301" t="s">
        <v>65</v>
      </c>
      <c r="G10" s="345" t="s">
        <v>62</v>
      </c>
      <c r="H10" s="345" t="s">
        <v>63</v>
      </c>
      <c r="I10" s="345" t="s">
        <v>64</v>
      </c>
      <c r="J10" s="594"/>
    </row>
    <row r="11" spans="1:10" ht="11.45" customHeight="1" x14ac:dyDescent="0.2">
      <c r="A11" s="161">
        <v>1</v>
      </c>
      <c r="B11" s="162" t="s">
        <v>24</v>
      </c>
      <c r="C11" s="163"/>
      <c r="D11" s="163"/>
      <c r="E11" s="163"/>
      <c r="F11" s="137" t="s">
        <v>25</v>
      </c>
      <c r="G11" s="350"/>
      <c r="H11" s="350"/>
      <c r="I11" s="455"/>
      <c r="J11" s="187"/>
    </row>
    <row r="12" spans="1:10" x14ac:dyDescent="0.2">
      <c r="A12" s="161">
        <f t="shared" ref="A12:A54" si="0">A11+1</f>
        <v>2</v>
      </c>
      <c r="B12" s="164" t="s">
        <v>35</v>
      </c>
      <c r="C12" s="118"/>
      <c r="D12" s="118"/>
      <c r="E12" s="119">
        <f t="shared" ref="E12:E18" si="1">SUM(C12:D12)</f>
        <v>0</v>
      </c>
      <c r="F12" s="138" t="s">
        <v>215</v>
      </c>
      <c r="G12" s="279">
        <v>242882</v>
      </c>
      <c r="H12" s="279">
        <v>27869</v>
      </c>
      <c r="I12" s="456">
        <f>SUM(G12:H12)</f>
        <v>270751</v>
      </c>
      <c r="J12" s="187"/>
    </row>
    <row r="13" spans="1:10" x14ac:dyDescent="0.2">
      <c r="A13" s="161">
        <f t="shared" si="0"/>
        <v>3</v>
      </c>
      <c r="B13" s="164" t="s">
        <v>36</v>
      </c>
      <c r="C13" s="118"/>
      <c r="D13" s="118"/>
      <c r="E13" s="119">
        <f t="shared" si="1"/>
        <v>0</v>
      </c>
      <c r="F13" s="519" t="s">
        <v>216</v>
      </c>
      <c r="G13" s="279">
        <v>49709</v>
      </c>
      <c r="H13" s="279">
        <v>4972</v>
      </c>
      <c r="I13" s="456">
        <f>SUM(G13:H13)</f>
        <v>54681</v>
      </c>
      <c r="J13" s="586"/>
    </row>
    <row r="14" spans="1:10" x14ac:dyDescent="0.2">
      <c r="A14" s="161">
        <f t="shared" si="0"/>
        <v>4</v>
      </c>
      <c r="B14" s="164" t="s">
        <v>192</v>
      </c>
      <c r="C14" s="118">
        <f>'tám, végl. pe.átv  '!C55</f>
        <v>0</v>
      </c>
      <c r="D14" s="118">
        <f>'tám, végl. pe.átv  '!D55</f>
        <v>2005</v>
      </c>
      <c r="E14" s="279">
        <f t="shared" si="1"/>
        <v>2005</v>
      </c>
      <c r="F14" s="138" t="s">
        <v>217</v>
      </c>
      <c r="G14" s="279">
        <v>211328</v>
      </c>
      <c r="H14" s="279">
        <v>32926</v>
      </c>
      <c r="I14" s="456">
        <f>SUM(G14:H14)</f>
        <v>244254</v>
      </c>
      <c r="J14" s="187"/>
    </row>
    <row r="15" spans="1:10" ht="12" customHeight="1" x14ac:dyDescent="0.2">
      <c r="A15" s="161">
        <f t="shared" si="0"/>
        <v>5</v>
      </c>
      <c r="B15" s="127"/>
      <c r="C15" s="118"/>
      <c r="D15" s="118"/>
      <c r="E15" s="119"/>
      <c r="F15" s="138"/>
      <c r="G15" s="366"/>
      <c r="H15" s="366"/>
      <c r="I15" s="457"/>
      <c r="J15" s="187"/>
    </row>
    <row r="16" spans="1:10" x14ac:dyDescent="0.2">
      <c r="A16" s="161">
        <f t="shared" si="0"/>
        <v>6</v>
      </c>
      <c r="B16" s="164" t="s">
        <v>38</v>
      </c>
      <c r="C16" s="118"/>
      <c r="D16" s="118"/>
      <c r="E16" s="119">
        <f t="shared" si="1"/>
        <v>0</v>
      </c>
      <c r="F16" s="138" t="s">
        <v>28</v>
      </c>
      <c r="G16" s="286"/>
      <c r="H16" s="286"/>
      <c r="I16" s="458"/>
      <c r="J16" s="187"/>
    </row>
    <row r="17" spans="1:10" x14ac:dyDescent="0.2">
      <c r="A17" s="161">
        <f t="shared" si="0"/>
        <v>7</v>
      </c>
      <c r="B17" s="164"/>
      <c r="C17" s="118"/>
      <c r="D17" s="118"/>
      <c r="E17" s="119"/>
      <c r="F17" s="138" t="s">
        <v>30</v>
      </c>
      <c r="G17" s="286"/>
      <c r="H17" s="286"/>
      <c r="I17" s="458"/>
      <c r="J17" s="187"/>
    </row>
    <row r="18" spans="1:10" x14ac:dyDescent="0.2">
      <c r="A18" s="161">
        <f t="shared" si="0"/>
        <v>8</v>
      </c>
      <c r="B18" s="164" t="s">
        <v>39</v>
      </c>
      <c r="C18" s="118"/>
      <c r="D18" s="118"/>
      <c r="E18" s="119">
        <f t="shared" si="1"/>
        <v>0</v>
      </c>
      <c r="F18" s="138" t="s">
        <v>446</v>
      </c>
      <c r="G18" s="286"/>
      <c r="H18" s="286"/>
      <c r="I18" s="458"/>
      <c r="J18" s="187"/>
    </row>
    <row r="19" spans="1:10" x14ac:dyDescent="0.2">
      <c r="A19" s="161">
        <f t="shared" si="0"/>
        <v>9</v>
      </c>
      <c r="B19" s="167" t="s">
        <v>40</v>
      </c>
      <c r="C19" s="165"/>
      <c r="D19" s="165"/>
      <c r="E19" s="165"/>
      <c r="F19" s="138" t="s">
        <v>445</v>
      </c>
      <c r="G19" s="286"/>
      <c r="H19" s="286"/>
      <c r="I19" s="458"/>
      <c r="J19" s="187"/>
    </row>
    <row r="20" spans="1:10" x14ac:dyDescent="0.2">
      <c r="A20" s="161">
        <f t="shared" si="0"/>
        <v>10</v>
      </c>
      <c r="B20" s="116" t="s">
        <v>194</v>
      </c>
      <c r="C20" s="346">
        <v>111767</v>
      </c>
      <c r="D20" s="346">
        <v>32894</v>
      </c>
      <c r="E20" s="346">
        <f>SUM(C20:D20)</f>
        <v>144661</v>
      </c>
      <c r="F20" s="138" t="s">
        <v>190</v>
      </c>
      <c r="G20" s="286"/>
      <c r="H20" s="286"/>
      <c r="I20" s="458"/>
      <c r="J20" s="187"/>
    </row>
    <row r="21" spans="1:10" x14ac:dyDescent="0.2">
      <c r="A21" s="161">
        <f t="shared" si="0"/>
        <v>11</v>
      </c>
      <c r="C21" s="165"/>
      <c r="D21" s="165"/>
      <c r="E21" s="165"/>
      <c r="F21" s="138" t="s">
        <v>929</v>
      </c>
      <c r="G21" s="286"/>
      <c r="H21" s="286"/>
      <c r="I21" s="458"/>
      <c r="J21" s="187"/>
    </row>
    <row r="22" spans="1:10" s="124" customFormat="1" x14ac:dyDescent="0.2">
      <c r="A22" s="161">
        <f t="shared" si="0"/>
        <v>12</v>
      </c>
      <c r="B22" s="154" t="s">
        <v>42</v>
      </c>
      <c r="C22" s="165"/>
      <c r="D22" s="165"/>
      <c r="E22" s="165"/>
      <c r="F22" s="138" t="s">
        <v>930</v>
      </c>
      <c r="G22" s="286"/>
      <c r="H22" s="286"/>
      <c r="I22" s="458"/>
      <c r="J22" s="589"/>
    </row>
    <row r="23" spans="1:10" s="124" customFormat="1" x14ac:dyDescent="0.2">
      <c r="A23" s="161">
        <f t="shared" si="0"/>
        <v>13</v>
      </c>
      <c r="B23" s="154" t="s">
        <v>43</v>
      </c>
      <c r="C23" s="165"/>
      <c r="D23" s="165"/>
      <c r="E23" s="165"/>
      <c r="F23" s="168"/>
      <c r="G23" s="286"/>
      <c r="H23" s="286"/>
      <c r="I23" s="458"/>
      <c r="J23" s="589"/>
    </row>
    <row r="24" spans="1:10" x14ac:dyDescent="0.2">
      <c r="A24" s="161">
        <f t="shared" si="0"/>
        <v>14</v>
      </c>
      <c r="B24" s="164" t="s">
        <v>44</v>
      </c>
      <c r="C24" s="129"/>
      <c r="D24" s="129"/>
      <c r="E24" s="129"/>
      <c r="F24" s="169" t="s">
        <v>66</v>
      </c>
      <c r="G24" s="347">
        <f>SUM(G12:G22)</f>
        <v>503919</v>
      </c>
      <c r="H24" s="347">
        <f>SUM(H12:H22)</f>
        <v>65767</v>
      </c>
      <c r="I24" s="459">
        <f>SUM(I12:I22)</f>
        <v>569686</v>
      </c>
      <c r="J24" s="187"/>
    </row>
    <row r="25" spans="1:10" x14ac:dyDescent="0.2">
      <c r="A25" s="161">
        <f t="shared" si="0"/>
        <v>15</v>
      </c>
      <c r="B25" s="164" t="s">
        <v>45</v>
      </c>
      <c r="C25" s="165">
        <v>1285</v>
      </c>
      <c r="D25" s="165">
        <v>0</v>
      </c>
      <c r="E25" s="165">
        <f>'felh. bev.  '!F52</f>
        <v>1285</v>
      </c>
      <c r="F25" s="168"/>
      <c r="G25" s="286"/>
      <c r="H25" s="286"/>
      <c r="I25" s="458"/>
      <c r="J25" s="187"/>
    </row>
    <row r="26" spans="1:10" x14ac:dyDescent="0.2">
      <c r="A26" s="161">
        <f t="shared" si="0"/>
        <v>16</v>
      </c>
      <c r="B26" s="116" t="s">
        <v>46</v>
      </c>
      <c r="C26" s="126"/>
      <c r="D26" s="126"/>
      <c r="E26" s="126"/>
      <c r="F26" s="139" t="s">
        <v>34</v>
      </c>
      <c r="G26" s="349"/>
      <c r="H26" s="349"/>
      <c r="I26" s="458"/>
      <c r="J26" s="187"/>
    </row>
    <row r="27" spans="1:10" x14ac:dyDescent="0.2">
      <c r="A27" s="161">
        <f t="shared" si="0"/>
        <v>17</v>
      </c>
      <c r="B27" s="164" t="s">
        <v>47</v>
      </c>
      <c r="C27" s="119"/>
      <c r="D27" s="119"/>
      <c r="E27" s="119"/>
      <c r="F27" s="138" t="s">
        <v>273</v>
      </c>
      <c r="G27" s="286">
        <f>'felhalm. kiad.  '!H119</f>
        <v>40400</v>
      </c>
      <c r="H27" s="286">
        <f>'felhalm. kiad.  '!I119</f>
        <v>0</v>
      </c>
      <c r="I27" s="458">
        <f>SUM(G27:H27)</f>
        <v>40400</v>
      </c>
      <c r="J27" s="187"/>
    </row>
    <row r="28" spans="1:10" x14ac:dyDescent="0.2">
      <c r="A28" s="161">
        <f t="shared" si="0"/>
        <v>18</v>
      </c>
      <c r="B28" s="164"/>
      <c r="C28" s="119"/>
      <c r="D28" s="119"/>
      <c r="E28" s="119"/>
      <c r="F28" s="138" t="s">
        <v>31</v>
      </c>
      <c r="G28" s="286"/>
      <c r="H28" s="286"/>
      <c r="I28" s="458"/>
      <c r="J28" s="187"/>
    </row>
    <row r="29" spans="1:10" x14ac:dyDescent="0.2">
      <c r="A29" s="161">
        <f t="shared" si="0"/>
        <v>19</v>
      </c>
      <c r="B29" s="154" t="s">
        <v>50</v>
      </c>
      <c r="C29" s="119"/>
      <c r="D29" s="119"/>
      <c r="E29" s="119"/>
      <c r="F29" s="138" t="s">
        <v>32</v>
      </c>
      <c r="G29" s="286"/>
      <c r="H29" s="286"/>
      <c r="I29" s="458"/>
      <c r="J29" s="187"/>
    </row>
    <row r="30" spans="1:10" s="124" customFormat="1" x14ac:dyDescent="0.2">
      <c r="A30" s="161">
        <f t="shared" si="0"/>
        <v>20</v>
      </c>
      <c r="B30" s="154" t="s">
        <v>48</v>
      </c>
      <c r="C30" s="119"/>
      <c r="D30" s="119"/>
      <c r="E30" s="119"/>
      <c r="F30" s="138" t="s">
        <v>447</v>
      </c>
      <c r="G30" s="286"/>
      <c r="H30" s="286"/>
      <c r="I30" s="458"/>
      <c r="J30" s="589"/>
    </row>
    <row r="31" spans="1:10" x14ac:dyDescent="0.2">
      <c r="A31" s="161">
        <f t="shared" si="0"/>
        <v>21</v>
      </c>
      <c r="C31" s="119"/>
      <c r="D31" s="119"/>
      <c r="E31" s="119"/>
      <c r="F31" s="138" t="s">
        <v>444</v>
      </c>
      <c r="G31" s="286"/>
      <c r="H31" s="286"/>
      <c r="I31" s="458"/>
      <c r="J31" s="187"/>
    </row>
    <row r="32" spans="1:10" s="11" customFormat="1" x14ac:dyDescent="0.2">
      <c r="A32" s="161">
        <f t="shared" si="0"/>
        <v>22</v>
      </c>
      <c r="B32" s="171" t="s">
        <v>52</v>
      </c>
      <c r="C32" s="165">
        <f>C14+C20</f>
        <v>111767</v>
      </c>
      <c r="D32" s="165">
        <f>D14+D20</f>
        <v>34899</v>
      </c>
      <c r="E32" s="165">
        <f>E14+E20</f>
        <v>146666</v>
      </c>
      <c r="F32" s="138" t="s">
        <v>440</v>
      </c>
      <c r="G32" s="284"/>
      <c r="H32" s="284"/>
      <c r="I32" s="458"/>
      <c r="J32" s="494"/>
    </row>
    <row r="33" spans="1:10" x14ac:dyDescent="0.2">
      <c r="A33" s="161">
        <f t="shared" si="0"/>
        <v>23</v>
      </c>
      <c r="B33" s="172" t="s">
        <v>67</v>
      </c>
      <c r="C33" s="174">
        <f>C16+C23+C24+C25+C26+C27+C30</f>
        <v>1285</v>
      </c>
      <c r="D33" s="174">
        <f t="shared" ref="D33:E33" si="2">D16+D23+D24+D25+D26+D27+D30</f>
        <v>0</v>
      </c>
      <c r="E33" s="174">
        <f t="shared" si="2"/>
        <v>1285</v>
      </c>
      <c r="F33" s="173" t="s">
        <v>68</v>
      </c>
      <c r="G33" s="348">
        <f>SUM(G27:G32)</f>
        <v>40400</v>
      </c>
      <c r="H33" s="348">
        <f>SUM(H27:H32)</f>
        <v>0</v>
      </c>
      <c r="I33" s="460">
        <f>SUM(I27:I31)</f>
        <v>40400</v>
      </c>
      <c r="J33" s="187"/>
    </row>
    <row r="34" spans="1:10" x14ac:dyDescent="0.2">
      <c r="A34" s="161">
        <f t="shared" si="0"/>
        <v>24</v>
      </c>
      <c r="B34" s="175" t="s">
        <v>51</v>
      </c>
      <c r="C34" s="170">
        <f>SUM(C32:C33)</f>
        <v>113052</v>
      </c>
      <c r="D34" s="170">
        <f>SUM(D32:D33)</f>
        <v>34899</v>
      </c>
      <c r="E34" s="170">
        <f>SUM(C34:D34)</f>
        <v>147951</v>
      </c>
      <c r="F34" s="176" t="s">
        <v>69</v>
      </c>
      <c r="G34" s="349">
        <f>G24+G33</f>
        <v>544319</v>
      </c>
      <c r="H34" s="349">
        <f>H24+H33</f>
        <v>65767</v>
      </c>
      <c r="I34" s="435">
        <f>I24+I33</f>
        <v>610086</v>
      </c>
      <c r="J34" s="187"/>
    </row>
    <row r="35" spans="1:10" x14ac:dyDescent="0.2">
      <c r="A35" s="161">
        <f t="shared" si="0"/>
        <v>25</v>
      </c>
      <c r="B35" s="177"/>
      <c r="C35" s="166"/>
      <c r="D35" s="166"/>
      <c r="E35" s="166"/>
      <c r="F35" s="168"/>
      <c r="G35" s="286"/>
      <c r="H35" s="286"/>
      <c r="I35" s="458"/>
      <c r="J35" s="187"/>
    </row>
    <row r="36" spans="1:10" x14ac:dyDescent="0.2">
      <c r="A36" s="161">
        <f t="shared" si="0"/>
        <v>26</v>
      </c>
      <c r="B36" s="177"/>
      <c r="C36" s="166"/>
      <c r="D36" s="166"/>
      <c r="E36" s="166"/>
      <c r="F36" s="169"/>
      <c r="G36" s="347"/>
      <c r="H36" s="347"/>
      <c r="I36" s="459"/>
      <c r="J36" s="187"/>
    </row>
    <row r="37" spans="1:10" s="11" customFormat="1" x14ac:dyDescent="0.2">
      <c r="A37" s="161">
        <f t="shared" si="0"/>
        <v>27</v>
      </c>
      <c r="B37" s="177"/>
      <c r="C37" s="166"/>
      <c r="D37" s="166"/>
      <c r="E37" s="166"/>
      <c r="F37" s="168"/>
      <c r="G37" s="286"/>
      <c r="H37" s="286"/>
      <c r="I37" s="458"/>
      <c r="J37" s="494"/>
    </row>
    <row r="38" spans="1:10" s="11" customFormat="1" x14ac:dyDescent="0.2">
      <c r="A38" s="760">
        <f t="shared" si="0"/>
        <v>28</v>
      </c>
      <c r="B38" s="126" t="s">
        <v>53</v>
      </c>
      <c r="C38" s="126"/>
      <c r="D38" s="126"/>
      <c r="E38" s="126"/>
      <c r="F38" s="139" t="s">
        <v>33</v>
      </c>
      <c r="G38" s="349"/>
      <c r="H38" s="349"/>
      <c r="I38" s="435"/>
      <c r="J38" s="494"/>
    </row>
    <row r="39" spans="1:10" s="11" customFormat="1" x14ac:dyDescent="0.2">
      <c r="A39" s="161">
        <f t="shared" si="0"/>
        <v>29</v>
      </c>
      <c r="B39" s="135" t="s">
        <v>682</v>
      </c>
      <c r="C39" s="126"/>
      <c r="D39" s="126"/>
      <c r="E39" s="126"/>
      <c r="F39" s="178" t="s">
        <v>4</v>
      </c>
      <c r="G39" s="186"/>
      <c r="I39" s="461"/>
      <c r="J39" s="494"/>
    </row>
    <row r="40" spans="1:10" s="11" customFormat="1" x14ac:dyDescent="0.2">
      <c r="A40" s="161">
        <f t="shared" si="0"/>
        <v>30</v>
      </c>
      <c r="B40" s="116" t="s">
        <v>960</v>
      </c>
      <c r="C40" s="126"/>
      <c r="D40" s="126"/>
      <c r="E40" s="126"/>
      <c r="F40" s="520" t="s">
        <v>3</v>
      </c>
      <c r="G40" s="349"/>
      <c r="H40" s="349"/>
      <c r="I40" s="435"/>
      <c r="J40" s="494"/>
    </row>
    <row r="41" spans="1:10" x14ac:dyDescent="0.2">
      <c r="A41" s="161">
        <f t="shared" si="0"/>
        <v>31</v>
      </c>
      <c r="B41" s="118" t="s">
        <v>684</v>
      </c>
      <c r="C41" s="182"/>
      <c r="D41" s="182"/>
      <c r="E41" s="182"/>
      <c r="F41" s="138" t="s">
        <v>5</v>
      </c>
      <c r="G41" s="349"/>
      <c r="H41" s="349"/>
      <c r="I41" s="435"/>
      <c r="J41" s="187"/>
    </row>
    <row r="42" spans="1:10" x14ac:dyDescent="0.2">
      <c r="A42" s="161">
        <f t="shared" si="0"/>
        <v>32</v>
      </c>
      <c r="B42" s="118" t="s">
        <v>207</v>
      </c>
      <c r="C42" s="119"/>
      <c r="D42" s="119"/>
      <c r="E42" s="119"/>
      <c r="F42" s="138" t="s">
        <v>6</v>
      </c>
      <c r="G42" s="186"/>
      <c r="H42" s="186"/>
      <c r="I42" s="435"/>
      <c r="J42" s="187"/>
    </row>
    <row r="43" spans="1:10" x14ac:dyDescent="0.2">
      <c r="A43" s="161">
        <f t="shared" si="0"/>
        <v>33</v>
      </c>
      <c r="B43" s="518" t="s">
        <v>272</v>
      </c>
      <c r="C43" s="119">
        <v>2162</v>
      </c>
      <c r="D43" s="119">
        <v>0</v>
      </c>
      <c r="E43" s="119">
        <f>C43+D43</f>
        <v>2162</v>
      </c>
      <c r="F43" s="138" t="s">
        <v>7</v>
      </c>
      <c r="G43" s="186"/>
      <c r="H43" s="186"/>
      <c r="I43" s="435"/>
      <c r="J43" s="187"/>
    </row>
    <row r="44" spans="1:10" x14ac:dyDescent="0.2">
      <c r="A44" s="161">
        <f t="shared" si="0"/>
        <v>34</v>
      </c>
      <c r="B44" s="518" t="s">
        <v>958</v>
      </c>
      <c r="C44" s="119"/>
      <c r="D44" s="119"/>
      <c r="E44" s="119"/>
      <c r="F44" s="138"/>
      <c r="G44" s="186"/>
      <c r="H44" s="186"/>
      <c r="I44" s="435"/>
      <c r="J44" s="187"/>
    </row>
    <row r="45" spans="1:10" x14ac:dyDescent="0.2">
      <c r="A45" s="161">
        <f t="shared" si="0"/>
        <v>35</v>
      </c>
      <c r="B45" s="119" t="s">
        <v>685</v>
      </c>
      <c r="C45" s="119"/>
      <c r="D45" s="119"/>
      <c r="E45" s="119"/>
      <c r="F45" s="138" t="s">
        <v>8</v>
      </c>
      <c r="G45" s="349"/>
      <c r="H45" s="349"/>
      <c r="I45" s="458"/>
      <c r="J45" s="187"/>
    </row>
    <row r="46" spans="1:10" x14ac:dyDescent="0.2">
      <c r="A46" s="161">
        <f t="shared" si="0"/>
        <v>36</v>
      </c>
      <c r="B46" s="119" t="s">
        <v>686</v>
      </c>
      <c r="C46" s="126"/>
      <c r="D46" s="126"/>
      <c r="E46" s="126"/>
      <c r="F46" s="138" t="s">
        <v>9</v>
      </c>
      <c r="G46" s="349"/>
      <c r="H46" s="349"/>
      <c r="I46" s="458"/>
      <c r="J46" s="187"/>
    </row>
    <row r="47" spans="1:10" x14ac:dyDescent="0.2">
      <c r="A47" s="161">
        <f t="shared" si="0"/>
        <v>37</v>
      </c>
      <c r="B47" s="118" t="s">
        <v>211</v>
      </c>
      <c r="C47" s="119"/>
      <c r="D47" s="119"/>
      <c r="E47" s="119"/>
      <c r="F47" s="138" t="s">
        <v>10</v>
      </c>
      <c r="G47" s="286"/>
      <c r="H47" s="286"/>
      <c r="I47" s="458"/>
      <c r="J47" s="187"/>
    </row>
    <row r="48" spans="1:10" x14ac:dyDescent="0.2">
      <c r="A48" s="161">
        <f t="shared" si="0"/>
        <v>38</v>
      </c>
      <c r="B48" s="518" t="s">
        <v>212</v>
      </c>
      <c r="C48" s="119">
        <f>G24-(C32+C43)</f>
        <v>389990</v>
      </c>
      <c r="D48" s="119">
        <f>H24-(D32+D43)</f>
        <v>30868</v>
      </c>
      <c r="E48" s="119">
        <f>I24-(E32+E43)</f>
        <v>420858</v>
      </c>
      <c r="F48" s="138" t="s">
        <v>11</v>
      </c>
      <c r="G48" s="286"/>
      <c r="H48" s="286"/>
      <c r="I48" s="458"/>
      <c r="J48" s="187"/>
    </row>
    <row r="49" spans="1:10" x14ac:dyDescent="0.2">
      <c r="A49" s="161">
        <f t="shared" si="0"/>
        <v>39</v>
      </c>
      <c r="B49" s="518" t="s">
        <v>213</v>
      </c>
      <c r="C49" s="119">
        <f>G33-C33</f>
        <v>39115</v>
      </c>
      <c r="D49" s="119">
        <f>H33-D33</f>
        <v>0</v>
      </c>
      <c r="E49" s="119">
        <f>I33-E33</f>
        <v>39115</v>
      </c>
      <c r="F49" s="138" t="s">
        <v>12</v>
      </c>
      <c r="G49" s="286"/>
      <c r="H49" s="286"/>
      <c r="I49" s="458"/>
      <c r="J49" s="187"/>
    </row>
    <row r="50" spans="1:10" x14ac:dyDescent="0.2">
      <c r="A50" s="161">
        <f t="shared" si="0"/>
        <v>40</v>
      </c>
      <c r="B50" s="118" t="s">
        <v>1</v>
      </c>
      <c r="C50" s="119"/>
      <c r="D50" s="119"/>
      <c r="E50" s="119"/>
      <c r="F50" s="138" t="s">
        <v>13</v>
      </c>
      <c r="G50" s="286"/>
      <c r="H50" s="286"/>
      <c r="I50" s="458"/>
      <c r="J50" s="187"/>
    </row>
    <row r="51" spans="1:10" x14ac:dyDescent="0.2">
      <c r="A51" s="161">
        <f t="shared" si="0"/>
        <v>41</v>
      </c>
      <c r="B51" s="118"/>
      <c r="C51" s="119"/>
      <c r="D51" s="119"/>
      <c r="E51" s="119"/>
      <c r="F51" s="138" t="s">
        <v>14</v>
      </c>
      <c r="G51" s="286"/>
      <c r="H51" s="286"/>
      <c r="I51" s="458"/>
      <c r="J51" s="187"/>
    </row>
    <row r="52" spans="1:10" x14ac:dyDescent="0.2">
      <c r="A52" s="161">
        <f t="shared" si="0"/>
        <v>42</v>
      </c>
      <c r="B52" s="118"/>
      <c r="C52" s="119"/>
      <c r="D52" s="119"/>
      <c r="E52" s="119"/>
      <c r="F52" s="138" t="s">
        <v>15</v>
      </c>
      <c r="G52" s="286"/>
      <c r="H52" s="286"/>
      <c r="I52" s="458"/>
      <c r="J52" s="187"/>
    </row>
    <row r="53" spans="1:10" ht="12" thickBot="1" x14ac:dyDescent="0.25">
      <c r="A53" s="161">
        <f t="shared" si="0"/>
        <v>43</v>
      </c>
      <c r="B53" s="175" t="s">
        <v>448</v>
      </c>
      <c r="C53" s="126">
        <f>SUM(C39:C51)</f>
        <v>431267</v>
      </c>
      <c r="D53" s="126">
        <f>SUM(D39:D51)</f>
        <v>30868</v>
      </c>
      <c r="E53" s="126">
        <f>SUM(E39:E51)</f>
        <v>462135</v>
      </c>
      <c r="F53" s="139" t="s">
        <v>441</v>
      </c>
      <c r="G53" s="349">
        <f>SUM(G39:G52)</f>
        <v>0</v>
      </c>
      <c r="H53" s="349">
        <f>SUM(H39:H52)</f>
        <v>0</v>
      </c>
      <c r="I53" s="435">
        <f>SUM(I39:I52)</f>
        <v>0</v>
      </c>
      <c r="J53" s="187"/>
    </row>
    <row r="54" spans="1:10" ht="12" thickBot="1" x14ac:dyDescent="0.25">
      <c r="A54" s="905">
        <f t="shared" si="0"/>
        <v>44</v>
      </c>
      <c r="B54" s="1083" t="s">
        <v>443</v>
      </c>
      <c r="C54" s="1048">
        <f>C34+C53</f>
        <v>544319</v>
      </c>
      <c r="D54" s="298">
        <f>D34+D53</f>
        <v>65767</v>
      </c>
      <c r="E54" s="901">
        <f>E34+E53</f>
        <v>610086</v>
      </c>
      <c r="F54" s="488" t="s">
        <v>442</v>
      </c>
      <c r="G54" s="1082">
        <f>G34+G53</f>
        <v>544319</v>
      </c>
      <c r="H54" s="908">
        <f>H34+H53</f>
        <v>65767</v>
      </c>
      <c r="I54" s="786">
        <f>I34+I53</f>
        <v>610086</v>
      </c>
      <c r="J54" s="285"/>
    </row>
    <row r="55" spans="1:10" x14ac:dyDescent="0.2">
      <c r="B55" s="180"/>
      <c r="C55" s="179"/>
      <c r="D55" s="179"/>
      <c r="E55" s="179"/>
      <c r="F55" s="179"/>
      <c r="G55" s="186"/>
      <c r="H55" s="186"/>
      <c r="I55" s="186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4" customWidth="1"/>
    <col min="2" max="2" width="41.85546875" style="154" customWidth="1"/>
    <col min="3" max="3" width="10.140625" style="155" customWidth="1"/>
    <col min="4" max="4" width="11.140625" style="155" customWidth="1"/>
    <col min="5" max="5" width="11.28515625" style="155" customWidth="1"/>
    <col min="6" max="6" width="32.42578125" style="155" customWidth="1"/>
    <col min="7" max="7" width="11.5703125" style="155" customWidth="1"/>
    <col min="8" max="8" width="14.7109375" style="155" customWidth="1"/>
    <col min="9" max="9" width="14.5703125" style="155" customWidth="1"/>
    <col min="10" max="25" width="9.140625" style="154"/>
    <col min="26" max="16384" width="9.140625" style="10"/>
  </cols>
  <sheetData>
    <row r="1" spans="1:25" ht="12.75" customHeight="1" x14ac:dyDescent="0.2">
      <c r="B1" s="1268" t="s">
        <v>1396</v>
      </c>
      <c r="C1" s="1268"/>
      <c r="D1" s="1268"/>
      <c r="E1" s="1268"/>
      <c r="F1" s="1268"/>
      <c r="G1" s="1268"/>
      <c r="H1" s="1268"/>
      <c r="I1" s="1268"/>
      <c r="J1" s="715"/>
    </row>
    <row r="2" spans="1:25" x14ac:dyDescent="0.2">
      <c r="B2" s="555"/>
      <c r="I2" s="156"/>
    </row>
    <row r="3" spans="1:25" s="122" customFormat="1" x14ac:dyDescent="0.2">
      <c r="A3" s="157"/>
      <c r="B3" s="1271" t="s">
        <v>54</v>
      </c>
      <c r="C3" s="1271"/>
      <c r="D3" s="1271"/>
      <c r="E3" s="1271"/>
      <c r="F3" s="1271"/>
      <c r="G3" s="1271"/>
      <c r="H3" s="1271"/>
      <c r="I3" s="1271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5" s="122" customFormat="1" x14ac:dyDescent="0.2">
      <c r="A4" s="157"/>
      <c r="B4" s="1271" t="s">
        <v>1150</v>
      </c>
      <c r="C4" s="1271"/>
      <c r="D4" s="1271"/>
      <c r="E4" s="1271"/>
      <c r="F4" s="1271"/>
      <c r="G4" s="1271"/>
      <c r="H4" s="1271"/>
      <c r="I4" s="1271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</row>
    <row r="5" spans="1:25" s="122" customFormat="1" ht="12.75" customHeight="1" x14ac:dyDescent="0.2">
      <c r="A5" s="1284" t="s">
        <v>305</v>
      </c>
      <c r="B5" s="1284"/>
      <c r="C5" s="1284"/>
      <c r="D5" s="1284"/>
      <c r="E5" s="1284"/>
      <c r="F5" s="1284"/>
      <c r="G5" s="1284"/>
      <c r="H5" s="1284"/>
      <c r="I5" s="1284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</row>
    <row r="6" spans="1:25" s="122" customFormat="1" ht="12.75" customHeight="1" x14ac:dyDescent="0.2">
      <c r="A6" s="1285" t="s">
        <v>56</v>
      </c>
      <c r="B6" s="1286" t="s">
        <v>57</v>
      </c>
      <c r="C6" s="1287" t="s">
        <v>58</v>
      </c>
      <c r="D6" s="1287"/>
      <c r="E6" s="1288"/>
      <c r="F6" s="1289" t="s">
        <v>59</v>
      </c>
      <c r="G6" s="1290" t="s">
        <v>60</v>
      </c>
      <c r="H6" s="1291"/>
      <c r="I6" s="1291"/>
      <c r="J6" s="157"/>
      <c r="K6" s="157"/>
      <c r="L6" s="157"/>
      <c r="M6" s="157"/>
      <c r="N6" s="157"/>
      <c r="O6" s="157"/>
      <c r="P6" s="157"/>
      <c r="Q6" s="157"/>
      <c r="R6" s="157"/>
      <c r="S6" s="157"/>
    </row>
    <row r="7" spans="1:25" s="122" customFormat="1" ht="12.75" customHeight="1" x14ac:dyDescent="0.2">
      <c r="A7" s="1285"/>
      <c r="B7" s="1286"/>
      <c r="C7" s="1282" t="s">
        <v>1137</v>
      </c>
      <c r="D7" s="1282"/>
      <c r="E7" s="1283"/>
      <c r="F7" s="1289"/>
      <c r="G7" s="1282" t="s">
        <v>1137</v>
      </c>
      <c r="H7" s="1282"/>
      <c r="I7" s="1283"/>
      <c r="J7" s="157"/>
      <c r="K7" s="157"/>
      <c r="L7" s="157"/>
      <c r="M7" s="157"/>
      <c r="N7" s="157"/>
      <c r="O7" s="157"/>
      <c r="P7" s="157"/>
      <c r="Q7" s="157"/>
      <c r="R7" s="157"/>
      <c r="S7" s="157"/>
    </row>
    <row r="8" spans="1:25" s="123" customFormat="1" ht="36.6" customHeight="1" x14ac:dyDescent="0.2">
      <c r="A8" s="1285"/>
      <c r="B8" s="850" t="s">
        <v>61</v>
      </c>
      <c r="C8" s="851" t="s">
        <v>62</v>
      </c>
      <c r="D8" s="851" t="s">
        <v>63</v>
      </c>
      <c r="E8" s="852" t="s">
        <v>64</v>
      </c>
      <c r="F8" s="853" t="s">
        <v>65</v>
      </c>
      <c r="G8" s="345" t="s">
        <v>62</v>
      </c>
      <c r="H8" s="345" t="s">
        <v>63</v>
      </c>
      <c r="I8" s="345" t="s">
        <v>64</v>
      </c>
      <c r="J8" s="570"/>
      <c r="K8" s="184"/>
      <c r="L8" s="184"/>
      <c r="M8" s="184"/>
      <c r="N8" s="184"/>
      <c r="O8" s="184"/>
      <c r="P8" s="184"/>
      <c r="Q8" s="184"/>
      <c r="R8" s="184"/>
      <c r="S8" s="184"/>
    </row>
    <row r="9" spans="1:25" ht="11.45" customHeight="1" x14ac:dyDescent="0.2">
      <c r="A9" s="854">
        <v>1</v>
      </c>
      <c r="B9" s="855" t="s">
        <v>24</v>
      </c>
      <c r="C9" s="856"/>
      <c r="D9" s="856"/>
      <c r="E9" s="856"/>
      <c r="F9" s="857" t="s">
        <v>25</v>
      </c>
      <c r="G9" s="350"/>
      <c r="H9" s="350"/>
      <c r="I9" s="455"/>
      <c r="J9" s="181"/>
      <c r="T9" s="10"/>
      <c r="U9" s="10"/>
      <c r="V9" s="10"/>
      <c r="W9" s="10"/>
      <c r="X9" s="10"/>
      <c r="Y9" s="10"/>
    </row>
    <row r="10" spans="1:25" x14ac:dyDescent="0.2">
      <c r="A10" s="854">
        <f>A9+1</f>
        <v>2</v>
      </c>
      <c r="B10" s="81" t="s">
        <v>35</v>
      </c>
      <c r="C10" s="291"/>
      <c r="D10" s="291"/>
      <c r="E10" s="279">
        <f>SUM(C10:D10)</f>
        <v>0</v>
      </c>
      <c r="F10" s="482" t="s">
        <v>26</v>
      </c>
      <c r="G10" s="279">
        <f>Össz.önkor.mérleg.!G10</f>
        <v>602487</v>
      </c>
      <c r="H10" s="279">
        <f>Össz.önkor.mérleg.!H10</f>
        <v>405477</v>
      </c>
      <c r="I10" s="457">
        <f>Össz.önkor.mérleg.!I10</f>
        <v>1007964</v>
      </c>
      <c r="J10" s="181"/>
      <c r="T10" s="10"/>
      <c r="U10" s="10"/>
      <c r="V10" s="10"/>
      <c r="W10" s="10"/>
      <c r="X10" s="10"/>
      <c r="Y10" s="10"/>
    </row>
    <row r="11" spans="1:25" x14ac:dyDescent="0.2">
      <c r="A11" s="854">
        <f t="shared" ref="A11:A45" si="0">A10+1</f>
        <v>3</v>
      </c>
      <c r="B11" s="81" t="s">
        <v>36</v>
      </c>
      <c r="C11" s="291">
        <f>Össz.önkor.mérleg.!C11</f>
        <v>812195</v>
      </c>
      <c r="D11" s="291">
        <f>Össz.önkor.mérleg.!D11</f>
        <v>129474</v>
      </c>
      <c r="E11" s="291">
        <f>Össz.önkor.mérleg.!E11</f>
        <v>941669</v>
      </c>
      <c r="F11" s="482" t="s">
        <v>27</v>
      </c>
      <c r="G11" s="279">
        <f>Össz.önkor.mérleg.!G11</f>
        <v>121531</v>
      </c>
      <c r="H11" s="279">
        <f>Össz.önkor.mérleg.!H11</f>
        <v>86230</v>
      </c>
      <c r="I11" s="457">
        <f>Össz.önkor.mérleg.!I11</f>
        <v>207761</v>
      </c>
      <c r="J11" s="181"/>
      <c r="T11" s="10"/>
      <c r="U11" s="10"/>
      <c r="V11" s="10"/>
      <c r="W11" s="10"/>
      <c r="X11" s="10"/>
      <c r="Y11" s="10"/>
    </row>
    <row r="12" spans="1:25" x14ac:dyDescent="0.2">
      <c r="A12" s="854">
        <f t="shared" si="0"/>
        <v>4</v>
      </c>
      <c r="B12" s="81" t="s">
        <v>931</v>
      </c>
      <c r="C12" s="291">
        <f>Össz.önkor.mérleg.!C12</f>
        <v>0</v>
      </c>
      <c r="D12" s="291">
        <f>Össz.önkor.mérleg.!D12</f>
        <v>0</v>
      </c>
      <c r="E12" s="291">
        <f>Össz.önkor.mérleg.!E12</f>
        <v>0</v>
      </c>
      <c r="F12" s="482" t="s">
        <v>29</v>
      </c>
      <c r="G12" s="279">
        <f>Össz.önkor.mérleg.!G12</f>
        <v>713876</v>
      </c>
      <c r="H12" s="279">
        <f>Össz.önkor.mérleg.!H12</f>
        <v>584018</v>
      </c>
      <c r="I12" s="457">
        <f>Össz.önkor.mérleg.!I12</f>
        <v>1297894</v>
      </c>
      <c r="J12" s="181"/>
      <c r="T12" s="10"/>
      <c r="U12" s="10"/>
      <c r="V12" s="10"/>
      <c r="W12" s="10"/>
      <c r="X12" s="10"/>
      <c r="Y12" s="10"/>
    </row>
    <row r="13" spans="1:25" ht="12" customHeight="1" x14ac:dyDescent="0.2">
      <c r="A13" s="854">
        <f t="shared" si="0"/>
        <v>5</v>
      </c>
      <c r="B13" s="81" t="s">
        <v>37</v>
      </c>
      <c r="C13" s="291">
        <f>Össz.önkor.mérleg.!C13</f>
        <v>80341</v>
      </c>
      <c r="D13" s="291">
        <f>Össz.önkor.mérleg.!D13</f>
        <v>6342</v>
      </c>
      <c r="E13" s="291">
        <f>Össz.önkor.mérleg.!E13</f>
        <v>86683</v>
      </c>
      <c r="F13" s="482"/>
      <c r="G13" s="279"/>
      <c r="H13" s="291"/>
      <c r="I13" s="456"/>
      <c r="J13" s="181"/>
      <c r="T13" s="10"/>
      <c r="U13" s="10"/>
      <c r="V13" s="10"/>
      <c r="W13" s="10"/>
      <c r="X13" s="10"/>
      <c r="Y13" s="10"/>
    </row>
    <row r="14" spans="1:25" x14ac:dyDescent="0.2">
      <c r="A14" s="854">
        <f t="shared" si="0"/>
        <v>6</v>
      </c>
      <c r="B14" s="81" t="s">
        <v>39</v>
      </c>
      <c r="C14" s="291">
        <f>Össz.önkor.mérleg.!C17</f>
        <v>527224</v>
      </c>
      <c r="D14" s="291">
        <f>Össz.önkor.mérleg.!D17</f>
        <v>876260</v>
      </c>
      <c r="E14" s="291">
        <f>Össz.önkor.mérleg.!E17</f>
        <v>1403484</v>
      </c>
      <c r="F14" s="482" t="s">
        <v>28</v>
      </c>
      <c r="G14" s="279">
        <f>Össz.önkor.mérleg.!G14</f>
        <v>2526</v>
      </c>
      <c r="H14" s="279">
        <f>Össz.önkor.mérleg.!H14</f>
        <v>11113</v>
      </c>
      <c r="I14" s="457">
        <f>Össz.önkor.mérleg.!I14</f>
        <v>13639</v>
      </c>
      <c r="J14" s="181"/>
      <c r="T14" s="10"/>
      <c r="U14" s="10"/>
      <c r="V14" s="10"/>
      <c r="W14" s="10"/>
      <c r="X14" s="10"/>
      <c r="Y14" s="10"/>
    </row>
    <row r="15" spans="1:25" x14ac:dyDescent="0.2">
      <c r="A15" s="854">
        <f t="shared" si="0"/>
        <v>7</v>
      </c>
      <c r="B15" s="81"/>
      <c r="C15" s="291"/>
      <c r="D15" s="291"/>
      <c r="E15" s="279"/>
      <c r="F15" s="482" t="s">
        <v>30</v>
      </c>
      <c r="G15" s="279"/>
      <c r="H15" s="286"/>
      <c r="I15" s="456"/>
      <c r="J15" s="181"/>
      <c r="T15" s="10"/>
      <c r="U15" s="10"/>
      <c r="V15" s="10"/>
      <c r="W15" s="10"/>
      <c r="X15" s="10"/>
      <c r="Y15" s="10"/>
    </row>
    <row r="16" spans="1:25" x14ac:dyDescent="0.2">
      <c r="A16" s="854">
        <f t="shared" si="0"/>
        <v>8</v>
      </c>
      <c r="B16" s="80" t="s">
        <v>41</v>
      </c>
      <c r="C16" s="346">
        <f>Össz.önkor.mérleg.!C20</f>
        <v>317530</v>
      </c>
      <c r="D16" s="346">
        <f>Össz.önkor.mérleg.!D20</f>
        <v>237221</v>
      </c>
      <c r="E16" s="346">
        <f>Össz.önkor.mérleg.!E20</f>
        <v>554751</v>
      </c>
      <c r="F16" s="482" t="s">
        <v>446</v>
      </c>
      <c r="G16" s="279">
        <f>Össz.önkor.mérleg.!G17</f>
        <v>9789</v>
      </c>
      <c r="H16" s="279">
        <f>Össz.önkor.mérleg.!H17</f>
        <v>58149</v>
      </c>
      <c r="I16" s="457">
        <f>Össz.önkor.mérleg.!I17</f>
        <v>67938</v>
      </c>
      <c r="J16" s="181"/>
      <c r="T16" s="10"/>
      <c r="U16" s="10"/>
      <c r="V16" s="10"/>
      <c r="W16" s="10"/>
      <c r="X16" s="10"/>
      <c r="Y16" s="10"/>
    </row>
    <row r="17" spans="1:25" x14ac:dyDescent="0.2">
      <c r="A17" s="854">
        <f t="shared" si="0"/>
        <v>9</v>
      </c>
      <c r="B17" s="817" t="s">
        <v>40</v>
      </c>
      <c r="C17" s="346"/>
      <c r="D17" s="346"/>
      <c r="E17" s="346"/>
      <c r="F17" s="482" t="s">
        <v>445</v>
      </c>
      <c r="G17" s="279">
        <f>Össz.önkor.mérleg.!G18</f>
        <v>159098</v>
      </c>
      <c r="H17" s="279">
        <f>Össz.önkor.mérleg.!H18</f>
        <v>175035</v>
      </c>
      <c r="I17" s="457">
        <f>Össz.önkor.mérleg.!I18</f>
        <v>334133</v>
      </c>
      <c r="J17" s="181"/>
      <c r="T17" s="10"/>
      <c r="U17" s="10"/>
      <c r="V17" s="10"/>
      <c r="W17" s="10"/>
      <c r="X17" s="10"/>
      <c r="Y17" s="10"/>
    </row>
    <row r="18" spans="1:25" x14ac:dyDescent="0.2">
      <c r="A18" s="854">
        <f t="shared" si="0"/>
        <v>10</v>
      </c>
      <c r="B18" s="817"/>
      <c r="C18" s="346"/>
      <c r="D18" s="346"/>
      <c r="E18" s="346"/>
      <c r="F18" s="482" t="s">
        <v>190</v>
      </c>
      <c r="G18" s="279">
        <f>Össz.önkor.mérleg.!G19</f>
        <v>0</v>
      </c>
      <c r="H18" s="279">
        <f>Össz.önkor.mérleg.!H19</f>
        <v>0</v>
      </c>
      <c r="I18" s="279">
        <f>Össz.önkor.mérleg.!I19</f>
        <v>0</v>
      </c>
      <c r="J18" s="181"/>
      <c r="T18" s="10"/>
      <c r="U18" s="10"/>
      <c r="V18" s="10"/>
      <c r="W18" s="10"/>
      <c r="X18" s="10"/>
      <c r="Y18" s="10"/>
    </row>
    <row r="19" spans="1:25" x14ac:dyDescent="0.2">
      <c r="A19" s="854">
        <f t="shared" si="0"/>
        <v>11</v>
      </c>
      <c r="B19" s="80" t="s">
        <v>1118</v>
      </c>
      <c r="C19" s="291">
        <f>Össz.önkor.mérleg.!C29</f>
        <v>0</v>
      </c>
      <c r="D19" s="291">
        <f>Össz.önkor.mérleg.!D29</f>
        <v>20198</v>
      </c>
      <c r="E19" s="291">
        <f>Össz.önkor.mérleg.!E29</f>
        <v>20198</v>
      </c>
      <c r="F19" s="482" t="s">
        <v>438</v>
      </c>
      <c r="G19" s="279">
        <f>Össz.önkor.mérleg.!G20</f>
        <v>0</v>
      </c>
      <c r="H19" s="279">
        <f>Össz.önkor.mérleg.!H20</f>
        <v>2469</v>
      </c>
      <c r="I19" s="457">
        <f>Össz.önkor.mérleg.!I20</f>
        <v>2469</v>
      </c>
      <c r="J19" s="181"/>
      <c r="T19" s="10"/>
      <c r="U19" s="10"/>
      <c r="V19" s="10"/>
      <c r="W19" s="10"/>
      <c r="X19" s="10"/>
      <c r="Y19" s="10"/>
    </row>
    <row r="20" spans="1:25" x14ac:dyDescent="0.2">
      <c r="A20" s="854">
        <f t="shared" si="0"/>
        <v>12</v>
      </c>
      <c r="B20" s="10"/>
      <c r="C20" s="346"/>
      <c r="D20" s="346"/>
      <c r="E20" s="346"/>
      <c r="F20" s="482" t="s">
        <v>439</v>
      </c>
      <c r="G20" s="279">
        <f>Össz.önkor.mérleg.!G21</f>
        <v>130068</v>
      </c>
      <c r="H20" s="279">
        <f>Össz.önkor.mérleg.!H21</f>
        <v>1789</v>
      </c>
      <c r="I20" s="457">
        <f>Össz.önkor.mérleg.!I21</f>
        <v>131857</v>
      </c>
      <c r="J20" s="181"/>
      <c r="T20" s="10"/>
      <c r="U20" s="10"/>
      <c r="V20" s="10"/>
      <c r="W20" s="10"/>
      <c r="X20" s="10"/>
      <c r="Y20" s="10"/>
    </row>
    <row r="21" spans="1:25" x14ac:dyDescent="0.2">
      <c r="A21" s="854">
        <f t="shared" si="0"/>
        <v>13</v>
      </c>
      <c r="B21" s="10"/>
      <c r="C21" s="346"/>
      <c r="D21" s="346"/>
      <c r="E21" s="346"/>
      <c r="F21" s="482"/>
      <c r="G21" s="279"/>
      <c r="H21" s="286"/>
      <c r="I21" s="456"/>
      <c r="J21" s="181"/>
      <c r="T21" s="10"/>
      <c r="U21" s="10"/>
      <c r="V21" s="10"/>
      <c r="W21" s="10"/>
      <c r="X21" s="10"/>
      <c r="Y21" s="10"/>
    </row>
    <row r="22" spans="1:25" s="124" customFormat="1" x14ac:dyDescent="0.2">
      <c r="A22" s="854">
        <f t="shared" si="0"/>
        <v>14</v>
      </c>
      <c r="B22" s="12" t="s">
        <v>52</v>
      </c>
      <c r="C22" s="858">
        <f>SUM(C11:C20)</f>
        <v>1737290</v>
      </c>
      <c r="D22" s="858">
        <f>SUM(D11:D20)</f>
        <v>1269495</v>
      </c>
      <c r="E22" s="858">
        <f>SUM(E11:E20)</f>
        <v>3006785</v>
      </c>
      <c r="F22" s="844" t="s">
        <v>66</v>
      </c>
      <c r="G22" s="347">
        <f>SUM(G10:G21)</f>
        <v>1739375</v>
      </c>
      <c r="H22" s="347">
        <f>SUM(H10:H21)</f>
        <v>1324280</v>
      </c>
      <c r="I22" s="459">
        <f>SUM(I10:I21)</f>
        <v>3063655</v>
      </c>
      <c r="J22" s="517"/>
      <c r="K22" s="185"/>
      <c r="L22" s="185"/>
      <c r="M22" s="185"/>
      <c r="N22" s="185"/>
      <c r="O22" s="185"/>
      <c r="P22" s="185"/>
      <c r="Q22" s="185"/>
      <c r="R22" s="185"/>
      <c r="S22" s="185"/>
    </row>
    <row r="23" spans="1:25" s="124" customFormat="1" x14ac:dyDescent="0.2">
      <c r="A23" s="854">
        <f t="shared" si="0"/>
        <v>15</v>
      </c>
      <c r="B23" s="10"/>
      <c r="C23" s="346"/>
      <c r="D23" s="346"/>
      <c r="E23" s="346"/>
      <c r="F23" s="586"/>
      <c r="G23" s="286"/>
      <c r="H23" s="286"/>
      <c r="I23" s="458"/>
      <c r="J23" s="517"/>
      <c r="K23" s="185"/>
      <c r="L23" s="185"/>
      <c r="M23" s="185"/>
      <c r="N23" s="185"/>
      <c r="O23" s="185"/>
      <c r="P23" s="185"/>
      <c r="Q23" s="185"/>
      <c r="R23" s="185"/>
      <c r="S23" s="185"/>
    </row>
    <row r="24" spans="1:25" x14ac:dyDescent="0.2">
      <c r="A24" s="854">
        <f t="shared" si="0"/>
        <v>16</v>
      </c>
      <c r="B24" s="859" t="s">
        <v>51</v>
      </c>
      <c r="C24" s="843">
        <f>SUM(C22:C23)</f>
        <v>1737290</v>
      </c>
      <c r="D24" s="843">
        <f>SUM(D22:D23)</f>
        <v>1269495</v>
      </c>
      <c r="E24" s="843">
        <f>SUM(E22:E23)</f>
        <v>3006785</v>
      </c>
      <c r="F24" s="846" t="s">
        <v>69</v>
      </c>
      <c r="G24" s="186">
        <f>SUM(G22:G23)</f>
        <v>1739375</v>
      </c>
      <c r="H24" s="186">
        <f>SUM(H22:H23)</f>
        <v>1324280</v>
      </c>
      <c r="I24" s="435">
        <f>SUM(I22:I23)</f>
        <v>3063655</v>
      </c>
      <c r="J24" s="181"/>
      <c r="T24" s="10"/>
      <c r="U24" s="10"/>
      <c r="V24" s="10"/>
      <c r="W24" s="10"/>
      <c r="X24" s="10"/>
      <c r="Y24" s="10"/>
    </row>
    <row r="25" spans="1:25" ht="12" thickBot="1" x14ac:dyDescent="0.25">
      <c r="A25" s="860">
        <f t="shared" si="0"/>
        <v>17</v>
      </c>
      <c r="B25" s="819"/>
      <c r="C25" s="1094"/>
      <c r="D25" s="1094"/>
      <c r="E25" s="1094"/>
      <c r="F25" s="586"/>
      <c r="G25" s="286"/>
      <c r="H25" s="286"/>
      <c r="I25" s="458"/>
      <c r="J25" s="181"/>
      <c r="T25" s="10"/>
      <c r="U25" s="10"/>
      <c r="V25" s="10"/>
      <c r="W25" s="10"/>
      <c r="X25" s="10"/>
      <c r="Y25" s="10"/>
    </row>
    <row r="26" spans="1:25" ht="12" thickBot="1" x14ac:dyDescent="0.25">
      <c r="A26" s="860">
        <f t="shared" si="0"/>
        <v>18</v>
      </c>
      <c r="B26" s="1140" t="s">
        <v>629</v>
      </c>
      <c r="C26" s="1138">
        <f>C24-G24</f>
        <v>-2085</v>
      </c>
      <c r="D26" s="1138">
        <f t="shared" ref="D26:E26" si="1">D24-H24</f>
        <v>-54785</v>
      </c>
      <c r="E26" s="1139">
        <f t="shared" si="1"/>
        <v>-56870</v>
      </c>
      <c r="F26" s="612"/>
      <c r="G26" s="349"/>
      <c r="H26" s="349"/>
      <c r="I26" s="458"/>
      <c r="J26" s="181"/>
      <c r="T26" s="10"/>
      <c r="U26" s="10"/>
      <c r="V26" s="10"/>
      <c r="W26" s="10"/>
      <c r="X26" s="10"/>
      <c r="Y26" s="10"/>
    </row>
    <row r="27" spans="1:25" x14ac:dyDescent="0.2">
      <c r="A27" s="860">
        <f t="shared" si="0"/>
        <v>19</v>
      </c>
      <c r="B27" s="812" t="s">
        <v>1205</v>
      </c>
      <c r="C27" s="279"/>
      <c r="D27" s="279"/>
      <c r="E27" s="612">
        <f>C27+D27</f>
        <v>0</v>
      </c>
      <c r="F27" s="482"/>
      <c r="G27" s="286"/>
      <c r="H27" s="286"/>
      <c r="I27" s="458"/>
      <c r="J27" s="181"/>
      <c r="T27" s="10"/>
      <c r="U27" s="10"/>
      <c r="V27" s="10"/>
      <c r="W27" s="10"/>
      <c r="X27" s="10"/>
      <c r="Y27" s="10"/>
    </row>
    <row r="28" spans="1:25" x14ac:dyDescent="0.2">
      <c r="A28" s="860">
        <f t="shared" si="0"/>
        <v>20</v>
      </c>
      <c r="B28" s="612" t="s">
        <v>53</v>
      </c>
      <c r="C28" s="612"/>
      <c r="D28" s="612"/>
      <c r="E28" s="612"/>
      <c r="F28" s="845" t="s">
        <v>33</v>
      </c>
      <c r="G28" s="286"/>
      <c r="H28" s="286"/>
      <c r="I28" s="458"/>
      <c r="J28" s="181"/>
      <c r="T28" s="10"/>
      <c r="U28" s="10"/>
      <c r="V28" s="10"/>
      <c r="W28" s="10"/>
      <c r="X28" s="10"/>
      <c r="Y28" s="10"/>
    </row>
    <row r="29" spans="1:25" s="124" customFormat="1" x14ac:dyDescent="0.2">
      <c r="A29" s="860">
        <f t="shared" si="0"/>
        <v>21</v>
      </c>
      <c r="B29" s="861" t="s">
        <v>682</v>
      </c>
      <c r="C29" s="612"/>
      <c r="D29" s="612"/>
      <c r="E29" s="612"/>
      <c r="F29" s="847" t="s">
        <v>4</v>
      </c>
      <c r="G29" s="286"/>
      <c r="H29" s="286"/>
      <c r="I29" s="458"/>
      <c r="J29" s="517"/>
      <c r="K29" s="185"/>
      <c r="L29" s="185"/>
      <c r="M29" s="185"/>
      <c r="N29" s="185"/>
      <c r="O29" s="185"/>
      <c r="P29" s="185"/>
      <c r="Q29" s="185"/>
      <c r="R29" s="185"/>
      <c r="S29" s="185"/>
    </row>
    <row r="30" spans="1:25" ht="21.75" x14ac:dyDescent="0.2">
      <c r="A30" s="860">
        <f t="shared" si="0"/>
        <v>22</v>
      </c>
      <c r="B30" s="904" t="s">
        <v>997</v>
      </c>
      <c r="C30" s="483">
        <f>Össz.önkor.mérleg.!C41</f>
        <v>588859</v>
      </c>
      <c r="D30" s="483">
        <f>Össz.önkor.mérleg.!D41</f>
        <v>0</v>
      </c>
      <c r="E30" s="483">
        <f>Össz.önkor.mérleg.!E41</f>
        <v>588859</v>
      </c>
      <c r="F30" s="187" t="s">
        <v>3</v>
      </c>
      <c r="G30" s="286"/>
      <c r="H30" s="286"/>
      <c r="I30" s="458"/>
      <c r="J30" s="181"/>
      <c r="T30" s="10"/>
      <c r="U30" s="10"/>
      <c r="V30" s="10"/>
      <c r="W30" s="10"/>
      <c r="X30" s="10"/>
      <c r="Y30" s="10"/>
    </row>
    <row r="31" spans="1:25" x14ac:dyDescent="0.2">
      <c r="A31" s="860">
        <f t="shared" si="0"/>
        <v>23</v>
      </c>
      <c r="B31" s="10" t="s">
        <v>996</v>
      </c>
      <c r="C31" s="1101">
        <f>-'felhalm. mérleg'!C33</f>
        <v>-588859</v>
      </c>
      <c r="D31" s="1101">
        <v>0</v>
      </c>
      <c r="E31" s="483">
        <f>C31+D31</f>
        <v>-588859</v>
      </c>
      <c r="F31" s="187"/>
      <c r="G31" s="286"/>
      <c r="H31" s="286"/>
      <c r="I31" s="458"/>
      <c r="J31" s="181"/>
      <c r="T31" s="10"/>
      <c r="U31" s="10"/>
      <c r="V31" s="10"/>
      <c r="W31" s="10"/>
      <c r="X31" s="10"/>
      <c r="Y31" s="10"/>
    </row>
    <row r="32" spans="1:25" s="11" customFormat="1" x14ac:dyDescent="0.2">
      <c r="A32" s="860">
        <f t="shared" si="0"/>
        <v>24</v>
      </c>
      <c r="B32" s="291" t="s">
        <v>636</v>
      </c>
      <c r="C32" s="848"/>
      <c r="D32" s="849"/>
      <c r="E32" s="849">
        <f>SUM(C32:D32)</f>
        <v>0</v>
      </c>
      <c r="F32" s="482" t="s">
        <v>5</v>
      </c>
      <c r="G32" s="284"/>
      <c r="H32" s="284"/>
      <c r="I32" s="458"/>
      <c r="J32" s="495"/>
      <c r="K32" s="180"/>
      <c r="L32" s="180"/>
      <c r="M32" s="180"/>
      <c r="N32" s="180"/>
      <c r="O32" s="180"/>
      <c r="P32" s="180"/>
      <c r="Q32" s="180"/>
      <c r="R32" s="180"/>
      <c r="S32" s="180"/>
    </row>
    <row r="33" spans="1:25" x14ac:dyDescent="0.2">
      <c r="A33" s="860">
        <f t="shared" si="0"/>
        <v>25</v>
      </c>
      <c r="B33" s="291" t="s">
        <v>683</v>
      </c>
      <c r="C33" s="279"/>
      <c r="D33" s="279"/>
      <c r="E33" s="279"/>
      <c r="F33" s="482" t="s">
        <v>6</v>
      </c>
      <c r="G33" s="348"/>
      <c r="H33" s="348"/>
      <c r="I33" s="460"/>
      <c r="J33" s="181"/>
      <c r="T33" s="10"/>
      <c r="U33" s="10"/>
      <c r="V33" s="10"/>
      <c r="W33" s="10"/>
      <c r="X33" s="10"/>
      <c r="Y33" s="10"/>
    </row>
    <row r="34" spans="1:25" x14ac:dyDescent="0.2">
      <c r="A34" s="860">
        <f t="shared" si="0"/>
        <v>26</v>
      </c>
      <c r="B34" s="291" t="s">
        <v>638</v>
      </c>
      <c r="C34" s="279">
        <f>Össz.önkor.mérleg.!C44</f>
        <v>630751</v>
      </c>
      <c r="D34" s="279">
        <f>Össz.önkor.mérleg.!D44</f>
        <v>262319</v>
      </c>
      <c r="E34" s="279">
        <f>SUM(C34:D34)</f>
        <v>893070</v>
      </c>
      <c r="F34" s="482" t="s">
        <v>7</v>
      </c>
      <c r="G34" s="349"/>
      <c r="H34" s="349"/>
      <c r="I34" s="435"/>
      <c r="J34" s="181"/>
      <c r="T34" s="10"/>
      <c r="U34" s="10"/>
      <c r="V34" s="10"/>
      <c r="W34" s="10"/>
      <c r="X34" s="10"/>
      <c r="Y34" s="10"/>
    </row>
    <row r="35" spans="1:25" x14ac:dyDescent="0.2">
      <c r="A35" s="860">
        <f t="shared" si="0"/>
        <v>27</v>
      </c>
      <c r="B35" s="291" t="s">
        <v>958</v>
      </c>
      <c r="C35" s="279">
        <f>Össz.önkor.mérleg.!C45</f>
        <v>0</v>
      </c>
      <c r="D35" s="279">
        <f>Össz.önkor.mérleg.!D45</f>
        <v>0</v>
      </c>
      <c r="E35" s="279">
        <f>Össz.önkor.mérleg.!E45</f>
        <v>0</v>
      </c>
      <c r="F35" s="482"/>
      <c r="G35" s="349"/>
      <c r="H35" s="349"/>
      <c r="I35" s="435"/>
      <c r="J35" s="181"/>
      <c r="T35" s="10"/>
      <c r="U35" s="10"/>
      <c r="V35" s="10"/>
      <c r="W35" s="10"/>
      <c r="X35" s="10"/>
      <c r="Y35" s="10"/>
    </row>
    <row r="36" spans="1:25" x14ac:dyDescent="0.2">
      <c r="A36" s="860">
        <f t="shared" si="0"/>
        <v>28</v>
      </c>
      <c r="B36" s="80" t="s">
        <v>637</v>
      </c>
      <c r="C36" s="279">
        <f t="shared" ref="C36:D36" si="2">-(C26+C34-G44)-C27-C37</f>
        <v>-629439</v>
      </c>
      <c r="D36" s="279">
        <f t="shared" si="2"/>
        <v>-208004</v>
      </c>
      <c r="E36" s="279">
        <f>-(E26+E34-I44)-E27-E37</f>
        <v>-837443</v>
      </c>
      <c r="F36" s="482" t="s">
        <v>8</v>
      </c>
      <c r="G36" s="286"/>
      <c r="H36" s="286"/>
      <c r="I36" s="458"/>
      <c r="J36" s="181"/>
      <c r="T36" s="10"/>
      <c r="U36" s="10"/>
      <c r="V36" s="10"/>
      <c r="W36" s="10"/>
      <c r="X36" s="10"/>
      <c r="Y36" s="10"/>
    </row>
    <row r="37" spans="1:25" x14ac:dyDescent="0.2">
      <c r="A37" s="860">
        <f t="shared" si="0"/>
        <v>29</v>
      </c>
      <c r="B37" s="279" t="s">
        <v>685</v>
      </c>
      <c r="C37" s="279">
        <f>Össz.önkor.mérleg.!C46</f>
        <v>33212</v>
      </c>
      <c r="D37" s="279">
        <f>Össz.önkor.mérleg.!D46</f>
        <v>4730</v>
      </c>
      <c r="E37" s="279">
        <f>Össz.önkor.mérleg.!E46</f>
        <v>37942</v>
      </c>
      <c r="F37" s="482" t="s">
        <v>9</v>
      </c>
      <c r="G37" s="347">
        <f>Össz.önkor.mérleg.!G47</f>
        <v>32439</v>
      </c>
      <c r="H37" s="347">
        <f>Össz.önkor.mérleg.!H47</f>
        <v>4260</v>
      </c>
      <c r="I37" s="459">
        <f>Össz.önkor.mérleg.!I47</f>
        <v>36699</v>
      </c>
      <c r="J37" s="181"/>
      <c r="T37" s="10"/>
      <c r="U37" s="10"/>
      <c r="V37" s="10"/>
      <c r="W37" s="10"/>
      <c r="X37" s="10"/>
      <c r="Y37" s="10"/>
    </row>
    <row r="38" spans="1:25" s="11" customFormat="1" x14ac:dyDescent="0.2">
      <c r="A38" s="860">
        <f t="shared" si="0"/>
        <v>30</v>
      </c>
      <c r="B38" s="279" t="s">
        <v>686</v>
      </c>
      <c r="C38" s="279"/>
      <c r="D38" s="279"/>
      <c r="E38" s="279"/>
      <c r="F38" s="482" t="s">
        <v>10</v>
      </c>
      <c r="G38" s="286"/>
      <c r="H38" s="286"/>
      <c r="I38" s="458"/>
      <c r="J38" s="495"/>
      <c r="K38" s="180"/>
      <c r="L38" s="180"/>
      <c r="M38" s="180"/>
      <c r="N38" s="180"/>
      <c r="O38" s="180"/>
      <c r="P38" s="180"/>
      <c r="Q38" s="180"/>
      <c r="R38" s="180"/>
      <c r="S38" s="180"/>
    </row>
    <row r="39" spans="1:25" s="11" customFormat="1" x14ac:dyDescent="0.2">
      <c r="A39" s="860">
        <f t="shared" si="0"/>
        <v>31</v>
      </c>
      <c r="B39" s="291" t="s">
        <v>687</v>
      </c>
      <c r="C39" s="279"/>
      <c r="D39" s="279"/>
      <c r="E39" s="279"/>
      <c r="F39" s="482" t="s">
        <v>11</v>
      </c>
      <c r="G39" s="349"/>
      <c r="H39" s="349"/>
      <c r="I39" s="435"/>
      <c r="J39" s="495"/>
      <c r="K39" s="180"/>
      <c r="L39" s="180"/>
      <c r="M39" s="180"/>
      <c r="N39" s="180"/>
      <c r="O39" s="180"/>
      <c r="P39" s="180"/>
      <c r="Q39" s="180"/>
      <c r="R39" s="180"/>
      <c r="S39" s="180"/>
    </row>
    <row r="40" spans="1:25" s="11" customFormat="1" x14ac:dyDescent="0.2">
      <c r="A40" s="860">
        <f t="shared" si="0"/>
        <v>32</v>
      </c>
      <c r="B40" s="291" t="s">
        <v>688</v>
      </c>
      <c r="C40" s="279"/>
      <c r="D40" s="279"/>
      <c r="E40" s="279"/>
      <c r="F40" s="482" t="s">
        <v>12</v>
      </c>
      <c r="G40" s="186"/>
      <c r="I40" s="461"/>
      <c r="J40" s="495"/>
      <c r="K40" s="180"/>
      <c r="L40" s="180"/>
      <c r="M40" s="180"/>
      <c r="N40" s="180"/>
      <c r="O40" s="180"/>
      <c r="P40" s="180"/>
      <c r="Q40" s="180"/>
      <c r="R40" s="180"/>
      <c r="S40" s="180"/>
    </row>
    <row r="41" spans="1:25" s="11" customFormat="1" x14ac:dyDescent="0.2">
      <c r="A41" s="860">
        <f t="shared" si="0"/>
        <v>33</v>
      </c>
      <c r="B41" s="291" t="s">
        <v>0</v>
      </c>
      <c r="C41" s="279"/>
      <c r="D41" s="279"/>
      <c r="E41" s="279"/>
      <c r="F41" s="482" t="s">
        <v>13</v>
      </c>
      <c r="G41" s="349"/>
      <c r="H41" s="349"/>
      <c r="I41" s="435"/>
      <c r="J41" s="495"/>
      <c r="K41" s="180"/>
      <c r="L41" s="180"/>
      <c r="M41" s="180"/>
      <c r="N41" s="180"/>
      <c r="O41" s="180"/>
      <c r="P41" s="180"/>
      <c r="Q41" s="180"/>
      <c r="R41" s="180"/>
      <c r="S41" s="180"/>
    </row>
    <row r="42" spans="1:25" x14ac:dyDescent="0.2">
      <c r="A42" s="860">
        <f t="shared" si="0"/>
        <v>34</v>
      </c>
      <c r="B42" s="291" t="s">
        <v>1</v>
      </c>
      <c r="C42" s="279">
        <f>Össz.önkor.mérleg.!C51</f>
        <v>0</v>
      </c>
      <c r="D42" s="279">
        <f>Össz.önkor.mérleg.!D51</f>
        <v>0</v>
      </c>
      <c r="E42" s="279">
        <f>Össz.önkor.mérleg.!E51</f>
        <v>0</v>
      </c>
      <c r="F42" s="482" t="s">
        <v>14</v>
      </c>
      <c r="G42" s="349"/>
      <c r="H42" s="349"/>
      <c r="I42" s="435"/>
      <c r="J42" s="181"/>
      <c r="T42" s="10"/>
      <c r="U42" s="10"/>
      <c r="V42" s="10"/>
      <c r="W42" s="10"/>
      <c r="X42" s="10"/>
      <c r="Y42" s="10"/>
    </row>
    <row r="43" spans="1:25" x14ac:dyDescent="0.2">
      <c r="A43" s="860">
        <f t="shared" si="0"/>
        <v>35</v>
      </c>
      <c r="B43" s="291" t="s">
        <v>2</v>
      </c>
      <c r="C43" s="279"/>
      <c r="D43" s="279"/>
      <c r="E43" s="279"/>
      <c r="F43" s="482" t="s">
        <v>15</v>
      </c>
      <c r="G43" s="186"/>
      <c r="H43" s="186"/>
      <c r="I43" s="435"/>
      <c r="J43" s="181"/>
      <c r="T43" s="10"/>
      <c r="U43" s="10"/>
      <c r="V43" s="10"/>
      <c r="W43" s="10"/>
      <c r="X43" s="10"/>
      <c r="Y43" s="10"/>
    </row>
    <row r="44" spans="1:25" ht="12" thickBot="1" x14ac:dyDescent="0.25">
      <c r="A44" s="860">
        <f t="shared" si="0"/>
        <v>36</v>
      </c>
      <c r="B44" s="859" t="s">
        <v>448</v>
      </c>
      <c r="C44" s="612">
        <f>SUM(C29:C42)</f>
        <v>34524</v>
      </c>
      <c r="D44" s="612">
        <f t="shared" ref="D44:E44" si="3">SUM(D29:D42)</f>
        <v>59045</v>
      </c>
      <c r="E44" s="612">
        <f t="shared" si="3"/>
        <v>93569</v>
      </c>
      <c r="F44" s="845" t="s">
        <v>441</v>
      </c>
      <c r="G44" s="186">
        <f>SUM(G29:G43)</f>
        <v>32439</v>
      </c>
      <c r="H44" s="186">
        <f>SUM(H29:H43)</f>
        <v>4260</v>
      </c>
      <c r="I44" s="435">
        <f>SUM(I29:I43)</f>
        <v>36699</v>
      </c>
      <c r="J44" s="181"/>
      <c r="T44" s="10"/>
      <c r="U44" s="10"/>
      <c r="V44" s="10"/>
      <c r="W44" s="10"/>
      <c r="X44" s="10"/>
      <c r="Y44" s="10"/>
    </row>
    <row r="45" spans="1:25" ht="12" thickBot="1" x14ac:dyDescent="0.25">
      <c r="A45" s="1087">
        <f t="shared" si="0"/>
        <v>37</v>
      </c>
      <c r="B45" s="1088" t="s">
        <v>443</v>
      </c>
      <c r="C45" s="884">
        <f>C24+C44+C27</f>
        <v>1771814</v>
      </c>
      <c r="D45" s="884">
        <f t="shared" ref="D45:E45" si="4">D24+D44+D27</f>
        <v>1328540</v>
      </c>
      <c r="E45" s="884">
        <f t="shared" si="4"/>
        <v>3100354</v>
      </c>
      <c r="F45" s="1044" t="s">
        <v>442</v>
      </c>
      <c r="G45" s="1082">
        <f>G24+G44</f>
        <v>1771814</v>
      </c>
      <c r="H45" s="908">
        <f>H24+H44</f>
        <v>1328540</v>
      </c>
      <c r="I45" s="1043">
        <f>I24+I44</f>
        <v>3100354</v>
      </c>
      <c r="J45" s="177"/>
      <c r="T45" s="10"/>
      <c r="U45" s="10"/>
      <c r="V45" s="10"/>
      <c r="W45" s="10"/>
      <c r="X45" s="10"/>
      <c r="Y45" s="10"/>
    </row>
    <row r="46" spans="1:25" x14ac:dyDescent="0.2">
      <c r="B46" s="180"/>
      <c r="C46" s="179"/>
      <c r="D46" s="179"/>
      <c r="E46" s="179"/>
      <c r="F46" s="179"/>
      <c r="G46" s="179"/>
      <c r="H46" s="179"/>
      <c r="I46" s="179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4" customWidth="1"/>
    <col min="2" max="2" width="36.85546875" style="154" customWidth="1"/>
    <col min="3" max="3" width="11.28515625" style="155" customWidth="1"/>
    <col min="4" max="4" width="13.85546875" style="155" customWidth="1"/>
    <col min="5" max="5" width="13" style="155" customWidth="1"/>
    <col min="6" max="6" width="35.42578125" style="155" customWidth="1"/>
    <col min="7" max="7" width="12.140625" style="284" customWidth="1"/>
    <col min="8" max="8" width="11.42578125" style="284" customWidth="1"/>
    <col min="9" max="9" width="12.85546875" style="284" customWidth="1"/>
    <col min="10" max="10" width="9.140625" style="154"/>
    <col min="11" max="16384" width="9.140625" style="10"/>
  </cols>
  <sheetData>
    <row r="1" spans="1:10" ht="12.75" x14ac:dyDescent="0.2">
      <c r="B1" s="1268" t="s">
        <v>1410</v>
      </c>
      <c r="C1" s="1323"/>
      <c r="D1" s="1323"/>
      <c r="E1" s="1323"/>
      <c r="F1" s="1323"/>
      <c r="G1" s="1323"/>
      <c r="H1" s="1323"/>
      <c r="I1" s="1323"/>
    </row>
    <row r="2" spans="1:10" x14ac:dyDescent="0.2">
      <c r="I2" s="344"/>
    </row>
    <row r="3" spans="1:10" x14ac:dyDescent="0.2">
      <c r="I3" s="344"/>
    </row>
    <row r="4" spans="1:10" s="122" customFormat="1" x14ac:dyDescent="0.2">
      <c r="A4" s="157"/>
      <c r="B4" s="1271" t="s">
        <v>77</v>
      </c>
      <c r="C4" s="1271"/>
      <c r="D4" s="1271"/>
      <c r="E4" s="1271"/>
      <c r="F4" s="1271"/>
      <c r="G4" s="1271"/>
      <c r="H4" s="1271"/>
      <c r="I4" s="1271"/>
      <c r="J4" s="157"/>
    </row>
    <row r="5" spans="1:10" s="122" customFormat="1" x14ac:dyDescent="0.2">
      <c r="A5" s="157"/>
      <c r="B5" s="1387" t="s">
        <v>183</v>
      </c>
      <c r="C5" s="1387"/>
      <c r="D5" s="1387"/>
      <c r="E5" s="1387"/>
      <c r="F5" s="1387"/>
      <c r="G5" s="1387"/>
      <c r="H5" s="1387"/>
      <c r="I5" s="1387"/>
      <c r="J5" s="157"/>
    </row>
    <row r="6" spans="1:10" s="122" customFormat="1" x14ac:dyDescent="0.2">
      <c r="A6" s="157"/>
      <c r="B6" s="1271" t="s">
        <v>1136</v>
      </c>
      <c r="C6" s="1271"/>
      <c r="D6" s="1271"/>
      <c r="E6" s="1271"/>
      <c r="F6" s="1271"/>
      <c r="G6" s="1271"/>
      <c r="H6" s="1271"/>
      <c r="I6" s="1271"/>
      <c r="J6" s="157"/>
    </row>
    <row r="7" spans="1:10" s="122" customFormat="1" x14ac:dyDescent="0.2">
      <c r="A7" s="157"/>
      <c r="B7" s="1272" t="s">
        <v>302</v>
      </c>
      <c r="C7" s="1272"/>
      <c r="D7" s="1272"/>
      <c r="E7" s="1272"/>
      <c r="F7" s="1272"/>
      <c r="G7" s="1272"/>
      <c r="H7" s="1272"/>
      <c r="I7" s="1272"/>
      <c r="J7" s="157"/>
    </row>
    <row r="8" spans="1:10" s="122" customFormat="1" ht="12.75" customHeight="1" x14ac:dyDescent="0.2">
      <c r="A8" s="1295" t="s">
        <v>56</v>
      </c>
      <c r="B8" s="1479" t="s">
        <v>57</v>
      </c>
      <c r="C8" s="1293" t="s">
        <v>58</v>
      </c>
      <c r="D8" s="1277"/>
      <c r="E8" s="1328"/>
      <c r="F8" s="1481" t="s">
        <v>59</v>
      </c>
      <c r="G8" s="1290" t="s">
        <v>60</v>
      </c>
      <c r="H8" s="1291"/>
      <c r="I8" s="1291"/>
      <c r="J8" s="587"/>
    </row>
    <row r="9" spans="1:10" s="122" customFormat="1" ht="12.75" customHeight="1" x14ac:dyDescent="0.2">
      <c r="A9" s="1296"/>
      <c r="B9" s="1480"/>
      <c r="C9" s="1270" t="s">
        <v>1137</v>
      </c>
      <c r="D9" s="1413"/>
      <c r="E9" s="1483"/>
      <c r="F9" s="1482"/>
      <c r="G9" s="1283" t="s">
        <v>1137</v>
      </c>
      <c r="H9" s="1484"/>
      <c r="I9" s="1485"/>
      <c r="J9" s="587"/>
    </row>
    <row r="10" spans="1:10" s="302" customFormat="1" ht="36.6" customHeight="1" x14ac:dyDescent="0.2">
      <c r="A10" s="1297"/>
      <c r="B10" s="300" t="s">
        <v>61</v>
      </c>
      <c r="C10" s="134" t="s">
        <v>62</v>
      </c>
      <c r="D10" s="134" t="s">
        <v>63</v>
      </c>
      <c r="E10" s="134" t="s">
        <v>64</v>
      </c>
      <c r="F10" s="287" t="s">
        <v>65</v>
      </c>
      <c r="G10" s="345" t="s">
        <v>62</v>
      </c>
      <c r="H10" s="345" t="s">
        <v>63</v>
      </c>
      <c r="I10" s="345" t="s">
        <v>64</v>
      </c>
      <c r="J10" s="594"/>
    </row>
    <row r="11" spans="1:10" ht="11.45" customHeight="1" x14ac:dyDescent="0.2">
      <c r="A11" s="161">
        <v>1</v>
      </c>
      <c r="B11" s="162" t="s">
        <v>24</v>
      </c>
      <c r="C11" s="163"/>
      <c r="D11" s="163"/>
      <c r="E11" s="163"/>
      <c r="F11" s="137" t="s">
        <v>25</v>
      </c>
      <c r="G11" s="350"/>
      <c r="H11" s="350"/>
      <c r="I11" s="455"/>
      <c r="J11" s="187"/>
    </row>
    <row r="12" spans="1:10" x14ac:dyDescent="0.2">
      <c r="A12" s="161">
        <f t="shared" ref="A12:A54" si="0">A11+1</f>
        <v>2</v>
      </c>
      <c r="B12" s="164" t="s">
        <v>35</v>
      </c>
      <c r="C12" s="118"/>
      <c r="D12" s="118"/>
      <c r="E12" s="119">
        <f>SUM(C12:D12)</f>
        <v>0</v>
      </c>
      <c r="F12" s="138" t="s">
        <v>215</v>
      </c>
      <c r="G12" s="279">
        <v>86936</v>
      </c>
      <c r="H12" s="279">
        <v>10450</v>
      </c>
      <c r="I12" s="456">
        <f>SUM(G12:H12)</f>
        <v>97386</v>
      </c>
      <c r="J12" s="187"/>
    </row>
    <row r="13" spans="1:10" x14ac:dyDescent="0.2">
      <c r="A13" s="161">
        <f t="shared" si="0"/>
        <v>3</v>
      </c>
      <c r="B13" s="164" t="s">
        <v>36</v>
      </c>
      <c r="C13" s="118"/>
      <c r="D13" s="118"/>
      <c r="E13" s="119">
        <f>SUM(C13:D13)</f>
        <v>0</v>
      </c>
      <c r="F13" s="519" t="s">
        <v>216</v>
      </c>
      <c r="G13" s="279">
        <v>15778</v>
      </c>
      <c r="H13" s="279">
        <v>2721</v>
      </c>
      <c r="I13" s="456">
        <f>SUM(G13:H13)</f>
        <v>18499</v>
      </c>
      <c r="J13" s="187"/>
    </row>
    <row r="14" spans="1:10" x14ac:dyDescent="0.2">
      <c r="A14" s="161">
        <f t="shared" si="0"/>
        <v>4</v>
      </c>
      <c r="B14" s="164" t="s">
        <v>37</v>
      </c>
      <c r="C14" s="118"/>
      <c r="D14" s="118"/>
      <c r="E14" s="119">
        <f>SUM(C14:D14)</f>
        <v>0</v>
      </c>
      <c r="F14" s="138" t="s">
        <v>217</v>
      </c>
      <c r="G14" s="279">
        <v>13873</v>
      </c>
      <c r="H14" s="279"/>
      <c r="I14" s="456">
        <f>SUM(G14:H14)</f>
        <v>13873</v>
      </c>
      <c r="J14" s="187"/>
    </row>
    <row r="15" spans="1:10" ht="12" customHeight="1" x14ac:dyDescent="0.2">
      <c r="A15" s="161">
        <f t="shared" si="0"/>
        <v>5</v>
      </c>
      <c r="B15" s="127"/>
      <c r="C15" s="118"/>
      <c r="D15" s="118"/>
      <c r="E15" s="119"/>
      <c r="F15" s="138"/>
      <c r="G15" s="291"/>
      <c r="H15" s="291"/>
      <c r="I15" s="457"/>
      <c r="J15" s="187"/>
    </row>
    <row r="16" spans="1:10" x14ac:dyDescent="0.2">
      <c r="A16" s="161">
        <f t="shared" si="0"/>
        <v>6</v>
      </c>
      <c r="B16" s="164" t="s">
        <v>38</v>
      </c>
      <c r="C16" s="118"/>
      <c r="D16" s="118"/>
      <c r="E16" s="119">
        <f>SUM(C16:D16)</f>
        <v>0</v>
      </c>
      <c r="F16" s="138" t="s">
        <v>28</v>
      </c>
      <c r="G16" s="286"/>
      <c r="H16" s="286"/>
      <c r="I16" s="458"/>
      <c r="J16" s="187"/>
    </row>
    <row r="17" spans="1:10" x14ac:dyDescent="0.2">
      <c r="A17" s="161">
        <f t="shared" si="0"/>
        <v>7</v>
      </c>
      <c r="B17" s="164"/>
      <c r="C17" s="118"/>
      <c r="D17" s="118"/>
      <c r="E17" s="119"/>
      <c r="F17" s="138" t="s">
        <v>30</v>
      </c>
      <c r="G17" s="286"/>
      <c r="H17" s="286"/>
      <c r="I17" s="458"/>
      <c r="J17" s="187"/>
    </row>
    <row r="18" spans="1:10" x14ac:dyDescent="0.2">
      <c r="A18" s="161">
        <f t="shared" si="0"/>
        <v>8</v>
      </c>
      <c r="B18" s="164" t="s">
        <v>39</v>
      </c>
      <c r="C18" s="118"/>
      <c r="D18" s="118"/>
      <c r="E18" s="119">
        <f>SUM(C18:D18)</f>
        <v>0</v>
      </c>
      <c r="F18" s="138" t="s">
        <v>446</v>
      </c>
      <c r="G18" s="286"/>
      <c r="H18" s="286"/>
      <c r="I18" s="458"/>
      <c r="J18" s="187"/>
    </row>
    <row r="19" spans="1:10" x14ac:dyDescent="0.2">
      <c r="A19" s="161">
        <f t="shared" si="0"/>
        <v>9</v>
      </c>
      <c r="B19" s="167" t="s">
        <v>40</v>
      </c>
      <c r="C19" s="165"/>
      <c r="D19" s="165"/>
      <c r="E19" s="165"/>
      <c r="F19" s="138" t="s">
        <v>445</v>
      </c>
      <c r="G19" s="286"/>
      <c r="H19" s="286"/>
      <c r="I19" s="458"/>
      <c r="J19" s="187"/>
    </row>
    <row r="20" spans="1:10" x14ac:dyDescent="0.2">
      <c r="A20" s="161">
        <f t="shared" si="0"/>
        <v>10</v>
      </c>
      <c r="B20" s="116" t="s">
        <v>41</v>
      </c>
      <c r="C20" s="165">
        <v>0</v>
      </c>
      <c r="D20" s="165"/>
      <c r="E20" s="432">
        <f>SUM(C20:D20)</f>
        <v>0</v>
      </c>
      <c r="F20" s="155" t="s">
        <v>928</v>
      </c>
      <c r="G20" s="286"/>
      <c r="H20" s="286"/>
      <c r="I20" s="458"/>
      <c r="J20" s="187"/>
    </row>
    <row r="21" spans="1:10" x14ac:dyDescent="0.2">
      <c r="A21" s="161">
        <f t="shared" si="0"/>
        <v>11</v>
      </c>
      <c r="C21" s="165"/>
      <c r="D21" s="165"/>
      <c r="E21" s="432"/>
      <c r="F21" s="119" t="s">
        <v>929</v>
      </c>
      <c r="G21" s="286"/>
      <c r="H21" s="286"/>
      <c r="I21" s="458"/>
      <c r="J21" s="187"/>
    </row>
    <row r="22" spans="1:10" s="124" customFormat="1" x14ac:dyDescent="0.2">
      <c r="A22" s="161">
        <f t="shared" si="0"/>
        <v>12</v>
      </c>
      <c r="B22" s="154" t="s">
        <v>42</v>
      </c>
      <c r="C22" s="165"/>
      <c r="D22" s="165"/>
      <c r="E22" s="165"/>
      <c r="F22" s="138" t="s">
        <v>930</v>
      </c>
      <c r="G22" s="286"/>
      <c r="H22" s="286"/>
      <c r="I22" s="458"/>
      <c r="J22" s="589"/>
    </row>
    <row r="23" spans="1:10" s="124" customFormat="1" x14ac:dyDescent="0.2">
      <c r="A23" s="161">
        <f t="shared" si="0"/>
        <v>13</v>
      </c>
      <c r="B23" s="154" t="s">
        <v>43</v>
      </c>
      <c r="C23" s="165"/>
      <c r="D23" s="165"/>
      <c r="E23" s="165"/>
      <c r="F23" s="168"/>
      <c r="G23" s="286"/>
      <c r="H23" s="286"/>
      <c r="I23" s="458"/>
      <c r="J23" s="589"/>
    </row>
    <row r="24" spans="1:10" x14ac:dyDescent="0.2">
      <c r="A24" s="161">
        <f t="shared" si="0"/>
        <v>14</v>
      </c>
      <c r="B24" s="164" t="s">
        <v>44</v>
      </c>
      <c r="C24" s="129"/>
      <c r="D24" s="129"/>
      <c r="E24" s="129"/>
      <c r="F24" s="169" t="s">
        <v>66</v>
      </c>
      <c r="G24" s="347">
        <f>SUM(G12:G22)</f>
        <v>116587</v>
      </c>
      <c r="H24" s="347">
        <f>SUM(H12:H22)</f>
        <v>13171</v>
      </c>
      <c r="I24" s="459">
        <f>SUM(I12:I22)</f>
        <v>129758</v>
      </c>
      <c r="J24" s="187"/>
    </row>
    <row r="25" spans="1:10" x14ac:dyDescent="0.2">
      <c r="A25" s="161">
        <f t="shared" si="0"/>
        <v>15</v>
      </c>
      <c r="B25" s="164" t="s">
        <v>45</v>
      </c>
      <c r="C25" s="165"/>
      <c r="D25" s="165"/>
      <c r="E25" s="165"/>
      <c r="F25" s="168"/>
      <c r="G25" s="286"/>
      <c r="H25" s="286"/>
      <c r="I25" s="458"/>
      <c r="J25" s="187"/>
    </row>
    <row r="26" spans="1:10" x14ac:dyDescent="0.2">
      <c r="A26" s="161">
        <f t="shared" si="0"/>
        <v>16</v>
      </c>
      <c r="B26" s="116" t="s">
        <v>46</v>
      </c>
      <c r="C26" s="126"/>
      <c r="D26" s="126"/>
      <c r="E26" s="126"/>
      <c r="F26" s="139" t="s">
        <v>34</v>
      </c>
      <c r="G26" s="349"/>
      <c r="H26" s="349"/>
      <c r="I26" s="458"/>
      <c r="J26" s="187"/>
    </row>
    <row r="27" spans="1:10" x14ac:dyDescent="0.2">
      <c r="A27" s="161">
        <f t="shared" si="0"/>
        <v>17</v>
      </c>
      <c r="B27" s="164" t="s">
        <v>47</v>
      </c>
      <c r="C27" s="119"/>
      <c r="D27" s="119"/>
      <c r="E27" s="119"/>
      <c r="F27" s="138" t="s">
        <v>226</v>
      </c>
      <c r="G27" s="286">
        <f>'felhalm. kiad.  '!H137</f>
        <v>2185</v>
      </c>
      <c r="H27" s="286">
        <f>'felhalm. kiad.  '!I137</f>
        <v>0</v>
      </c>
      <c r="I27" s="458">
        <f>SUM(G27:H27)</f>
        <v>2185</v>
      </c>
      <c r="J27" s="187"/>
    </row>
    <row r="28" spans="1:10" x14ac:dyDescent="0.2">
      <c r="A28" s="161">
        <f t="shared" si="0"/>
        <v>18</v>
      </c>
      <c r="B28" s="164"/>
      <c r="C28" s="119"/>
      <c r="D28" s="119"/>
      <c r="E28" s="119"/>
      <c r="F28" s="138" t="s">
        <v>31</v>
      </c>
      <c r="G28" s="286"/>
      <c r="H28" s="286"/>
      <c r="I28" s="458"/>
      <c r="J28" s="187"/>
    </row>
    <row r="29" spans="1:10" x14ac:dyDescent="0.2">
      <c r="A29" s="161">
        <f t="shared" si="0"/>
        <v>19</v>
      </c>
      <c r="B29" s="154" t="s">
        <v>50</v>
      </c>
      <c r="C29" s="119"/>
      <c r="D29" s="119"/>
      <c r="E29" s="119"/>
      <c r="F29" s="138" t="s">
        <v>32</v>
      </c>
      <c r="G29" s="286"/>
      <c r="H29" s="286"/>
      <c r="I29" s="458"/>
      <c r="J29" s="187"/>
    </row>
    <row r="30" spans="1:10" s="124" customFormat="1" x14ac:dyDescent="0.2">
      <c r="A30" s="161">
        <f t="shared" si="0"/>
        <v>20</v>
      </c>
      <c r="B30" s="154" t="s">
        <v>48</v>
      </c>
      <c r="C30" s="119"/>
      <c r="D30" s="119"/>
      <c r="E30" s="119"/>
      <c r="F30" s="138" t="s">
        <v>447</v>
      </c>
      <c r="G30" s="286"/>
      <c r="H30" s="286"/>
      <c r="I30" s="458"/>
      <c r="J30" s="589"/>
    </row>
    <row r="31" spans="1:10" x14ac:dyDescent="0.2">
      <c r="A31" s="161">
        <f t="shared" si="0"/>
        <v>21</v>
      </c>
      <c r="C31" s="119"/>
      <c r="D31" s="119"/>
      <c r="E31" s="119"/>
      <c r="F31" s="138" t="s">
        <v>444</v>
      </c>
      <c r="G31" s="286"/>
      <c r="H31" s="286"/>
      <c r="I31" s="458"/>
      <c r="J31" s="187"/>
    </row>
    <row r="32" spans="1:10" s="11" customFormat="1" x14ac:dyDescent="0.2">
      <c r="A32" s="161">
        <f t="shared" si="0"/>
        <v>22</v>
      </c>
      <c r="B32" s="171" t="s">
        <v>52</v>
      </c>
      <c r="C32" s="165">
        <f>C14+C20</f>
        <v>0</v>
      </c>
      <c r="D32" s="165">
        <f>D14+D20</f>
        <v>0</v>
      </c>
      <c r="E32" s="165">
        <f>E14+E20</f>
        <v>0</v>
      </c>
      <c r="F32" s="138" t="s">
        <v>440</v>
      </c>
      <c r="G32" s="284"/>
      <c r="H32" s="284"/>
      <c r="I32" s="458"/>
      <c r="J32" s="494"/>
    </row>
    <row r="33" spans="1:10" x14ac:dyDescent="0.2">
      <c r="A33" s="161">
        <f t="shared" si="0"/>
        <v>23</v>
      </c>
      <c r="B33" s="172" t="s">
        <v>67</v>
      </c>
      <c r="C33" s="174"/>
      <c r="D33" s="174"/>
      <c r="E33" s="174"/>
      <c r="F33" s="173" t="s">
        <v>68</v>
      </c>
      <c r="G33" s="348">
        <f>SUM(G27:G32)</f>
        <v>2185</v>
      </c>
      <c r="H33" s="348">
        <f>SUM(H27:H32)</f>
        <v>0</v>
      </c>
      <c r="I33" s="460">
        <f>SUM(I27:I31)</f>
        <v>2185</v>
      </c>
      <c r="J33" s="187"/>
    </row>
    <row r="34" spans="1:10" x14ac:dyDescent="0.2">
      <c r="A34" s="161">
        <f t="shared" si="0"/>
        <v>24</v>
      </c>
      <c r="B34" s="175" t="s">
        <v>51</v>
      </c>
      <c r="C34" s="170">
        <f>SUM(C32:C33)</f>
        <v>0</v>
      </c>
      <c r="D34" s="170">
        <f>SUM(D32:D33)</f>
        <v>0</v>
      </c>
      <c r="E34" s="170">
        <f>SUM(C34:D34)</f>
        <v>0</v>
      </c>
      <c r="F34" s="176" t="s">
        <v>69</v>
      </c>
      <c r="G34" s="349">
        <f>G24+G33</f>
        <v>118772</v>
      </c>
      <c r="H34" s="349">
        <f>H24+H33</f>
        <v>13171</v>
      </c>
      <c r="I34" s="435">
        <f>I24+I33</f>
        <v>131943</v>
      </c>
      <c r="J34" s="187"/>
    </row>
    <row r="35" spans="1:10" x14ac:dyDescent="0.2">
      <c r="A35" s="161">
        <f t="shared" si="0"/>
        <v>25</v>
      </c>
      <c r="B35" s="177"/>
      <c r="C35" s="166"/>
      <c r="D35" s="166"/>
      <c r="E35" s="166"/>
      <c r="F35" s="168"/>
      <c r="G35" s="286"/>
      <c r="H35" s="286"/>
      <c r="I35" s="458"/>
      <c r="J35" s="187"/>
    </row>
    <row r="36" spans="1:10" x14ac:dyDescent="0.2">
      <c r="A36" s="161">
        <f t="shared" si="0"/>
        <v>26</v>
      </c>
      <c r="B36" s="177"/>
      <c r="C36" s="166"/>
      <c r="D36" s="166"/>
      <c r="E36" s="166"/>
      <c r="F36" s="169"/>
      <c r="G36" s="347"/>
      <c r="H36" s="347"/>
      <c r="I36" s="459"/>
      <c r="J36" s="187"/>
    </row>
    <row r="37" spans="1:10" s="11" customFormat="1" x14ac:dyDescent="0.2">
      <c r="A37" s="161">
        <f t="shared" si="0"/>
        <v>27</v>
      </c>
      <c r="B37" s="177"/>
      <c r="C37" s="166"/>
      <c r="D37" s="166"/>
      <c r="E37" s="166"/>
      <c r="F37" s="168"/>
      <c r="G37" s="286"/>
      <c r="H37" s="286"/>
      <c r="I37" s="458"/>
      <c r="J37" s="494"/>
    </row>
    <row r="38" spans="1:10" s="11" customFormat="1" x14ac:dyDescent="0.2">
      <c r="A38" s="760">
        <f t="shared" si="0"/>
        <v>28</v>
      </c>
      <c r="B38" s="126" t="s">
        <v>53</v>
      </c>
      <c r="C38" s="126"/>
      <c r="D38" s="126"/>
      <c r="E38" s="126"/>
      <c r="F38" s="139" t="s">
        <v>33</v>
      </c>
      <c r="G38" s="349"/>
      <c r="H38" s="349"/>
      <c r="I38" s="435"/>
      <c r="J38" s="494"/>
    </row>
    <row r="39" spans="1:10" s="11" customFormat="1" x14ac:dyDescent="0.2">
      <c r="A39" s="161">
        <f t="shared" si="0"/>
        <v>29</v>
      </c>
      <c r="B39" s="135" t="s">
        <v>682</v>
      </c>
      <c r="C39" s="126"/>
      <c r="D39" s="126"/>
      <c r="E39" s="126"/>
      <c r="F39" s="178" t="s">
        <v>4</v>
      </c>
      <c r="G39" s="186"/>
      <c r="I39" s="461"/>
      <c r="J39" s="494"/>
    </row>
    <row r="40" spans="1:10" s="11" customFormat="1" x14ac:dyDescent="0.2">
      <c r="A40" s="161">
        <f t="shared" si="0"/>
        <v>30</v>
      </c>
      <c r="B40" s="116" t="s">
        <v>961</v>
      </c>
      <c r="C40" s="126"/>
      <c r="D40" s="126"/>
      <c r="E40" s="126"/>
      <c r="F40" s="520" t="s">
        <v>3</v>
      </c>
      <c r="G40" s="349"/>
      <c r="H40" s="349"/>
      <c r="I40" s="435"/>
      <c r="J40" s="494"/>
    </row>
    <row r="41" spans="1:10" x14ac:dyDescent="0.2">
      <c r="A41" s="161">
        <f t="shared" si="0"/>
        <v>31</v>
      </c>
      <c r="B41" s="118" t="s">
        <v>684</v>
      </c>
      <c r="C41" s="182"/>
      <c r="D41" s="182"/>
      <c r="E41" s="182"/>
      <c r="F41" s="138" t="s">
        <v>5</v>
      </c>
      <c r="G41" s="349"/>
      <c r="H41" s="349"/>
      <c r="I41" s="435"/>
      <c r="J41" s="187"/>
    </row>
    <row r="42" spans="1:10" x14ac:dyDescent="0.2">
      <c r="A42" s="161">
        <f t="shared" si="0"/>
        <v>32</v>
      </c>
      <c r="B42" s="118" t="s">
        <v>207</v>
      </c>
      <c r="C42" s="119"/>
      <c r="D42" s="119"/>
      <c r="E42" s="119"/>
      <c r="F42" s="138" t="s">
        <v>6</v>
      </c>
      <c r="G42" s="186"/>
      <c r="H42" s="186"/>
      <c r="I42" s="435"/>
      <c r="J42" s="187"/>
    </row>
    <row r="43" spans="1:10" x14ac:dyDescent="0.2">
      <c r="A43" s="161">
        <f t="shared" si="0"/>
        <v>33</v>
      </c>
      <c r="B43" s="518" t="s">
        <v>208</v>
      </c>
      <c r="C43" s="119">
        <v>43</v>
      </c>
      <c r="D43" s="119"/>
      <c r="E43" s="119">
        <f>C43+D43</f>
        <v>43</v>
      </c>
      <c r="F43" s="138" t="s">
        <v>7</v>
      </c>
      <c r="G43" s="186"/>
      <c r="H43" s="186"/>
      <c r="I43" s="435"/>
      <c r="J43" s="187"/>
    </row>
    <row r="44" spans="1:10" x14ac:dyDescent="0.2">
      <c r="A44" s="161">
        <f t="shared" si="0"/>
        <v>34</v>
      </c>
      <c r="B44" s="518" t="s">
        <v>958</v>
      </c>
      <c r="C44" s="119"/>
      <c r="D44" s="119"/>
      <c r="E44" s="119"/>
      <c r="F44" s="138"/>
      <c r="G44" s="186"/>
      <c r="H44" s="186"/>
      <c r="I44" s="435"/>
      <c r="J44" s="187"/>
    </row>
    <row r="45" spans="1:10" x14ac:dyDescent="0.2">
      <c r="A45" s="161">
        <f t="shared" si="0"/>
        <v>35</v>
      </c>
      <c r="B45" s="119" t="s">
        <v>685</v>
      </c>
      <c r="C45" s="119"/>
      <c r="D45" s="119"/>
      <c r="E45" s="119"/>
      <c r="F45" s="138" t="s">
        <v>8</v>
      </c>
      <c r="G45" s="349"/>
      <c r="H45" s="349"/>
      <c r="I45" s="458"/>
      <c r="J45" s="187"/>
    </row>
    <row r="46" spans="1:10" x14ac:dyDescent="0.2">
      <c r="A46" s="161">
        <f t="shared" si="0"/>
        <v>36</v>
      </c>
      <c r="B46" s="119" t="s">
        <v>686</v>
      </c>
      <c r="C46" s="126"/>
      <c r="D46" s="126"/>
      <c r="E46" s="126"/>
      <c r="F46" s="138" t="s">
        <v>9</v>
      </c>
      <c r="G46" s="349"/>
      <c r="H46" s="349"/>
      <c r="I46" s="458"/>
      <c r="J46" s="187"/>
    </row>
    <row r="47" spans="1:10" x14ac:dyDescent="0.2">
      <c r="A47" s="161">
        <f t="shared" si="0"/>
        <v>37</v>
      </c>
      <c r="B47" s="118" t="s">
        <v>211</v>
      </c>
      <c r="C47" s="119"/>
      <c r="D47" s="119"/>
      <c r="E47" s="119"/>
      <c r="F47" s="138" t="s">
        <v>10</v>
      </c>
      <c r="G47" s="286"/>
      <c r="H47" s="286"/>
      <c r="I47" s="458"/>
      <c r="J47" s="187"/>
    </row>
    <row r="48" spans="1:10" x14ac:dyDescent="0.2">
      <c r="A48" s="161">
        <f t="shared" si="0"/>
        <v>38</v>
      </c>
      <c r="B48" s="518" t="s">
        <v>212</v>
      </c>
      <c r="C48" s="119">
        <f>G24-(C34+C43)</f>
        <v>116544</v>
      </c>
      <c r="D48" s="119">
        <f>H24-(D34+D43)</f>
        <v>13171</v>
      </c>
      <c r="E48" s="119">
        <f>I24-(E34+E43)</f>
        <v>129715</v>
      </c>
      <c r="F48" s="138" t="s">
        <v>11</v>
      </c>
      <c r="G48" s="286"/>
      <c r="H48" s="286"/>
      <c r="I48" s="458"/>
      <c r="J48" s="187"/>
    </row>
    <row r="49" spans="1:10" x14ac:dyDescent="0.2">
      <c r="A49" s="161">
        <f t="shared" si="0"/>
        <v>39</v>
      </c>
      <c r="B49" s="518" t="s">
        <v>213</v>
      </c>
      <c r="C49" s="119">
        <f>G33-C33</f>
        <v>2185</v>
      </c>
      <c r="D49" s="119"/>
      <c r="E49" s="119">
        <f>I33-E33</f>
        <v>2185</v>
      </c>
      <c r="F49" s="138" t="s">
        <v>12</v>
      </c>
      <c r="G49" s="286"/>
      <c r="H49" s="286"/>
      <c r="I49" s="458"/>
      <c r="J49" s="187"/>
    </row>
    <row r="50" spans="1:10" x14ac:dyDescent="0.2">
      <c r="A50" s="161">
        <f t="shared" si="0"/>
        <v>40</v>
      </c>
      <c r="B50" s="118" t="s">
        <v>1</v>
      </c>
      <c r="C50" s="119"/>
      <c r="D50" s="119"/>
      <c r="E50" s="119"/>
      <c r="F50" s="138" t="s">
        <v>13</v>
      </c>
      <c r="G50" s="286"/>
      <c r="H50" s="286"/>
      <c r="I50" s="458"/>
      <c r="J50" s="187"/>
    </row>
    <row r="51" spans="1:10" x14ac:dyDescent="0.2">
      <c r="A51" s="161">
        <f t="shared" si="0"/>
        <v>41</v>
      </c>
      <c r="B51" s="118"/>
      <c r="C51" s="119"/>
      <c r="D51" s="119"/>
      <c r="E51" s="119"/>
      <c r="F51" s="138" t="s">
        <v>14</v>
      </c>
      <c r="G51" s="286"/>
      <c r="H51" s="286"/>
      <c r="I51" s="458"/>
      <c r="J51" s="187"/>
    </row>
    <row r="52" spans="1:10" x14ac:dyDescent="0.2">
      <c r="A52" s="161">
        <f t="shared" si="0"/>
        <v>42</v>
      </c>
      <c r="B52" s="118"/>
      <c r="C52" s="119"/>
      <c r="D52" s="119"/>
      <c r="E52" s="119"/>
      <c r="F52" s="138" t="s">
        <v>15</v>
      </c>
      <c r="G52" s="286"/>
      <c r="H52" s="286"/>
      <c r="I52" s="458"/>
      <c r="J52" s="187"/>
    </row>
    <row r="53" spans="1:10" ht="12" thickBot="1" x14ac:dyDescent="0.25">
      <c r="A53" s="161">
        <f t="shared" si="0"/>
        <v>43</v>
      </c>
      <c r="B53" s="175" t="s">
        <v>448</v>
      </c>
      <c r="C53" s="126">
        <f>SUM(C39:C51)</f>
        <v>118772</v>
      </c>
      <c r="D53" s="126">
        <f>SUM(D39:D51)</f>
        <v>13171</v>
      </c>
      <c r="E53" s="126">
        <f>SUM(E39:E51)</f>
        <v>131943</v>
      </c>
      <c r="F53" s="139" t="s">
        <v>441</v>
      </c>
      <c r="G53" s="349">
        <f>SUM(G39:G52)</f>
        <v>0</v>
      </c>
      <c r="H53" s="349">
        <f>SUM(H39:H52)</f>
        <v>0</v>
      </c>
      <c r="I53" s="435">
        <f>SUM(I39:I52)</f>
        <v>0</v>
      </c>
      <c r="J53" s="187"/>
    </row>
    <row r="54" spans="1:10" ht="12" thickBot="1" x14ac:dyDescent="0.25">
      <c r="A54" s="905">
        <f t="shared" si="0"/>
        <v>44</v>
      </c>
      <c r="B54" s="1084" t="s">
        <v>443</v>
      </c>
      <c r="C54" s="298">
        <f>C34+C53</f>
        <v>118772</v>
      </c>
      <c r="D54" s="298">
        <f>D34+D53</f>
        <v>13171</v>
      </c>
      <c r="E54" s="901">
        <f>E34+E53</f>
        <v>131943</v>
      </c>
      <c r="F54" s="488" t="s">
        <v>442</v>
      </c>
      <c r="G54" s="1082">
        <f>G34+G53</f>
        <v>118772</v>
      </c>
      <c r="H54" s="785">
        <f>H34+H53</f>
        <v>13171</v>
      </c>
      <c r="I54" s="786">
        <f>I34+I53</f>
        <v>131943</v>
      </c>
      <c r="J54" s="10"/>
    </row>
    <row r="55" spans="1:10" x14ac:dyDescent="0.2">
      <c r="B55" s="180"/>
      <c r="C55" s="179"/>
      <c r="D55" s="179"/>
      <c r="E55" s="179"/>
      <c r="F55" s="179"/>
      <c r="G55" s="186"/>
      <c r="H55" s="186"/>
      <c r="I55" s="186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4" customWidth="1"/>
    <col min="2" max="2" width="38.28515625" style="154" customWidth="1"/>
    <col min="3" max="3" width="10.140625" style="155" customWidth="1"/>
    <col min="4" max="4" width="11.140625" style="155" customWidth="1"/>
    <col min="5" max="5" width="11.5703125" style="155" customWidth="1"/>
    <col min="6" max="6" width="38" style="155" customWidth="1"/>
    <col min="7" max="7" width="10.42578125" style="155" customWidth="1"/>
    <col min="8" max="8" width="12" style="284" customWidth="1"/>
    <col min="9" max="9" width="13.28515625" style="284" customWidth="1"/>
    <col min="10" max="10" width="9.140625" style="154"/>
    <col min="11" max="16384" width="9.140625" style="10"/>
  </cols>
  <sheetData>
    <row r="1" spans="1:10" ht="12.75" customHeight="1" x14ac:dyDescent="0.2">
      <c r="C1" s="1268" t="s">
        <v>1411</v>
      </c>
      <c r="D1" s="1268"/>
      <c r="E1" s="1268"/>
      <c r="F1" s="1268"/>
      <c r="G1" s="1268"/>
      <c r="H1" s="1268"/>
      <c r="I1" s="1268"/>
    </row>
    <row r="2" spans="1:10" x14ac:dyDescent="0.2">
      <c r="I2" s="344"/>
    </row>
    <row r="3" spans="1:10" x14ac:dyDescent="0.2">
      <c r="I3" s="344"/>
    </row>
    <row r="4" spans="1:10" s="122" customFormat="1" x14ac:dyDescent="0.2">
      <c r="A4" s="157"/>
      <c r="B4" s="1271" t="s">
        <v>77</v>
      </c>
      <c r="C4" s="1271"/>
      <c r="D4" s="1271"/>
      <c r="E4" s="1271"/>
      <c r="F4" s="1271"/>
      <c r="G4" s="1271"/>
      <c r="H4" s="1271"/>
      <c r="I4" s="1271"/>
      <c r="J4" s="157"/>
    </row>
    <row r="5" spans="1:10" s="122" customFormat="1" x14ac:dyDescent="0.2">
      <c r="A5" s="157"/>
      <c r="B5" s="1387" t="s">
        <v>690</v>
      </c>
      <c r="C5" s="1387"/>
      <c r="D5" s="1387"/>
      <c r="E5" s="1387"/>
      <c r="F5" s="1387"/>
      <c r="G5" s="1387"/>
      <c r="H5" s="1387"/>
      <c r="I5" s="1387"/>
      <c r="J5" s="157"/>
    </row>
    <row r="6" spans="1:10" s="122" customFormat="1" ht="12.75" customHeight="1" x14ac:dyDescent="0.2">
      <c r="A6" s="157"/>
      <c r="B6" s="1486" t="s">
        <v>1141</v>
      </c>
      <c r="C6" s="1486"/>
      <c r="D6" s="1486"/>
      <c r="E6" s="1486"/>
      <c r="F6" s="1486"/>
      <c r="G6" s="1486"/>
      <c r="H6" s="1486"/>
      <c r="I6" s="1486"/>
    </row>
    <row r="7" spans="1:10" s="122" customFormat="1" x14ac:dyDescent="0.2">
      <c r="A7" s="157"/>
      <c r="B7" s="1272" t="s">
        <v>302</v>
      </c>
      <c r="C7" s="1272"/>
      <c r="D7" s="1272"/>
      <c r="E7" s="1272"/>
      <c r="F7" s="1272"/>
      <c r="G7" s="1272"/>
      <c r="H7" s="1272"/>
      <c r="I7" s="1272"/>
      <c r="J7" s="157"/>
    </row>
    <row r="8" spans="1:10" s="122" customFormat="1" ht="12.75" customHeight="1" x14ac:dyDescent="0.2">
      <c r="A8" s="1276" t="s">
        <v>56</v>
      </c>
      <c r="B8" s="1277" t="s">
        <v>57</v>
      </c>
      <c r="C8" s="1293" t="s">
        <v>58</v>
      </c>
      <c r="D8" s="1277"/>
      <c r="E8" s="1328"/>
      <c r="F8" s="1487" t="s">
        <v>59</v>
      </c>
      <c r="G8" s="1290" t="s">
        <v>60</v>
      </c>
      <c r="H8" s="1291"/>
      <c r="I8" s="1291"/>
    </row>
    <row r="9" spans="1:10" s="122" customFormat="1" ht="12.75" customHeight="1" x14ac:dyDescent="0.2">
      <c r="A9" s="1276"/>
      <c r="B9" s="1277"/>
      <c r="C9" s="1270" t="s">
        <v>1137</v>
      </c>
      <c r="D9" s="1413"/>
      <c r="E9" s="1483"/>
      <c r="F9" s="1487"/>
      <c r="G9" s="1283" t="s">
        <v>1137</v>
      </c>
      <c r="H9" s="1484"/>
      <c r="I9" s="1485"/>
    </row>
    <row r="10" spans="1:10" s="123" customFormat="1" ht="36.6" customHeight="1" x14ac:dyDescent="0.2">
      <c r="A10" s="1276"/>
      <c r="B10" s="158" t="s">
        <v>61</v>
      </c>
      <c r="C10" s="134" t="s">
        <v>62</v>
      </c>
      <c r="D10" s="134" t="s">
        <v>63</v>
      </c>
      <c r="E10" s="134" t="s">
        <v>64</v>
      </c>
      <c r="F10" s="613" t="s">
        <v>65</v>
      </c>
      <c r="G10" s="134" t="s">
        <v>62</v>
      </c>
      <c r="H10" s="345" t="s">
        <v>63</v>
      </c>
      <c r="I10" s="345" t="s">
        <v>64</v>
      </c>
    </row>
    <row r="11" spans="1:10" ht="11.45" customHeight="1" x14ac:dyDescent="0.2">
      <c r="A11" s="161">
        <v>1</v>
      </c>
      <c r="B11" s="162" t="s">
        <v>24</v>
      </c>
      <c r="C11" s="163"/>
      <c r="D11" s="163"/>
      <c r="E11" s="163"/>
      <c r="F11" s="137" t="s">
        <v>25</v>
      </c>
      <c r="G11" s="163"/>
      <c r="H11" s="350"/>
      <c r="I11" s="455"/>
      <c r="J11" s="10"/>
    </row>
    <row r="12" spans="1:10" x14ac:dyDescent="0.2">
      <c r="A12" s="161">
        <f t="shared" ref="A12:A54" si="0">A11+1</f>
        <v>2</v>
      </c>
      <c r="B12" s="164" t="s">
        <v>35</v>
      </c>
      <c r="C12" s="118"/>
      <c r="D12" s="118"/>
      <c r="E12" s="119">
        <f t="shared" ref="E12:E18" si="1">SUM(C12:D12)</f>
        <v>0</v>
      </c>
      <c r="F12" s="138" t="s">
        <v>215</v>
      </c>
      <c r="G12" s="279">
        <v>27602</v>
      </c>
      <c r="H12" s="279">
        <v>63018</v>
      </c>
      <c r="I12" s="456">
        <f>SUM(G12:H12)</f>
        <v>90620</v>
      </c>
      <c r="J12" s="10"/>
    </row>
    <row r="13" spans="1:10" x14ac:dyDescent="0.2">
      <c r="A13" s="161">
        <f t="shared" si="0"/>
        <v>3</v>
      </c>
      <c r="B13" s="164" t="s">
        <v>36</v>
      </c>
      <c r="C13" s="118"/>
      <c r="D13" s="118"/>
      <c r="E13" s="119">
        <f t="shared" si="1"/>
        <v>0</v>
      </c>
      <c r="F13" s="138" t="s">
        <v>216</v>
      </c>
      <c r="G13" s="279">
        <v>5263</v>
      </c>
      <c r="H13" s="279">
        <v>13011</v>
      </c>
      <c r="I13" s="456">
        <f>SUM(G13:H13)</f>
        <v>18274</v>
      </c>
      <c r="J13" s="10"/>
    </row>
    <row r="14" spans="1:10" x14ac:dyDescent="0.2">
      <c r="A14" s="161">
        <f t="shared" si="0"/>
        <v>4</v>
      </c>
      <c r="B14" s="164" t="s">
        <v>37</v>
      </c>
      <c r="C14" s="118">
        <v>0</v>
      </c>
      <c r="D14" s="118">
        <f>'tám, végl. pe.átv  '!D59</f>
        <v>140</v>
      </c>
      <c r="E14" s="119">
        <f t="shared" si="1"/>
        <v>140</v>
      </c>
      <c r="F14" s="138" t="s">
        <v>217</v>
      </c>
      <c r="G14" s="279">
        <v>58785</v>
      </c>
      <c r="H14" s="279">
        <v>122304</v>
      </c>
      <c r="I14" s="456">
        <f>SUM(G14:H14)</f>
        <v>181089</v>
      </c>
      <c r="J14" s="10"/>
    </row>
    <row r="15" spans="1:10" ht="12" customHeight="1" x14ac:dyDescent="0.2">
      <c r="A15" s="161">
        <f t="shared" si="0"/>
        <v>5</v>
      </c>
      <c r="B15" s="127"/>
      <c r="C15" s="118"/>
      <c r="D15" s="118"/>
      <c r="E15" s="119"/>
      <c r="F15" s="138"/>
      <c r="G15" s="291"/>
      <c r="H15" s="291"/>
      <c r="I15" s="457"/>
      <c r="J15" s="10"/>
    </row>
    <row r="16" spans="1:10" x14ac:dyDescent="0.2">
      <c r="A16" s="161">
        <f t="shared" si="0"/>
        <v>6</v>
      </c>
      <c r="B16" s="164" t="s">
        <v>38</v>
      </c>
      <c r="C16" s="118"/>
      <c r="D16" s="118"/>
      <c r="E16" s="119">
        <f t="shared" si="1"/>
        <v>0</v>
      </c>
      <c r="F16" s="138" t="s">
        <v>28</v>
      </c>
      <c r="G16" s="166"/>
      <c r="H16" s="286"/>
      <c r="I16" s="458"/>
      <c r="J16" s="10"/>
    </row>
    <row r="17" spans="1:12" x14ac:dyDescent="0.2">
      <c r="A17" s="161">
        <f t="shared" si="0"/>
        <v>7</v>
      </c>
      <c r="B17" s="164"/>
      <c r="C17" s="118"/>
      <c r="D17" s="118"/>
      <c r="E17" s="119"/>
      <c r="F17" s="138" t="s">
        <v>30</v>
      </c>
      <c r="G17" s="166"/>
      <c r="H17" s="286"/>
      <c r="I17" s="458"/>
      <c r="J17" s="10"/>
    </row>
    <row r="18" spans="1:12" x14ac:dyDescent="0.2">
      <c r="A18" s="161">
        <f t="shared" si="0"/>
        <v>8</v>
      </c>
      <c r="B18" s="164" t="s">
        <v>39</v>
      </c>
      <c r="C18" s="118"/>
      <c r="D18" s="118"/>
      <c r="E18" s="119">
        <f t="shared" si="1"/>
        <v>0</v>
      </c>
      <c r="F18" s="138" t="s">
        <v>446</v>
      </c>
      <c r="G18" s="166"/>
      <c r="H18" s="286"/>
      <c r="I18" s="458"/>
      <c r="J18" s="10"/>
    </row>
    <row r="19" spans="1:12" x14ac:dyDescent="0.2">
      <c r="A19" s="161">
        <f t="shared" si="0"/>
        <v>9</v>
      </c>
      <c r="B19" s="167" t="s">
        <v>40</v>
      </c>
      <c r="C19" s="165"/>
      <c r="D19" s="165"/>
      <c r="E19" s="165"/>
      <c r="F19" s="138" t="s">
        <v>445</v>
      </c>
      <c r="G19" s="166"/>
      <c r="H19" s="286"/>
      <c r="I19" s="458"/>
      <c r="J19" s="10"/>
    </row>
    <row r="20" spans="1:12" x14ac:dyDescent="0.2">
      <c r="A20" s="161">
        <f t="shared" si="0"/>
        <v>10</v>
      </c>
      <c r="B20" s="116" t="s">
        <v>194</v>
      </c>
      <c r="C20" s="346">
        <v>74330</v>
      </c>
      <c r="D20" s="346">
        <v>40227</v>
      </c>
      <c r="E20" s="165">
        <f>SUM(C20:D20)</f>
        <v>114557</v>
      </c>
      <c r="F20" s="138" t="s">
        <v>927</v>
      </c>
      <c r="G20" s="166"/>
      <c r="H20" s="286"/>
      <c r="I20" s="458">
        <f>G20+H20</f>
        <v>0</v>
      </c>
      <c r="J20" s="10"/>
    </row>
    <row r="21" spans="1:12" x14ac:dyDescent="0.2">
      <c r="A21" s="161">
        <f t="shared" si="0"/>
        <v>11</v>
      </c>
      <c r="C21" s="165"/>
      <c r="D21" s="165"/>
      <c r="E21" s="165"/>
      <c r="F21" s="138" t="s">
        <v>438</v>
      </c>
      <c r="G21" s="166"/>
      <c r="H21" s="286"/>
      <c r="I21" s="458"/>
      <c r="J21" s="10"/>
    </row>
    <row r="22" spans="1:12" s="124" customFormat="1" x14ac:dyDescent="0.2">
      <c r="A22" s="161">
        <f t="shared" si="0"/>
        <v>12</v>
      </c>
      <c r="B22" s="154" t="s">
        <v>42</v>
      </c>
      <c r="C22" s="165"/>
      <c r="D22" s="165"/>
      <c r="E22" s="165"/>
      <c r="F22" s="138" t="s">
        <v>439</v>
      </c>
      <c r="G22" s="166"/>
      <c r="H22" s="286"/>
      <c r="I22" s="458"/>
    </row>
    <row r="23" spans="1:12" s="124" customFormat="1" x14ac:dyDescent="0.2">
      <c r="A23" s="161">
        <f t="shared" si="0"/>
        <v>13</v>
      </c>
      <c r="B23" s="154" t="s">
        <v>43</v>
      </c>
      <c r="C23" s="165"/>
      <c r="D23" s="165"/>
      <c r="E23" s="165"/>
      <c r="F23" s="168"/>
      <c r="G23" s="166"/>
      <c r="H23" s="286"/>
      <c r="I23" s="458"/>
    </row>
    <row r="24" spans="1:12" x14ac:dyDescent="0.2">
      <c r="A24" s="161">
        <f t="shared" si="0"/>
        <v>14</v>
      </c>
      <c r="B24" s="164" t="s">
        <v>44</v>
      </c>
      <c r="C24" s="129"/>
      <c r="D24" s="129"/>
      <c r="E24" s="129"/>
      <c r="F24" s="169" t="s">
        <v>66</v>
      </c>
      <c r="G24" s="125">
        <f>SUM(G12:G22)</f>
        <v>91650</v>
      </c>
      <c r="H24" s="347">
        <f>SUM(H12:H22)</f>
        <v>198333</v>
      </c>
      <c r="I24" s="459">
        <f>SUM(I12:I22)</f>
        <v>289983</v>
      </c>
      <c r="J24" s="10"/>
    </row>
    <row r="25" spans="1:12" x14ac:dyDescent="0.2">
      <c r="A25" s="161">
        <f t="shared" si="0"/>
        <v>15</v>
      </c>
      <c r="B25" s="164" t="s">
        <v>45</v>
      </c>
      <c r="C25" s="165"/>
      <c r="D25" s="165"/>
      <c r="E25" s="165"/>
      <c r="F25" s="168"/>
      <c r="G25" s="166"/>
      <c r="H25" s="286"/>
      <c r="I25" s="458"/>
      <c r="J25" s="10"/>
      <c r="L25" s="285"/>
    </row>
    <row r="26" spans="1:12" x14ac:dyDescent="0.2">
      <c r="A26" s="161">
        <f t="shared" si="0"/>
        <v>16</v>
      </c>
      <c r="B26" s="116" t="s">
        <v>46</v>
      </c>
      <c r="C26" s="126"/>
      <c r="D26" s="126"/>
      <c r="E26" s="126"/>
      <c r="F26" s="139" t="s">
        <v>34</v>
      </c>
      <c r="G26" s="170"/>
      <c r="H26" s="349"/>
      <c r="I26" s="458"/>
      <c r="J26" s="10"/>
    </row>
    <row r="27" spans="1:12" x14ac:dyDescent="0.2">
      <c r="A27" s="161">
        <f t="shared" si="0"/>
        <v>17</v>
      </c>
      <c r="B27" s="164" t="s">
        <v>47</v>
      </c>
      <c r="C27" s="119"/>
      <c r="D27" s="119"/>
      <c r="E27" s="119"/>
      <c r="F27" s="138" t="s">
        <v>273</v>
      </c>
      <c r="G27" s="166">
        <f>'felhalm. kiad.  '!H126</f>
        <v>1423</v>
      </c>
      <c r="H27" s="166">
        <f>'felhalm. kiad.  '!I126</f>
        <v>2588</v>
      </c>
      <c r="I27" s="434">
        <f>'felhalm. kiad.  '!G126</f>
        <v>4011</v>
      </c>
      <c r="J27" s="10"/>
    </row>
    <row r="28" spans="1:12" x14ac:dyDescent="0.2">
      <c r="A28" s="161">
        <f t="shared" si="0"/>
        <v>18</v>
      </c>
      <c r="B28" s="164"/>
      <c r="C28" s="119"/>
      <c r="D28" s="119"/>
      <c r="E28" s="119"/>
      <c r="F28" s="138" t="s">
        <v>31</v>
      </c>
      <c r="G28" s="166"/>
      <c r="H28" s="286"/>
      <c r="I28" s="458"/>
      <c r="J28" s="10"/>
    </row>
    <row r="29" spans="1:12" x14ac:dyDescent="0.2">
      <c r="A29" s="161">
        <f t="shared" si="0"/>
        <v>19</v>
      </c>
      <c r="B29" s="154" t="s">
        <v>50</v>
      </c>
      <c r="C29" s="119">
        <f>'tám, végl. pe.átv  '!C62</f>
        <v>0</v>
      </c>
      <c r="D29" s="119">
        <f>'tám, végl. pe.átv  '!D62</f>
        <v>588</v>
      </c>
      <c r="E29" s="119">
        <f>'tám, végl. pe.átv  '!E62</f>
        <v>588</v>
      </c>
      <c r="F29" s="138" t="s">
        <v>32</v>
      </c>
      <c r="G29" s="166"/>
      <c r="H29" s="286"/>
      <c r="I29" s="458"/>
      <c r="J29" s="10"/>
    </row>
    <row r="30" spans="1:12" s="124" customFormat="1" x14ac:dyDescent="0.2">
      <c r="A30" s="161">
        <f t="shared" si="0"/>
        <v>20</v>
      </c>
      <c r="B30" s="154" t="s">
        <v>48</v>
      </c>
      <c r="C30" s="119"/>
      <c r="D30" s="119"/>
      <c r="E30" s="119"/>
      <c r="F30" s="138" t="s">
        <v>447</v>
      </c>
      <c r="G30" s="166"/>
      <c r="H30" s="286"/>
      <c r="I30" s="458"/>
      <c r="K30" s="783"/>
    </row>
    <row r="31" spans="1:12" x14ac:dyDescent="0.2">
      <c r="A31" s="161">
        <f t="shared" si="0"/>
        <v>21</v>
      </c>
      <c r="C31" s="119"/>
      <c r="D31" s="119"/>
      <c r="E31" s="119"/>
      <c r="F31" s="138" t="s">
        <v>444</v>
      </c>
      <c r="G31" s="166"/>
      <c r="H31" s="286"/>
      <c r="I31" s="458"/>
      <c r="J31" s="10"/>
    </row>
    <row r="32" spans="1:12" s="11" customFormat="1" x14ac:dyDescent="0.2">
      <c r="A32" s="161">
        <f t="shared" si="0"/>
        <v>22</v>
      </c>
      <c r="B32" s="171" t="s">
        <v>52</v>
      </c>
      <c r="C32" s="903">
        <f>C14+C20</f>
        <v>74330</v>
      </c>
      <c r="D32" s="903">
        <f>D14+D20+D29</f>
        <v>40955</v>
      </c>
      <c r="E32" s="903">
        <f>E14+E20+E29</f>
        <v>115285</v>
      </c>
      <c r="F32" s="138" t="s">
        <v>440</v>
      </c>
      <c r="G32" s="155"/>
      <c r="H32" s="284"/>
      <c r="I32" s="458"/>
    </row>
    <row r="33" spans="1:10" x14ac:dyDescent="0.2">
      <c r="A33" s="161">
        <f t="shared" si="0"/>
        <v>23</v>
      </c>
      <c r="B33" s="172" t="s">
        <v>67</v>
      </c>
      <c r="C33" s="174"/>
      <c r="D33" s="174"/>
      <c r="E33" s="174"/>
      <c r="F33" s="173" t="s">
        <v>68</v>
      </c>
      <c r="G33" s="174">
        <f>SUM(G27:G32)</f>
        <v>1423</v>
      </c>
      <c r="H33" s="348">
        <f>SUM(H27:H32)</f>
        <v>2588</v>
      </c>
      <c r="I33" s="460">
        <f>SUM(I27:I31)</f>
        <v>4011</v>
      </c>
      <c r="J33" s="187"/>
    </row>
    <row r="34" spans="1:10" x14ac:dyDescent="0.2">
      <c r="A34" s="161">
        <f t="shared" si="0"/>
        <v>24</v>
      </c>
      <c r="B34" s="175" t="s">
        <v>51</v>
      </c>
      <c r="C34" s="170">
        <f>SUM(C32:C33)</f>
        <v>74330</v>
      </c>
      <c r="D34" s="170">
        <f>SUM(D32:D33)</f>
        <v>40955</v>
      </c>
      <c r="E34" s="170">
        <f>SUM(C34:D34)</f>
        <v>115285</v>
      </c>
      <c r="F34" s="176" t="s">
        <v>69</v>
      </c>
      <c r="G34" s="170">
        <f>G24+G33</f>
        <v>93073</v>
      </c>
      <c r="H34" s="349">
        <f>H24+H33</f>
        <v>200921</v>
      </c>
      <c r="I34" s="435">
        <f>I24+I33</f>
        <v>293994</v>
      </c>
      <c r="J34" s="187"/>
    </row>
    <row r="35" spans="1:10" x14ac:dyDescent="0.2">
      <c r="A35" s="161">
        <f t="shared" si="0"/>
        <v>25</v>
      </c>
      <c r="B35" s="177"/>
      <c r="C35" s="166"/>
      <c r="D35" s="166"/>
      <c r="E35" s="166"/>
      <c r="F35" s="168"/>
      <c r="G35" s="166"/>
      <c r="H35" s="286"/>
      <c r="I35" s="458"/>
      <c r="J35" s="10"/>
    </row>
    <row r="36" spans="1:10" x14ac:dyDescent="0.2">
      <c r="A36" s="161">
        <f t="shared" si="0"/>
        <v>26</v>
      </c>
      <c r="B36" s="177"/>
      <c r="C36" s="166"/>
      <c r="D36" s="166"/>
      <c r="E36" s="166"/>
      <c r="F36" s="169"/>
      <c r="G36" s="125"/>
      <c r="H36" s="347"/>
      <c r="I36" s="459"/>
      <c r="J36" s="10"/>
    </row>
    <row r="37" spans="1:10" s="11" customFormat="1" x14ac:dyDescent="0.2">
      <c r="A37" s="161">
        <f t="shared" si="0"/>
        <v>27</v>
      </c>
      <c r="B37" s="177"/>
      <c r="C37" s="166"/>
      <c r="D37" s="166"/>
      <c r="E37" s="166"/>
      <c r="F37" s="168"/>
      <c r="G37" s="166"/>
      <c r="H37" s="286"/>
      <c r="I37" s="458"/>
    </row>
    <row r="38" spans="1:10" s="11" customFormat="1" x14ac:dyDescent="0.2">
      <c r="A38" s="760">
        <f t="shared" si="0"/>
        <v>28</v>
      </c>
      <c r="B38" s="126" t="s">
        <v>53</v>
      </c>
      <c r="C38" s="126"/>
      <c r="D38" s="126"/>
      <c r="E38" s="126"/>
      <c r="F38" s="139" t="s">
        <v>33</v>
      </c>
      <c r="G38" s="170"/>
      <c r="H38" s="349"/>
      <c r="I38" s="435"/>
    </row>
    <row r="39" spans="1:10" s="11" customFormat="1" ht="12" customHeight="1" x14ac:dyDescent="0.2">
      <c r="A39" s="161">
        <f t="shared" si="0"/>
        <v>29</v>
      </c>
      <c r="B39" s="135" t="s">
        <v>682</v>
      </c>
      <c r="C39" s="126"/>
      <c r="D39" s="126"/>
      <c r="E39" s="126"/>
      <c r="F39" s="178" t="s">
        <v>4</v>
      </c>
      <c r="G39" s="179"/>
      <c r="I39" s="461"/>
    </row>
    <row r="40" spans="1:10" s="11" customFormat="1" x14ac:dyDescent="0.2">
      <c r="A40" s="161">
        <f t="shared" si="0"/>
        <v>30</v>
      </c>
      <c r="B40" s="154" t="s">
        <v>962</v>
      </c>
      <c r="C40" s="126"/>
      <c r="D40" s="126"/>
      <c r="E40" s="126"/>
      <c r="F40" s="520" t="s">
        <v>3</v>
      </c>
      <c r="G40" s="170"/>
      <c r="H40" s="349"/>
      <c r="I40" s="435"/>
    </row>
    <row r="41" spans="1:10" x14ac:dyDescent="0.2">
      <c r="A41" s="161">
        <f t="shared" si="0"/>
        <v>31</v>
      </c>
      <c r="B41" s="118" t="s">
        <v>684</v>
      </c>
      <c r="C41" s="182"/>
      <c r="D41" s="182"/>
      <c r="E41" s="182"/>
      <c r="F41" s="138" t="s">
        <v>5</v>
      </c>
      <c r="G41" s="170"/>
      <c r="H41" s="349"/>
      <c r="I41" s="435"/>
      <c r="J41" s="10"/>
    </row>
    <row r="42" spans="1:10" x14ac:dyDescent="0.2">
      <c r="A42" s="161">
        <f t="shared" si="0"/>
        <v>32</v>
      </c>
      <c r="B42" s="118" t="s">
        <v>207</v>
      </c>
      <c r="C42" s="119"/>
      <c r="D42" s="119"/>
      <c r="E42" s="119"/>
      <c r="F42" s="138" t="s">
        <v>6</v>
      </c>
      <c r="G42" s="179"/>
      <c r="H42" s="186"/>
      <c r="I42" s="435"/>
      <c r="J42" s="10"/>
    </row>
    <row r="43" spans="1:10" x14ac:dyDescent="0.2">
      <c r="A43" s="161">
        <f t="shared" si="0"/>
        <v>33</v>
      </c>
      <c r="B43" s="518" t="s">
        <v>208</v>
      </c>
      <c r="C43" s="119">
        <v>3148</v>
      </c>
      <c r="D43" s="119"/>
      <c r="E43" s="119">
        <f>C43+D43</f>
        <v>3148</v>
      </c>
      <c r="F43" s="138" t="s">
        <v>7</v>
      </c>
      <c r="G43" s="179"/>
      <c r="H43" s="186"/>
      <c r="I43" s="435"/>
      <c r="J43" s="10"/>
    </row>
    <row r="44" spans="1:10" x14ac:dyDescent="0.2">
      <c r="A44" s="161">
        <f t="shared" si="0"/>
        <v>34</v>
      </c>
      <c r="B44" s="518" t="s">
        <v>958</v>
      </c>
      <c r="C44" s="119"/>
      <c r="D44" s="119"/>
      <c r="E44" s="119">
        <f>C44+D44</f>
        <v>0</v>
      </c>
      <c r="F44" s="138"/>
      <c r="G44" s="179"/>
      <c r="H44" s="186"/>
      <c r="I44" s="435"/>
      <c r="J44" s="10"/>
    </row>
    <row r="45" spans="1:10" x14ac:dyDescent="0.2">
      <c r="A45" s="161">
        <f t="shared" si="0"/>
        <v>35</v>
      </c>
      <c r="B45" s="119" t="s">
        <v>685</v>
      </c>
      <c r="C45" s="119"/>
      <c r="D45" s="119"/>
      <c r="E45" s="119"/>
      <c r="F45" s="138" t="s">
        <v>8</v>
      </c>
      <c r="G45" s="170"/>
      <c r="H45" s="349"/>
      <c r="I45" s="458"/>
      <c r="J45" s="10"/>
    </row>
    <row r="46" spans="1:10" x14ac:dyDescent="0.2">
      <c r="A46" s="161">
        <f t="shared" si="0"/>
        <v>36</v>
      </c>
      <c r="B46" s="119" t="s">
        <v>686</v>
      </c>
      <c r="C46" s="126"/>
      <c r="D46" s="126"/>
      <c r="E46" s="126"/>
      <c r="F46" s="138" t="s">
        <v>9</v>
      </c>
      <c r="G46" s="170"/>
      <c r="H46" s="349"/>
      <c r="I46" s="458"/>
      <c r="J46" s="10"/>
    </row>
    <row r="47" spans="1:10" x14ac:dyDescent="0.2">
      <c r="A47" s="161">
        <f t="shared" si="0"/>
        <v>37</v>
      </c>
      <c r="B47" s="118" t="s">
        <v>211</v>
      </c>
      <c r="C47" s="119"/>
      <c r="D47" s="119"/>
      <c r="E47" s="119"/>
      <c r="F47" s="138" t="s">
        <v>10</v>
      </c>
      <c r="G47" s="166"/>
      <c r="H47" s="286"/>
      <c r="I47" s="458"/>
      <c r="J47" s="10"/>
    </row>
    <row r="48" spans="1:10" x14ac:dyDescent="0.2">
      <c r="A48" s="161">
        <f t="shared" si="0"/>
        <v>38</v>
      </c>
      <c r="B48" s="518" t="s">
        <v>212</v>
      </c>
      <c r="C48" s="119">
        <f>G24-(C34+C43+C44)</f>
        <v>14172</v>
      </c>
      <c r="D48" s="119">
        <f>H24-(D34+D43+D44)</f>
        <v>157378</v>
      </c>
      <c r="E48" s="119">
        <f>I24-(E34+E43+E44)</f>
        <v>171550</v>
      </c>
      <c r="F48" s="138" t="s">
        <v>11</v>
      </c>
      <c r="G48" s="166"/>
      <c r="H48" s="286"/>
      <c r="I48" s="458"/>
      <c r="J48" s="10"/>
    </row>
    <row r="49" spans="1:10" x14ac:dyDescent="0.2">
      <c r="A49" s="161">
        <f t="shared" si="0"/>
        <v>39</v>
      </c>
      <c r="B49" s="518" t="s">
        <v>213</v>
      </c>
      <c r="C49" s="119">
        <f>G33-C33</f>
        <v>1423</v>
      </c>
      <c r="D49" s="119">
        <f>H33-D33</f>
        <v>2588</v>
      </c>
      <c r="E49" s="119">
        <f>I33-E33</f>
        <v>4011</v>
      </c>
      <c r="F49" s="138" t="s">
        <v>12</v>
      </c>
      <c r="G49" s="166"/>
      <c r="H49" s="286"/>
      <c r="I49" s="458"/>
      <c r="J49" s="10"/>
    </row>
    <row r="50" spans="1:10" x14ac:dyDescent="0.2">
      <c r="A50" s="161">
        <f t="shared" si="0"/>
        <v>40</v>
      </c>
      <c r="B50" s="118" t="s">
        <v>1</v>
      </c>
      <c r="C50" s="119"/>
      <c r="D50" s="119"/>
      <c r="E50" s="119"/>
      <c r="F50" s="138" t="s">
        <v>13</v>
      </c>
      <c r="G50" s="166"/>
      <c r="H50" s="286"/>
      <c r="I50" s="458"/>
      <c r="J50" s="10"/>
    </row>
    <row r="51" spans="1:10" x14ac:dyDescent="0.2">
      <c r="A51" s="161">
        <f t="shared" si="0"/>
        <v>41</v>
      </c>
      <c r="B51" s="118"/>
      <c r="C51" s="119"/>
      <c r="D51" s="119"/>
      <c r="E51" s="119"/>
      <c r="F51" s="138" t="s">
        <v>14</v>
      </c>
      <c r="G51" s="166"/>
      <c r="H51" s="286"/>
      <c r="I51" s="458"/>
      <c r="J51" s="10"/>
    </row>
    <row r="52" spans="1:10" x14ac:dyDescent="0.2">
      <c r="A52" s="161">
        <f t="shared" si="0"/>
        <v>42</v>
      </c>
      <c r="B52" s="118"/>
      <c r="C52" s="119"/>
      <c r="D52" s="119"/>
      <c r="E52" s="119"/>
      <c r="F52" s="138" t="s">
        <v>15</v>
      </c>
      <c r="G52" s="166"/>
      <c r="H52" s="286"/>
      <c r="I52" s="458"/>
      <c r="J52" s="10"/>
    </row>
    <row r="53" spans="1:10" ht="12" thickBot="1" x14ac:dyDescent="0.25">
      <c r="A53" s="161">
        <f t="shared" si="0"/>
        <v>43</v>
      </c>
      <c r="B53" s="175" t="s">
        <v>448</v>
      </c>
      <c r="C53" s="126">
        <f>SUM(C39:C51)</f>
        <v>18743</v>
      </c>
      <c r="D53" s="126">
        <f>SUM(D39:D51)</f>
        <v>159966</v>
      </c>
      <c r="E53" s="504">
        <f>SUM(E39:E51)</f>
        <v>178709</v>
      </c>
      <c r="F53" s="126" t="s">
        <v>441</v>
      </c>
      <c r="G53" s="170">
        <f>SUM(G39:G52)</f>
        <v>0</v>
      </c>
      <c r="H53" s="349">
        <f>SUM(H39:H52)</f>
        <v>0</v>
      </c>
      <c r="I53" s="435">
        <f>SUM(I39:I52)</f>
        <v>0</v>
      </c>
      <c r="J53" s="10"/>
    </row>
    <row r="54" spans="1:10" ht="12" thickBot="1" x14ac:dyDescent="0.25">
      <c r="A54" s="905">
        <f t="shared" si="0"/>
        <v>44</v>
      </c>
      <c r="B54" s="1083" t="s">
        <v>443</v>
      </c>
      <c r="C54" s="298">
        <f>C34+C53</f>
        <v>93073</v>
      </c>
      <c r="D54" s="298">
        <f>D34+D53</f>
        <v>200921</v>
      </c>
      <c r="E54" s="784">
        <f>E34+E53</f>
        <v>293994</v>
      </c>
      <c r="F54" s="299" t="s">
        <v>442</v>
      </c>
      <c r="G54" s="1049">
        <f>G34+G53</f>
        <v>93073</v>
      </c>
      <c r="H54" s="785">
        <f>H34+H53</f>
        <v>200921</v>
      </c>
      <c r="I54" s="786">
        <f>I34+I53</f>
        <v>293994</v>
      </c>
      <c r="J54" s="10"/>
    </row>
    <row r="55" spans="1:10" x14ac:dyDescent="0.2">
      <c r="B55" s="180"/>
      <c r="C55" s="179"/>
      <c r="D55" s="179"/>
      <c r="E55" s="179"/>
      <c r="F55" s="179"/>
      <c r="G55" s="179"/>
      <c r="H55" s="186"/>
      <c r="I55" s="186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4" customWidth="1"/>
    <col min="2" max="2" width="36.7109375" style="154" customWidth="1"/>
    <col min="3" max="3" width="7" style="155" customWidth="1"/>
    <col min="4" max="5" width="9.5703125" style="155" customWidth="1"/>
    <col min="6" max="6" width="38" style="155" customWidth="1"/>
    <col min="7" max="7" width="7.5703125" style="155" customWidth="1"/>
    <col min="8" max="8" width="10.140625" style="284" customWidth="1"/>
    <col min="9" max="9" width="9.42578125" style="284" customWidth="1"/>
    <col min="10" max="10" width="9.140625" style="154"/>
    <col min="11" max="16384" width="9.140625" style="10"/>
  </cols>
  <sheetData>
    <row r="1" spans="1:10" ht="12.75" customHeight="1" x14ac:dyDescent="0.2">
      <c r="B1" s="1488" t="s">
        <v>1412</v>
      </c>
      <c r="C1" s="1419"/>
      <c r="D1" s="1419"/>
      <c r="E1" s="1419"/>
      <c r="F1" s="1419"/>
      <c r="G1" s="1419"/>
      <c r="H1" s="1419"/>
      <c r="I1" s="1419"/>
    </row>
    <row r="2" spans="1:10" x14ac:dyDescent="0.2">
      <c r="I2" s="344"/>
    </row>
    <row r="3" spans="1:10" x14ac:dyDescent="0.2">
      <c r="I3" s="344"/>
    </row>
    <row r="4" spans="1:10" s="122" customFormat="1" ht="12.75" customHeight="1" x14ac:dyDescent="0.2">
      <c r="A4" s="1271" t="s">
        <v>77</v>
      </c>
      <c r="B4" s="1271"/>
      <c r="C4" s="1271"/>
      <c r="D4" s="1271"/>
      <c r="E4" s="1271"/>
      <c r="F4" s="1271"/>
      <c r="G4" s="1271"/>
      <c r="H4" s="1271"/>
      <c r="I4" s="1271"/>
      <c r="J4" s="157"/>
    </row>
    <row r="5" spans="1:10" s="122" customFormat="1" ht="12.75" customHeight="1" x14ac:dyDescent="0.2">
      <c r="A5" s="1387" t="s">
        <v>714</v>
      </c>
      <c r="B5" s="1387"/>
      <c r="C5" s="1387"/>
      <c r="D5" s="1387"/>
      <c r="E5" s="1387"/>
      <c r="F5" s="1387"/>
      <c r="G5" s="1387"/>
      <c r="H5" s="1387"/>
      <c r="I5" s="1387"/>
      <c r="J5" s="157"/>
    </row>
    <row r="6" spans="1:10" s="122" customFormat="1" ht="12.75" customHeight="1" x14ac:dyDescent="0.2">
      <c r="A6" s="1271" t="s">
        <v>1136</v>
      </c>
      <c r="B6" s="1271"/>
      <c r="C6" s="1271"/>
      <c r="D6" s="1271"/>
      <c r="E6" s="1271"/>
      <c r="F6" s="1271"/>
      <c r="G6" s="1271"/>
      <c r="H6" s="1271"/>
      <c r="I6" s="1271"/>
      <c r="J6" s="157"/>
    </row>
    <row r="7" spans="1:10" s="122" customFormat="1" x14ac:dyDescent="0.2">
      <c r="A7" s="157"/>
      <c r="B7" s="1272" t="s">
        <v>304</v>
      </c>
      <c r="C7" s="1272"/>
      <c r="D7" s="1272"/>
      <c r="E7" s="1272"/>
      <c r="F7" s="1272"/>
      <c r="G7" s="1272"/>
      <c r="H7" s="1272"/>
      <c r="I7" s="1272"/>
      <c r="J7" s="157"/>
    </row>
    <row r="8" spans="1:10" s="122" customFormat="1" ht="12.75" customHeight="1" x14ac:dyDescent="0.2">
      <c r="A8" s="1276" t="s">
        <v>56</v>
      </c>
      <c r="B8" s="1277" t="s">
        <v>57</v>
      </c>
      <c r="C8" s="1292" t="s">
        <v>58</v>
      </c>
      <c r="D8" s="1292"/>
      <c r="E8" s="1293"/>
      <c r="F8" s="1386" t="s">
        <v>59</v>
      </c>
      <c r="G8" s="1274" t="s">
        <v>60</v>
      </c>
      <c r="H8" s="1275"/>
      <c r="I8" s="1275"/>
      <c r="J8" s="587"/>
    </row>
    <row r="9" spans="1:10" s="122" customFormat="1" ht="12.75" customHeight="1" x14ac:dyDescent="0.2">
      <c r="A9" s="1276"/>
      <c r="B9" s="1277"/>
      <c r="C9" s="1269" t="s">
        <v>1137</v>
      </c>
      <c r="D9" s="1269"/>
      <c r="E9" s="1270"/>
      <c r="F9" s="1386"/>
      <c r="G9" s="1269" t="s">
        <v>1137</v>
      </c>
      <c r="H9" s="1269"/>
      <c r="I9" s="1269"/>
      <c r="J9" s="587"/>
    </row>
    <row r="10" spans="1:10" s="123" customFormat="1" ht="36.6" customHeight="1" x14ac:dyDescent="0.2">
      <c r="A10" s="1276"/>
      <c r="B10" s="158" t="s">
        <v>61</v>
      </c>
      <c r="C10" s="134" t="s">
        <v>62</v>
      </c>
      <c r="D10" s="134" t="s">
        <v>63</v>
      </c>
      <c r="E10" s="159" t="s">
        <v>64</v>
      </c>
      <c r="F10" s="160" t="s">
        <v>65</v>
      </c>
      <c r="G10" s="134" t="s">
        <v>62</v>
      </c>
      <c r="H10" s="345" t="s">
        <v>63</v>
      </c>
      <c r="I10" s="345" t="s">
        <v>64</v>
      </c>
      <c r="J10" s="588"/>
    </row>
    <row r="11" spans="1:10" ht="11.45" customHeight="1" x14ac:dyDescent="0.2">
      <c r="A11" s="161">
        <v>1</v>
      </c>
      <c r="B11" s="162" t="s">
        <v>24</v>
      </c>
      <c r="C11" s="163"/>
      <c r="D11" s="163"/>
      <c r="E11" s="163"/>
      <c r="F11" s="137" t="s">
        <v>25</v>
      </c>
      <c r="G11" s="163"/>
      <c r="H11" s="350"/>
      <c r="I11" s="455"/>
      <c r="J11" s="187"/>
    </row>
    <row r="12" spans="1:10" x14ac:dyDescent="0.2">
      <c r="A12" s="161">
        <f t="shared" ref="A12:A54" si="0">A11+1</f>
        <v>2</v>
      </c>
      <c r="B12" s="164" t="s">
        <v>35</v>
      </c>
      <c r="C12" s="118"/>
      <c r="D12" s="118"/>
      <c r="E12" s="119"/>
      <c r="F12" s="138" t="s">
        <v>215</v>
      </c>
      <c r="G12" s="279">
        <v>85643</v>
      </c>
      <c r="H12" s="279">
        <v>168280</v>
      </c>
      <c r="I12" s="456">
        <f>SUM(G12:H12)</f>
        <v>253923</v>
      </c>
      <c r="J12" s="187"/>
    </row>
    <row r="13" spans="1:10" x14ac:dyDescent="0.2">
      <c r="A13" s="161">
        <f t="shared" si="0"/>
        <v>3</v>
      </c>
      <c r="B13" s="164" t="s">
        <v>36</v>
      </c>
      <c r="C13" s="118"/>
      <c r="D13" s="118"/>
      <c r="E13" s="119"/>
      <c r="F13" s="138" t="s">
        <v>216</v>
      </c>
      <c r="G13" s="279">
        <v>18422</v>
      </c>
      <c r="H13" s="279">
        <v>32730</v>
      </c>
      <c r="I13" s="456">
        <f>SUM(G13:H13)</f>
        <v>51152</v>
      </c>
      <c r="J13" s="187"/>
    </row>
    <row r="14" spans="1:10" x14ac:dyDescent="0.2">
      <c r="A14" s="161">
        <f t="shared" si="0"/>
        <v>4</v>
      </c>
      <c r="B14" s="164" t="s">
        <v>192</v>
      </c>
      <c r="C14" s="291">
        <f>'tám, végl. pe.átv  '!C72</f>
        <v>20865</v>
      </c>
      <c r="D14" s="291">
        <f>'tám, végl. pe.átv  '!D72</f>
        <v>1421</v>
      </c>
      <c r="E14" s="279">
        <f>SUM(C14:D14)</f>
        <v>22286</v>
      </c>
      <c r="F14" s="138" t="s">
        <v>217</v>
      </c>
      <c r="G14" s="279">
        <v>68046</v>
      </c>
      <c r="H14" s="279">
        <v>81322</v>
      </c>
      <c r="I14" s="456">
        <f>SUM(G14:H14)</f>
        <v>149368</v>
      </c>
      <c r="J14" s="187"/>
    </row>
    <row r="15" spans="1:10" ht="12" customHeight="1" x14ac:dyDescent="0.2">
      <c r="A15" s="161">
        <f t="shared" si="0"/>
        <v>5</v>
      </c>
      <c r="B15" s="127"/>
      <c r="C15" s="118"/>
      <c r="D15" s="118"/>
      <c r="E15" s="119"/>
      <c r="F15" s="138"/>
      <c r="G15" s="366"/>
      <c r="H15" s="366"/>
      <c r="I15" s="457"/>
      <c r="J15" s="187"/>
    </row>
    <row r="16" spans="1:10" x14ac:dyDescent="0.2">
      <c r="A16" s="161">
        <f t="shared" si="0"/>
        <v>6</v>
      </c>
      <c r="B16" s="164" t="s">
        <v>38</v>
      </c>
      <c r="C16" s="118"/>
      <c r="D16" s="118"/>
      <c r="E16" s="119"/>
      <c r="F16" s="138" t="s">
        <v>28</v>
      </c>
      <c r="G16" s="166"/>
      <c r="H16" s="286"/>
      <c r="I16" s="458"/>
      <c r="J16" s="187"/>
    </row>
    <row r="17" spans="1:10" x14ac:dyDescent="0.2">
      <c r="A17" s="161">
        <f t="shared" si="0"/>
        <v>7</v>
      </c>
      <c r="B17" s="164"/>
      <c r="C17" s="118"/>
      <c r="D17" s="118"/>
      <c r="E17" s="119"/>
      <c r="F17" s="138" t="s">
        <v>30</v>
      </c>
      <c r="G17" s="166"/>
      <c r="H17" s="286"/>
      <c r="I17" s="458"/>
      <c r="J17" s="187"/>
    </row>
    <row r="18" spans="1:10" x14ac:dyDescent="0.2">
      <c r="A18" s="161">
        <f t="shared" si="0"/>
        <v>8</v>
      </c>
      <c r="B18" s="164" t="s">
        <v>39</v>
      </c>
      <c r="C18" s="118"/>
      <c r="D18" s="118"/>
      <c r="E18" s="119"/>
      <c r="F18" s="138" t="s">
        <v>446</v>
      </c>
      <c r="G18" s="166"/>
      <c r="H18" s="286"/>
      <c r="I18" s="458"/>
      <c r="J18" s="187"/>
    </row>
    <row r="19" spans="1:10" x14ac:dyDescent="0.2">
      <c r="A19" s="161">
        <f t="shared" si="0"/>
        <v>9</v>
      </c>
      <c r="B19" s="167" t="s">
        <v>40</v>
      </c>
      <c r="C19" s="165"/>
      <c r="D19" s="165"/>
      <c r="E19" s="165"/>
      <c r="F19" s="138" t="s">
        <v>445</v>
      </c>
      <c r="G19" s="166"/>
      <c r="H19" s="286"/>
      <c r="I19" s="458"/>
      <c r="J19" s="187"/>
    </row>
    <row r="20" spans="1:10" x14ac:dyDescent="0.2">
      <c r="A20" s="161">
        <f t="shared" si="0"/>
        <v>10</v>
      </c>
      <c r="B20" s="116" t="s">
        <v>194</v>
      </c>
      <c r="C20" s="346">
        <v>24899</v>
      </c>
      <c r="D20" s="346">
        <v>81814</v>
      </c>
      <c r="E20" s="165">
        <f>SUM(C20:D20)</f>
        <v>106713</v>
      </c>
      <c r="F20" s="138" t="s">
        <v>926</v>
      </c>
      <c r="G20" s="166"/>
      <c r="H20" s="286"/>
      <c r="I20" s="458"/>
      <c r="J20" s="187"/>
    </row>
    <row r="21" spans="1:10" x14ac:dyDescent="0.2">
      <c r="A21" s="161">
        <f t="shared" si="0"/>
        <v>11</v>
      </c>
      <c r="C21" s="165"/>
      <c r="D21" s="165"/>
      <c r="E21" s="165"/>
      <c r="F21" s="138" t="s">
        <v>438</v>
      </c>
      <c r="G21" s="166"/>
      <c r="H21" s="286"/>
      <c r="I21" s="458"/>
      <c r="J21" s="187"/>
    </row>
    <row r="22" spans="1:10" s="124" customFormat="1" x14ac:dyDescent="0.2">
      <c r="A22" s="161">
        <f t="shared" si="0"/>
        <v>12</v>
      </c>
      <c r="B22" s="154" t="s">
        <v>42</v>
      </c>
      <c r="C22" s="165"/>
      <c r="D22" s="165"/>
      <c r="E22" s="165"/>
      <c r="F22" s="138" t="s">
        <v>439</v>
      </c>
      <c r="G22" s="166"/>
      <c r="H22" s="286"/>
      <c r="I22" s="458"/>
      <c r="J22" s="589"/>
    </row>
    <row r="23" spans="1:10" s="124" customFormat="1" x14ac:dyDescent="0.2">
      <c r="A23" s="161">
        <f t="shared" si="0"/>
        <v>13</v>
      </c>
      <c r="B23" s="154" t="s">
        <v>43</v>
      </c>
      <c r="C23" s="165"/>
      <c r="D23" s="165"/>
      <c r="E23" s="165"/>
      <c r="F23" s="168"/>
      <c r="G23" s="166"/>
      <c r="H23" s="286"/>
      <c r="I23" s="458"/>
      <c r="J23" s="589"/>
    </row>
    <row r="24" spans="1:10" x14ac:dyDescent="0.2">
      <c r="A24" s="161">
        <f t="shared" si="0"/>
        <v>14</v>
      </c>
      <c r="B24" s="164" t="s">
        <v>44</v>
      </c>
      <c r="C24" s="129"/>
      <c r="D24" s="129"/>
      <c r="E24" s="129"/>
      <c r="F24" s="169" t="s">
        <v>66</v>
      </c>
      <c r="G24" s="125">
        <f>SUM(G12:G22)</f>
        <v>172111</v>
      </c>
      <c r="H24" s="347">
        <f>SUM(H12:H22)</f>
        <v>282332</v>
      </c>
      <c r="I24" s="459">
        <f>SUM(I12:I22)</f>
        <v>454443</v>
      </c>
      <c r="J24" s="187"/>
    </row>
    <row r="25" spans="1:10" x14ac:dyDescent="0.2">
      <c r="A25" s="161">
        <f t="shared" si="0"/>
        <v>15</v>
      </c>
      <c r="B25" s="164" t="s">
        <v>45</v>
      </c>
      <c r="C25" s="165">
        <v>0</v>
      </c>
      <c r="D25" s="165"/>
      <c r="E25" s="165">
        <f>D25+C25</f>
        <v>0</v>
      </c>
      <c r="F25" s="168"/>
      <c r="G25" s="166"/>
      <c r="H25" s="286"/>
      <c r="I25" s="458"/>
      <c r="J25" s="187"/>
    </row>
    <row r="26" spans="1:10" x14ac:dyDescent="0.2">
      <c r="A26" s="161">
        <f t="shared" si="0"/>
        <v>16</v>
      </c>
      <c r="B26" s="116" t="s">
        <v>46</v>
      </c>
      <c r="C26" s="126"/>
      <c r="D26" s="126"/>
      <c r="E26" s="126"/>
      <c r="F26" s="139" t="s">
        <v>34</v>
      </c>
      <c r="G26" s="170"/>
      <c r="H26" s="349"/>
      <c r="I26" s="458"/>
      <c r="J26" s="187"/>
    </row>
    <row r="27" spans="1:10" x14ac:dyDescent="0.2">
      <c r="A27" s="161">
        <f t="shared" si="0"/>
        <v>17</v>
      </c>
      <c r="B27" s="164" t="s">
        <v>47</v>
      </c>
      <c r="C27" s="119"/>
      <c r="D27" s="119"/>
      <c r="E27" s="119"/>
      <c r="F27" s="138" t="s">
        <v>273</v>
      </c>
      <c r="G27" s="166">
        <v>600</v>
      </c>
      <c r="H27" s="286">
        <f>'felhalm. kiad.  '!I129</f>
        <v>1780</v>
      </c>
      <c r="I27" s="458">
        <f>SUM(G27:H27)</f>
        <v>2380</v>
      </c>
      <c r="J27" s="187"/>
    </row>
    <row r="28" spans="1:10" x14ac:dyDescent="0.2">
      <c r="A28" s="161">
        <f t="shared" si="0"/>
        <v>18</v>
      </c>
      <c r="B28" s="164"/>
      <c r="C28" s="119"/>
      <c r="D28" s="119"/>
      <c r="E28" s="119"/>
      <c r="F28" s="138" t="s">
        <v>31</v>
      </c>
      <c r="G28" s="166"/>
      <c r="H28" s="286"/>
      <c r="I28" s="458"/>
      <c r="J28" s="187"/>
    </row>
    <row r="29" spans="1:10" x14ac:dyDescent="0.2">
      <c r="A29" s="161">
        <f t="shared" si="0"/>
        <v>19</v>
      </c>
      <c r="B29" s="154" t="s">
        <v>50</v>
      </c>
      <c r="C29" s="119"/>
      <c r="D29" s="119"/>
      <c r="E29" s="119"/>
      <c r="F29" s="138" t="s">
        <v>32</v>
      </c>
      <c r="G29" s="166"/>
      <c r="H29" s="286"/>
      <c r="I29" s="458"/>
      <c r="J29" s="187"/>
    </row>
    <row r="30" spans="1:10" s="124" customFormat="1" x14ac:dyDescent="0.2">
      <c r="A30" s="161">
        <f t="shared" si="0"/>
        <v>20</v>
      </c>
      <c r="B30" s="154" t="s">
        <v>48</v>
      </c>
      <c r="C30" s="119"/>
      <c r="D30" s="119"/>
      <c r="E30" s="119"/>
      <c r="F30" s="138" t="s">
        <v>447</v>
      </c>
      <c r="G30" s="166"/>
      <c r="H30" s="286"/>
      <c r="I30" s="458"/>
      <c r="J30" s="589"/>
    </row>
    <row r="31" spans="1:10" x14ac:dyDescent="0.2">
      <c r="A31" s="161">
        <f t="shared" si="0"/>
        <v>21</v>
      </c>
      <c r="C31" s="119"/>
      <c r="D31" s="119"/>
      <c r="E31" s="119"/>
      <c r="F31" s="138" t="s">
        <v>444</v>
      </c>
      <c r="G31" s="166"/>
      <c r="H31" s="286"/>
      <c r="I31" s="458"/>
      <c r="J31" s="187"/>
    </row>
    <row r="32" spans="1:10" s="11" customFormat="1" x14ac:dyDescent="0.2">
      <c r="A32" s="161">
        <f t="shared" si="0"/>
        <v>22</v>
      </c>
      <c r="B32" s="171" t="s">
        <v>52</v>
      </c>
      <c r="C32" s="903">
        <f>C14+C20</f>
        <v>45764</v>
      </c>
      <c r="D32" s="903">
        <f>D14+D20</f>
        <v>83235</v>
      </c>
      <c r="E32" s="903">
        <f>E14+E20</f>
        <v>128999</v>
      </c>
      <c r="F32" s="138" t="s">
        <v>440</v>
      </c>
      <c r="G32" s="155"/>
      <c r="H32" s="284"/>
      <c r="I32" s="458"/>
      <c r="J32" s="494"/>
    </row>
    <row r="33" spans="1:10" x14ac:dyDescent="0.2">
      <c r="A33" s="161">
        <f t="shared" si="0"/>
        <v>23</v>
      </c>
      <c r="B33" s="167" t="s">
        <v>67</v>
      </c>
      <c r="C33" s="125">
        <f>C16+C24+C25+C26+C27+C30</f>
        <v>0</v>
      </c>
      <c r="D33" s="125">
        <f t="shared" ref="D33:E33" si="1">D16+D24+D25+D26+D27+D30</f>
        <v>0</v>
      </c>
      <c r="E33" s="125">
        <f t="shared" si="1"/>
        <v>0</v>
      </c>
      <c r="F33" s="1261" t="s">
        <v>68</v>
      </c>
      <c r="G33" s="125">
        <f>SUM(G27:G32)</f>
        <v>600</v>
      </c>
      <c r="H33" s="347">
        <f>SUM(H27:H32)</f>
        <v>1780</v>
      </c>
      <c r="I33" s="459">
        <f>SUM(I27:I31)</f>
        <v>2380</v>
      </c>
      <c r="J33" s="187"/>
    </row>
    <row r="34" spans="1:10" x14ac:dyDescent="0.2">
      <c r="A34" s="161">
        <f t="shared" si="0"/>
        <v>24</v>
      </c>
      <c r="B34" s="175" t="s">
        <v>51</v>
      </c>
      <c r="C34" s="170">
        <f>SUM(C32:C33)</f>
        <v>45764</v>
      </c>
      <c r="D34" s="170">
        <f>SUM(D32:D33)</f>
        <v>83235</v>
      </c>
      <c r="E34" s="170">
        <f>SUM(C34:D34)</f>
        <v>128999</v>
      </c>
      <c r="F34" s="176" t="s">
        <v>69</v>
      </c>
      <c r="G34" s="170">
        <f>G24+G33</f>
        <v>172711</v>
      </c>
      <c r="H34" s="349">
        <f>H24+H33</f>
        <v>284112</v>
      </c>
      <c r="I34" s="435">
        <f>I24+I33</f>
        <v>456823</v>
      </c>
      <c r="J34" s="187"/>
    </row>
    <row r="35" spans="1:10" x14ac:dyDescent="0.2">
      <c r="A35" s="161">
        <f t="shared" si="0"/>
        <v>25</v>
      </c>
      <c r="B35" s="177"/>
      <c r="C35" s="166"/>
      <c r="D35" s="166"/>
      <c r="E35" s="166"/>
      <c r="F35" s="168"/>
      <c r="G35" s="166"/>
      <c r="H35" s="286"/>
      <c r="I35" s="458"/>
      <c r="J35" s="187"/>
    </row>
    <row r="36" spans="1:10" x14ac:dyDescent="0.2">
      <c r="A36" s="161">
        <f t="shared" si="0"/>
        <v>26</v>
      </c>
      <c r="B36" s="177"/>
      <c r="C36" s="166"/>
      <c r="D36" s="166"/>
      <c r="E36" s="166"/>
      <c r="F36" s="169"/>
      <c r="G36" s="125"/>
      <c r="H36" s="347"/>
      <c r="I36" s="459"/>
      <c r="J36" s="187"/>
    </row>
    <row r="37" spans="1:10" s="11" customFormat="1" x14ac:dyDescent="0.2">
      <c r="A37" s="161">
        <f t="shared" si="0"/>
        <v>27</v>
      </c>
      <c r="B37" s="177"/>
      <c r="C37" s="166"/>
      <c r="D37" s="166"/>
      <c r="E37" s="166"/>
      <c r="F37" s="168"/>
      <c r="G37" s="166"/>
      <c r="H37" s="286"/>
      <c r="I37" s="458"/>
      <c r="J37" s="494"/>
    </row>
    <row r="38" spans="1:10" s="11" customFormat="1" x14ac:dyDescent="0.2">
      <c r="A38" s="760">
        <f t="shared" si="0"/>
        <v>28</v>
      </c>
      <c r="B38" s="126" t="s">
        <v>53</v>
      </c>
      <c r="C38" s="126"/>
      <c r="D38" s="126"/>
      <c r="E38" s="126"/>
      <c r="F38" s="139" t="s">
        <v>33</v>
      </c>
      <c r="G38" s="170"/>
      <c r="H38" s="349"/>
      <c r="I38" s="435"/>
      <c r="J38" s="494"/>
    </row>
    <row r="39" spans="1:10" s="11" customFormat="1" x14ac:dyDescent="0.2">
      <c r="A39" s="161">
        <f t="shared" si="0"/>
        <v>29</v>
      </c>
      <c r="B39" s="135" t="s">
        <v>682</v>
      </c>
      <c r="C39" s="126"/>
      <c r="D39" s="126"/>
      <c r="E39" s="126"/>
      <c r="F39" s="178" t="s">
        <v>4</v>
      </c>
      <c r="G39" s="179"/>
      <c r="I39" s="461"/>
      <c r="J39" s="494"/>
    </row>
    <row r="40" spans="1:10" s="11" customFormat="1" x14ac:dyDescent="0.2">
      <c r="A40" s="161">
        <f t="shared" si="0"/>
        <v>30</v>
      </c>
      <c r="B40" s="116" t="s">
        <v>961</v>
      </c>
      <c r="C40" s="126"/>
      <c r="D40" s="126"/>
      <c r="E40" s="126"/>
      <c r="F40" s="520" t="s">
        <v>3</v>
      </c>
      <c r="G40" s="170"/>
      <c r="H40" s="349"/>
      <c r="I40" s="435"/>
      <c r="J40" s="494"/>
    </row>
    <row r="41" spans="1:10" x14ac:dyDescent="0.2">
      <c r="A41" s="161">
        <f t="shared" si="0"/>
        <v>31</v>
      </c>
      <c r="B41" s="118" t="s">
        <v>684</v>
      </c>
      <c r="C41" s="182"/>
      <c r="D41" s="182"/>
      <c r="E41" s="182"/>
      <c r="F41" s="138" t="s">
        <v>5</v>
      </c>
      <c r="G41" s="170"/>
      <c r="H41" s="349"/>
      <c r="I41" s="435"/>
      <c r="J41" s="187"/>
    </row>
    <row r="42" spans="1:10" x14ac:dyDescent="0.2">
      <c r="A42" s="161">
        <f t="shared" si="0"/>
        <v>32</v>
      </c>
      <c r="B42" s="118" t="s">
        <v>207</v>
      </c>
      <c r="C42" s="119"/>
      <c r="D42" s="119"/>
      <c r="E42" s="119"/>
      <c r="F42" s="138" t="s">
        <v>6</v>
      </c>
      <c r="G42" s="179"/>
      <c r="H42" s="186"/>
      <c r="I42" s="435"/>
      <c r="J42" s="187"/>
    </row>
    <row r="43" spans="1:10" x14ac:dyDescent="0.2">
      <c r="A43" s="161">
        <f t="shared" si="0"/>
        <v>33</v>
      </c>
      <c r="B43" s="518" t="s">
        <v>208</v>
      </c>
      <c r="C43" s="119">
        <v>14707</v>
      </c>
      <c r="D43" s="119"/>
      <c r="E43" s="119">
        <f>C43+D43</f>
        <v>14707</v>
      </c>
      <c r="F43" s="138" t="s">
        <v>7</v>
      </c>
      <c r="G43" s="179"/>
      <c r="H43" s="186"/>
      <c r="I43" s="435"/>
      <c r="J43" s="187"/>
    </row>
    <row r="44" spans="1:10" x14ac:dyDescent="0.2">
      <c r="A44" s="161">
        <f t="shared" si="0"/>
        <v>34</v>
      </c>
      <c r="B44" s="518" t="s">
        <v>958</v>
      </c>
      <c r="C44" s="119"/>
      <c r="D44" s="119"/>
      <c r="E44" s="119"/>
      <c r="F44" s="138"/>
      <c r="G44" s="179"/>
      <c r="H44" s="186"/>
      <c r="I44" s="435"/>
      <c r="J44" s="187"/>
    </row>
    <row r="45" spans="1:10" x14ac:dyDescent="0.2">
      <c r="A45" s="161">
        <f t="shared" si="0"/>
        <v>35</v>
      </c>
      <c r="B45" s="119" t="s">
        <v>685</v>
      </c>
      <c r="C45" s="119"/>
      <c r="D45" s="119"/>
      <c r="E45" s="119"/>
      <c r="F45" s="138" t="s">
        <v>8</v>
      </c>
      <c r="G45" s="170"/>
      <c r="H45" s="349"/>
      <c r="I45" s="458"/>
      <c r="J45" s="187"/>
    </row>
    <row r="46" spans="1:10" x14ac:dyDescent="0.2">
      <c r="A46" s="161">
        <f t="shared" si="0"/>
        <v>36</v>
      </c>
      <c r="B46" s="119" t="s">
        <v>686</v>
      </c>
      <c r="C46" s="126"/>
      <c r="D46" s="126"/>
      <c r="E46" s="126"/>
      <c r="F46" s="138" t="s">
        <v>9</v>
      </c>
      <c r="G46" s="170"/>
      <c r="H46" s="349"/>
      <c r="I46" s="458"/>
      <c r="J46" s="187"/>
    </row>
    <row r="47" spans="1:10" x14ac:dyDescent="0.2">
      <c r="A47" s="161">
        <f t="shared" si="0"/>
        <v>37</v>
      </c>
      <c r="B47" s="118" t="s">
        <v>211</v>
      </c>
      <c r="C47" s="119"/>
      <c r="D47" s="119"/>
      <c r="E47" s="119"/>
      <c r="F47" s="138" t="s">
        <v>10</v>
      </c>
      <c r="G47" s="166"/>
      <c r="H47" s="286"/>
      <c r="I47" s="458"/>
      <c r="J47" s="187"/>
    </row>
    <row r="48" spans="1:10" x14ac:dyDescent="0.2">
      <c r="A48" s="161">
        <f t="shared" si="0"/>
        <v>38</v>
      </c>
      <c r="B48" s="518" t="s">
        <v>212</v>
      </c>
      <c r="C48" s="279">
        <f>G24-(C32+C43)</f>
        <v>111640</v>
      </c>
      <c r="D48" s="279">
        <f t="shared" ref="D48:E48" si="2">H24-(D32+D43)</f>
        <v>199097</v>
      </c>
      <c r="E48" s="279">
        <f t="shared" si="2"/>
        <v>310737</v>
      </c>
      <c r="F48" s="138" t="s">
        <v>11</v>
      </c>
      <c r="G48" s="166"/>
      <c r="H48" s="286"/>
      <c r="I48" s="458"/>
      <c r="J48" s="187"/>
    </row>
    <row r="49" spans="1:10" x14ac:dyDescent="0.2">
      <c r="A49" s="161">
        <f t="shared" si="0"/>
        <v>39</v>
      </c>
      <c r="B49" s="518" t="s">
        <v>213</v>
      </c>
      <c r="C49" s="119">
        <f>G33-C33</f>
        <v>600</v>
      </c>
      <c r="D49" s="119">
        <f t="shared" ref="D49:E49" si="3">H33-D33</f>
        <v>1780</v>
      </c>
      <c r="E49" s="119">
        <f t="shared" si="3"/>
        <v>2380</v>
      </c>
      <c r="F49" s="138" t="s">
        <v>12</v>
      </c>
      <c r="G49" s="166"/>
      <c r="H49" s="286"/>
      <c r="I49" s="458"/>
      <c r="J49" s="187"/>
    </row>
    <row r="50" spans="1:10" x14ac:dyDescent="0.2">
      <c r="A50" s="161">
        <f t="shared" si="0"/>
        <v>40</v>
      </c>
      <c r="B50" s="118" t="s">
        <v>1</v>
      </c>
      <c r="C50" s="119"/>
      <c r="D50" s="119"/>
      <c r="E50" s="440"/>
      <c r="F50" s="138" t="s">
        <v>13</v>
      </c>
      <c r="G50" s="166"/>
      <c r="H50" s="286"/>
      <c r="I50" s="458"/>
      <c r="J50" s="187"/>
    </row>
    <row r="51" spans="1:10" x14ac:dyDescent="0.2">
      <c r="A51" s="161">
        <f t="shared" si="0"/>
        <v>41</v>
      </c>
      <c r="B51" s="118"/>
      <c r="C51" s="119"/>
      <c r="D51" s="119"/>
      <c r="E51" s="440"/>
      <c r="F51" s="138" t="s">
        <v>14</v>
      </c>
      <c r="G51" s="166"/>
      <c r="H51" s="286"/>
      <c r="I51" s="458"/>
      <c r="J51" s="187"/>
    </row>
    <row r="52" spans="1:10" x14ac:dyDescent="0.2">
      <c r="A52" s="161">
        <f t="shared" si="0"/>
        <v>42</v>
      </c>
      <c r="B52" s="118"/>
      <c r="C52" s="119"/>
      <c r="D52" s="119"/>
      <c r="E52" s="440"/>
      <c r="F52" s="138" t="s">
        <v>15</v>
      </c>
      <c r="G52" s="166"/>
      <c r="H52" s="286"/>
      <c r="I52" s="458"/>
      <c r="J52" s="187"/>
    </row>
    <row r="53" spans="1:10" ht="12" thickBot="1" x14ac:dyDescent="0.25">
      <c r="A53" s="161">
        <f t="shared" si="0"/>
        <v>43</v>
      </c>
      <c r="B53" s="175" t="s">
        <v>448</v>
      </c>
      <c r="C53" s="126">
        <f>SUM(C39:C51)</f>
        <v>126947</v>
      </c>
      <c r="D53" s="126">
        <f>SUM(D39:D51)</f>
        <v>200877</v>
      </c>
      <c r="E53" s="504">
        <f>SUM(E39:E51)</f>
        <v>327824</v>
      </c>
      <c r="F53" s="139" t="s">
        <v>441</v>
      </c>
      <c r="G53" s="170">
        <f>SUM(G39:G52)</f>
        <v>0</v>
      </c>
      <c r="H53" s="349">
        <f>SUM(H39:H52)</f>
        <v>0</v>
      </c>
      <c r="I53" s="435">
        <f>SUM(I39:I52)</f>
        <v>0</v>
      </c>
      <c r="J53" s="187"/>
    </row>
    <row r="54" spans="1:10" ht="12" thickBot="1" x14ac:dyDescent="0.25">
      <c r="A54" s="1085">
        <f t="shared" si="0"/>
        <v>44</v>
      </c>
      <c r="B54" s="488" t="s">
        <v>443</v>
      </c>
      <c r="C54" s="1048">
        <f>C34+C53</f>
        <v>172711</v>
      </c>
      <c r="D54" s="298">
        <f>D34+D53</f>
        <v>284112</v>
      </c>
      <c r="E54" s="784">
        <f>E34+E53</f>
        <v>456823</v>
      </c>
      <c r="F54" s="488" t="s">
        <v>442</v>
      </c>
      <c r="G54" s="1049">
        <f>G34+G53</f>
        <v>172711</v>
      </c>
      <c r="H54" s="1082">
        <f>H34+H53</f>
        <v>284112</v>
      </c>
      <c r="I54" s="909">
        <f>I34+I53</f>
        <v>456823</v>
      </c>
      <c r="J54" s="285"/>
    </row>
    <row r="55" spans="1:10" x14ac:dyDescent="0.2">
      <c r="B55" s="180"/>
      <c r="C55" s="179"/>
      <c r="D55" s="179"/>
      <c r="E55" s="179"/>
      <c r="F55" s="179"/>
      <c r="G55" s="179"/>
      <c r="H55" s="186"/>
      <c r="I55" s="186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O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77" customWidth="1"/>
    <col min="5" max="5" width="10.42578125" style="377" bestFit="1" customWidth="1"/>
    <col min="6" max="9" width="9.7109375" style="377" customWidth="1"/>
    <col min="10" max="10" width="10.140625" style="377" customWidth="1"/>
    <col min="11" max="14" width="9.7109375" style="377" customWidth="1"/>
    <col min="15" max="15" width="11.5703125" style="377" customWidth="1"/>
    <col min="16" max="16" width="10.140625" style="16" customWidth="1"/>
    <col min="17" max="16384" width="9.140625" style="16"/>
  </cols>
  <sheetData>
    <row r="1" spans="1:33" ht="12.75" customHeight="1" x14ac:dyDescent="0.25">
      <c r="B1" s="1491" t="s">
        <v>1251</v>
      </c>
      <c r="C1" s="1491"/>
      <c r="D1" s="1491"/>
      <c r="E1" s="1491"/>
      <c r="F1" s="1491"/>
      <c r="G1" s="1491"/>
      <c r="H1" s="1491"/>
      <c r="I1" s="1491"/>
      <c r="J1" s="1491"/>
      <c r="K1" s="1491"/>
      <c r="L1" s="1491"/>
      <c r="M1" s="1491"/>
      <c r="N1" s="1491"/>
      <c r="O1" s="1491"/>
      <c r="P1" s="951"/>
      <c r="Q1" s="951"/>
      <c r="R1" s="951"/>
      <c r="S1" s="951"/>
      <c r="T1" s="951"/>
      <c r="U1" s="951"/>
      <c r="V1" s="951"/>
      <c r="W1" s="951"/>
      <c r="X1" s="951"/>
      <c r="Y1" s="951"/>
      <c r="Z1" s="951"/>
      <c r="AA1" s="951"/>
      <c r="AB1" s="951"/>
      <c r="AC1" s="951"/>
      <c r="AD1" s="951"/>
      <c r="AE1" s="951"/>
      <c r="AF1" s="951"/>
      <c r="AG1" s="951"/>
    </row>
    <row r="2" spans="1:33" ht="14.1" customHeight="1" x14ac:dyDescent="0.25">
      <c r="A2" s="32"/>
      <c r="B2" s="1489" t="s">
        <v>86</v>
      </c>
      <c r="C2" s="1489"/>
      <c r="D2" s="1489"/>
      <c r="E2" s="1489"/>
      <c r="F2" s="1489"/>
      <c r="G2" s="1489"/>
      <c r="H2" s="1489"/>
      <c r="I2" s="1489"/>
      <c r="J2" s="1489"/>
      <c r="K2" s="1489"/>
      <c r="L2" s="1489"/>
      <c r="M2" s="1489"/>
      <c r="N2" s="1489"/>
      <c r="O2" s="1489"/>
    </row>
    <row r="3" spans="1:33" ht="14.1" customHeight="1" x14ac:dyDescent="0.25">
      <c r="A3" s="32"/>
      <c r="B3" s="1489" t="s">
        <v>1246</v>
      </c>
      <c r="C3" s="1489"/>
      <c r="D3" s="1489"/>
      <c r="E3" s="1489"/>
      <c r="F3" s="1489"/>
      <c r="G3" s="1489"/>
      <c r="H3" s="1489"/>
      <c r="I3" s="1489"/>
      <c r="J3" s="1489"/>
      <c r="K3" s="1489"/>
      <c r="L3" s="1489"/>
      <c r="M3" s="1489"/>
      <c r="N3" s="1489"/>
      <c r="O3" s="1489"/>
    </row>
    <row r="4" spans="1:33" ht="14.1" customHeight="1" x14ac:dyDescent="0.25">
      <c r="A4" s="32"/>
      <c r="B4" s="763"/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</row>
    <row r="5" spans="1:33" ht="15" customHeight="1" x14ac:dyDescent="0.25">
      <c r="A5" s="1490"/>
      <c r="B5" s="765" t="s">
        <v>57</v>
      </c>
      <c r="C5" s="766" t="s">
        <v>58</v>
      </c>
      <c r="D5" s="766" t="s">
        <v>59</v>
      </c>
      <c r="E5" s="766" t="s">
        <v>60</v>
      </c>
      <c r="F5" s="766" t="s">
        <v>470</v>
      </c>
      <c r="G5" s="766" t="s">
        <v>471</v>
      </c>
      <c r="H5" s="766" t="s">
        <v>472</v>
      </c>
      <c r="I5" s="766" t="s">
        <v>592</v>
      </c>
      <c r="J5" s="766" t="s">
        <v>600</v>
      </c>
      <c r="K5" s="766" t="s">
        <v>601</v>
      </c>
      <c r="L5" s="766" t="s">
        <v>602</v>
      </c>
      <c r="M5" s="766" t="s">
        <v>603</v>
      </c>
      <c r="N5" s="766" t="s">
        <v>604</v>
      </c>
      <c r="O5" s="766" t="s">
        <v>605</v>
      </c>
    </row>
    <row r="6" spans="1:33" ht="12.75" customHeight="1" x14ac:dyDescent="0.25">
      <c r="A6" s="1490"/>
      <c r="B6" s="761" t="s">
        <v>85</v>
      </c>
      <c r="C6" s="767" t="s">
        <v>606</v>
      </c>
      <c r="D6" s="767" t="s">
        <v>607</v>
      </c>
      <c r="E6" s="767" t="s">
        <v>608</v>
      </c>
      <c r="F6" s="767" t="s">
        <v>609</v>
      </c>
      <c r="G6" s="767" t="s">
        <v>610</v>
      </c>
      <c r="H6" s="767" t="s">
        <v>611</v>
      </c>
      <c r="I6" s="767" t="s">
        <v>612</v>
      </c>
      <c r="J6" s="767" t="s">
        <v>613</v>
      </c>
      <c r="K6" s="767" t="s">
        <v>614</v>
      </c>
      <c r="L6" s="767" t="s">
        <v>615</v>
      </c>
      <c r="M6" s="767" t="s">
        <v>616</v>
      </c>
      <c r="N6" s="767" t="s">
        <v>617</v>
      </c>
      <c r="O6" s="767" t="s">
        <v>529</v>
      </c>
    </row>
    <row r="7" spans="1:33" s="32" customFormat="1" ht="12.75" customHeight="1" x14ac:dyDescent="0.25">
      <c r="A7" s="21" t="s">
        <v>479</v>
      </c>
      <c r="B7" s="34" t="s">
        <v>646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</row>
    <row r="8" spans="1:33" s="32" customFormat="1" ht="15.75" customHeight="1" x14ac:dyDescent="0.25">
      <c r="A8" s="21" t="s">
        <v>487</v>
      </c>
      <c r="B8" s="32" t="s">
        <v>640</v>
      </c>
      <c r="C8" s="261">
        <f>O8/12</f>
        <v>78472.416666666672</v>
      </c>
      <c r="D8" s="261">
        <f>C8</f>
        <v>78472.416666666672</v>
      </c>
      <c r="E8" s="261">
        <f t="shared" ref="E8:N8" si="0">D8</f>
        <v>78472.416666666672</v>
      </c>
      <c r="F8" s="261">
        <f t="shared" si="0"/>
        <v>78472.416666666672</v>
      </c>
      <c r="G8" s="261">
        <f t="shared" si="0"/>
        <v>78472.416666666672</v>
      </c>
      <c r="H8" s="261">
        <f t="shared" si="0"/>
        <v>78472.416666666672</v>
      </c>
      <c r="I8" s="261">
        <f t="shared" si="0"/>
        <v>78472.416666666672</v>
      </c>
      <c r="J8" s="261">
        <f t="shared" si="0"/>
        <v>78472.416666666672</v>
      </c>
      <c r="K8" s="261">
        <f t="shared" si="0"/>
        <v>78472.416666666672</v>
      </c>
      <c r="L8" s="261">
        <f t="shared" si="0"/>
        <v>78472.416666666672</v>
      </c>
      <c r="M8" s="261">
        <f t="shared" si="0"/>
        <v>78472.416666666672</v>
      </c>
      <c r="N8" s="261">
        <f t="shared" si="0"/>
        <v>78472.416666666672</v>
      </c>
      <c r="O8" s="261">
        <f>Össz.önkor.mérleg.!E11</f>
        <v>941669</v>
      </c>
      <c r="P8" s="35"/>
    </row>
    <row r="9" spans="1:33" s="32" customFormat="1" ht="16.5" customHeight="1" x14ac:dyDescent="0.25">
      <c r="A9" s="21" t="s">
        <v>488</v>
      </c>
      <c r="B9" s="32" t="s">
        <v>641</v>
      </c>
      <c r="C9" s="261">
        <f>O9/12</f>
        <v>7223.583333333333</v>
      </c>
      <c r="D9" s="261">
        <f>C9</f>
        <v>7223.583333333333</v>
      </c>
      <c r="E9" s="261">
        <f t="shared" ref="E9:N9" si="1">D9</f>
        <v>7223.583333333333</v>
      </c>
      <c r="F9" s="261">
        <f t="shared" si="1"/>
        <v>7223.583333333333</v>
      </c>
      <c r="G9" s="261">
        <f t="shared" si="1"/>
        <v>7223.583333333333</v>
      </c>
      <c r="H9" s="261">
        <f t="shared" si="1"/>
        <v>7223.583333333333</v>
      </c>
      <c r="I9" s="261">
        <f t="shared" si="1"/>
        <v>7223.583333333333</v>
      </c>
      <c r="J9" s="261">
        <f t="shared" si="1"/>
        <v>7223.583333333333</v>
      </c>
      <c r="K9" s="261">
        <f t="shared" si="1"/>
        <v>7223.583333333333</v>
      </c>
      <c r="L9" s="261">
        <f t="shared" si="1"/>
        <v>7223.583333333333</v>
      </c>
      <c r="M9" s="261">
        <f t="shared" si="1"/>
        <v>7223.583333333333</v>
      </c>
      <c r="N9" s="261">
        <f t="shared" si="1"/>
        <v>7223.583333333333</v>
      </c>
      <c r="O9" s="261">
        <f>Össz.önkor.mérleg.!E13</f>
        <v>86683</v>
      </c>
      <c r="P9" s="35"/>
    </row>
    <row r="10" spans="1:33" s="32" customFormat="1" ht="15.75" customHeight="1" x14ac:dyDescent="0.25">
      <c r="A10" s="21" t="s">
        <v>489</v>
      </c>
      <c r="B10" s="32" t="s">
        <v>453</v>
      </c>
      <c r="C10" s="261">
        <f>O10/12</f>
        <v>116957</v>
      </c>
      <c r="D10" s="261">
        <f>C10</f>
        <v>116957</v>
      </c>
      <c r="E10" s="261">
        <f t="shared" ref="E10:N10" si="2">D10</f>
        <v>116957</v>
      </c>
      <c r="F10" s="261">
        <f t="shared" si="2"/>
        <v>116957</v>
      </c>
      <c r="G10" s="261">
        <f t="shared" si="2"/>
        <v>116957</v>
      </c>
      <c r="H10" s="261">
        <f t="shared" si="2"/>
        <v>116957</v>
      </c>
      <c r="I10" s="261">
        <f t="shared" si="2"/>
        <v>116957</v>
      </c>
      <c r="J10" s="261">
        <f t="shared" si="2"/>
        <v>116957</v>
      </c>
      <c r="K10" s="261">
        <f t="shared" si="2"/>
        <v>116957</v>
      </c>
      <c r="L10" s="261">
        <f t="shared" si="2"/>
        <v>116957</v>
      </c>
      <c r="M10" s="261">
        <f t="shared" si="2"/>
        <v>116957</v>
      </c>
      <c r="N10" s="261">
        <f t="shared" si="2"/>
        <v>116957</v>
      </c>
      <c r="O10" s="261">
        <f>Össz.önkor.mérleg.!E17</f>
        <v>1403484</v>
      </c>
      <c r="P10" s="35"/>
    </row>
    <row r="11" spans="1:33" s="33" customFormat="1" ht="18" customHeight="1" x14ac:dyDescent="0.25">
      <c r="A11" s="21" t="s">
        <v>490</v>
      </c>
      <c r="B11" s="33" t="s">
        <v>642</v>
      </c>
      <c r="C11" s="261">
        <f>O11/12</f>
        <v>46229.25</v>
      </c>
      <c r="D11" s="261">
        <f>C11</f>
        <v>46229.25</v>
      </c>
      <c r="E11" s="261">
        <f t="shared" ref="E11:N11" si="3">D11</f>
        <v>46229.25</v>
      </c>
      <c r="F11" s="261">
        <f t="shared" si="3"/>
        <v>46229.25</v>
      </c>
      <c r="G11" s="261">
        <f t="shared" si="3"/>
        <v>46229.25</v>
      </c>
      <c r="H11" s="261">
        <f t="shared" si="3"/>
        <v>46229.25</v>
      </c>
      <c r="I11" s="261">
        <f t="shared" si="3"/>
        <v>46229.25</v>
      </c>
      <c r="J11" s="261">
        <f t="shared" si="3"/>
        <v>46229.25</v>
      </c>
      <c r="K11" s="261">
        <f t="shared" si="3"/>
        <v>46229.25</v>
      </c>
      <c r="L11" s="261">
        <f t="shared" si="3"/>
        <v>46229.25</v>
      </c>
      <c r="M11" s="261">
        <f t="shared" si="3"/>
        <v>46229.25</v>
      </c>
      <c r="N11" s="261">
        <f t="shared" si="3"/>
        <v>46229.25</v>
      </c>
      <c r="O11" s="261">
        <f>Össz.önkor.mérleg.!E20</f>
        <v>554751</v>
      </c>
      <c r="P11" s="35"/>
    </row>
    <row r="12" spans="1:33" s="32" customFormat="1" ht="13.5" customHeight="1" x14ac:dyDescent="0.25">
      <c r="A12" s="21" t="s">
        <v>491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>
        <f t="shared" ref="O12:O18" si="4">SUM(C12:N12)</f>
        <v>0</v>
      </c>
      <c r="P12" s="35"/>
    </row>
    <row r="13" spans="1:33" s="32" customFormat="1" ht="15" customHeight="1" x14ac:dyDescent="0.25">
      <c r="A13" s="21" t="s">
        <v>492</v>
      </c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>
        <f t="shared" si="4"/>
        <v>0</v>
      </c>
      <c r="P13" s="35"/>
    </row>
    <row r="14" spans="1:33" s="34" customFormat="1" ht="15.75" customHeight="1" x14ac:dyDescent="0.25">
      <c r="A14" s="21" t="s">
        <v>493</v>
      </c>
      <c r="B14" s="768" t="s">
        <v>618</v>
      </c>
      <c r="C14" s="769">
        <f>SUM(C8:C13)</f>
        <v>248882.25</v>
      </c>
      <c r="D14" s="769">
        <f>SUM(D8:D12)</f>
        <v>248882.25</v>
      </c>
      <c r="E14" s="769">
        <f>SUM(E8:E12)</f>
        <v>248882.25</v>
      </c>
      <c r="F14" s="769">
        <f>SUM(F8:F13)</f>
        <v>248882.25</v>
      </c>
      <c r="G14" s="769">
        <f>SUM(G8:G13)</f>
        <v>248882.25</v>
      </c>
      <c r="H14" s="769">
        <f t="shared" ref="H14:N14" si="5">SUM(H8:H12)</f>
        <v>248882.25</v>
      </c>
      <c r="I14" s="769">
        <f t="shared" si="5"/>
        <v>248882.25</v>
      </c>
      <c r="J14" s="769">
        <f t="shared" si="5"/>
        <v>248882.25</v>
      </c>
      <c r="K14" s="769">
        <f t="shared" si="5"/>
        <v>248882.25</v>
      </c>
      <c r="L14" s="769">
        <f t="shared" si="5"/>
        <v>248882.25</v>
      </c>
      <c r="M14" s="769">
        <f t="shared" si="5"/>
        <v>248882.25</v>
      </c>
      <c r="N14" s="769">
        <f t="shared" si="5"/>
        <v>248882.25</v>
      </c>
      <c r="O14" s="770">
        <f>SUM(O8:O13)</f>
        <v>2986587</v>
      </c>
      <c r="P14" s="36"/>
    </row>
    <row r="15" spans="1:33" s="32" customFormat="1" ht="15.75" customHeight="1" x14ac:dyDescent="0.25">
      <c r="A15" s="21" t="s">
        <v>494</v>
      </c>
      <c r="B15" s="32" t="s">
        <v>643</v>
      </c>
      <c r="C15" s="261"/>
      <c r="D15" s="261"/>
      <c r="E15" s="261"/>
      <c r="F15" s="261"/>
      <c r="G15" s="771"/>
      <c r="H15" s="771"/>
      <c r="I15" s="771"/>
      <c r="J15" s="771"/>
      <c r="K15" s="771"/>
      <c r="L15" s="771"/>
      <c r="M15" s="771"/>
      <c r="N15" s="771"/>
      <c r="O15" s="263">
        <f>Össz.önkor.mérleg.!E24</f>
        <v>60247</v>
      </c>
      <c r="P15" s="35"/>
    </row>
    <row r="16" spans="1:33" s="32" customFormat="1" ht="15" customHeight="1" x14ac:dyDescent="0.25">
      <c r="A16" s="21" t="s">
        <v>530</v>
      </c>
      <c r="B16" s="32" t="s">
        <v>644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3">
        <v>0</v>
      </c>
      <c r="P16" s="35"/>
    </row>
    <row r="17" spans="1:256" s="32" customFormat="1" ht="16.5" customHeight="1" x14ac:dyDescent="0.25">
      <c r="A17" s="21" t="s">
        <v>531</v>
      </c>
      <c r="B17" s="32" t="s">
        <v>563</v>
      </c>
      <c r="C17" s="261">
        <f>O17/12</f>
        <v>1177.6666666666667</v>
      </c>
      <c r="D17" s="261">
        <f>C17</f>
        <v>1177.6666666666667</v>
      </c>
      <c r="E17" s="261">
        <f t="shared" ref="E17:N17" si="6">D17</f>
        <v>1177.6666666666667</v>
      </c>
      <c r="F17" s="261">
        <f t="shared" si="6"/>
        <v>1177.6666666666667</v>
      </c>
      <c r="G17" s="261">
        <f t="shared" si="6"/>
        <v>1177.6666666666667</v>
      </c>
      <c r="H17" s="261">
        <f t="shared" si="6"/>
        <v>1177.6666666666667</v>
      </c>
      <c r="I17" s="261">
        <f t="shared" si="6"/>
        <v>1177.6666666666667</v>
      </c>
      <c r="J17" s="261">
        <f t="shared" si="6"/>
        <v>1177.6666666666667</v>
      </c>
      <c r="K17" s="261">
        <f t="shared" si="6"/>
        <v>1177.6666666666667</v>
      </c>
      <c r="L17" s="261">
        <f t="shared" si="6"/>
        <v>1177.6666666666667</v>
      </c>
      <c r="M17" s="261">
        <f t="shared" si="6"/>
        <v>1177.6666666666667</v>
      </c>
      <c r="N17" s="261">
        <f t="shared" si="6"/>
        <v>1177.6666666666667</v>
      </c>
      <c r="O17" s="263">
        <f>Össz.önkor.mérleg.!E30</f>
        <v>14132</v>
      </c>
      <c r="P17" s="35"/>
    </row>
    <row r="18" spans="1:256" s="33" customFormat="1" ht="15" customHeight="1" x14ac:dyDescent="0.25">
      <c r="A18" s="21" t="s">
        <v>532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3">
        <f t="shared" si="4"/>
        <v>0</v>
      </c>
      <c r="P18" s="35"/>
    </row>
    <row r="19" spans="1:256" s="38" customFormat="1" ht="16.5" customHeight="1" x14ac:dyDescent="0.25">
      <c r="A19" s="21" t="s">
        <v>533</v>
      </c>
      <c r="B19" s="947" t="s">
        <v>619</v>
      </c>
      <c r="C19" s="948">
        <f>SUM(C15:C18)</f>
        <v>1177.6666666666667</v>
      </c>
      <c r="D19" s="948">
        <f>SUM(D15:D18)</f>
        <v>1177.6666666666667</v>
      </c>
      <c r="E19" s="948">
        <f>SUM(E15:E18)</f>
        <v>1177.6666666666667</v>
      </c>
      <c r="F19" s="948">
        <f t="shared" ref="F19:M19" si="7">SUM(F15:F18)</f>
        <v>1177.6666666666667</v>
      </c>
      <c r="G19" s="948">
        <f t="shared" si="7"/>
        <v>1177.6666666666667</v>
      </c>
      <c r="H19" s="948">
        <f t="shared" si="7"/>
        <v>1177.6666666666667</v>
      </c>
      <c r="I19" s="948">
        <f t="shared" si="7"/>
        <v>1177.6666666666667</v>
      </c>
      <c r="J19" s="948">
        <f t="shared" si="7"/>
        <v>1177.6666666666667</v>
      </c>
      <c r="K19" s="948">
        <f t="shared" si="7"/>
        <v>1177.6666666666667</v>
      </c>
      <c r="L19" s="948">
        <f t="shared" si="7"/>
        <v>1177.6666666666667</v>
      </c>
      <c r="M19" s="948">
        <f t="shared" si="7"/>
        <v>1177.6666666666667</v>
      </c>
      <c r="N19" s="948">
        <f>SUM(N15:N18)</f>
        <v>1177.6666666666667</v>
      </c>
      <c r="O19" s="949">
        <f>SUM(O15:O18)</f>
        <v>74379</v>
      </c>
      <c r="P19" s="37"/>
    </row>
    <row r="20" spans="1:256" s="34" customFormat="1" ht="16.5" customHeight="1" x14ac:dyDescent="0.25">
      <c r="A20" s="21" t="s">
        <v>534</v>
      </c>
      <c r="B20" s="38" t="s">
        <v>645</v>
      </c>
      <c r="C20" s="264"/>
      <c r="D20" s="264"/>
      <c r="E20" s="264"/>
      <c r="F20" s="264"/>
      <c r="G20" s="264"/>
      <c r="H20" s="262"/>
      <c r="I20" s="262"/>
      <c r="J20" s="262"/>
      <c r="K20" s="262"/>
      <c r="L20" s="262"/>
      <c r="M20" s="262"/>
      <c r="N20" s="262"/>
      <c r="O20" s="263">
        <f>SUM(C20:N20)</f>
        <v>0</v>
      </c>
      <c r="P20" s="36"/>
    </row>
    <row r="21" spans="1:256" s="32" customFormat="1" ht="15.75" customHeight="1" x14ac:dyDescent="0.25">
      <c r="A21" s="21" t="s">
        <v>535</v>
      </c>
      <c r="B21" s="33" t="s">
        <v>460</v>
      </c>
      <c r="C21" s="262">
        <f>O21/12</f>
        <v>126655.91666666667</v>
      </c>
      <c r="D21" s="262">
        <f>C21</f>
        <v>126655.91666666667</v>
      </c>
      <c r="E21" s="262">
        <f t="shared" ref="E21:N21" si="8">D21</f>
        <v>126655.91666666667</v>
      </c>
      <c r="F21" s="262">
        <f t="shared" si="8"/>
        <v>126655.91666666667</v>
      </c>
      <c r="G21" s="262">
        <f t="shared" si="8"/>
        <v>126655.91666666667</v>
      </c>
      <c r="H21" s="262">
        <f t="shared" si="8"/>
        <v>126655.91666666667</v>
      </c>
      <c r="I21" s="262">
        <f t="shared" si="8"/>
        <v>126655.91666666667</v>
      </c>
      <c r="J21" s="262">
        <f t="shared" si="8"/>
        <v>126655.91666666667</v>
      </c>
      <c r="K21" s="262">
        <f t="shared" si="8"/>
        <v>126655.91666666667</v>
      </c>
      <c r="L21" s="262">
        <f t="shared" si="8"/>
        <v>126655.91666666667</v>
      </c>
      <c r="M21" s="262">
        <f t="shared" si="8"/>
        <v>126655.91666666667</v>
      </c>
      <c r="N21" s="262">
        <f t="shared" si="8"/>
        <v>126655.91666666667</v>
      </c>
      <c r="O21" s="263">
        <f>Össz.önkor.mérleg.!E54</f>
        <v>1519871</v>
      </c>
      <c r="P21" s="35"/>
    </row>
    <row r="22" spans="1:256" s="34" customFormat="1" ht="16.5" customHeight="1" x14ac:dyDescent="0.25">
      <c r="A22" s="21" t="s">
        <v>536</v>
      </c>
      <c r="B22" s="772" t="s">
        <v>620</v>
      </c>
      <c r="C22" s="773">
        <f t="shared" ref="C22:N22" si="9">C19+C14+C20+C21</f>
        <v>376715.83333333331</v>
      </c>
      <c r="D22" s="773">
        <f t="shared" si="9"/>
        <v>376715.83333333331</v>
      </c>
      <c r="E22" s="773">
        <f t="shared" si="9"/>
        <v>376715.83333333331</v>
      </c>
      <c r="F22" s="773">
        <f t="shared" si="9"/>
        <v>376715.83333333331</v>
      </c>
      <c r="G22" s="773">
        <f t="shared" si="9"/>
        <v>376715.83333333331</v>
      </c>
      <c r="H22" s="773">
        <f t="shared" si="9"/>
        <v>376715.83333333331</v>
      </c>
      <c r="I22" s="773">
        <f t="shared" si="9"/>
        <v>376715.83333333331</v>
      </c>
      <c r="J22" s="773">
        <f t="shared" si="9"/>
        <v>376715.83333333331</v>
      </c>
      <c r="K22" s="773">
        <f t="shared" si="9"/>
        <v>376715.83333333331</v>
      </c>
      <c r="L22" s="773">
        <f t="shared" si="9"/>
        <v>376715.83333333331</v>
      </c>
      <c r="M22" s="773">
        <f t="shared" si="9"/>
        <v>376715.83333333331</v>
      </c>
      <c r="N22" s="773">
        <f t="shared" si="9"/>
        <v>376715.83333333331</v>
      </c>
      <c r="O22" s="774">
        <f>O14+O21+O19</f>
        <v>4580837</v>
      </c>
      <c r="P22" s="36"/>
    </row>
    <row r="23" spans="1:256" s="15" customFormat="1" ht="15" customHeight="1" x14ac:dyDescent="0.25">
      <c r="A23" s="21" t="s">
        <v>537</v>
      </c>
      <c r="B23" s="34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</row>
    <row r="24" spans="1:256" s="34" customFormat="1" ht="12.75" customHeight="1" x14ac:dyDescent="0.25">
      <c r="A24" s="21" t="s">
        <v>539</v>
      </c>
      <c r="B24" s="34" t="s">
        <v>65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</row>
    <row r="25" spans="1:256" s="32" customFormat="1" ht="15.75" customHeight="1" x14ac:dyDescent="0.25">
      <c r="A25" s="21" t="s">
        <v>540</v>
      </c>
      <c r="B25" s="32" t="s">
        <v>461</v>
      </c>
      <c r="C25" s="261">
        <f t="shared" ref="C25:C32" si="10">O25/12</f>
        <v>83997</v>
      </c>
      <c r="D25" s="261">
        <f>C25</f>
        <v>83997</v>
      </c>
      <c r="E25" s="261">
        <f t="shared" ref="E25:N25" si="11">D25</f>
        <v>83997</v>
      </c>
      <c r="F25" s="261">
        <f t="shared" si="11"/>
        <v>83997</v>
      </c>
      <c r="G25" s="261">
        <f t="shared" si="11"/>
        <v>83997</v>
      </c>
      <c r="H25" s="261">
        <f t="shared" si="11"/>
        <v>83997</v>
      </c>
      <c r="I25" s="261">
        <f t="shared" si="11"/>
        <v>83997</v>
      </c>
      <c r="J25" s="261">
        <f t="shared" si="11"/>
        <v>83997</v>
      </c>
      <c r="K25" s="261">
        <f t="shared" si="11"/>
        <v>83997</v>
      </c>
      <c r="L25" s="261">
        <f t="shared" si="11"/>
        <v>83997</v>
      </c>
      <c r="M25" s="261">
        <f t="shared" si="11"/>
        <v>83997</v>
      </c>
      <c r="N25" s="261">
        <f t="shared" si="11"/>
        <v>83997</v>
      </c>
      <c r="O25" s="263">
        <f>Össz.önkor.mérleg.!I10</f>
        <v>1007964</v>
      </c>
      <c r="P25" s="35"/>
    </row>
    <row r="26" spans="1:256" s="32" customFormat="1" ht="17.25" customHeight="1" x14ac:dyDescent="0.25">
      <c r="A26" s="21" t="s">
        <v>541</v>
      </c>
      <c r="B26" s="32" t="s">
        <v>462</v>
      </c>
      <c r="C26" s="261">
        <f t="shared" si="10"/>
        <v>17313.416666666668</v>
      </c>
      <c r="D26" s="261">
        <f t="shared" ref="D26:N32" si="12">C26</f>
        <v>17313.416666666668</v>
      </c>
      <c r="E26" s="261">
        <f t="shared" si="12"/>
        <v>17313.416666666668</v>
      </c>
      <c r="F26" s="261">
        <f t="shared" si="12"/>
        <v>17313.416666666668</v>
      </c>
      <c r="G26" s="261">
        <f t="shared" si="12"/>
        <v>17313.416666666668</v>
      </c>
      <c r="H26" s="261">
        <f t="shared" si="12"/>
        <v>17313.416666666668</v>
      </c>
      <c r="I26" s="261">
        <f t="shared" si="12"/>
        <v>17313.416666666668</v>
      </c>
      <c r="J26" s="261">
        <f t="shared" si="12"/>
        <v>17313.416666666668</v>
      </c>
      <c r="K26" s="261">
        <f t="shared" si="12"/>
        <v>17313.416666666668</v>
      </c>
      <c r="L26" s="261">
        <f t="shared" si="12"/>
        <v>17313.416666666668</v>
      </c>
      <c r="M26" s="261">
        <f t="shared" si="12"/>
        <v>17313.416666666668</v>
      </c>
      <c r="N26" s="261">
        <f t="shared" si="12"/>
        <v>17313.416666666668</v>
      </c>
      <c r="O26" s="263">
        <f>Össz.önkor.mérleg.!I11</f>
        <v>207761</v>
      </c>
      <c r="P26" s="35"/>
    </row>
    <row r="27" spans="1:256" s="32" customFormat="1" ht="13.5" customHeight="1" x14ac:dyDescent="0.25">
      <c r="A27" s="21" t="s">
        <v>542</v>
      </c>
      <c r="B27" s="32" t="s">
        <v>463</v>
      </c>
      <c r="C27" s="261">
        <f t="shared" si="10"/>
        <v>108157.83333333333</v>
      </c>
      <c r="D27" s="261">
        <f t="shared" si="12"/>
        <v>108157.83333333333</v>
      </c>
      <c r="E27" s="261">
        <f t="shared" si="12"/>
        <v>108157.83333333333</v>
      </c>
      <c r="F27" s="261">
        <f t="shared" si="12"/>
        <v>108157.83333333333</v>
      </c>
      <c r="G27" s="261">
        <f t="shared" si="12"/>
        <v>108157.83333333333</v>
      </c>
      <c r="H27" s="261">
        <f t="shared" si="12"/>
        <v>108157.83333333333</v>
      </c>
      <c r="I27" s="261">
        <f t="shared" si="12"/>
        <v>108157.83333333333</v>
      </c>
      <c r="J27" s="261">
        <f t="shared" si="12"/>
        <v>108157.83333333333</v>
      </c>
      <c r="K27" s="261">
        <f t="shared" si="12"/>
        <v>108157.83333333333</v>
      </c>
      <c r="L27" s="261">
        <f t="shared" si="12"/>
        <v>108157.83333333333</v>
      </c>
      <c r="M27" s="261">
        <f t="shared" si="12"/>
        <v>108157.83333333333</v>
      </c>
      <c r="N27" s="261">
        <f t="shared" si="12"/>
        <v>108157.83333333333</v>
      </c>
      <c r="O27" s="263">
        <f>Össz.önkor.mérleg.!I12</f>
        <v>1297894</v>
      </c>
      <c r="P27" s="35"/>
    </row>
    <row r="28" spans="1:256" s="32" customFormat="1" ht="15" customHeight="1" x14ac:dyDescent="0.25">
      <c r="A28" s="21" t="s">
        <v>543</v>
      </c>
      <c r="B28" s="32" t="s">
        <v>621</v>
      </c>
      <c r="C28" s="261">
        <f t="shared" si="10"/>
        <v>1136.5833333333333</v>
      </c>
      <c r="D28" s="261">
        <f t="shared" si="12"/>
        <v>1136.5833333333333</v>
      </c>
      <c r="E28" s="261">
        <f t="shared" si="12"/>
        <v>1136.5833333333333</v>
      </c>
      <c r="F28" s="261">
        <f t="shared" si="12"/>
        <v>1136.5833333333333</v>
      </c>
      <c r="G28" s="261">
        <f t="shared" si="12"/>
        <v>1136.5833333333333</v>
      </c>
      <c r="H28" s="261">
        <f t="shared" si="12"/>
        <v>1136.5833333333333</v>
      </c>
      <c r="I28" s="261">
        <f t="shared" si="12"/>
        <v>1136.5833333333333</v>
      </c>
      <c r="J28" s="261">
        <f t="shared" si="12"/>
        <v>1136.5833333333333</v>
      </c>
      <c r="K28" s="261">
        <f t="shared" si="12"/>
        <v>1136.5833333333333</v>
      </c>
      <c r="L28" s="261">
        <f t="shared" si="12"/>
        <v>1136.5833333333333</v>
      </c>
      <c r="M28" s="261">
        <f t="shared" si="12"/>
        <v>1136.5833333333333</v>
      </c>
      <c r="N28" s="261">
        <f t="shared" si="12"/>
        <v>1136.5833333333333</v>
      </c>
      <c r="O28" s="263">
        <f>Össz.önkor.mérleg.!I14</f>
        <v>13639</v>
      </c>
      <c r="P28" s="35"/>
      <c r="IV28" s="35"/>
    </row>
    <row r="29" spans="1:256" s="32" customFormat="1" ht="15" customHeight="1" x14ac:dyDescent="0.25">
      <c r="A29" s="21" t="s">
        <v>544</v>
      </c>
      <c r="B29" s="32" t="s">
        <v>266</v>
      </c>
      <c r="C29" s="261">
        <v>38</v>
      </c>
      <c r="D29" s="261">
        <f t="shared" si="12"/>
        <v>38</v>
      </c>
      <c r="E29" s="261">
        <f t="shared" si="12"/>
        <v>38</v>
      </c>
      <c r="F29" s="261">
        <f t="shared" si="12"/>
        <v>38</v>
      </c>
      <c r="G29" s="261">
        <f t="shared" si="12"/>
        <v>38</v>
      </c>
      <c r="H29" s="261">
        <f t="shared" si="12"/>
        <v>38</v>
      </c>
      <c r="I29" s="261">
        <f t="shared" si="12"/>
        <v>38</v>
      </c>
      <c r="J29" s="261">
        <f t="shared" si="12"/>
        <v>38</v>
      </c>
      <c r="K29" s="261">
        <f t="shared" si="12"/>
        <v>38</v>
      </c>
      <c r="L29" s="261">
        <f t="shared" si="12"/>
        <v>38</v>
      </c>
      <c r="M29" s="261">
        <f t="shared" si="12"/>
        <v>38</v>
      </c>
      <c r="N29" s="261">
        <f t="shared" si="12"/>
        <v>38</v>
      </c>
      <c r="O29" s="263">
        <f>Össz.önkor.mérleg.!I19</f>
        <v>0</v>
      </c>
      <c r="P29" s="35"/>
    </row>
    <row r="30" spans="1:256" s="32" customFormat="1" ht="12.75" customHeight="1" x14ac:dyDescent="0.25">
      <c r="A30" s="21" t="s">
        <v>545</v>
      </c>
      <c r="B30" s="32" t="s">
        <v>464</v>
      </c>
      <c r="C30" s="261">
        <v>3993</v>
      </c>
      <c r="D30" s="261">
        <f t="shared" si="12"/>
        <v>3993</v>
      </c>
      <c r="E30" s="261">
        <f t="shared" si="12"/>
        <v>3993</v>
      </c>
      <c r="F30" s="261">
        <f t="shared" si="12"/>
        <v>3993</v>
      </c>
      <c r="G30" s="261">
        <f t="shared" si="12"/>
        <v>3993</v>
      </c>
      <c r="H30" s="261">
        <f t="shared" si="12"/>
        <v>3993</v>
      </c>
      <c r="I30" s="261">
        <f t="shared" si="12"/>
        <v>3993</v>
      </c>
      <c r="J30" s="261">
        <f t="shared" si="12"/>
        <v>3993</v>
      </c>
      <c r="K30" s="261">
        <f t="shared" si="12"/>
        <v>3993</v>
      </c>
      <c r="L30" s="261">
        <f t="shared" si="12"/>
        <v>3993</v>
      </c>
      <c r="M30" s="261">
        <f t="shared" si="12"/>
        <v>3993</v>
      </c>
      <c r="N30" s="261">
        <f t="shared" si="12"/>
        <v>3993</v>
      </c>
      <c r="O30" s="263">
        <f>Össz.önkor.mérleg.!I17</f>
        <v>67938</v>
      </c>
      <c r="P30" s="35"/>
    </row>
    <row r="31" spans="1:256" s="32" customFormat="1" ht="15.75" customHeight="1" x14ac:dyDescent="0.25">
      <c r="A31" s="21" t="s">
        <v>546</v>
      </c>
      <c r="B31" s="32" t="s">
        <v>465</v>
      </c>
      <c r="C31" s="261">
        <f t="shared" si="10"/>
        <v>27844.416666666668</v>
      </c>
      <c r="D31" s="261">
        <f t="shared" si="12"/>
        <v>27844.416666666668</v>
      </c>
      <c r="E31" s="261">
        <f t="shared" si="12"/>
        <v>27844.416666666668</v>
      </c>
      <c r="F31" s="261">
        <f t="shared" si="12"/>
        <v>27844.416666666668</v>
      </c>
      <c r="G31" s="261">
        <f t="shared" si="12"/>
        <v>27844.416666666668</v>
      </c>
      <c r="H31" s="261">
        <f t="shared" si="12"/>
        <v>27844.416666666668</v>
      </c>
      <c r="I31" s="261">
        <f t="shared" si="12"/>
        <v>27844.416666666668</v>
      </c>
      <c r="J31" s="261">
        <f t="shared" si="12"/>
        <v>27844.416666666668</v>
      </c>
      <c r="K31" s="261">
        <f t="shared" si="12"/>
        <v>27844.416666666668</v>
      </c>
      <c r="L31" s="261">
        <f t="shared" si="12"/>
        <v>27844.416666666668</v>
      </c>
      <c r="M31" s="261">
        <f t="shared" si="12"/>
        <v>27844.416666666668</v>
      </c>
      <c r="N31" s="261">
        <f t="shared" si="12"/>
        <v>27844.416666666668</v>
      </c>
      <c r="O31" s="263">
        <f>Össz.önkor.mérleg.!I18</f>
        <v>334133</v>
      </c>
      <c r="P31" s="35"/>
    </row>
    <row r="32" spans="1:256" s="32" customFormat="1" ht="15" customHeight="1" x14ac:dyDescent="0.25">
      <c r="A32" s="21" t="s">
        <v>564</v>
      </c>
      <c r="B32" s="32" t="s">
        <v>649</v>
      </c>
      <c r="C32" s="261">
        <f t="shared" si="10"/>
        <v>11193.833333333334</v>
      </c>
      <c r="D32" s="261">
        <f t="shared" si="12"/>
        <v>11193.833333333334</v>
      </c>
      <c r="E32" s="261">
        <f t="shared" si="12"/>
        <v>11193.833333333334</v>
      </c>
      <c r="F32" s="261">
        <f t="shared" si="12"/>
        <v>11193.833333333334</v>
      </c>
      <c r="G32" s="261">
        <f t="shared" si="12"/>
        <v>11193.833333333334</v>
      </c>
      <c r="H32" s="261">
        <f t="shared" si="12"/>
        <v>11193.833333333334</v>
      </c>
      <c r="I32" s="261">
        <f t="shared" si="12"/>
        <v>11193.833333333334</v>
      </c>
      <c r="J32" s="261">
        <f t="shared" si="12"/>
        <v>11193.833333333334</v>
      </c>
      <c r="K32" s="261">
        <f t="shared" si="12"/>
        <v>11193.833333333334</v>
      </c>
      <c r="L32" s="261">
        <f t="shared" si="12"/>
        <v>11193.833333333334</v>
      </c>
      <c r="M32" s="261">
        <f t="shared" si="12"/>
        <v>11193.833333333334</v>
      </c>
      <c r="N32" s="261">
        <f t="shared" si="12"/>
        <v>11193.833333333334</v>
      </c>
      <c r="O32" s="263">
        <f>Össz.önkor.mérleg.!I20+Össz.önkor.mérleg.!I21</f>
        <v>134326</v>
      </c>
      <c r="P32" s="35"/>
    </row>
    <row r="33" spans="1:16" s="33" customFormat="1" ht="15.75" customHeight="1" x14ac:dyDescent="0.25">
      <c r="A33" s="21" t="s">
        <v>565</v>
      </c>
      <c r="B33" s="950" t="s">
        <v>622</v>
      </c>
      <c r="C33" s="948">
        <f>SUM(C25:C32)</f>
        <v>253674.08333333334</v>
      </c>
      <c r="D33" s="948">
        <f>SUM(D25:D32)</f>
        <v>253674.08333333334</v>
      </c>
      <c r="E33" s="948">
        <f t="shared" ref="E33:N33" si="13">SUM(E25:E32)</f>
        <v>253674.08333333334</v>
      </c>
      <c r="F33" s="948">
        <f t="shared" si="13"/>
        <v>253674.08333333334</v>
      </c>
      <c r="G33" s="948">
        <f t="shared" si="13"/>
        <v>253674.08333333334</v>
      </c>
      <c r="H33" s="948">
        <f t="shared" si="13"/>
        <v>253674.08333333334</v>
      </c>
      <c r="I33" s="948">
        <f t="shared" si="13"/>
        <v>253674.08333333334</v>
      </c>
      <c r="J33" s="948">
        <f t="shared" si="13"/>
        <v>253674.08333333334</v>
      </c>
      <c r="K33" s="948">
        <f t="shared" si="13"/>
        <v>253674.08333333334</v>
      </c>
      <c r="L33" s="948">
        <f t="shared" si="13"/>
        <v>253674.08333333334</v>
      </c>
      <c r="M33" s="948">
        <f t="shared" si="13"/>
        <v>253674.08333333334</v>
      </c>
      <c r="N33" s="948">
        <f t="shared" si="13"/>
        <v>253674.08333333334</v>
      </c>
      <c r="O33" s="949">
        <f>SUM(O25:O32)</f>
        <v>3063655</v>
      </c>
      <c r="P33" s="606"/>
    </row>
    <row r="34" spans="1:16" s="33" customFormat="1" ht="15" customHeight="1" x14ac:dyDescent="0.25">
      <c r="A34" s="21" t="s">
        <v>566</v>
      </c>
      <c r="B34" s="33" t="s">
        <v>623</v>
      </c>
      <c r="C34" s="262">
        <f t="shared" ref="C34:C39" si="14">O34/12</f>
        <v>158520.16666666666</v>
      </c>
      <c r="D34" s="262">
        <f>C34</f>
        <v>158520.16666666666</v>
      </c>
      <c r="E34" s="262">
        <f t="shared" ref="E34:N34" si="15">D34</f>
        <v>158520.16666666666</v>
      </c>
      <c r="F34" s="262">
        <f t="shared" si="15"/>
        <v>158520.16666666666</v>
      </c>
      <c r="G34" s="262">
        <f t="shared" si="15"/>
        <v>158520.16666666666</v>
      </c>
      <c r="H34" s="262">
        <f t="shared" si="15"/>
        <v>158520.16666666666</v>
      </c>
      <c r="I34" s="262">
        <f t="shared" si="15"/>
        <v>158520.16666666666</v>
      </c>
      <c r="J34" s="262">
        <f t="shared" si="15"/>
        <v>158520.16666666666</v>
      </c>
      <c r="K34" s="262">
        <f t="shared" si="15"/>
        <v>158520.16666666666</v>
      </c>
      <c r="L34" s="262">
        <f t="shared" si="15"/>
        <v>158520.16666666666</v>
      </c>
      <c r="M34" s="262">
        <f t="shared" si="15"/>
        <v>158520.16666666666</v>
      </c>
      <c r="N34" s="262">
        <f t="shared" si="15"/>
        <v>158520.16666666666</v>
      </c>
      <c r="O34" s="264">
        <f>Össz.önkor.mérleg.!I27</f>
        <v>1902242</v>
      </c>
      <c r="P34" s="606"/>
    </row>
    <row r="35" spans="1:16" s="33" customFormat="1" ht="15" customHeight="1" x14ac:dyDescent="0.25">
      <c r="A35" s="21" t="s">
        <v>567</v>
      </c>
      <c r="B35" s="33" t="s">
        <v>483</v>
      </c>
      <c r="C35" s="262">
        <f t="shared" si="14"/>
        <v>4142.916666666667</v>
      </c>
      <c r="D35" s="262">
        <f t="shared" ref="D35:N39" si="16">C35</f>
        <v>4142.916666666667</v>
      </c>
      <c r="E35" s="262">
        <f t="shared" si="16"/>
        <v>4142.916666666667</v>
      </c>
      <c r="F35" s="262">
        <f t="shared" si="16"/>
        <v>4142.916666666667</v>
      </c>
      <c r="G35" s="262">
        <f t="shared" si="16"/>
        <v>4142.916666666667</v>
      </c>
      <c r="H35" s="262">
        <f t="shared" si="16"/>
        <v>4142.916666666667</v>
      </c>
      <c r="I35" s="262">
        <f t="shared" si="16"/>
        <v>4142.916666666667</v>
      </c>
      <c r="J35" s="262">
        <f t="shared" si="16"/>
        <v>4142.916666666667</v>
      </c>
      <c r="K35" s="262">
        <f t="shared" si="16"/>
        <v>4142.916666666667</v>
      </c>
      <c r="L35" s="262">
        <f t="shared" si="16"/>
        <v>4142.916666666667</v>
      </c>
      <c r="M35" s="262">
        <f t="shared" si="16"/>
        <v>4142.916666666667</v>
      </c>
      <c r="N35" s="262">
        <f t="shared" si="16"/>
        <v>4142.916666666667</v>
      </c>
      <c r="O35" s="264">
        <f>Össz.önkor.mérleg.!I28</f>
        <v>49715</v>
      </c>
      <c r="P35" s="606"/>
    </row>
    <row r="36" spans="1:16" s="33" customFormat="1" ht="15.75" customHeight="1" x14ac:dyDescent="0.25">
      <c r="A36" s="21" t="s">
        <v>568</v>
      </c>
      <c r="B36" s="33" t="s">
        <v>466</v>
      </c>
      <c r="C36" s="262">
        <f t="shared" si="14"/>
        <v>416.66666666666669</v>
      </c>
      <c r="D36" s="262">
        <f t="shared" si="16"/>
        <v>416.66666666666669</v>
      </c>
      <c r="E36" s="262">
        <f t="shared" si="16"/>
        <v>416.66666666666669</v>
      </c>
      <c r="F36" s="262">
        <f t="shared" si="16"/>
        <v>416.66666666666669</v>
      </c>
      <c r="G36" s="262">
        <f t="shared" si="16"/>
        <v>416.66666666666669</v>
      </c>
      <c r="H36" s="262">
        <f t="shared" si="16"/>
        <v>416.66666666666669</v>
      </c>
      <c r="I36" s="262">
        <f t="shared" si="16"/>
        <v>416.66666666666669</v>
      </c>
      <c r="J36" s="262">
        <f t="shared" si="16"/>
        <v>416.66666666666669</v>
      </c>
      <c r="K36" s="262">
        <f t="shared" si="16"/>
        <v>416.66666666666669</v>
      </c>
      <c r="L36" s="262">
        <f t="shared" si="16"/>
        <v>416.66666666666669</v>
      </c>
      <c r="M36" s="262">
        <f t="shared" si="16"/>
        <v>416.66666666666669</v>
      </c>
      <c r="N36" s="262">
        <f t="shared" si="16"/>
        <v>416.66666666666669</v>
      </c>
      <c r="O36" s="264">
        <v>5000</v>
      </c>
    </row>
    <row r="37" spans="1:16" s="33" customFormat="1" ht="15.75" customHeight="1" x14ac:dyDescent="0.25">
      <c r="A37" s="21" t="s">
        <v>569</v>
      </c>
      <c r="B37" s="32" t="s">
        <v>647</v>
      </c>
      <c r="C37" s="262">
        <f t="shared" si="14"/>
        <v>7519.666666666667</v>
      </c>
      <c r="D37" s="262">
        <f t="shared" si="16"/>
        <v>7519.666666666667</v>
      </c>
      <c r="E37" s="262">
        <f t="shared" si="16"/>
        <v>7519.666666666667</v>
      </c>
      <c r="F37" s="262">
        <f t="shared" si="16"/>
        <v>7519.666666666667</v>
      </c>
      <c r="G37" s="262">
        <f t="shared" si="16"/>
        <v>7519.666666666667</v>
      </c>
      <c r="H37" s="262">
        <f t="shared" si="16"/>
        <v>7519.666666666667</v>
      </c>
      <c r="I37" s="262">
        <f t="shared" si="16"/>
        <v>7519.666666666667</v>
      </c>
      <c r="J37" s="262">
        <f t="shared" si="16"/>
        <v>7519.666666666667</v>
      </c>
      <c r="K37" s="262">
        <f t="shared" si="16"/>
        <v>7519.666666666667</v>
      </c>
      <c r="L37" s="262">
        <f t="shared" si="16"/>
        <v>7519.666666666667</v>
      </c>
      <c r="M37" s="262">
        <f t="shared" si="16"/>
        <v>7519.666666666667</v>
      </c>
      <c r="N37" s="262">
        <f t="shared" si="16"/>
        <v>7519.666666666667</v>
      </c>
      <c r="O37" s="264">
        <f>Össz.önkor.mérleg.!I30</f>
        <v>90236</v>
      </c>
    </row>
    <row r="38" spans="1:16" s="33" customFormat="1" ht="16.5" customHeight="1" x14ac:dyDescent="0.25">
      <c r="A38" s="21" t="s">
        <v>570</v>
      </c>
      <c r="B38" s="32" t="s">
        <v>648</v>
      </c>
      <c r="C38" s="262">
        <f t="shared" si="14"/>
        <v>5643.666666666667</v>
      </c>
      <c r="D38" s="262">
        <f t="shared" si="16"/>
        <v>5643.666666666667</v>
      </c>
      <c r="E38" s="262">
        <f t="shared" si="16"/>
        <v>5643.666666666667</v>
      </c>
      <c r="F38" s="262">
        <f t="shared" si="16"/>
        <v>5643.666666666667</v>
      </c>
      <c r="G38" s="262">
        <f t="shared" si="16"/>
        <v>5643.666666666667</v>
      </c>
      <c r="H38" s="262">
        <f t="shared" si="16"/>
        <v>5643.666666666667</v>
      </c>
      <c r="I38" s="262">
        <f t="shared" si="16"/>
        <v>5643.666666666667</v>
      </c>
      <c r="J38" s="262">
        <f t="shared" si="16"/>
        <v>5643.666666666667</v>
      </c>
      <c r="K38" s="262">
        <f t="shared" si="16"/>
        <v>5643.666666666667</v>
      </c>
      <c r="L38" s="262">
        <f t="shared" si="16"/>
        <v>5643.666666666667</v>
      </c>
      <c r="M38" s="262">
        <f t="shared" si="16"/>
        <v>5643.666666666667</v>
      </c>
      <c r="N38" s="262">
        <f t="shared" si="16"/>
        <v>5643.666666666667</v>
      </c>
      <c r="O38" s="264">
        <f>Össz.önkor.mérleg.!I32</f>
        <v>67724</v>
      </c>
      <c r="P38" s="606"/>
    </row>
    <row r="39" spans="1:16" s="33" customFormat="1" ht="15" customHeight="1" x14ac:dyDescent="0.25">
      <c r="A39" s="21" t="s">
        <v>571</v>
      </c>
      <c r="B39" s="32" t="s">
        <v>650</v>
      </c>
      <c r="C39" s="262">
        <f t="shared" si="14"/>
        <v>1927</v>
      </c>
      <c r="D39" s="262">
        <f t="shared" si="16"/>
        <v>1927</v>
      </c>
      <c r="E39" s="262">
        <f t="shared" si="16"/>
        <v>1927</v>
      </c>
      <c r="F39" s="262">
        <f t="shared" si="16"/>
        <v>1927</v>
      </c>
      <c r="G39" s="262">
        <f t="shared" si="16"/>
        <v>1927</v>
      </c>
      <c r="H39" s="262">
        <f t="shared" si="16"/>
        <v>1927</v>
      </c>
      <c r="I39" s="262">
        <f t="shared" si="16"/>
        <v>1927</v>
      </c>
      <c r="J39" s="262">
        <f t="shared" si="16"/>
        <v>1927</v>
      </c>
      <c r="K39" s="262">
        <f t="shared" si="16"/>
        <v>1927</v>
      </c>
      <c r="L39" s="262">
        <f t="shared" si="16"/>
        <v>1927</v>
      </c>
      <c r="M39" s="262">
        <f t="shared" si="16"/>
        <v>1927</v>
      </c>
      <c r="N39" s="262">
        <f t="shared" si="16"/>
        <v>1927</v>
      </c>
      <c r="O39" s="264">
        <f>Össz.önkor.mérleg.!I33</f>
        <v>23124</v>
      </c>
      <c r="P39" s="606"/>
    </row>
    <row r="40" spans="1:16" s="38" customFormat="1" ht="15" customHeight="1" x14ac:dyDescent="0.25">
      <c r="A40" s="21" t="s">
        <v>572</v>
      </c>
      <c r="B40" s="768" t="s">
        <v>651</v>
      </c>
      <c r="C40" s="769">
        <f t="shared" ref="C40:O40" si="17">SUM(C34:C39)</f>
        <v>178170.08333333328</v>
      </c>
      <c r="D40" s="769">
        <f t="shared" si="17"/>
        <v>178170.08333333328</v>
      </c>
      <c r="E40" s="769">
        <f t="shared" si="17"/>
        <v>178170.08333333328</v>
      </c>
      <c r="F40" s="769">
        <f t="shared" si="17"/>
        <v>178170.08333333328</v>
      </c>
      <c r="G40" s="769">
        <f t="shared" si="17"/>
        <v>178170.08333333328</v>
      </c>
      <c r="H40" s="769">
        <f t="shared" si="17"/>
        <v>178170.08333333328</v>
      </c>
      <c r="I40" s="769">
        <f t="shared" si="17"/>
        <v>178170.08333333328</v>
      </c>
      <c r="J40" s="769">
        <f t="shared" si="17"/>
        <v>178170.08333333328</v>
      </c>
      <c r="K40" s="769">
        <f t="shared" si="17"/>
        <v>178170.08333333328</v>
      </c>
      <c r="L40" s="769">
        <f t="shared" si="17"/>
        <v>178170.08333333328</v>
      </c>
      <c r="M40" s="769">
        <f t="shared" si="17"/>
        <v>178170.08333333328</v>
      </c>
      <c r="N40" s="769">
        <f t="shared" si="17"/>
        <v>178170.08333333328</v>
      </c>
      <c r="O40" s="769">
        <f t="shared" si="17"/>
        <v>2138041</v>
      </c>
      <c r="P40" s="37"/>
    </row>
    <row r="41" spans="1:16" s="38" customFormat="1" ht="15" customHeight="1" x14ac:dyDescent="0.25">
      <c r="A41" s="21" t="s">
        <v>624</v>
      </c>
      <c r="B41" s="944" t="s">
        <v>1045</v>
      </c>
      <c r="C41" s="945">
        <f>O41/12</f>
        <v>3058.25</v>
      </c>
      <c r="D41" s="945">
        <f>C41</f>
        <v>3058.25</v>
      </c>
      <c r="E41" s="945">
        <f t="shared" ref="E41:N41" si="18">D41</f>
        <v>3058.25</v>
      </c>
      <c r="F41" s="945">
        <f t="shared" si="18"/>
        <v>3058.25</v>
      </c>
      <c r="G41" s="945">
        <f t="shared" si="18"/>
        <v>3058.25</v>
      </c>
      <c r="H41" s="945">
        <f t="shared" si="18"/>
        <v>3058.25</v>
      </c>
      <c r="I41" s="945">
        <f t="shared" si="18"/>
        <v>3058.25</v>
      </c>
      <c r="J41" s="945">
        <f t="shared" si="18"/>
        <v>3058.25</v>
      </c>
      <c r="K41" s="945">
        <f t="shared" si="18"/>
        <v>3058.25</v>
      </c>
      <c r="L41" s="945">
        <f t="shared" si="18"/>
        <v>3058.25</v>
      </c>
      <c r="M41" s="945">
        <f t="shared" si="18"/>
        <v>3058.25</v>
      </c>
      <c r="N41" s="945">
        <f t="shared" si="18"/>
        <v>3058.25</v>
      </c>
      <c r="O41" s="943">
        <f>Össz.önkor.mérleg.!I47</f>
        <v>36699</v>
      </c>
      <c r="P41" s="37"/>
    </row>
    <row r="42" spans="1:16" s="32" customFormat="1" ht="15.75" customHeight="1" x14ac:dyDescent="0.25">
      <c r="A42" s="21" t="s">
        <v>625</v>
      </c>
      <c r="B42" s="942" t="s">
        <v>1044</v>
      </c>
      <c r="C42" s="261">
        <f>SUM(C41)</f>
        <v>3058.25</v>
      </c>
      <c r="D42" s="261">
        <f>SUM(D41)</f>
        <v>3058.25</v>
      </c>
      <c r="E42" s="261">
        <f t="shared" ref="E42:N42" si="19">SUM(E41)</f>
        <v>3058.25</v>
      </c>
      <c r="F42" s="261">
        <f t="shared" si="19"/>
        <v>3058.25</v>
      </c>
      <c r="G42" s="261">
        <f t="shared" si="19"/>
        <v>3058.25</v>
      </c>
      <c r="H42" s="261">
        <f t="shared" si="19"/>
        <v>3058.25</v>
      </c>
      <c r="I42" s="261">
        <f t="shared" si="19"/>
        <v>3058.25</v>
      </c>
      <c r="J42" s="261">
        <f t="shared" si="19"/>
        <v>3058.25</v>
      </c>
      <c r="K42" s="261">
        <f t="shared" si="19"/>
        <v>3058.25</v>
      </c>
      <c r="L42" s="261">
        <f t="shared" si="19"/>
        <v>3058.25</v>
      </c>
      <c r="M42" s="261">
        <f t="shared" si="19"/>
        <v>3058.25</v>
      </c>
      <c r="N42" s="261">
        <f t="shared" si="19"/>
        <v>3058.25</v>
      </c>
      <c r="O42" s="263">
        <f>SUM(C42:N42)</f>
        <v>36699</v>
      </c>
    </row>
    <row r="43" spans="1:16" s="34" customFormat="1" ht="16.5" customHeight="1" x14ac:dyDescent="0.25">
      <c r="A43" s="21" t="s">
        <v>626</v>
      </c>
      <c r="B43" s="772" t="s">
        <v>654</v>
      </c>
      <c r="C43" s="773">
        <f t="shared" ref="C43:N43" si="20">C40+C33+C42</f>
        <v>434902.41666666663</v>
      </c>
      <c r="D43" s="773">
        <f t="shared" si="20"/>
        <v>434902.41666666663</v>
      </c>
      <c r="E43" s="773">
        <f t="shared" si="20"/>
        <v>434902.41666666663</v>
      </c>
      <c r="F43" s="773">
        <f t="shared" si="20"/>
        <v>434902.41666666663</v>
      </c>
      <c r="G43" s="773">
        <f t="shared" si="20"/>
        <v>434902.41666666663</v>
      </c>
      <c r="H43" s="773">
        <f t="shared" si="20"/>
        <v>434902.41666666663</v>
      </c>
      <c r="I43" s="773">
        <f t="shared" si="20"/>
        <v>434902.41666666663</v>
      </c>
      <c r="J43" s="773">
        <f t="shared" si="20"/>
        <v>434902.41666666663</v>
      </c>
      <c r="K43" s="773">
        <f t="shared" si="20"/>
        <v>434902.41666666663</v>
      </c>
      <c r="L43" s="773">
        <f t="shared" si="20"/>
        <v>434902.41666666663</v>
      </c>
      <c r="M43" s="773">
        <f t="shared" si="20"/>
        <v>434902.41666666663</v>
      </c>
      <c r="N43" s="773">
        <f t="shared" si="20"/>
        <v>434902.41666666663</v>
      </c>
      <c r="O43" s="774">
        <f>O33+O40+O41</f>
        <v>5238395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IR111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AH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8" width="4" style="17" customWidth="1"/>
    <col min="9" max="10" width="5.85546875" style="17" customWidth="1"/>
    <col min="11" max="11" width="5.7109375" style="17" customWidth="1"/>
    <col min="12" max="12" width="4" style="17" customWidth="1"/>
    <col min="13" max="13" width="5.7109375" style="17" customWidth="1"/>
    <col min="14" max="15" width="7.28515625" style="17" customWidth="1"/>
    <col min="16" max="16" width="6.7109375" style="17" customWidth="1"/>
    <col min="17" max="18" width="5.140625" style="17" customWidth="1"/>
    <col min="19" max="19" width="5.7109375" style="17" customWidth="1"/>
    <col min="20" max="22" width="6.7109375" style="17" customWidth="1"/>
    <col min="23" max="24" width="6.42578125" style="17" customWidth="1"/>
    <col min="25" max="25" width="6.7109375" style="17" customWidth="1"/>
    <col min="26" max="27" width="6.85546875" style="17" customWidth="1"/>
    <col min="28" max="28" width="6.5703125" style="17" customWidth="1"/>
    <col min="29" max="31" width="7.140625" style="17" customWidth="1"/>
    <col min="32" max="33" width="6" style="17" customWidth="1"/>
    <col min="34" max="34" width="7.5703125" style="17" customWidth="1"/>
    <col min="35" max="16384" width="9.140625" style="16"/>
  </cols>
  <sheetData>
    <row r="1" spans="1:35" ht="15.75" customHeight="1" x14ac:dyDescent="0.25">
      <c r="A1" s="1491" t="s">
        <v>1413</v>
      </c>
      <c r="B1" s="1491"/>
      <c r="C1" s="1491"/>
      <c r="D1" s="1491"/>
      <c r="E1" s="1491"/>
      <c r="F1" s="1491"/>
      <c r="G1" s="1491"/>
      <c r="H1" s="1491"/>
      <c r="I1" s="1491"/>
      <c r="J1" s="1491"/>
      <c r="K1" s="1491"/>
      <c r="L1" s="1491"/>
      <c r="M1" s="1491"/>
      <c r="N1" s="1491"/>
      <c r="O1" s="1491"/>
      <c r="P1" s="1491"/>
      <c r="Q1" s="1491"/>
      <c r="R1" s="1491"/>
      <c r="S1" s="1491"/>
      <c r="T1" s="1491"/>
      <c r="U1" s="1491"/>
      <c r="V1" s="1491"/>
      <c r="W1" s="1491"/>
      <c r="X1" s="1491"/>
      <c r="Y1" s="1491"/>
      <c r="Z1" s="1491"/>
      <c r="AA1" s="1491"/>
      <c r="AB1" s="1491"/>
      <c r="AC1" s="1491"/>
      <c r="AD1" s="1491"/>
      <c r="AE1" s="1491"/>
      <c r="AF1" s="1491"/>
      <c r="AG1" s="1491"/>
      <c r="AH1" s="1491"/>
    </row>
    <row r="2" spans="1:35" ht="15.75" customHeight="1" x14ac:dyDescent="0.25">
      <c r="A2" s="1497" t="s">
        <v>54</v>
      </c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1497"/>
      <c r="M2" s="1497"/>
      <c r="N2" s="1497"/>
      <c r="O2" s="1497"/>
      <c r="P2" s="1497"/>
      <c r="Q2" s="1497"/>
      <c r="R2" s="1497"/>
      <c r="S2" s="1497"/>
      <c r="T2" s="1497"/>
      <c r="U2" s="1497"/>
      <c r="V2" s="1497"/>
      <c r="W2" s="1497"/>
      <c r="X2" s="1497"/>
      <c r="Y2" s="1497"/>
      <c r="Z2" s="1497"/>
      <c r="AA2" s="1497"/>
      <c r="AB2" s="1497"/>
      <c r="AC2" s="1497"/>
      <c r="AD2" s="1497"/>
      <c r="AE2" s="1497"/>
      <c r="AF2" s="1497"/>
      <c r="AG2" s="1497"/>
      <c r="AH2" s="1497"/>
    </row>
    <row r="3" spans="1:35" ht="15.75" customHeight="1" x14ac:dyDescent="0.25">
      <c r="A3" s="1497" t="s">
        <v>1138</v>
      </c>
      <c r="B3" s="1497"/>
      <c r="C3" s="1497"/>
      <c r="D3" s="1497"/>
      <c r="E3" s="1497"/>
      <c r="F3" s="1497"/>
      <c r="G3" s="1497"/>
      <c r="H3" s="1497"/>
      <c r="I3" s="1497"/>
      <c r="J3" s="1497"/>
      <c r="K3" s="1497"/>
      <c r="L3" s="1497"/>
      <c r="M3" s="1497"/>
      <c r="N3" s="1497"/>
      <c r="O3" s="1497"/>
      <c r="P3" s="1497"/>
      <c r="Q3" s="1497"/>
      <c r="R3" s="1497"/>
      <c r="S3" s="1497"/>
      <c r="T3" s="1497"/>
      <c r="U3" s="1497"/>
      <c r="V3" s="1497"/>
      <c r="W3" s="1497"/>
      <c r="X3" s="1497"/>
      <c r="Y3" s="1497"/>
      <c r="Z3" s="1497"/>
      <c r="AA3" s="1497"/>
      <c r="AB3" s="1497"/>
      <c r="AC3" s="1497"/>
      <c r="AD3" s="1497"/>
      <c r="AE3" s="1497"/>
      <c r="AF3" s="1497"/>
      <c r="AG3" s="1497"/>
      <c r="AH3" s="1497"/>
    </row>
    <row r="4" spans="1:35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 t="s">
        <v>655</v>
      </c>
    </row>
    <row r="5" spans="1:35" ht="27.75" customHeight="1" x14ac:dyDescent="0.25">
      <c r="A5" s="1500" t="s">
        <v>70</v>
      </c>
      <c r="B5" s="42" t="s">
        <v>57</v>
      </c>
      <c r="C5" s="1498" t="s">
        <v>58</v>
      </c>
      <c r="D5" s="1498"/>
      <c r="E5" s="1498" t="s">
        <v>59</v>
      </c>
      <c r="F5" s="1498"/>
      <c r="G5" s="1498" t="s">
        <v>60</v>
      </c>
      <c r="H5" s="1498"/>
      <c r="I5" s="1498"/>
      <c r="J5" s="1498"/>
      <c r="K5" s="1498"/>
      <c r="L5" s="1501" t="s">
        <v>470</v>
      </c>
      <c r="M5" s="1501"/>
      <c r="N5" s="1498" t="s">
        <v>471</v>
      </c>
      <c r="O5" s="1498"/>
      <c r="P5" s="1498"/>
      <c r="Q5" s="1498" t="s">
        <v>472</v>
      </c>
      <c r="R5" s="1498"/>
      <c r="S5" s="1498"/>
      <c r="T5" s="1499" t="s">
        <v>592</v>
      </c>
      <c r="U5" s="1499"/>
      <c r="V5" s="1499"/>
      <c r="W5" s="1499"/>
      <c r="X5" s="1499"/>
      <c r="Y5" s="1499"/>
      <c r="Z5" s="1498" t="s">
        <v>600</v>
      </c>
      <c r="AA5" s="1498"/>
      <c r="AB5" s="1498"/>
      <c r="AC5" s="1498" t="s">
        <v>601</v>
      </c>
      <c r="AD5" s="1498"/>
      <c r="AE5" s="1498"/>
      <c r="AF5" s="1498"/>
      <c r="AG5" s="1498"/>
      <c r="AH5" s="1498"/>
    </row>
    <row r="6" spans="1:35" s="4" customFormat="1" ht="30.75" customHeight="1" x14ac:dyDescent="0.2">
      <c r="A6" s="1500"/>
      <c r="B6" s="1464" t="s">
        <v>656</v>
      </c>
      <c r="C6" s="1504" t="s">
        <v>657</v>
      </c>
      <c r="D6" s="1504"/>
      <c r="E6" s="1504"/>
      <c r="F6" s="1504"/>
      <c r="G6" s="1504" t="s">
        <v>658</v>
      </c>
      <c r="H6" s="1504"/>
      <c r="I6" s="1504"/>
      <c r="J6" s="1504"/>
      <c r="K6" s="1504"/>
      <c r="L6" s="1504"/>
      <c r="M6" s="1504"/>
      <c r="N6" s="1502" t="s">
        <v>659</v>
      </c>
      <c r="O6" s="1502"/>
      <c r="P6" s="1502"/>
      <c r="Q6" s="1502"/>
      <c r="R6" s="1502"/>
      <c r="S6" s="1502"/>
      <c r="T6" s="1502" t="s">
        <v>529</v>
      </c>
      <c r="U6" s="1502"/>
      <c r="V6" s="1502"/>
      <c r="W6" s="1502"/>
      <c r="X6" s="1502"/>
      <c r="Y6" s="1502"/>
      <c r="Z6" s="1502"/>
      <c r="AA6" s="1502"/>
      <c r="AB6" s="1502"/>
      <c r="AC6" s="1503" t="s">
        <v>660</v>
      </c>
      <c r="AD6" s="1503"/>
      <c r="AE6" s="1503"/>
      <c r="AF6" s="1503"/>
      <c r="AG6" s="1503"/>
      <c r="AH6" s="1503"/>
    </row>
    <row r="7" spans="1:35" s="4" customFormat="1" ht="40.5" customHeight="1" x14ac:dyDescent="0.2">
      <c r="A7" s="1500"/>
      <c r="B7" s="1464"/>
      <c r="C7" s="1495" t="s">
        <v>661</v>
      </c>
      <c r="D7" s="1495"/>
      <c r="E7" s="1276" t="s">
        <v>662</v>
      </c>
      <c r="F7" s="1276"/>
      <c r="G7" s="1495" t="s">
        <v>663</v>
      </c>
      <c r="H7" s="1495"/>
      <c r="I7" s="1495"/>
      <c r="J7" s="1495"/>
      <c r="K7" s="1495"/>
      <c r="L7" s="1495" t="s">
        <v>662</v>
      </c>
      <c r="M7" s="1495"/>
      <c r="N7" s="1494" t="s">
        <v>663</v>
      </c>
      <c r="O7" s="1494"/>
      <c r="P7" s="1494"/>
      <c r="Q7" s="1495" t="s">
        <v>662</v>
      </c>
      <c r="R7" s="1495"/>
      <c r="S7" s="1495"/>
      <c r="T7" s="1494" t="s">
        <v>663</v>
      </c>
      <c r="U7" s="1494"/>
      <c r="V7" s="1494"/>
      <c r="W7" s="1494"/>
      <c r="X7" s="1494"/>
      <c r="Y7" s="1494"/>
      <c r="Z7" s="1494" t="s">
        <v>664</v>
      </c>
      <c r="AA7" s="1494"/>
      <c r="AB7" s="1494"/>
      <c r="AC7" s="1503"/>
      <c r="AD7" s="1503"/>
      <c r="AE7" s="1503"/>
      <c r="AF7" s="1503"/>
      <c r="AG7" s="1503"/>
      <c r="AH7" s="1503"/>
    </row>
    <row r="8" spans="1:35" s="4" customFormat="1" ht="27" customHeight="1" x14ac:dyDescent="0.2">
      <c r="A8" s="1500"/>
      <c r="B8" s="1464"/>
      <c r="C8" s="43">
        <v>43466</v>
      </c>
      <c r="D8" s="43">
        <v>43830</v>
      </c>
      <c r="E8" s="43">
        <v>43466</v>
      </c>
      <c r="F8" s="43">
        <v>43830</v>
      </c>
      <c r="G8" s="43">
        <v>43466</v>
      </c>
      <c r="H8" s="43">
        <v>43586</v>
      </c>
      <c r="I8" s="43">
        <v>43739</v>
      </c>
      <c r="J8" s="43">
        <v>43814</v>
      </c>
      <c r="K8" s="43">
        <v>43830</v>
      </c>
      <c r="L8" s="43">
        <v>43466</v>
      </c>
      <c r="M8" s="43">
        <v>43830</v>
      </c>
      <c r="N8" s="43">
        <v>43466</v>
      </c>
      <c r="O8" s="1169">
        <v>43497</v>
      </c>
      <c r="P8" s="43">
        <v>43830</v>
      </c>
      <c r="Q8" s="43">
        <v>43466</v>
      </c>
      <c r="R8" s="43">
        <v>43497</v>
      </c>
      <c r="S8" s="43">
        <v>43830</v>
      </c>
      <c r="T8" s="43">
        <v>43466</v>
      </c>
      <c r="U8" s="1169">
        <v>43497</v>
      </c>
      <c r="V8" s="43">
        <v>43586</v>
      </c>
      <c r="W8" s="43">
        <v>43739</v>
      </c>
      <c r="X8" s="43">
        <v>43814</v>
      </c>
      <c r="Y8" s="43">
        <v>43830</v>
      </c>
      <c r="Z8" s="43">
        <v>43466</v>
      </c>
      <c r="AA8" s="43">
        <v>43497</v>
      </c>
      <c r="AB8" s="43">
        <v>43830</v>
      </c>
      <c r="AC8" s="43">
        <v>43466</v>
      </c>
      <c r="AD8" s="1169">
        <v>43497</v>
      </c>
      <c r="AE8" s="43">
        <v>43586</v>
      </c>
      <c r="AF8" s="838">
        <v>43739</v>
      </c>
      <c r="AG8" s="838">
        <v>43814</v>
      </c>
      <c r="AH8" s="43">
        <v>43830</v>
      </c>
    </row>
    <row r="9" spans="1:35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1:35" s="4" customFormat="1" ht="13.9" customHeight="1" x14ac:dyDescent="0.25">
      <c r="A10" s="44" t="s">
        <v>479</v>
      </c>
      <c r="B10" s="46" t="s">
        <v>1236</v>
      </c>
      <c r="C10" s="1050">
        <v>6</v>
      </c>
      <c r="D10" s="1050">
        <f>C10</f>
        <v>6</v>
      </c>
      <c r="E10" s="1052"/>
      <c r="F10" s="1050">
        <f>+E10</f>
        <v>0</v>
      </c>
      <c r="G10" s="47">
        <v>2</v>
      </c>
      <c r="H10" s="47"/>
      <c r="I10" s="47"/>
      <c r="J10" s="47"/>
      <c r="K10" s="47" t="s">
        <v>665</v>
      </c>
      <c r="L10" s="47"/>
      <c r="M10" s="47"/>
      <c r="N10" s="47" t="s">
        <v>561</v>
      </c>
      <c r="O10" s="47"/>
      <c r="P10" s="47" t="s">
        <v>561</v>
      </c>
      <c r="Q10" s="47" t="s">
        <v>561</v>
      </c>
      <c r="R10" s="47"/>
      <c r="S10" s="47" t="s">
        <v>561</v>
      </c>
      <c r="T10" s="1050">
        <f>C10+G10</f>
        <v>8</v>
      </c>
      <c r="U10" s="1050"/>
      <c r="V10" s="1050"/>
      <c r="W10" s="1050">
        <v>0</v>
      </c>
      <c r="X10" s="1050"/>
      <c r="Y10" s="1050">
        <f>D10+K10</f>
        <v>8</v>
      </c>
      <c r="Z10" s="1050">
        <v>0</v>
      </c>
      <c r="AA10" s="1050"/>
      <c r="AB10" s="1050">
        <f>Z10</f>
        <v>0</v>
      </c>
      <c r="AC10" s="1053">
        <f>C10+E10/2+L10/2+Q10/2+G10+N10</f>
        <v>8</v>
      </c>
      <c r="AD10" s="1053"/>
      <c r="AE10" s="493"/>
      <c r="AF10" s="493"/>
      <c r="AG10" s="493"/>
      <c r="AH10" s="493">
        <f>AC10+AF10</f>
        <v>8</v>
      </c>
    </row>
    <row r="11" spans="1:35" s="4" customFormat="1" ht="13.9" customHeight="1" x14ac:dyDescent="0.25">
      <c r="A11" s="44"/>
      <c r="B11" s="31"/>
      <c r="C11" s="48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1:35" s="17" customFormat="1" ht="14.45" customHeight="1" x14ac:dyDescent="0.25">
      <c r="A12" s="5" t="s">
        <v>487</v>
      </c>
      <c r="B12" s="49" t="s">
        <v>1393</v>
      </c>
      <c r="C12" s="50">
        <v>3</v>
      </c>
      <c r="D12" s="51">
        <f>C12</f>
        <v>3</v>
      </c>
      <c r="E12" s="51"/>
      <c r="F12" s="51"/>
      <c r="G12" s="51">
        <v>36</v>
      </c>
      <c r="H12" s="967">
        <v>2</v>
      </c>
      <c r="I12" s="967">
        <v>-2</v>
      </c>
      <c r="J12" s="967">
        <v>1</v>
      </c>
      <c r="K12" s="51">
        <f>G12+H12+I12+J12</f>
        <v>37</v>
      </c>
      <c r="L12" s="51"/>
      <c r="M12" s="51"/>
      <c r="N12" s="51">
        <v>0</v>
      </c>
      <c r="O12" s="51"/>
      <c r="P12" s="51">
        <v>0</v>
      </c>
      <c r="Q12" s="51">
        <v>0</v>
      </c>
      <c r="R12" s="51"/>
      <c r="S12" s="51">
        <v>0</v>
      </c>
      <c r="T12" s="51">
        <f>C12+G12+N12</f>
        <v>39</v>
      </c>
      <c r="U12" s="51"/>
      <c r="V12" s="51">
        <v>2</v>
      </c>
      <c r="W12" s="839">
        <v>-2</v>
      </c>
      <c r="X12" s="839">
        <v>1</v>
      </c>
      <c r="Y12" s="839">
        <f>T12+U12+V12+W12+X12</f>
        <v>40</v>
      </c>
      <c r="Z12" s="51">
        <v>0</v>
      </c>
      <c r="AA12" s="51"/>
      <c r="AB12" s="51">
        <v>0</v>
      </c>
      <c r="AC12" s="53">
        <f>T12</f>
        <v>39</v>
      </c>
      <c r="AD12" s="53"/>
      <c r="AE12" s="946">
        <v>2</v>
      </c>
      <c r="AF12" s="946">
        <f>W12</f>
        <v>-2</v>
      </c>
      <c r="AG12" s="946">
        <f>X12</f>
        <v>1</v>
      </c>
      <c r="AH12" s="53">
        <f>AC12+AE12+AF12+AD12+AG12</f>
        <v>40</v>
      </c>
    </row>
    <row r="13" spans="1:35" s="17" customFormat="1" ht="14.45" customHeight="1" x14ac:dyDescent="0.25">
      <c r="A13" s="5"/>
    </row>
    <row r="14" spans="1:35" ht="15.75" customHeight="1" x14ac:dyDescent="0.25">
      <c r="A14" s="5"/>
      <c r="B14" s="54"/>
      <c r="C14" s="55"/>
      <c r="D14" s="56"/>
      <c r="E14" s="56"/>
      <c r="F14" s="56"/>
      <c r="G14" s="56"/>
      <c r="H14" s="56"/>
      <c r="I14" s="56"/>
      <c r="J14" s="56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5" s="17" customFormat="1" ht="14.45" customHeight="1" x14ac:dyDescent="0.25">
      <c r="A15" s="5" t="s">
        <v>488</v>
      </c>
      <c r="B15" s="59" t="s">
        <v>667</v>
      </c>
      <c r="C15" s="60"/>
      <c r="D15" s="61"/>
      <c r="E15" s="61"/>
      <c r="F15" s="61"/>
      <c r="G15" s="61"/>
      <c r="H15" s="61"/>
      <c r="I15" s="61"/>
      <c r="J15" s="61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63"/>
      <c r="AA15" s="63"/>
      <c r="AB15" s="63"/>
      <c r="AC15" s="63"/>
      <c r="AD15" s="63"/>
      <c r="AE15" s="63"/>
      <c r="AF15" s="63"/>
      <c r="AG15" s="63"/>
      <c r="AH15" s="63"/>
    </row>
    <row r="16" spans="1:35" s="17" customFormat="1" ht="14.45" customHeight="1" x14ac:dyDescent="0.25">
      <c r="A16" s="5" t="s">
        <v>489</v>
      </c>
      <c r="B16" s="64" t="s">
        <v>668</v>
      </c>
      <c r="C16" s="940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966">
        <v>22.5</v>
      </c>
      <c r="O16" s="966"/>
      <c r="P16" s="967">
        <f t="shared" ref="P16:P23" si="0">N16</f>
        <v>22.5</v>
      </c>
      <c r="Q16" s="966"/>
      <c r="R16" s="966"/>
      <c r="S16" s="966"/>
      <c r="T16" s="967">
        <f t="shared" ref="T16:T24" si="1">C16+G16+N16</f>
        <v>22.5</v>
      </c>
      <c r="U16" s="967"/>
      <c r="V16" s="967"/>
      <c r="W16" s="967"/>
      <c r="X16" s="967"/>
      <c r="Y16" s="967">
        <f t="shared" ref="Y16:Y23" si="2">D16+K16+P16</f>
        <v>22.5</v>
      </c>
      <c r="Z16" s="967"/>
      <c r="AA16" s="967"/>
      <c r="AB16" s="967"/>
      <c r="AC16" s="967">
        <f t="shared" ref="AC16:AC21" si="3">T16+Z16/2</f>
        <v>22.5</v>
      </c>
      <c r="AD16" s="967"/>
      <c r="AE16" s="967"/>
      <c r="AF16" s="967"/>
      <c r="AG16" s="967"/>
      <c r="AH16" s="967">
        <f t="shared" ref="AH16:AH23" si="4">Y16+AB16/2</f>
        <v>22.5</v>
      </c>
      <c r="AI16" s="941"/>
    </row>
    <row r="17" spans="1:35" s="17" customFormat="1" ht="14.45" customHeight="1" x14ac:dyDescent="0.25">
      <c r="A17" s="5" t="s">
        <v>490</v>
      </c>
      <c r="B17" s="64" t="s">
        <v>949</v>
      </c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>
        <v>20</v>
      </c>
      <c r="O17" s="66"/>
      <c r="P17" s="51">
        <f t="shared" si="0"/>
        <v>20</v>
      </c>
      <c r="Q17" s="66"/>
      <c r="R17" s="66"/>
      <c r="S17" s="66"/>
      <c r="T17" s="51">
        <f t="shared" si="1"/>
        <v>20</v>
      </c>
      <c r="U17" s="51"/>
      <c r="V17" s="51"/>
      <c r="W17" s="51"/>
      <c r="X17" s="51"/>
      <c r="Y17" s="51">
        <f t="shared" si="2"/>
        <v>20</v>
      </c>
      <c r="Z17" s="51"/>
      <c r="AA17" s="51"/>
      <c r="AB17" s="51"/>
      <c r="AC17" s="51">
        <f t="shared" si="3"/>
        <v>20</v>
      </c>
      <c r="AD17" s="51"/>
      <c r="AE17" s="51"/>
      <c r="AF17" s="51"/>
      <c r="AG17" s="51"/>
      <c r="AH17" s="51">
        <f t="shared" si="4"/>
        <v>20</v>
      </c>
    </row>
    <row r="18" spans="1:35" s="17" customFormat="1" ht="14.45" customHeight="1" x14ac:dyDescent="0.25">
      <c r="A18" s="5" t="s">
        <v>491</v>
      </c>
      <c r="B18" s="64" t="s">
        <v>950</v>
      </c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>
        <v>9</v>
      </c>
      <c r="O18" s="66"/>
      <c r="P18" s="51">
        <f t="shared" si="0"/>
        <v>9</v>
      </c>
      <c r="Q18" s="66"/>
      <c r="R18" s="66"/>
      <c r="S18" s="66"/>
      <c r="T18" s="51">
        <f t="shared" si="1"/>
        <v>9</v>
      </c>
      <c r="U18" s="51"/>
      <c r="V18" s="51"/>
      <c r="W18" s="51"/>
      <c r="X18" s="51"/>
      <c r="Y18" s="51">
        <f t="shared" si="2"/>
        <v>9</v>
      </c>
      <c r="Z18" s="51"/>
      <c r="AA18" s="51"/>
      <c r="AB18" s="51"/>
      <c r="AC18" s="51">
        <f t="shared" si="3"/>
        <v>9</v>
      </c>
      <c r="AD18" s="51"/>
      <c r="AE18" s="51"/>
      <c r="AF18" s="51"/>
      <c r="AG18" s="51"/>
      <c r="AH18" s="51">
        <f t="shared" si="4"/>
        <v>9</v>
      </c>
    </row>
    <row r="19" spans="1:35" s="17" customFormat="1" ht="14.45" customHeight="1" x14ac:dyDescent="0.25">
      <c r="A19" s="5" t="s">
        <v>492</v>
      </c>
      <c r="B19" s="64" t="s">
        <v>951</v>
      </c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>
        <v>11</v>
      </c>
      <c r="O19" s="66"/>
      <c r="P19" s="51">
        <f t="shared" si="0"/>
        <v>11</v>
      </c>
      <c r="Q19" s="66"/>
      <c r="R19" s="66"/>
      <c r="S19" s="66"/>
      <c r="T19" s="51">
        <f t="shared" si="1"/>
        <v>11</v>
      </c>
      <c r="U19" s="51"/>
      <c r="V19" s="51"/>
      <c r="W19" s="51"/>
      <c r="X19" s="51"/>
      <c r="Y19" s="51">
        <f t="shared" si="2"/>
        <v>11</v>
      </c>
      <c r="Z19" s="51"/>
      <c r="AA19" s="51"/>
      <c r="AB19" s="51"/>
      <c r="AC19" s="51">
        <f t="shared" si="3"/>
        <v>11</v>
      </c>
      <c r="AD19" s="51"/>
      <c r="AE19" s="51"/>
      <c r="AF19" s="51"/>
      <c r="AG19" s="51"/>
      <c r="AH19" s="51">
        <f t="shared" si="4"/>
        <v>11</v>
      </c>
    </row>
    <row r="20" spans="1:35" s="17" customFormat="1" ht="14.45" customHeight="1" x14ac:dyDescent="0.25">
      <c r="A20" s="5" t="s">
        <v>493</v>
      </c>
      <c r="B20" s="64" t="s">
        <v>669</v>
      </c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>
        <v>1</v>
      </c>
      <c r="O20" s="66"/>
      <c r="P20" s="51">
        <f t="shared" si="0"/>
        <v>1</v>
      </c>
      <c r="Q20" s="66"/>
      <c r="R20" s="66"/>
      <c r="S20" s="66"/>
      <c r="T20" s="51">
        <f t="shared" si="1"/>
        <v>1</v>
      </c>
      <c r="U20" s="51"/>
      <c r="V20" s="51"/>
      <c r="W20" s="51"/>
      <c r="X20" s="51"/>
      <c r="Y20" s="51">
        <f t="shared" si="2"/>
        <v>1</v>
      </c>
      <c r="Z20" s="51"/>
      <c r="AA20" s="51"/>
      <c r="AB20" s="51"/>
      <c r="AC20" s="51">
        <f t="shared" si="3"/>
        <v>1</v>
      </c>
      <c r="AD20" s="51"/>
      <c r="AE20" s="51"/>
      <c r="AF20" s="51"/>
      <c r="AG20" s="51"/>
      <c r="AH20" s="51">
        <f t="shared" si="4"/>
        <v>1</v>
      </c>
    </row>
    <row r="21" spans="1:35" s="17" customFormat="1" ht="14.45" customHeight="1" x14ac:dyDescent="0.25">
      <c r="A21" s="5" t="s">
        <v>494</v>
      </c>
      <c r="B21" s="64" t="s">
        <v>670</v>
      </c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>
        <v>5</v>
      </c>
      <c r="O21" s="66"/>
      <c r="P21" s="51">
        <f t="shared" si="0"/>
        <v>5</v>
      </c>
      <c r="Q21" s="66"/>
      <c r="R21" s="66"/>
      <c r="S21" s="66"/>
      <c r="T21" s="51">
        <f t="shared" si="1"/>
        <v>5</v>
      </c>
      <c r="U21" s="51"/>
      <c r="V21" s="51"/>
      <c r="W21" s="51"/>
      <c r="X21" s="51"/>
      <c r="Y21" s="51">
        <f t="shared" si="2"/>
        <v>5</v>
      </c>
      <c r="Z21" s="51"/>
      <c r="AA21" s="51"/>
      <c r="AB21" s="51"/>
      <c r="AC21" s="51">
        <f t="shared" si="3"/>
        <v>5</v>
      </c>
      <c r="AD21" s="51"/>
      <c r="AE21" s="51"/>
      <c r="AF21" s="51"/>
      <c r="AG21" s="51"/>
      <c r="AH21" s="51">
        <f t="shared" si="4"/>
        <v>5</v>
      </c>
    </row>
    <row r="22" spans="1:35" s="17" customFormat="1" ht="14.45" customHeight="1" x14ac:dyDescent="0.25">
      <c r="A22" s="5" t="s">
        <v>531</v>
      </c>
      <c r="B22" s="64" t="s">
        <v>933</v>
      </c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>
        <v>3</v>
      </c>
      <c r="O22" s="66"/>
      <c r="P22" s="51">
        <f t="shared" si="0"/>
        <v>3</v>
      </c>
      <c r="Q22" s="66"/>
      <c r="R22" s="66"/>
      <c r="S22" s="66"/>
      <c r="T22" s="51">
        <f t="shared" si="1"/>
        <v>3</v>
      </c>
      <c r="U22" s="51"/>
      <c r="V22" s="51"/>
      <c r="W22" s="51"/>
      <c r="X22" s="51"/>
      <c r="Y22" s="51">
        <f t="shared" si="2"/>
        <v>3</v>
      </c>
      <c r="Z22" s="51"/>
      <c r="AA22" s="51"/>
      <c r="AB22" s="51"/>
      <c r="AC22" s="51">
        <v>3</v>
      </c>
      <c r="AD22" s="51"/>
      <c r="AE22" s="51"/>
      <c r="AF22" s="51"/>
      <c r="AG22" s="51"/>
      <c r="AH22" s="51">
        <f t="shared" si="4"/>
        <v>3</v>
      </c>
    </row>
    <row r="23" spans="1:35" s="17" customFormat="1" ht="14.45" customHeight="1" x14ac:dyDescent="0.25">
      <c r="A23" s="5" t="s">
        <v>532</v>
      </c>
      <c r="B23" s="64" t="s">
        <v>671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>
        <v>4</v>
      </c>
      <c r="O23" s="66"/>
      <c r="P23" s="51">
        <f t="shared" si="0"/>
        <v>4</v>
      </c>
      <c r="Q23" s="66"/>
      <c r="R23" s="66"/>
      <c r="S23" s="66"/>
      <c r="T23" s="51">
        <f t="shared" si="1"/>
        <v>4</v>
      </c>
      <c r="U23" s="51"/>
      <c r="V23" s="51"/>
      <c r="W23" s="51"/>
      <c r="X23" s="51"/>
      <c r="Y23" s="51">
        <f t="shared" si="2"/>
        <v>4</v>
      </c>
      <c r="Z23" s="51"/>
      <c r="AA23" s="51"/>
      <c r="AB23" s="51"/>
      <c r="AC23" s="51">
        <f>T23+Z23/2</f>
        <v>4</v>
      </c>
      <c r="AD23" s="51"/>
      <c r="AE23" s="51"/>
      <c r="AF23" s="51"/>
      <c r="AG23" s="51"/>
      <c r="AH23" s="51">
        <f t="shared" si="4"/>
        <v>4</v>
      </c>
    </row>
    <row r="24" spans="1:35" s="17" customFormat="1" ht="14.45" customHeight="1" x14ac:dyDescent="0.25">
      <c r="A24" s="5" t="s">
        <v>533</v>
      </c>
      <c r="B24" s="49" t="s">
        <v>672</v>
      </c>
      <c r="C24" s="50"/>
      <c r="D24" s="67"/>
      <c r="E24" s="67"/>
      <c r="F24" s="67"/>
      <c r="G24" s="67"/>
      <c r="H24" s="67"/>
      <c r="I24" s="67"/>
      <c r="J24" s="67"/>
      <c r="K24" s="66"/>
      <c r="L24" s="66"/>
      <c r="M24" s="66"/>
      <c r="N24" s="51">
        <f>SUM(N16:N23)</f>
        <v>75.5</v>
      </c>
      <c r="O24" s="51"/>
      <c r="P24" s="51">
        <f>SUM(P16:P23)</f>
        <v>75.5</v>
      </c>
      <c r="Q24" s="51">
        <v>0</v>
      </c>
      <c r="R24" s="51"/>
      <c r="S24" s="51">
        <v>0</v>
      </c>
      <c r="T24" s="51">
        <f t="shared" si="1"/>
        <v>75.5</v>
      </c>
      <c r="U24" s="51"/>
      <c r="V24" s="51"/>
      <c r="W24" s="51"/>
      <c r="X24" s="51"/>
      <c r="Y24" s="51">
        <f>SUM(Y16:Y23)</f>
        <v>75.5</v>
      </c>
      <c r="Z24" s="51">
        <v>0</v>
      </c>
      <c r="AA24" s="51"/>
      <c r="AB24" s="51">
        <v>0</v>
      </c>
      <c r="AC24" s="267">
        <f>T24+Z24/2</f>
        <v>75.5</v>
      </c>
      <c r="AD24" s="267"/>
      <c r="AE24" s="267"/>
      <c r="AF24" s="839">
        <v>0</v>
      </c>
      <c r="AG24" s="839"/>
      <c r="AH24" s="51">
        <f>SUM(AH16:AH23)</f>
        <v>75.5</v>
      </c>
      <c r="AI24" s="787"/>
    </row>
    <row r="25" spans="1:35" s="17" customFormat="1" ht="13.5" customHeight="1" x14ac:dyDescent="0.25">
      <c r="A25" s="5"/>
      <c r="B25" s="130"/>
      <c r="C25" s="131"/>
      <c r="D25" s="132"/>
      <c r="E25" s="132"/>
      <c r="F25" s="132"/>
      <c r="G25" s="132"/>
      <c r="H25" s="132"/>
      <c r="I25" s="132"/>
      <c r="J25" s="132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</row>
    <row r="26" spans="1:35" ht="12.75" customHeight="1" x14ac:dyDescent="0.25">
      <c r="A26" s="5"/>
      <c r="B26" s="54"/>
      <c r="C26" s="55"/>
      <c r="D26" s="56"/>
      <c r="E26" s="56"/>
      <c r="F26" s="56"/>
      <c r="G26" s="56"/>
      <c r="H26" s="56"/>
      <c r="I26" s="56"/>
      <c r="J26" s="56"/>
      <c r="K26" s="74"/>
      <c r="L26" s="74"/>
      <c r="M26" s="74"/>
      <c r="N26" s="74"/>
      <c r="O26" s="74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</row>
    <row r="27" spans="1:35" s="17" customFormat="1" ht="27" customHeight="1" x14ac:dyDescent="0.25">
      <c r="A27" s="5" t="s">
        <v>534</v>
      </c>
      <c r="B27" s="59" t="s">
        <v>673</v>
      </c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61"/>
    </row>
    <row r="28" spans="1:35" s="17" customFormat="1" ht="27.75" customHeight="1" x14ac:dyDescent="0.25">
      <c r="A28" s="5" t="s">
        <v>535</v>
      </c>
      <c r="B28" s="1163" t="s">
        <v>1260</v>
      </c>
      <c r="C28" s="1164"/>
      <c r="D28" s="966"/>
      <c r="E28" s="966"/>
      <c r="F28" s="966"/>
      <c r="G28" s="966"/>
      <c r="H28" s="966"/>
      <c r="I28" s="966"/>
      <c r="J28" s="966"/>
      <c r="K28" s="967"/>
      <c r="L28" s="967"/>
      <c r="M28" s="967"/>
      <c r="N28" s="966">
        <v>7</v>
      </c>
      <c r="O28" s="966">
        <v>1</v>
      </c>
      <c r="P28" s="967">
        <f>N28+O28</f>
        <v>8</v>
      </c>
      <c r="Q28" s="966"/>
      <c r="R28" s="966"/>
      <c r="S28" s="966"/>
      <c r="T28" s="967">
        <f>C28+G28+N28</f>
        <v>7</v>
      </c>
      <c r="U28" s="967">
        <v>1</v>
      </c>
      <c r="V28" s="967"/>
      <c r="W28" s="967"/>
      <c r="X28" s="967"/>
      <c r="Y28" s="967">
        <f>D28+K28+P28</f>
        <v>8</v>
      </c>
      <c r="Z28" s="967"/>
      <c r="AA28" s="967"/>
      <c r="AB28" s="967"/>
      <c r="AC28" s="967">
        <f t="shared" ref="AC28:AC40" si="5">C28+G28+N28+Q28/2</f>
        <v>7</v>
      </c>
      <c r="AD28" s="967">
        <f>O28</f>
        <v>1</v>
      </c>
      <c r="AE28" s="967"/>
      <c r="AF28" s="966"/>
      <c r="AG28" s="966"/>
      <c r="AH28" s="967">
        <f>D28+K28+P28+S28/2</f>
        <v>8</v>
      </c>
      <c r="AI28" s="29"/>
    </row>
    <row r="29" spans="1:35" s="17" customFormat="1" ht="14.45" customHeight="1" x14ac:dyDescent="0.25">
      <c r="A29" s="5" t="s">
        <v>536</v>
      </c>
      <c r="B29" s="1163" t="s">
        <v>674</v>
      </c>
      <c r="C29" s="1164"/>
      <c r="D29" s="966"/>
      <c r="E29" s="966"/>
      <c r="F29" s="966"/>
      <c r="G29" s="966"/>
      <c r="H29" s="966"/>
      <c r="I29" s="966"/>
      <c r="J29" s="966"/>
      <c r="K29" s="966"/>
      <c r="L29" s="966"/>
      <c r="M29" s="966"/>
      <c r="N29" s="966">
        <v>1</v>
      </c>
      <c r="O29" s="966"/>
      <c r="P29" s="967">
        <f t="shared" ref="P29:P38" si="6">N29</f>
        <v>1</v>
      </c>
      <c r="Q29" s="966"/>
      <c r="R29" s="966"/>
      <c r="S29" s="966"/>
      <c r="T29" s="967">
        <f>C29+G29+N29</f>
        <v>1</v>
      </c>
      <c r="U29" s="967"/>
      <c r="V29" s="967"/>
      <c r="W29" s="967"/>
      <c r="X29" s="967"/>
      <c r="Y29" s="967">
        <f>D29+K29+P29</f>
        <v>1</v>
      </c>
      <c r="Z29" s="967"/>
      <c r="AA29" s="967"/>
      <c r="AB29" s="967"/>
      <c r="AC29" s="967">
        <f t="shared" si="5"/>
        <v>1</v>
      </c>
      <c r="AD29" s="967"/>
      <c r="AE29" s="967"/>
      <c r="AF29" s="966"/>
      <c r="AG29" s="966"/>
      <c r="AH29" s="967">
        <f>D29+K29+P29+S29/2</f>
        <v>1</v>
      </c>
      <c r="AI29" s="29"/>
    </row>
    <row r="30" spans="1:35" s="17" customFormat="1" ht="14.25" customHeight="1" x14ac:dyDescent="0.25">
      <c r="A30" s="5" t="s">
        <v>537</v>
      </c>
      <c r="B30" s="1163" t="s">
        <v>1254</v>
      </c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>
        <v>31</v>
      </c>
      <c r="O30" s="66"/>
      <c r="P30" s="51">
        <f t="shared" si="6"/>
        <v>31</v>
      </c>
      <c r="Q30" s="66">
        <v>1</v>
      </c>
      <c r="R30" s="66">
        <v>-1</v>
      </c>
      <c r="S30" s="66">
        <f>Q30+R30</f>
        <v>0</v>
      </c>
      <c r="T30" s="51">
        <v>31</v>
      </c>
      <c r="U30" s="51"/>
      <c r="V30" s="51"/>
      <c r="W30" s="51"/>
      <c r="X30" s="51"/>
      <c r="Y30" s="51">
        <f>D30+K30+P30</f>
        <v>31</v>
      </c>
      <c r="Z30" s="967">
        <f>Q30+L30+E30</f>
        <v>1</v>
      </c>
      <c r="AA30" s="967">
        <v>-1</v>
      </c>
      <c r="AB30" s="967">
        <f>F30+M30+S30</f>
        <v>0</v>
      </c>
      <c r="AC30" s="967">
        <f t="shared" si="5"/>
        <v>31.5</v>
      </c>
      <c r="AD30" s="967">
        <v>-0.5</v>
      </c>
      <c r="AE30" s="967"/>
      <c r="AF30" s="966"/>
      <c r="AG30" s="966"/>
      <c r="AH30" s="967">
        <f>D30+K30+P30+S30/2+AD30</f>
        <v>30.5</v>
      </c>
      <c r="AI30" s="29"/>
    </row>
    <row r="31" spans="1:35" s="17" customFormat="1" ht="29.25" customHeight="1" x14ac:dyDescent="0.25">
      <c r="A31" s="5" t="s">
        <v>539</v>
      </c>
      <c r="B31" s="1163" t="s">
        <v>1255</v>
      </c>
      <c r="C31" s="1164"/>
      <c r="D31" s="966"/>
      <c r="E31" s="966"/>
      <c r="F31" s="966"/>
      <c r="G31" s="966"/>
      <c r="H31" s="966"/>
      <c r="I31" s="966"/>
      <c r="J31" s="966"/>
      <c r="K31" s="966"/>
      <c r="L31" s="966"/>
      <c r="M31" s="966"/>
      <c r="N31" s="1165">
        <v>2</v>
      </c>
      <c r="O31" s="1165"/>
      <c r="P31" s="1166">
        <f t="shared" si="6"/>
        <v>2</v>
      </c>
      <c r="Q31" s="1165"/>
      <c r="R31" s="1165"/>
      <c r="S31" s="1165"/>
      <c r="T31" s="1166">
        <f>C31+G31+N31</f>
        <v>2</v>
      </c>
      <c r="U31" s="1166"/>
      <c r="V31" s="1166"/>
      <c r="W31" s="1166"/>
      <c r="X31" s="1166"/>
      <c r="Y31" s="1166">
        <f>D31+K31+P31</f>
        <v>2</v>
      </c>
      <c r="Z31" s="1166"/>
      <c r="AA31" s="1166"/>
      <c r="AB31" s="1166"/>
      <c r="AC31" s="1166">
        <f t="shared" si="5"/>
        <v>2</v>
      </c>
      <c r="AD31" s="1166"/>
      <c r="AE31" s="1166"/>
      <c r="AF31" s="1165"/>
      <c r="AG31" s="1165"/>
      <c r="AH31" s="1166">
        <f>D31+K31+P31+S31/2</f>
        <v>2</v>
      </c>
      <c r="AI31" s="29"/>
    </row>
    <row r="32" spans="1:35" s="17" customFormat="1" ht="14.45" customHeight="1" x14ac:dyDescent="0.25">
      <c r="A32" s="5" t="s">
        <v>540</v>
      </c>
      <c r="B32" s="1163" t="s">
        <v>689</v>
      </c>
      <c r="C32" s="1164"/>
      <c r="D32" s="966"/>
      <c r="E32" s="966"/>
      <c r="F32" s="966"/>
      <c r="G32" s="966"/>
      <c r="H32" s="966"/>
      <c r="I32" s="966"/>
      <c r="J32" s="966"/>
      <c r="K32" s="966"/>
      <c r="L32" s="966"/>
      <c r="M32" s="966"/>
      <c r="N32" s="966">
        <v>2</v>
      </c>
      <c r="O32" s="966"/>
      <c r="P32" s="967">
        <f t="shared" si="6"/>
        <v>2</v>
      </c>
      <c r="Q32" s="966"/>
      <c r="R32" s="966"/>
      <c r="S32" s="966"/>
      <c r="T32" s="967">
        <f>C32+G32+N32</f>
        <v>2</v>
      </c>
      <c r="U32" s="967"/>
      <c r="V32" s="967"/>
      <c r="W32" s="967"/>
      <c r="X32" s="967"/>
      <c r="Y32" s="967">
        <f>D32+K32+P32</f>
        <v>2</v>
      </c>
      <c r="Z32" s="967"/>
      <c r="AA32" s="967"/>
      <c r="AB32" s="967"/>
      <c r="AC32" s="967">
        <f t="shared" si="5"/>
        <v>2</v>
      </c>
      <c r="AD32" s="967"/>
      <c r="AE32" s="967"/>
      <c r="AF32" s="967"/>
      <c r="AG32" s="967"/>
      <c r="AH32" s="967">
        <f>D32+K32+P32+S32/2</f>
        <v>2</v>
      </c>
      <c r="AI32" s="29"/>
    </row>
    <row r="33" spans="1:37" s="17" customFormat="1" ht="14.45" customHeight="1" x14ac:dyDescent="0.25">
      <c r="A33" s="5" t="s">
        <v>541</v>
      </c>
      <c r="B33" s="1163" t="s">
        <v>675</v>
      </c>
      <c r="C33" s="1164"/>
      <c r="D33" s="966"/>
      <c r="E33" s="966"/>
      <c r="F33" s="966"/>
      <c r="G33" s="966"/>
      <c r="H33" s="966"/>
      <c r="I33" s="966"/>
      <c r="J33" s="966"/>
      <c r="K33" s="966"/>
      <c r="L33" s="966"/>
      <c r="M33" s="966"/>
      <c r="N33" s="966">
        <v>2</v>
      </c>
      <c r="O33" s="966">
        <v>1</v>
      </c>
      <c r="P33" s="967">
        <f>N33+O33</f>
        <v>3</v>
      </c>
      <c r="Q33" s="966"/>
      <c r="R33" s="966"/>
      <c r="S33" s="966"/>
      <c r="T33" s="967">
        <v>2</v>
      </c>
      <c r="U33" s="967">
        <v>1</v>
      </c>
      <c r="V33" s="967"/>
      <c r="W33" s="967"/>
      <c r="X33" s="967"/>
      <c r="Y33" s="967">
        <f>T33+U33</f>
        <v>3</v>
      </c>
      <c r="Z33" s="967"/>
      <c r="AA33" s="967"/>
      <c r="AB33" s="967"/>
      <c r="AC33" s="967">
        <f t="shared" si="5"/>
        <v>2</v>
      </c>
      <c r="AD33" s="967">
        <f>U33</f>
        <v>1</v>
      </c>
      <c r="AE33" s="967"/>
      <c r="AF33" s="966"/>
      <c r="AG33" s="966"/>
      <c r="AH33" s="967">
        <f>AD33+AC33</f>
        <v>3</v>
      </c>
      <c r="AI33" s="29"/>
      <c r="AK33" s="566"/>
    </row>
    <row r="34" spans="1:37" s="17" customFormat="1" ht="14.45" customHeight="1" x14ac:dyDescent="0.25">
      <c r="A34" s="5" t="s">
        <v>542</v>
      </c>
      <c r="B34" s="1163" t="s">
        <v>676</v>
      </c>
      <c r="C34" s="1164"/>
      <c r="D34" s="966"/>
      <c r="E34" s="966"/>
      <c r="F34" s="966"/>
      <c r="G34" s="966"/>
      <c r="H34" s="966"/>
      <c r="I34" s="966"/>
      <c r="J34" s="966"/>
      <c r="K34" s="966"/>
      <c r="L34" s="966"/>
      <c r="M34" s="966"/>
      <c r="N34" s="966">
        <v>5</v>
      </c>
      <c r="O34" s="966"/>
      <c r="P34" s="967">
        <f t="shared" si="6"/>
        <v>5</v>
      </c>
      <c r="Q34" s="966"/>
      <c r="R34" s="966"/>
      <c r="S34" s="966"/>
      <c r="T34" s="967">
        <f>N34+Q34</f>
        <v>5</v>
      </c>
      <c r="U34" s="967"/>
      <c r="V34" s="967"/>
      <c r="W34" s="967"/>
      <c r="X34" s="967"/>
      <c r="Y34" s="967">
        <f>D34+K34+P34</f>
        <v>5</v>
      </c>
      <c r="Z34" s="967"/>
      <c r="AA34" s="967"/>
      <c r="AB34" s="967"/>
      <c r="AC34" s="967">
        <f t="shared" si="5"/>
        <v>5</v>
      </c>
      <c r="AD34" s="967"/>
      <c r="AE34" s="967"/>
      <c r="AF34" s="966"/>
      <c r="AG34" s="966"/>
      <c r="AH34" s="967">
        <f>D34+K34+P34+S34/2</f>
        <v>5</v>
      </c>
      <c r="AI34" s="29"/>
    </row>
    <row r="35" spans="1:37" s="17" customFormat="1" ht="29.25" customHeight="1" x14ac:dyDescent="0.25">
      <c r="A35" s="5" t="s">
        <v>543</v>
      </c>
      <c r="B35" s="1163" t="s">
        <v>1259</v>
      </c>
      <c r="C35" s="1164"/>
      <c r="D35" s="966"/>
      <c r="E35" s="966"/>
      <c r="F35" s="966"/>
      <c r="G35" s="966"/>
      <c r="H35" s="966"/>
      <c r="I35" s="966"/>
      <c r="J35" s="966"/>
      <c r="K35" s="966"/>
      <c r="L35" s="966"/>
      <c r="M35" s="966"/>
      <c r="N35" s="966">
        <v>4</v>
      </c>
      <c r="O35" s="966">
        <v>1</v>
      </c>
      <c r="P35" s="967">
        <f>N35+O35</f>
        <v>5</v>
      </c>
      <c r="Q35" s="966"/>
      <c r="R35" s="966"/>
      <c r="S35" s="966"/>
      <c r="T35" s="967">
        <v>4</v>
      </c>
      <c r="U35" s="967">
        <v>1</v>
      </c>
      <c r="V35" s="967"/>
      <c r="W35" s="967"/>
      <c r="X35" s="967"/>
      <c r="Y35" s="967">
        <f>D35+K35+P35</f>
        <v>5</v>
      </c>
      <c r="Z35" s="967"/>
      <c r="AA35" s="967"/>
      <c r="AB35" s="967"/>
      <c r="AC35" s="967">
        <f t="shared" si="5"/>
        <v>4</v>
      </c>
      <c r="AD35" s="967">
        <f>U35</f>
        <v>1</v>
      </c>
      <c r="AE35" s="967"/>
      <c r="AF35" s="966"/>
      <c r="AG35" s="966"/>
      <c r="AH35" s="967">
        <f>D35+K35+P35+S35/2</f>
        <v>5</v>
      </c>
    </row>
    <row r="36" spans="1:37" s="17" customFormat="1" ht="14.45" customHeight="1" x14ac:dyDescent="0.25">
      <c r="A36" s="5" t="s">
        <v>544</v>
      </c>
      <c r="B36" s="1163" t="s">
        <v>1261</v>
      </c>
      <c r="C36" s="1164"/>
      <c r="D36" s="966"/>
      <c r="E36" s="966"/>
      <c r="F36" s="966"/>
      <c r="G36" s="966"/>
      <c r="H36" s="966"/>
      <c r="I36" s="966"/>
      <c r="J36" s="966"/>
      <c r="K36" s="966"/>
      <c r="L36" s="966"/>
      <c r="M36" s="966"/>
      <c r="N36" s="966">
        <v>1</v>
      </c>
      <c r="O36" s="966">
        <v>-1</v>
      </c>
      <c r="P36" s="967">
        <f>N36+O36</f>
        <v>0</v>
      </c>
      <c r="Q36" s="966"/>
      <c r="R36" s="966"/>
      <c r="S36" s="966"/>
      <c r="T36" s="967">
        <v>1</v>
      </c>
      <c r="U36" s="967">
        <f>O36</f>
        <v>-1</v>
      </c>
      <c r="V36" s="967"/>
      <c r="W36" s="967"/>
      <c r="X36" s="967"/>
      <c r="Y36" s="967">
        <f>D36+K36+P36</f>
        <v>0</v>
      </c>
      <c r="Z36" s="967"/>
      <c r="AA36" s="967"/>
      <c r="AB36" s="967"/>
      <c r="AC36" s="967">
        <f t="shared" si="5"/>
        <v>1</v>
      </c>
      <c r="AD36" s="967">
        <f>U36</f>
        <v>-1</v>
      </c>
      <c r="AE36" s="967"/>
      <c r="AF36" s="966"/>
      <c r="AG36" s="966"/>
      <c r="AH36" s="967">
        <f>D36+K36+P36+S36/2</f>
        <v>0</v>
      </c>
    </row>
    <row r="37" spans="1:37" s="17" customFormat="1" ht="42.75" customHeight="1" x14ac:dyDescent="0.25">
      <c r="A37" s="5" t="s">
        <v>545</v>
      </c>
      <c r="B37" s="1163" t="s">
        <v>1257</v>
      </c>
      <c r="C37" s="1164"/>
      <c r="D37" s="966"/>
      <c r="E37" s="966"/>
      <c r="F37" s="966"/>
      <c r="G37" s="966"/>
      <c r="H37" s="966"/>
      <c r="I37" s="966"/>
      <c r="J37" s="966"/>
      <c r="K37" s="966"/>
      <c r="L37" s="966"/>
      <c r="M37" s="966"/>
      <c r="N37" s="966">
        <v>4</v>
      </c>
      <c r="O37" s="966">
        <v>1</v>
      </c>
      <c r="P37" s="967">
        <f t="shared" si="6"/>
        <v>4</v>
      </c>
      <c r="Q37" s="966"/>
      <c r="R37" s="966"/>
      <c r="S37" s="966"/>
      <c r="T37" s="967">
        <v>4</v>
      </c>
      <c r="U37" s="967">
        <f>O37</f>
        <v>1</v>
      </c>
      <c r="V37" s="967"/>
      <c r="W37" s="967"/>
      <c r="X37" s="967"/>
      <c r="Y37" s="967">
        <f>T37+U37</f>
        <v>5</v>
      </c>
      <c r="Z37" s="967"/>
      <c r="AA37" s="967"/>
      <c r="AB37" s="967"/>
      <c r="AC37" s="967">
        <f t="shared" si="5"/>
        <v>4</v>
      </c>
      <c r="AD37" s="967">
        <f>U37</f>
        <v>1</v>
      </c>
      <c r="AE37" s="967"/>
      <c r="AF37" s="966"/>
      <c r="AG37" s="966"/>
      <c r="AH37" s="967">
        <f>D37+K37+P37+S37/2+AD37</f>
        <v>5</v>
      </c>
    </row>
    <row r="38" spans="1:37" s="17" customFormat="1" ht="14.25" customHeight="1" x14ac:dyDescent="0.25">
      <c r="A38" s="5" t="s">
        <v>546</v>
      </c>
      <c r="B38" s="1163" t="s">
        <v>1256</v>
      </c>
      <c r="C38" s="1164"/>
      <c r="D38" s="966"/>
      <c r="E38" s="966"/>
      <c r="F38" s="966"/>
      <c r="G38" s="966"/>
      <c r="H38" s="966"/>
      <c r="I38" s="966"/>
      <c r="J38" s="966"/>
      <c r="K38" s="966"/>
      <c r="L38" s="966"/>
      <c r="M38" s="966"/>
      <c r="N38" s="966">
        <v>4</v>
      </c>
      <c r="O38" s="966">
        <v>-1</v>
      </c>
      <c r="P38" s="967">
        <f t="shared" si="6"/>
        <v>4</v>
      </c>
      <c r="Q38" s="966"/>
      <c r="R38" s="966"/>
      <c r="S38" s="966"/>
      <c r="T38" s="967">
        <v>4</v>
      </c>
      <c r="U38" s="967">
        <f>O38</f>
        <v>-1</v>
      </c>
      <c r="V38" s="967"/>
      <c r="W38" s="967"/>
      <c r="X38" s="967"/>
      <c r="Y38" s="967">
        <f>T38+U38</f>
        <v>3</v>
      </c>
      <c r="Z38" s="967"/>
      <c r="AA38" s="967"/>
      <c r="AB38" s="967"/>
      <c r="AC38" s="967">
        <f t="shared" si="5"/>
        <v>4</v>
      </c>
      <c r="AD38" s="967">
        <f>U38</f>
        <v>-1</v>
      </c>
      <c r="AE38" s="967"/>
      <c r="AF38" s="966"/>
      <c r="AG38" s="966"/>
      <c r="AH38" s="967">
        <f>D38+K38+P38+S38/2+O38</f>
        <v>3</v>
      </c>
    </row>
    <row r="39" spans="1:37" s="17" customFormat="1" ht="27.75" customHeight="1" x14ac:dyDescent="0.25">
      <c r="A39" s="5" t="s">
        <v>564</v>
      </c>
      <c r="B39" s="1163" t="s">
        <v>1258</v>
      </c>
      <c r="C39" s="1164"/>
      <c r="D39" s="966"/>
      <c r="E39" s="966"/>
      <c r="F39" s="966"/>
      <c r="G39" s="966"/>
      <c r="H39" s="966"/>
      <c r="I39" s="966"/>
      <c r="J39" s="966"/>
      <c r="K39" s="966"/>
      <c r="L39" s="966"/>
      <c r="M39" s="966"/>
      <c r="N39" s="966">
        <v>1</v>
      </c>
      <c r="O39" s="966"/>
      <c r="P39" s="967">
        <f>SUM(N39:N39)</f>
        <v>1</v>
      </c>
      <c r="Q39" s="966"/>
      <c r="R39" s="966"/>
      <c r="S39" s="966"/>
      <c r="T39" s="967">
        <f>N39</f>
        <v>1</v>
      </c>
      <c r="U39" s="967"/>
      <c r="V39" s="967"/>
      <c r="W39" s="967"/>
      <c r="X39" s="967"/>
      <c r="Y39" s="967">
        <f>D39+K39+P39</f>
        <v>1</v>
      </c>
      <c r="Z39" s="967"/>
      <c r="AA39" s="967"/>
      <c r="AB39" s="967"/>
      <c r="AC39" s="967">
        <f t="shared" si="5"/>
        <v>1</v>
      </c>
      <c r="AD39" s="967"/>
      <c r="AE39" s="967"/>
      <c r="AF39" s="966"/>
      <c r="AG39" s="966"/>
      <c r="AH39" s="967">
        <f>D39+K39+P39+S39/2</f>
        <v>1</v>
      </c>
    </row>
    <row r="40" spans="1:37" s="17" customFormat="1" ht="14.25" customHeight="1" x14ac:dyDescent="0.25">
      <c r="A40" s="5" t="s">
        <v>565</v>
      </c>
      <c r="B40" s="49" t="s">
        <v>677</v>
      </c>
      <c r="C40" s="50"/>
      <c r="D40" s="67"/>
      <c r="E40" s="67"/>
      <c r="F40" s="67"/>
      <c r="G40" s="67"/>
      <c r="H40" s="67"/>
      <c r="I40" s="67"/>
      <c r="J40" s="67"/>
      <c r="K40" s="51"/>
      <c r="L40" s="51"/>
      <c r="M40" s="51"/>
      <c r="N40" s="967">
        <f>SUM(N28:N39)</f>
        <v>64</v>
      </c>
      <c r="O40" s="967">
        <f>SUM(O28:O39)</f>
        <v>2</v>
      </c>
      <c r="P40" s="967">
        <f>SUM(P28:P39)</f>
        <v>66</v>
      </c>
      <c r="Q40" s="967">
        <f>SUM(Q28:Q38)</f>
        <v>1</v>
      </c>
      <c r="R40" s="967">
        <f>SUM(R28:R39)</f>
        <v>-1</v>
      </c>
      <c r="S40" s="967">
        <f>SUM(S28:S38)</f>
        <v>0</v>
      </c>
      <c r="T40" s="967">
        <f>SUM(T28:T39)</f>
        <v>64</v>
      </c>
      <c r="U40" s="967">
        <f>SUM(U28:U39)</f>
        <v>2</v>
      </c>
      <c r="V40" s="967"/>
      <c r="W40" s="967"/>
      <c r="X40" s="967"/>
      <c r="Y40" s="967">
        <f>D40+K40+P40</f>
        <v>66</v>
      </c>
      <c r="Z40" s="967">
        <f>Q40+L40+E40</f>
        <v>1</v>
      </c>
      <c r="AA40" s="967">
        <f>SUM(AA28:AA39)</f>
        <v>-1</v>
      </c>
      <c r="AB40" s="967">
        <f>F40+M40+S40</f>
        <v>0</v>
      </c>
      <c r="AC40" s="1167">
        <f t="shared" si="5"/>
        <v>64.5</v>
      </c>
      <c r="AD40" s="1167">
        <f>SUM(AD28:AD39)</f>
        <v>1.5</v>
      </c>
      <c r="AE40" s="1167"/>
      <c r="AF40" s="967"/>
      <c r="AG40" s="967"/>
      <c r="AH40" s="967">
        <f>D40+K40+P40+S40/2</f>
        <v>66</v>
      </c>
    </row>
    <row r="41" spans="1:37" ht="12.75" hidden="1" customHeight="1" x14ac:dyDescent="0.25">
      <c r="A41" s="5" t="s">
        <v>566</v>
      </c>
      <c r="B41" s="68"/>
      <c r="C41" s="69"/>
      <c r="D41" s="70"/>
      <c r="E41" s="70"/>
      <c r="F41" s="70"/>
      <c r="G41" s="70"/>
      <c r="H41" s="70"/>
      <c r="I41" s="70"/>
      <c r="J41" s="70"/>
      <c r="K41" s="71"/>
      <c r="L41" s="71"/>
      <c r="M41" s="71"/>
      <c r="N41" s="71"/>
      <c r="O41" s="71"/>
      <c r="P41" s="51">
        <f>N41</f>
        <v>0</v>
      </c>
      <c r="Q41" s="71">
        <f>SUM(Q28:Q40)</f>
        <v>2</v>
      </c>
      <c r="R41" s="71"/>
      <c r="S41" s="71"/>
      <c r="T41" s="71"/>
      <c r="U41" s="71"/>
      <c r="V41" s="71"/>
      <c r="W41" s="71"/>
      <c r="X41" s="71"/>
      <c r="Y41" s="71"/>
      <c r="Z41" s="57"/>
      <c r="AA41" s="57"/>
      <c r="AB41" s="57"/>
      <c r="AC41" s="57"/>
      <c r="AD41" s="57"/>
      <c r="AE41" s="57"/>
      <c r="AF41" s="57"/>
      <c r="AG41" s="57"/>
      <c r="AH41" s="567"/>
      <c r="AI41" s="492"/>
    </row>
    <row r="42" spans="1:37" s="32" customFormat="1" ht="14.25" hidden="1" customHeight="1" x14ac:dyDescent="0.25">
      <c r="A42" s="5" t="s">
        <v>567</v>
      </c>
      <c r="B42" s="59"/>
      <c r="C42" s="73"/>
      <c r="D42" s="57"/>
      <c r="E42" s="57"/>
      <c r="F42" s="57"/>
      <c r="G42" s="57"/>
      <c r="H42" s="57"/>
      <c r="I42" s="57"/>
      <c r="J42" s="57"/>
      <c r="K42" s="74"/>
      <c r="L42" s="74"/>
      <c r="M42" s="74"/>
      <c r="N42" s="74"/>
      <c r="O42" s="74"/>
      <c r="P42" s="57"/>
      <c r="Q42" s="57"/>
      <c r="R42" s="57"/>
      <c r="S42" s="57"/>
      <c r="T42" s="57"/>
      <c r="U42" s="57"/>
      <c r="V42" s="57"/>
      <c r="W42" s="57"/>
      <c r="X42" s="57"/>
      <c r="Y42" s="74"/>
      <c r="Z42" s="74"/>
      <c r="AA42" s="74"/>
      <c r="AB42" s="57"/>
      <c r="AC42" s="57"/>
      <c r="AD42" s="57"/>
      <c r="AE42" s="57"/>
      <c r="AF42" s="57"/>
      <c r="AG42" s="57"/>
      <c r="AH42" s="57"/>
    </row>
    <row r="43" spans="1:37" s="32" customFormat="1" ht="14.45" hidden="1" customHeight="1" x14ac:dyDescent="0.25">
      <c r="A43" s="5" t="s">
        <v>568</v>
      </c>
      <c r="B43" s="75"/>
      <c r="C43" s="76"/>
      <c r="D43" s="51"/>
      <c r="E43" s="51"/>
      <c r="F43" s="51"/>
      <c r="G43" s="51"/>
      <c r="H43" s="51"/>
      <c r="I43" s="51"/>
      <c r="J43" s="51"/>
      <c r="K43" s="66"/>
      <c r="L43" s="66"/>
      <c r="M43" s="66"/>
      <c r="N43" s="66"/>
      <c r="O43" s="66"/>
      <c r="P43" s="51"/>
      <c r="Q43" s="51"/>
      <c r="R43" s="51"/>
      <c r="S43" s="51"/>
      <c r="T43" s="51"/>
      <c r="U43" s="51"/>
      <c r="V43" s="51"/>
      <c r="W43" s="51"/>
      <c r="X43" s="51"/>
      <c r="Y43" s="66"/>
      <c r="Z43" s="66"/>
      <c r="AA43" s="66"/>
      <c r="AB43" s="51"/>
      <c r="AC43" s="51"/>
      <c r="AD43" s="51"/>
      <c r="AE43" s="51"/>
      <c r="AF43" s="51"/>
      <c r="AG43" s="51"/>
      <c r="AH43" s="51"/>
    </row>
    <row r="44" spans="1:37" s="32" customFormat="1" ht="14.25" hidden="1" customHeight="1" x14ac:dyDescent="0.25">
      <c r="A44" s="5" t="s">
        <v>569</v>
      </c>
      <c r="B44" s="64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51"/>
      <c r="AC44" s="51"/>
      <c r="AD44" s="51"/>
      <c r="AE44" s="51"/>
      <c r="AF44" s="51"/>
      <c r="AG44" s="51"/>
      <c r="AH44" s="51"/>
    </row>
    <row r="45" spans="1:37" s="32" customFormat="1" ht="14.25" hidden="1" customHeight="1" x14ac:dyDescent="0.25">
      <c r="A45" s="5" t="s">
        <v>570</v>
      </c>
      <c r="B45" s="64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51"/>
      <c r="AC45" s="51"/>
      <c r="AD45" s="51"/>
      <c r="AE45" s="51"/>
      <c r="AF45" s="51"/>
      <c r="AG45" s="51"/>
      <c r="AH45" s="51"/>
    </row>
    <row r="46" spans="1:37" s="32" customFormat="1" ht="14.25" hidden="1" customHeight="1" x14ac:dyDescent="0.25">
      <c r="A46" s="5" t="s">
        <v>571</v>
      </c>
      <c r="B46" s="64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51"/>
      <c r="AC46" s="51"/>
      <c r="AD46" s="51"/>
      <c r="AE46" s="51"/>
      <c r="AF46" s="51"/>
      <c r="AG46" s="51"/>
      <c r="AH46" s="51"/>
    </row>
    <row r="47" spans="1:37" s="32" customFormat="1" ht="14.25" hidden="1" customHeight="1" x14ac:dyDescent="0.25">
      <c r="A47" s="5" t="s">
        <v>572</v>
      </c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51"/>
      <c r="AC47" s="51"/>
      <c r="AD47" s="51"/>
      <c r="AE47" s="51"/>
      <c r="AF47" s="51"/>
      <c r="AG47" s="51"/>
      <c r="AH47" s="51"/>
    </row>
    <row r="48" spans="1:37" s="32" customFormat="1" ht="14.25" hidden="1" customHeight="1" x14ac:dyDescent="0.25">
      <c r="A48" s="5" t="s">
        <v>624</v>
      </c>
      <c r="B48" s="64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51"/>
      <c r="AC48" s="51"/>
      <c r="AD48" s="51"/>
      <c r="AE48" s="51"/>
      <c r="AF48" s="51"/>
      <c r="AG48" s="51"/>
      <c r="AH48" s="51"/>
    </row>
    <row r="49" spans="1:34" s="32" customFormat="1" ht="14.25" hidden="1" customHeight="1" x14ac:dyDescent="0.25">
      <c r="A49" s="5" t="s">
        <v>625</v>
      </c>
      <c r="B49" s="64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51"/>
      <c r="AC49" s="51"/>
      <c r="AD49" s="51"/>
      <c r="AE49" s="51"/>
      <c r="AF49" s="51"/>
      <c r="AG49" s="51"/>
      <c r="AH49" s="51"/>
    </row>
    <row r="50" spans="1:34" s="32" customFormat="1" ht="14.25" hidden="1" customHeight="1" x14ac:dyDescent="0.25">
      <c r="A50" s="5" t="s">
        <v>626</v>
      </c>
      <c r="B50" s="64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51"/>
      <c r="AD50" s="51"/>
      <c r="AE50" s="51"/>
      <c r="AF50" s="66"/>
      <c r="AG50" s="66"/>
      <c r="AH50" s="51"/>
    </row>
    <row r="51" spans="1:34" s="32" customFormat="1" ht="14.25" hidden="1" customHeight="1" x14ac:dyDescent="0.25">
      <c r="A51" s="5" t="s">
        <v>627</v>
      </c>
      <c r="B51" s="64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51"/>
      <c r="AD51" s="51"/>
      <c r="AE51" s="51"/>
      <c r="AF51" s="66"/>
      <c r="AG51" s="66"/>
      <c r="AH51" s="51"/>
    </row>
    <row r="52" spans="1:34" s="32" customFormat="1" ht="14.25" hidden="1" customHeight="1" x14ac:dyDescent="0.25">
      <c r="A52" s="5" t="s">
        <v>115</v>
      </c>
      <c r="B52" s="64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51"/>
      <c r="AD52" s="51"/>
      <c r="AE52" s="51"/>
      <c r="AF52" s="66"/>
      <c r="AG52" s="66"/>
      <c r="AH52" s="51"/>
    </row>
    <row r="53" spans="1:34" s="32" customFormat="1" ht="14.25" hidden="1" customHeight="1" x14ac:dyDescent="0.25">
      <c r="A53" s="5" t="s">
        <v>652</v>
      </c>
      <c r="B53" s="77"/>
      <c r="C53" s="7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51"/>
      <c r="AC53" s="51"/>
      <c r="AD53" s="51"/>
      <c r="AE53" s="51"/>
      <c r="AF53" s="51"/>
      <c r="AG53" s="51"/>
      <c r="AH53" s="51"/>
    </row>
    <row r="54" spans="1:34" s="32" customFormat="1" ht="14.25" hidden="1" customHeight="1" x14ac:dyDescent="0.25">
      <c r="A54" s="5" t="s">
        <v>653</v>
      </c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51"/>
      <c r="AC54" s="51"/>
      <c r="AD54" s="51"/>
      <c r="AE54" s="51"/>
      <c r="AF54" s="51"/>
      <c r="AG54" s="51"/>
      <c r="AH54" s="51"/>
    </row>
    <row r="55" spans="1:34" s="32" customFormat="1" ht="14.25" hidden="1" customHeight="1" x14ac:dyDescent="0.25">
      <c r="A55" s="5" t="s">
        <v>118</v>
      </c>
      <c r="B55" s="64"/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51"/>
      <c r="AC55" s="51"/>
      <c r="AD55" s="51"/>
      <c r="AE55" s="51"/>
      <c r="AF55" s="51"/>
      <c r="AG55" s="51"/>
      <c r="AH55" s="51"/>
    </row>
    <row r="56" spans="1:34" s="32" customFormat="1" ht="14.25" hidden="1" customHeight="1" x14ac:dyDescent="0.25">
      <c r="A56" s="5" t="s">
        <v>119</v>
      </c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51"/>
      <c r="AC56" s="51"/>
      <c r="AD56" s="51"/>
      <c r="AE56" s="51"/>
      <c r="AF56" s="51"/>
      <c r="AG56" s="51"/>
      <c r="AH56" s="51"/>
    </row>
    <row r="57" spans="1:34" s="32" customFormat="1" ht="14.25" hidden="1" customHeight="1" x14ac:dyDescent="0.25">
      <c r="A57" s="5" t="s">
        <v>120</v>
      </c>
      <c r="B57" s="77"/>
      <c r="C57" s="7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51"/>
      <c r="AC57" s="51"/>
      <c r="AD57" s="51"/>
      <c r="AE57" s="51"/>
      <c r="AF57" s="51"/>
      <c r="AG57" s="51"/>
      <c r="AH57" s="51"/>
    </row>
    <row r="58" spans="1:34" s="32" customFormat="1" ht="14.25" hidden="1" customHeight="1" x14ac:dyDescent="0.25">
      <c r="A58" s="5" t="s">
        <v>123</v>
      </c>
      <c r="B58" s="64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51"/>
      <c r="AC58" s="51"/>
      <c r="AD58" s="51"/>
      <c r="AE58" s="51"/>
      <c r="AF58" s="51"/>
      <c r="AG58" s="51"/>
      <c r="AH58" s="51"/>
    </row>
    <row r="59" spans="1:34" s="32" customFormat="1" ht="14.25" hidden="1" customHeight="1" x14ac:dyDescent="0.25">
      <c r="A59" s="5" t="s">
        <v>126</v>
      </c>
      <c r="B59" s="64"/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51"/>
      <c r="AC59" s="51"/>
      <c r="AD59" s="51"/>
      <c r="AE59" s="51"/>
      <c r="AF59" s="51"/>
      <c r="AG59" s="51"/>
      <c r="AH59" s="51"/>
    </row>
    <row r="60" spans="1:34" s="32" customFormat="1" ht="14.45" hidden="1" customHeight="1" x14ac:dyDescent="0.25">
      <c r="A60" s="5" t="s">
        <v>127</v>
      </c>
      <c r="B60" s="77"/>
      <c r="C60" s="7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51"/>
      <c r="AC60" s="51"/>
      <c r="AD60" s="51"/>
      <c r="AE60" s="51"/>
      <c r="AF60" s="51"/>
      <c r="AG60" s="51"/>
      <c r="AH60" s="51"/>
    </row>
    <row r="61" spans="1:34" s="32" customFormat="1" ht="14.45" hidden="1" customHeight="1" x14ac:dyDescent="0.25">
      <c r="A61" s="5" t="s">
        <v>128</v>
      </c>
      <c r="B61" s="64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51"/>
      <c r="AC61" s="51"/>
      <c r="AD61" s="51"/>
      <c r="AE61" s="51"/>
      <c r="AF61" s="51"/>
      <c r="AG61" s="51"/>
      <c r="AH61" s="51"/>
    </row>
    <row r="62" spans="1:34" s="32" customFormat="1" ht="14.45" hidden="1" customHeight="1" x14ac:dyDescent="0.25">
      <c r="A62" s="5" t="s">
        <v>129</v>
      </c>
      <c r="B62" s="64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51"/>
      <c r="AC62" s="51"/>
      <c r="AD62" s="51"/>
      <c r="AE62" s="51"/>
      <c r="AF62" s="51"/>
      <c r="AG62" s="51"/>
      <c r="AH62" s="51"/>
    </row>
    <row r="63" spans="1:34" s="32" customFormat="1" ht="14.45" hidden="1" customHeight="1" x14ac:dyDescent="0.25">
      <c r="A63" s="5" t="s">
        <v>132</v>
      </c>
      <c r="B63" s="64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51"/>
      <c r="AC63" s="51"/>
      <c r="AD63" s="51"/>
      <c r="AE63" s="51"/>
      <c r="AF63" s="51"/>
      <c r="AG63" s="51"/>
      <c r="AH63" s="51"/>
    </row>
    <row r="64" spans="1:34" s="32" customFormat="1" ht="14.45" hidden="1" customHeight="1" x14ac:dyDescent="0.25">
      <c r="A64" s="5" t="s">
        <v>135</v>
      </c>
      <c r="B64" s="49"/>
      <c r="C64" s="50"/>
      <c r="D64" s="67"/>
      <c r="E64" s="67"/>
      <c r="F64" s="67"/>
      <c r="G64" s="67"/>
      <c r="H64" s="67"/>
      <c r="I64" s="67"/>
      <c r="J64" s="67"/>
      <c r="K64" s="66"/>
      <c r="L64" s="66"/>
      <c r="M64" s="66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2"/>
      <c r="AD64" s="52"/>
      <c r="AE64" s="52"/>
      <c r="AF64" s="51"/>
      <c r="AG64" s="51"/>
      <c r="AH64" s="51"/>
    </row>
    <row r="65" spans="1:34" s="32" customFormat="1" ht="14.45" customHeight="1" x14ac:dyDescent="0.25">
      <c r="A65" s="5"/>
      <c r="B65" s="615"/>
      <c r="C65" s="616"/>
      <c r="D65" s="132"/>
      <c r="E65" s="132"/>
      <c r="F65" s="132"/>
      <c r="G65" s="132"/>
      <c r="H65" s="132"/>
      <c r="I65" s="132"/>
      <c r="J65" s="132"/>
      <c r="K65" s="617"/>
      <c r="L65" s="617"/>
      <c r="M65" s="617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618"/>
      <c r="AD65" s="618"/>
      <c r="AE65" s="618"/>
      <c r="AF65" s="133"/>
      <c r="AG65" s="133"/>
      <c r="AH65" s="133"/>
    </row>
    <row r="66" spans="1:34" s="32" customFormat="1" ht="14.45" customHeight="1" x14ac:dyDescent="0.25">
      <c r="A66" s="5"/>
      <c r="B66" s="79"/>
      <c r="C66" s="73"/>
      <c r="D66" s="56"/>
      <c r="E66" s="56"/>
      <c r="F66" s="56"/>
      <c r="G66" s="56"/>
      <c r="H66" s="56"/>
      <c r="I66" s="56"/>
      <c r="J66" s="56"/>
      <c r="K66" s="74"/>
      <c r="L66" s="74"/>
      <c r="M66" s="74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270"/>
      <c r="AD66" s="270"/>
      <c r="AE66" s="270"/>
      <c r="AF66" s="57"/>
      <c r="AG66" s="57"/>
      <c r="AH66" s="57"/>
    </row>
    <row r="67" spans="1:34" s="32" customFormat="1" ht="14.45" customHeight="1" x14ac:dyDescent="0.25">
      <c r="A67" s="5"/>
      <c r="B67" s="79"/>
      <c r="C67" s="73"/>
      <c r="D67" s="56"/>
      <c r="E67" s="56"/>
      <c r="F67" s="56"/>
      <c r="G67" s="56"/>
      <c r="H67" s="56"/>
      <c r="I67" s="56"/>
      <c r="J67" s="56"/>
      <c r="K67" s="74"/>
      <c r="L67" s="74"/>
      <c r="M67" s="74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270"/>
      <c r="AD67" s="270"/>
      <c r="AE67" s="270"/>
      <c r="AF67" s="57"/>
      <c r="AG67" s="57"/>
      <c r="AH67" s="57"/>
    </row>
    <row r="68" spans="1:34" s="32" customFormat="1" ht="14.45" customHeight="1" x14ac:dyDescent="0.25">
      <c r="A68" s="5" t="s">
        <v>566</v>
      </c>
      <c r="B68" s="34" t="s">
        <v>692</v>
      </c>
      <c r="C68" s="73"/>
      <c r="D68" s="56"/>
      <c r="E68" s="56"/>
      <c r="F68" s="56"/>
      <c r="G68" s="56"/>
      <c r="H68" s="56"/>
      <c r="I68" s="56"/>
      <c r="J68" s="56"/>
      <c r="K68" s="74"/>
      <c r="L68" s="74"/>
      <c r="M68" s="74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270"/>
      <c r="AD68" s="270"/>
      <c r="AE68" s="270"/>
      <c r="AF68" s="57"/>
      <c r="AG68" s="57"/>
      <c r="AH68" s="57"/>
    </row>
    <row r="69" spans="1:34" s="32" customFormat="1" ht="14.45" customHeight="1" x14ac:dyDescent="0.25">
      <c r="A69" s="5" t="s">
        <v>567</v>
      </c>
      <c r="B69" s="620" t="s">
        <v>693</v>
      </c>
      <c r="C69" s="272"/>
      <c r="D69" s="273"/>
      <c r="E69" s="273"/>
      <c r="F69" s="273"/>
      <c r="G69" s="273"/>
      <c r="H69" s="273"/>
      <c r="I69" s="273"/>
      <c r="J69" s="273"/>
      <c r="K69" s="274"/>
      <c r="L69" s="274"/>
      <c r="M69" s="274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619"/>
      <c r="AD69" s="619"/>
      <c r="AE69" s="619"/>
      <c r="AF69" s="619"/>
      <c r="AG69" s="619"/>
      <c r="AH69" s="619"/>
    </row>
    <row r="70" spans="1:34" s="32" customFormat="1" ht="14.45" customHeight="1" x14ac:dyDescent="0.25">
      <c r="A70" s="5" t="s">
        <v>568</v>
      </c>
      <c r="B70" s="614" t="s">
        <v>694</v>
      </c>
      <c r="C70" s="272"/>
      <c r="D70" s="273"/>
      <c r="E70" s="273"/>
      <c r="F70" s="273"/>
      <c r="G70" s="273"/>
      <c r="H70" s="273"/>
      <c r="I70" s="273"/>
      <c r="J70" s="273"/>
      <c r="K70" s="274"/>
      <c r="L70" s="274"/>
      <c r="M70" s="274"/>
      <c r="N70" s="275">
        <v>1</v>
      </c>
      <c r="O70" s="275"/>
      <c r="P70" s="275">
        <f t="shared" ref="P70:P78" si="7">N70</f>
        <v>1</v>
      </c>
      <c r="Q70" s="275"/>
      <c r="R70" s="275"/>
      <c r="S70" s="275"/>
      <c r="T70" s="275">
        <v>1</v>
      </c>
      <c r="U70" s="275"/>
      <c r="V70" s="275"/>
      <c r="W70" s="275"/>
      <c r="X70" s="275"/>
      <c r="Y70" s="275">
        <f t="shared" ref="Y70:Y78" si="8">D70+K70+P70</f>
        <v>1</v>
      </c>
      <c r="Z70" s="275"/>
      <c r="AA70" s="275"/>
      <c r="AB70" s="275"/>
      <c r="AC70" s="619">
        <f t="shared" ref="AC70:AC78" si="9">T70+Z70/2</f>
        <v>1</v>
      </c>
      <c r="AD70" s="619"/>
      <c r="AE70" s="619"/>
      <c r="AF70" s="619"/>
      <c r="AG70" s="619"/>
      <c r="AH70" s="619">
        <f t="shared" ref="AH70:AH78" si="10">Y70+AB70/2</f>
        <v>1</v>
      </c>
    </row>
    <row r="71" spans="1:34" s="32" customFormat="1" ht="14.45" customHeight="1" x14ac:dyDescent="0.25">
      <c r="A71" s="5" t="s">
        <v>569</v>
      </c>
      <c r="B71" s="614" t="s">
        <v>695</v>
      </c>
      <c r="C71" s="272"/>
      <c r="D71" s="273"/>
      <c r="E71" s="273"/>
      <c r="F71" s="273"/>
      <c r="G71" s="273"/>
      <c r="H71" s="273"/>
      <c r="I71" s="273"/>
      <c r="J71" s="273"/>
      <c r="K71" s="274"/>
      <c r="L71" s="274"/>
      <c r="M71" s="274"/>
      <c r="N71" s="275">
        <v>1</v>
      </c>
      <c r="O71" s="275"/>
      <c r="P71" s="275">
        <f t="shared" si="7"/>
        <v>1</v>
      </c>
      <c r="Q71" s="275"/>
      <c r="R71" s="275"/>
      <c r="S71" s="275"/>
      <c r="T71" s="275">
        <v>1</v>
      </c>
      <c r="U71" s="275"/>
      <c r="V71" s="275"/>
      <c r="W71" s="275"/>
      <c r="X71" s="275"/>
      <c r="Y71" s="275">
        <f t="shared" si="8"/>
        <v>1</v>
      </c>
      <c r="Z71" s="275"/>
      <c r="AA71" s="275"/>
      <c r="AB71" s="275"/>
      <c r="AC71" s="619">
        <f t="shared" si="9"/>
        <v>1</v>
      </c>
      <c r="AD71" s="619"/>
      <c r="AE71" s="619"/>
      <c r="AF71" s="619"/>
      <c r="AG71" s="619"/>
      <c r="AH71" s="619">
        <f t="shared" si="10"/>
        <v>1</v>
      </c>
    </row>
    <row r="72" spans="1:34" s="32" customFormat="1" ht="14.45" customHeight="1" x14ac:dyDescent="0.25">
      <c r="A72" s="5" t="s">
        <v>570</v>
      </c>
      <c r="B72" s="614" t="s">
        <v>696</v>
      </c>
      <c r="C72" s="272"/>
      <c r="D72" s="273"/>
      <c r="E72" s="273"/>
      <c r="F72" s="273"/>
      <c r="G72" s="273"/>
      <c r="H72" s="273"/>
      <c r="I72" s="273"/>
      <c r="J72" s="273"/>
      <c r="K72" s="274"/>
      <c r="L72" s="274"/>
      <c r="M72" s="274"/>
      <c r="N72" s="275">
        <v>2</v>
      </c>
      <c r="O72" s="275"/>
      <c r="P72" s="275">
        <f t="shared" si="7"/>
        <v>2</v>
      </c>
      <c r="Q72" s="275"/>
      <c r="R72" s="275"/>
      <c r="S72" s="275"/>
      <c r="T72" s="275">
        <v>2</v>
      </c>
      <c r="U72" s="275"/>
      <c r="V72" s="275"/>
      <c r="W72" s="275"/>
      <c r="X72" s="275"/>
      <c r="Y72" s="275">
        <f t="shared" si="8"/>
        <v>2</v>
      </c>
      <c r="Z72" s="275"/>
      <c r="AA72" s="275"/>
      <c r="AB72" s="275"/>
      <c r="AC72" s="619">
        <f t="shared" si="9"/>
        <v>2</v>
      </c>
      <c r="AD72" s="619"/>
      <c r="AE72" s="619"/>
      <c r="AF72" s="619"/>
      <c r="AG72" s="619"/>
      <c r="AH72" s="619">
        <f t="shared" si="10"/>
        <v>2</v>
      </c>
    </row>
    <row r="73" spans="1:34" s="32" customFormat="1" ht="14.45" customHeight="1" x14ac:dyDescent="0.25">
      <c r="A73" s="5" t="s">
        <v>571</v>
      </c>
      <c r="B73" s="614" t="s">
        <v>697</v>
      </c>
      <c r="C73" s="272"/>
      <c r="D73" s="273"/>
      <c r="E73" s="273"/>
      <c r="F73" s="273"/>
      <c r="G73" s="273"/>
      <c r="H73" s="273"/>
      <c r="I73" s="273"/>
      <c r="J73" s="273"/>
      <c r="K73" s="274"/>
      <c r="L73" s="274"/>
      <c r="M73" s="274"/>
      <c r="N73" s="275">
        <v>1</v>
      </c>
      <c r="O73" s="275"/>
      <c r="P73" s="275">
        <f t="shared" si="7"/>
        <v>1</v>
      </c>
      <c r="Q73" s="275"/>
      <c r="R73" s="275"/>
      <c r="S73" s="275"/>
      <c r="T73" s="275">
        <v>1</v>
      </c>
      <c r="U73" s="275"/>
      <c r="V73" s="275"/>
      <c r="W73" s="275"/>
      <c r="X73" s="275"/>
      <c r="Y73" s="275">
        <f t="shared" si="8"/>
        <v>1</v>
      </c>
      <c r="Z73" s="275"/>
      <c r="AA73" s="275"/>
      <c r="AB73" s="275"/>
      <c r="AC73" s="619">
        <f t="shared" si="9"/>
        <v>1</v>
      </c>
      <c r="AD73" s="619"/>
      <c r="AE73" s="619"/>
      <c r="AF73" s="619"/>
      <c r="AG73" s="619"/>
      <c r="AH73" s="619">
        <f t="shared" si="10"/>
        <v>1</v>
      </c>
    </row>
    <row r="74" spans="1:34" s="32" customFormat="1" ht="14.45" customHeight="1" x14ac:dyDescent="0.25">
      <c r="A74" s="5" t="s">
        <v>572</v>
      </c>
      <c r="B74" s="614" t="s">
        <v>698</v>
      </c>
      <c r="C74" s="272"/>
      <c r="D74" s="273"/>
      <c r="E74" s="273"/>
      <c r="F74" s="273"/>
      <c r="G74" s="273"/>
      <c r="H74" s="273"/>
      <c r="I74" s="273"/>
      <c r="J74" s="273"/>
      <c r="K74" s="274"/>
      <c r="L74" s="274"/>
      <c r="M74" s="274"/>
      <c r="N74" s="275">
        <v>1</v>
      </c>
      <c r="O74" s="275"/>
      <c r="P74" s="275">
        <f t="shared" si="7"/>
        <v>1</v>
      </c>
      <c r="Q74" s="275"/>
      <c r="R74" s="275"/>
      <c r="S74" s="275"/>
      <c r="T74" s="275">
        <v>1</v>
      </c>
      <c r="U74" s="275"/>
      <c r="V74" s="275"/>
      <c r="W74" s="275"/>
      <c r="X74" s="275"/>
      <c r="Y74" s="275">
        <f t="shared" si="8"/>
        <v>1</v>
      </c>
      <c r="Z74" s="275"/>
      <c r="AA74" s="275"/>
      <c r="AB74" s="275"/>
      <c r="AC74" s="619">
        <f t="shared" si="9"/>
        <v>1</v>
      </c>
      <c r="AD74" s="619"/>
      <c r="AE74" s="619"/>
      <c r="AF74" s="619"/>
      <c r="AG74" s="619"/>
      <c r="AH74" s="619">
        <f t="shared" si="10"/>
        <v>1</v>
      </c>
    </row>
    <row r="75" spans="1:34" s="32" customFormat="1" ht="14.45" customHeight="1" x14ac:dyDescent="0.25">
      <c r="A75" s="5" t="s">
        <v>624</v>
      </c>
      <c r="B75" s="614" t="s">
        <v>1042</v>
      </c>
      <c r="C75" s="272"/>
      <c r="D75" s="273"/>
      <c r="E75" s="273"/>
      <c r="F75" s="273"/>
      <c r="G75" s="273"/>
      <c r="H75" s="273"/>
      <c r="I75" s="273"/>
      <c r="J75" s="273"/>
      <c r="K75" s="274"/>
      <c r="L75" s="274"/>
      <c r="M75" s="274"/>
      <c r="N75" s="275">
        <v>1</v>
      </c>
      <c r="O75" s="275"/>
      <c r="P75" s="275">
        <f t="shared" si="7"/>
        <v>1</v>
      </c>
      <c r="Q75" s="275"/>
      <c r="R75" s="275"/>
      <c r="S75" s="275"/>
      <c r="T75" s="275">
        <v>1</v>
      </c>
      <c r="U75" s="275"/>
      <c r="V75" s="275"/>
      <c r="W75" s="275"/>
      <c r="X75" s="275"/>
      <c r="Y75" s="275">
        <f t="shared" si="8"/>
        <v>1</v>
      </c>
      <c r="Z75" s="275"/>
      <c r="AA75" s="275"/>
      <c r="AB75" s="275"/>
      <c r="AC75" s="619">
        <f t="shared" si="9"/>
        <v>1</v>
      </c>
      <c r="AD75" s="619"/>
      <c r="AE75" s="619"/>
      <c r="AF75" s="619"/>
      <c r="AG75" s="619"/>
      <c r="AH75" s="619">
        <f t="shared" si="10"/>
        <v>1</v>
      </c>
    </row>
    <row r="76" spans="1:34" s="32" customFormat="1" ht="14.45" customHeight="1" x14ac:dyDescent="0.25">
      <c r="A76" s="5" t="s">
        <v>625</v>
      </c>
      <c r="B76" s="614" t="s">
        <v>1043</v>
      </c>
      <c r="C76" s="272"/>
      <c r="D76" s="273"/>
      <c r="E76" s="273"/>
      <c r="F76" s="273"/>
      <c r="G76" s="273"/>
      <c r="H76" s="273"/>
      <c r="I76" s="273"/>
      <c r="J76" s="273"/>
      <c r="K76" s="274"/>
      <c r="L76" s="274"/>
      <c r="M76" s="274"/>
      <c r="N76" s="275">
        <v>1</v>
      </c>
      <c r="O76" s="275"/>
      <c r="P76" s="275">
        <f t="shared" si="7"/>
        <v>1</v>
      </c>
      <c r="Q76" s="275"/>
      <c r="R76" s="275"/>
      <c r="S76" s="275"/>
      <c r="T76" s="275">
        <v>1</v>
      </c>
      <c r="U76" s="275"/>
      <c r="V76" s="275"/>
      <c r="W76" s="275"/>
      <c r="X76" s="275"/>
      <c r="Y76" s="275">
        <f t="shared" si="8"/>
        <v>1</v>
      </c>
      <c r="Z76" s="275"/>
      <c r="AA76" s="275"/>
      <c r="AB76" s="275"/>
      <c r="AC76" s="619">
        <f t="shared" si="9"/>
        <v>1</v>
      </c>
      <c r="AD76" s="619"/>
      <c r="AE76" s="619"/>
      <c r="AF76" s="619"/>
      <c r="AG76" s="619"/>
      <c r="AH76" s="619">
        <f t="shared" si="10"/>
        <v>1</v>
      </c>
    </row>
    <row r="77" spans="1:34" s="32" customFormat="1" ht="14.45" customHeight="1" x14ac:dyDescent="0.25">
      <c r="A77" s="5" t="s">
        <v>626</v>
      </c>
      <c r="B77" s="614" t="s">
        <v>699</v>
      </c>
      <c r="C77" s="272"/>
      <c r="D77" s="273"/>
      <c r="E77" s="273"/>
      <c r="F77" s="273"/>
      <c r="G77" s="273"/>
      <c r="H77" s="273"/>
      <c r="I77" s="273"/>
      <c r="J77" s="273"/>
      <c r="K77" s="274"/>
      <c r="L77" s="274"/>
      <c r="M77" s="274"/>
      <c r="N77" s="275">
        <v>1</v>
      </c>
      <c r="O77" s="275"/>
      <c r="P77" s="275">
        <f t="shared" si="7"/>
        <v>1</v>
      </c>
      <c r="Q77" s="275"/>
      <c r="R77" s="275"/>
      <c r="S77" s="275"/>
      <c r="T77" s="275">
        <v>1</v>
      </c>
      <c r="U77" s="275"/>
      <c r="V77" s="275"/>
      <c r="W77" s="275"/>
      <c r="X77" s="275"/>
      <c r="Y77" s="275">
        <f t="shared" si="8"/>
        <v>1</v>
      </c>
      <c r="Z77" s="275"/>
      <c r="AA77" s="275"/>
      <c r="AB77" s="275"/>
      <c r="AC77" s="619">
        <f t="shared" si="9"/>
        <v>1</v>
      </c>
      <c r="AD77" s="619"/>
      <c r="AE77" s="619"/>
      <c r="AF77" s="619"/>
      <c r="AG77" s="619"/>
      <c r="AH77" s="619">
        <f t="shared" si="10"/>
        <v>1</v>
      </c>
    </row>
    <row r="78" spans="1:34" s="32" customFormat="1" ht="14.45" customHeight="1" x14ac:dyDescent="0.25">
      <c r="A78" s="5" t="s">
        <v>627</v>
      </c>
      <c r="B78" s="614" t="s">
        <v>700</v>
      </c>
      <c r="C78" s="272"/>
      <c r="D78" s="273"/>
      <c r="E78" s="273"/>
      <c r="F78" s="273"/>
      <c r="G78" s="273"/>
      <c r="H78" s="273"/>
      <c r="I78" s="273"/>
      <c r="J78" s="273"/>
      <c r="K78" s="274"/>
      <c r="L78" s="274"/>
      <c r="M78" s="274"/>
      <c r="N78" s="275">
        <v>1</v>
      </c>
      <c r="O78" s="275"/>
      <c r="P78" s="275">
        <f t="shared" si="7"/>
        <v>1</v>
      </c>
      <c r="Q78" s="275"/>
      <c r="R78" s="275"/>
      <c r="S78" s="275"/>
      <c r="T78" s="275">
        <v>1</v>
      </c>
      <c r="U78" s="275"/>
      <c r="V78" s="275"/>
      <c r="W78" s="275"/>
      <c r="X78" s="275"/>
      <c r="Y78" s="275">
        <f t="shared" si="8"/>
        <v>1</v>
      </c>
      <c r="Z78" s="275"/>
      <c r="AA78" s="275"/>
      <c r="AB78" s="275"/>
      <c r="AC78" s="619">
        <f t="shared" si="9"/>
        <v>1</v>
      </c>
      <c r="AD78" s="619"/>
      <c r="AE78" s="619"/>
      <c r="AF78" s="619"/>
      <c r="AG78" s="619"/>
      <c r="AH78" s="619">
        <f t="shared" si="10"/>
        <v>1</v>
      </c>
    </row>
    <row r="79" spans="1:34" s="32" customFormat="1" ht="14.45" customHeight="1" x14ac:dyDescent="0.25">
      <c r="A79" s="5" t="s">
        <v>115</v>
      </c>
      <c r="B79" s="620" t="s">
        <v>701</v>
      </c>
      <c r="C79" s="272"/>
      <c r="D79" s="273"/>
      <c r="E79" s="273"/>
      <c r="F79" s="273"/>
      <c r="G79" s="273"/>
      <c r="H79" s="273"/>
      <c r="I79" s="273"/>
      <c r="J79" s="273"/>
      <c r="K79" s="274"/>
      <c r="L79" s="274"/>
      <c r="M79" s="274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619"/>
      <c r="AD79" s="619"/>
      <c r="AE79" s="619"/>
      <c r="AF79" s="619"/>
      <c r="AG79" s="619"/>
      <c r="AH79" s="619"/>
    </row>
    <row r="80" spans="1:34" s="32" customFormat="1" ht="14.45" customHeight="1" x14ac:dyDescent="0.25">
      <c r="A80" s="5" t="s">
        <v>652</v>
      </c>
      <c r="B80" s="614" t="s">
        <v>702</v>
      </c>
      <c r="C80" s="272"/>
      <c r="D80" s="273"/>
      <c r="E80" s="273"/>
      <c r="F80" s="273"/>
      <c r="G80" s="273"/>
      <c r="H80" s="273"/>
      <c r="I80" s="273"/>
      <c r="J80" s="273"/>
      <c r="K80" s="274"/>
      <c r="L80" s="274"/>
      <c r="M80" s="274"/>
      <c r="N80" s="275">
        <v>1</v>
      </c>
      <c r="O80" s="275"/>
      <c r="P80" s="275">
        <f t="shared" ref="P80:P87" si="11">N80</f>
        <v>1</v>
      </c>
      <c r="Q80" s="275"/>
      <c r="R80" s="275"/>
      <c r="S80" s="275"/>
      <c r="T80" s="275">
        <v>1</v>
      </c>
      <c r="U80" s="275"/>
      <c r="V80" s="275"/>
      <c r="W80" s="275"/>
      <c r="X80" s="275"/>
      <c r="Y80" s="275">
        <f t="shared" ref="Y80:Y87" si="12">D80+K80+P80</f>
        <v>1</v>
      </c>
      <c r="Z80" s="275"/>
      <c r="AA80" s="275"/>
      <c r="AB80" s="275"/>
      <c r="AC80" s="619">
        <f t="shared" ref="AC80:AC87" si="13">T80+Z80/2</f>
        <v>1</v>
      </c>
      <c r="AD80" s="619"/>
      <c r="AE80" s="619"/>
      <c r="AF80" s="619"/>
      <c r="AG80" s="619"/>
      <c r="AH80" s="619">
        <f t="shared" ref="AH80:AH87" si="14">Y80+AB80/2</f>
        <v>1</v>
      </c>
    </row>
    <row r="81" spans="1:34" s="32" customFormat="1" ht="14.45" customHeight="1" x14ac:dyDescent="0.25">
      <c r="A81" s="5" t="s">
        <v>653</v>
      </c>
      <c r="B81" s="614" t="s">
        <v>703</v>
      </c>
      <c r="C81" s="272"/>
      <c r="D81" s="273"/>
      <c r="E81" s="273"/>
      <c r="F81" s="273"/>
      <c r="G81" s="273"/>
      <c r="H81" s="273"/>
      <c r="I81" s="273"/>
      <c r="J81" s="273"/>
      <c r="K81" s="274"/>
      <c r="L81" s="274"/>
      <c r="M81" s="274"/>
      <c r="N81" s="275">
        <v>1</v>
      </c>
      <c r="O81" s="275"/>
      <c r="P81" s="275">
        <f t="shared" si="11"/>
        <v>1</v>
      </c>
      <c r="Q81" s="275"/>
      <c r="R81" s="275"/>
      <c r="S81" s="275"/>
      <c r="T81" s="275">
        <v>1</v>
      </c>
      <c r="U81" s="275"/>
      <c r="V81" s="275"/>
      <c r="W81" s="275"/>
      <c r="X81" s="275"/>
      <c r="Y81" s="275">
        <f t="shared" si="12"/>
        <v>1</v>
      </c>
      <c r="Z81" s="275"/>
      <c r="AA81" s="275"/>
      <c r="AB81" s="275"/>
      <c r="AC81" s="619">
        <f t="shared" si="13"/>
        <v>1</v>
      </c>
      <c r="AD81" s="619"/>
      <c r="AE81" s="619"/>
      <c r="AF81" s="619"/>
      <c r="AG81" s="619"/>
      <c r="AH81" s="619">
        <f t="shared" si="14"/>
        <v>1</v>
      </c>
    </row>
    <row r="82" spans="1:34" s="32" customFormat="1" ht="14.45" customHeight="1" x14ac:dyDescent="0.25">
      <c r="A82" s="5" t="s">
        <v>118</v>
      </c>
      <c r="B82" s="614" t="s">
        <v>704</v>
      </c>
      <c r="C82" s="272"/>
      <c r="D82" s="273"/>
      <c r="E82" s="273"/>
      <c r="F82" s="273"/>
      <c r="G82" s="273"/>
      <c r="H82" s="273"/>
      <c r="I82" s="273"/>
      <c r="J82" s="273"/>
      <c r="K82" s="274"/>
      <c r="L82" s="274"/>
      <c r="M82" s="274"/>
      <c r="N82" s="275">
        <v>1</v>
      </c>
      <c r="O82" s="275"/>
      <c r="P82" s="275">
        <f t="shared" si="11"/>
        <v>1</v>
      </c>
      <c r="Q82" s="275"/>
      <c r="R82" s="275"/>
      <c r="S82" s="275"/>
      <c r="T82" s="275">
        <v>1</v>
      </c>
      <c r="U82" s="275"/>
      <c r="V82" s="275"/>
      <c r="W82" s="275"/>
      <c r="X82" s="275"/>
      <c r="Y82" s="275">
        <f t="shared" si="12"/>
        <v>1</v>
      </c>
      <c r="Z82" s="275"/>
      <c r="AA82" s="275"/>
      <c r="AB82" s="275"/>
      <c r="AC82" s="619">
        <f t="shared" si="13"/>
        <v>1</v>
      </c>
      <c r="AD82" s="619"/>
      <c r="AE82" s="619"/>
      <c r="AF82" s="619"/>
      <c r="AG82" s="619"/>
      <c r="AH82" s="619">
        <f t="shared" si="14"/>
        <v>1</v>
      </c>
    </row>
    <row r="83" spans="1:34" s="32" customFormat="1" ht="14.45" customHeight="1" x14ac:dyDescent="0.25">
      <c r="A83" s="5" t="s">
        <v>119</v>
      </c>
      <c r="B83" s="620" t="s">
        <v>705</v>
      </c>
      <c r="C83" s="272"/>
      <c r="D83" s="273"/>
      <c r="E83" s="273"/>
      <c r="F83" s="273"/>
      <c r="G83" s="273"/>
      <c r="H83" s="273"/>
      <c r="I83" s="273"/>
      <c r="J83" s="273"/>
      <c r="K83" s="274"/>
      <c r="L83" s="274"/>
      <c r="M83" s="274"/>
      <c r="N83" s="275"/>
      <c r="O83" s="275"/>
      <c r="P83" s="275">
        <f t="shared" si="11"/>
        <v>0</v>
      </c>
      <c r="Q83" s="275"/>
      <c r="R83" s="275"/>
      <c r="S83" s="275"/>
      <c r="T83" s="275"/>
      <c r="U83" s="275"/>
      <c r="V83" s="275"/>
      <c r="W83" s="275"/>
      <c r="X83" s="275"/>
      <c r="Y83" s="275">
        <f t="shared" si="12"/>
        <v>0</v>
      </c>
      <c r="Z83" s="275"/>
      <c r="AA83" s="275"/>
      <c r="AB83" s="275"/>
      <c r="AC83" s="619">
        <f t="shared" si="13"/>
        <v>0</v>
      </c>
      <c r="AD83" s="619"/>
      <c r="AE83" s="619"/>
      <c r="AF83" s="619"/>
      <c r="AG83" s="619"/>
      <c r="AH83" s="619">
        <f t="shared" si="14"/>
        <v>0</v>
      </c>
    </row>
    <row r="84" spans="1:34" s="32" customFormat="1" ht="14.45" customHeight="1" x14ac:dyDescent="0.25">
      <c r="A84" s="5" t="s">
        <v>120</v>
      </c>
      <c r="B84" s="614" t="s">
        <v>706</v>
      </c>
      <c r="C84" s="272"/>
      <c r="D84" s="273"/>
      <c r="E84" s="273"/>
      <c r="F84" s="273"/>
      <c r="G84" s="273"/>
      <c r="H84" s="273"/>
      <c r="I84" s="273"/>
      <c r="J84" s="273"/>
      <c r="K84" s="274"/>
      <c r="L84" s="274"/>
      <c r="M84" s="274"/>
      <c r="N84" s="275">
        <v>1</v>
      </c>
      <c r="O84" s="275"/>
      <c r="P84" s="275">
        <f t="shared" si="11"/>
        <v>1</v>
      </c>
      <c r="Q84" s="275"/>
      <c r="R84" s="275"/>
      <c r="S84" s="275"/>
      <c r="T84" s="275">
        <v>1</v>
      </c>
      <c r="U84" s="275"/>
      <c r="V84" s="275"/>
      <c r="W84" s="275"/>
      <c r="X84" s="275"/>
      <c r="Y84" s="275">
        <f t="shared" si="12"/>
        <v>1</v>
      </c>
      <c r="Z84" s="275"/>
      <c r="AA84" s="275"/>
      <c r="AB84" s="275"/>
      <c r="AC84" s="619">
        <f t="shared" si="13"/>
        <v>1</v>
      </c>
      <c r="AD84" s="619"/>
      <c r="AE84" s="619"/>
      <c r="AF84" s="619"/>
      <c r="AG84" s="619"/>
      <c r="AH84" s="619">
        <f t="shared" si="14"/>
        <v>1</v>
      </c>
    </row>
    <row r="85" spans="1:34" s="32" customFormat="1" ht="14.45" customHeight="1" x14ac:dyDescent="0.25">
      <c r="A85" s="5" t="s">
        <v>123</v>
      </c>
      <c r="B85" s="614" t="s">
        <v>707</v>
      </c>
      <c r="C85" s="272"/>
      <c r="D85" s="273"/>
      <c r="E85" s="273"/>
      <c r="F85" s="273"/>
      <c r="G85" s="273"/>
      <c r="H85" s="273"/>
      <c r="I85" s="273"/>
      <c r="J85" s="273"/>
      <c r="K85" s="274"/>
      <c r="L85" s="274"/>
      <c r="M85" s="274"/>
      <c r="N85" s="275">
        <v>1</v>
      </c>
      <c r="O85" s="275"/>
      <c r="P85" s="275">
        <f t="shared" si="11"/>
        <v>1</v>
      </c>
      <c r="Q85" s="275"/>
      <c r="R85" s="275"/>
      <c r="S85" s="275"/>
      <c r="T85" s="275">
        <v>1</v>
      </c>
      <c r="U85" s="275"/>
      <c r="V85" s="275"/>
      <c r="W85" s="275"/>
      <c r="X85" s="275"/>
      <c r="Y85" s="275">
        <f t="shared" si="12"/>
        <v>1</v>
      </c>
      <c r="Z85" s="275"/>
      <c r="AA85" s="275"/>
      <c r="AB85" s="275"/>
      <c r="AC85" s="619">
        <f t="shared" si="13"/>
        <v>1</v>
      </c>
      <c r="AD85" s="619"/>
      <c r="AE85" s="619"/>
      <c r="AF85" s="619"/>
      <c r="AG85" s="619"/>
      <c r="AH85" s="619">
        <f t="shared" si="14"/>
        <v>1</v>
      </c>
    </row>
    <row r="86" spans="1:34" s="32" customFormat="1" ht="14.45" customHeight="1" x14ac:dyDescent="0.25">
      <c r="A86" s="5" t="s">
        <v>126</v>
      </c>
      <c r="B86" s="614" t="s">
        <v>708</v>
      </c>
      <c r="C86" s="272"/>
      <c r="D86" s="273"/>
      <c r="E86" s="273"/>
      <c r="F86" s="273"/>
      <c r="G86" s="273"/>
      <c r="H86" s="273"/>
      <c r="I86" s="273"/>
      <c r="J86" s="273"/>
      <c r="K86" s="274"/>
      <c r="L86" s="274"/>
      <c r="M86" s="274"/>
      <c r="N86" s="275">
        <v>3</v>
      </c>
      <c r="O86" s="275"/>
      <c r="P86" s="275">
        <f t="shared" si="11"/>
        <v>3</v>
      </c>
      <c r="Q86" s="275"/>
      <c r="R86" s="275"/>
      <c r="S86" s="275"/>
      <c r="T86" s="275">
        <v>3</v>
      </c>
      <c r="U86" s="275"/>
      <c r="V86" s="275"/>
      <c r="W86" s="275"/>
      <c r="X86" s="275"/>
      <c r="Y86" s="275">
        <f t="shared" si="12"/>
        <v>3</v>
      </c>
      <c r="Z86" s="275"/>
      <c r="AA86" s="275"/>
      <c r="AB86" s="275"/>
      <c r="AC86" s="619">
        <f t="shared" si="13"/>
        <v>3</v>
      </c>
      <c r="AD86" s="619"/>
      <c r="AE86" s="619"/>
      <c r="AF86" s="619"/>
      <c r="AG86" s="619"/>
      <c r="AH86" s="619">
        <f t="shared" si="14"/>
        <v>3</v>
      </c>
    </row>
    <row r="87" spans="1:34" s="32" customFormat="1" ht="14.45" customHeight="1" x14ac:dyDescent="0.25">
      <c r="A87" s="5" t="s">
        <v>127</v>
      </c>
      <c r="B87" s="614" t="s">
        <v>909</v>
      </c>
      <c r="C87" s="272"/>
      <c r="D87" s="273"/>
      <c r="E87" s="273"/>
      <c r="F87" s="273"/>
      <c r="G87" s="273"/>
      <c r="H87" s="273"/>
      <c r="I87" s="273"/>
      <c r="J87" s="273"/>
      <c r="K87" s="274"/>
      <c r="L87" s="274"/>
      <c r="M87" s="274"/>
      <c r="N87" s="275">
        <v>1</v>
      </c>
      <c r="O87" s="275"/>
      <c r="P87" s="275">
        <f t="shared" si="11"/>
        <v>1</v>
      </c>
      <c r="Q87" s="275"/>
      <c r="R87" s="275"/>
      <c r="S87" s="275"/>
      <c r="T87" s="275">
        <v>1</v>
      </c>
      <c r="U87" s="275"/>
      <c r="V87" s="275"/>
      <c r="W87" s="275"/>
      <c r="X87" s="275"/>
      <c r="Y87" s="275">
        <f t="shared" si="12"/>
        <v>1</v>
      </c>
      <c r="Z87" s="275"/>
      <c r="AA87" s="275"/>
      <c r="AB87" s="275"/>
      <c r="AC87" s="619">
        <f t="shared" si="13"/>
        <v>1</v>
      </c>
      <c r="AD87" s="619"/>
      <c r="AE87" s="619"/>
      <c r="AF87" s="619"/>
      <c r="AG87" s="619"/>
      <c r="AH87" s="619">
        <f t="shared" si="14"/>
        <v>1</v>
      </c>
    </row>
    <row r="88" spans="1:34" s="32" customFormat="1" ht="14.45" customHeight="1" x14ac:dyDescent="0.25">
      <c r="A88" s="5" t="s">
        <v>128</v>
      </c>
      <c r="B88" s="620" t="s">
        <v>709</v>
      </c>
      <c r="C88" s="272"/>
      <c r="D88" s="273"/>
      <c r="E88" s="273"/>
      <c r="F88" s="273"/>
      <c r="G88" s="273"/>
      <c r="H88" s="273"/>
      <c r="I88" s="273"/>
      <c r="J88" s="273"/>
      <c r="K88" s="274"/>
      <c r="L88" s="274"/>
      <c r="M88" s="274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619"/>
      <c r="AD88" s="619"/>
      <c r="AE88" s="619"/>
      <c r="AF88" s="619"/>
      <c r="AG88" s="619"/>
      <c r="AH88" s="619"/>
    </row>
    <row r="89" spans="1:34" s="32" customFormat="1" ht="14.45" customHeight="1" x14ac:dyDescent="0.25">
      <c r="A89" s="5" t="s">
        <v>129</v>
      </c>
      <c r="B89" s="614" t="s">
        <v>710</v>
      </c>
      <c r="C89" s="272"/>
      <c r="D89" s="273"/>
      <c r="E89" s="273"/>
      <c r="F89" s="273"/>
      <c r="G89" s="273"/>
      <c r="H89" s="273"/>
      <c r="I89" s="273"/>
      <c r="J89" s="273"/>
      <c r="K89" s="274"/>
      <c r="L89" s="274"/>
      <c r="M89" s="274"/>
      <c r="N89" s="275">
        <v>1</v>
      </c>
      <c r="O89" s="275"/>
      <c r="P89" s="275">
        <f>N89</f>
        <v>1</v>
      </c>
      <c r="Q89" s="275"/>
      <c r="R89" s="275"/>
      <c r="S89" s="275"/>
      <c r="T89" s="275">
        <v>1</v>
      </c>
      <c r="U89" s="275"/>
      <c r="V89" s="275"/>
      <c r="W89" s="275"/>
      <c r="X89" s="275"/>
      <c r="Y89" s="275">
        <f>D89+K89+P89</f>
        <v>1</v>
      </c>
      <c r="Z89" s="275"/>
      <c r="AA89" s="275"/>
      <c r="AB89" s="275"/>
      <c r="AC89" s="619">
        <f>T89+Z89/2</f>
        <v>1</v>
      </c>
      <c r="AD89" s="619"/>
      <c r="AE89" s="619"/>
      <c r="AF89" s="619"/>
      <c r="AG89" s="619"/>
      <c r="AH89" s="619">
        <f>Y89+AB89/2</f>
        <v>1</v>
      </c>
    </row>
    <row r="90" spans="1:34" s="32" customFormat="1" ht="14.45" customHeight="1" x14ac:dyDescent="0.25">
      <c r="A90" s="5" t="s">
        <v>132</v>
      </c>
      <c r="B90" s="614" t="s">
        <v>711</v>
      </c>
      <c r="C90" s="272"/>
      <c r="D90" s="273"/>
      <c r="E90" s="273"/>
      <c r="F90" s="273"/>
      <c r="G90" s="273"/>
      <c r="H90" s="273"/>
      <c r="I90" s="273"/>
      <c r="J90" s="273"/>
      <c r="K90" s="274"/>
      <c r="L90" s="274"/>
      <c r="M90" s="274"/>
      <c r="N90" s="275">
        <v>2</v>
      </c>
      <c r="O90" s="275"/>
      <c r="P90" s="275">
        <f>N90</f>
        <v>2</v>
      </c>
      <c r="Q90" s="275"/>
      <c r="R90" s="275"/>
      <c r="S90" s="275"/>
      <c r="T90" s="275">
        <v>2</v>
      </c>
      <c r="U90" s="275"/>
      <c r="V90" s="275"/>
      <c r="W90" s="275"/>
      <c r="X90" s="275"/>
      <c r="Y90" s="275">
        <f>D90+K90+P90</f>
        <v>2</v>
      </c>
      <c r="Z90" s="275"/>
      <c r="AA90" s="275"/>
      <c r="AB90" s="275"/>
      <c r="AC90" s="619">
        <f>T90+Z90/2</f>
        <v>2</v>
      </c>
      <c r="AD90" s="619"/>
      <c r="AE90" s="619"/>
      <c r="AF90" s="619"/>
      <c r="AG90" s="619"/>
      <c r="AH90" s="619">
        <f>Y90+AB90/2</f>
        <v>2</v>
      </c>
    </row>
    <row r="91" spans="1:34" s="32" customFormat="1" ht="14.45" customHeight="1" x14ac:dyDescent="0.25">
      <c r="A91" s="5" t="s">
        <v>135</v>
      </c>
      <c r="B91" s="614" t="s">
        <v>712</v>
      </c>
      <c r="C91" s="272"/>
      <c r="D91" s="273"/>
      <c r="E91" s="273"/>
      <c r="F91" s="273"/>
      <c r="G91" s="273"/>
      <c r="H91" s="273"/>
      <c r="I91" s="273"/>
      <c r="J91" s="273"/>
      <c r="K91" s="274"/>
      <c r="L91" s="274"/>
      <c r="M91" s="274"/>
      <c r="N91" s="275">
        <v>1</v>
      </c>
      <c r="O91" s="275"/>
      <c r="P91" s="275">
        <f>N91</f>
        <v>1</v>
      </c>
      <c r="Q91" s="275"/>
      <c r="R91" s="275"/>
      <c r="S91" s="275"/>
      <c r="T91" s="275">
        <v>1</v>
      </c>
      <c r="U91" s="275"/>
      <c r="V91" s="275"/>
      <c r="W91" s="275"/>
      <c r="X91" s="275"/>
      <c r="Y91" s="275">
        <f>D91+K91+P91</f>
        <v>1</v>
      </c>
      <c r="Z91" s="275"/>
      <c r="AA91" s="275"/>
      <c r="AB91" s="275"/>
      <c r="AC91" s="619">
        <f>T91+Z91/2</f>
        <v>1</v>
      </c>
      <c r="AD91" s="619"/>
      <c r="AE91" s="619"/>
      <c r="AF91" s="619"/>
      <c r="AG91" s="619"/>
      <c r="AH91" s="619">
        <f>Y91+AB91/2</f>
        <v>1</v>
      </c>
    </row>
    <row r="92" spans="1:34" s="32" customFormat="1" ht="14.45" customHeight="1" x14ac:dyDescent="0.25">
      <c r="A92" s="5" t="s">
        <v>138</v>
      </c>
      <c r="B92" s="1012" t="s">
        <v>1057</v>
      </c>
      <c r="C92" s="1013"/>
      <c r="D92" s="1014"/>
      <c r="E92" s="1014"/>
      <c r="F92" s="1014"/>
      <c r="G92" s="1014"/>
      <c r="H92" s="1014"/>
      <c r="I92" s="1014"/>
      <c r="J92" s="1014"/>
      <c r="K92" s="1015"/>
      <c r="L92" s="1015"/>
      <c r="M92" s="1015"/>
      <c r="N92" s="1016">
        <v>0.5</v>
      </c>
      <c r="O92" s="1016"/>
      <c r="P92" s="1016">
        <f>N92</f>
        <v>0.5</v>
      </c>
      <c r="Q92" s="1016"/>
      <c r="R92" s="1016"/>
      <c r="S92" s="1016"/>
      <c r="T92" s="1016">
        <f>N92+Q92</f>
        <v>0.5</v>
      </c>
      <c r="U92" s="1016"/>
      <c r="V92" s="1016"/>
      <c r="W92" s="1016"/>
      <c r="X92" s="1016"/>
      <c r="Y92" s="1016">
        <f>D92+K92+P92</f>
        <v>0.5</v>
      </c>
      <c r="Z92" s="1016"/>
      <c r="AA92" s="1016"/>
      <c r="AB92" s="1016"/>
      <c r="AC92" s="1017">
        <f>T92+Z92</f>
        <v>0.5</v>
      </c>
      <c r="AD92" s="1017"/>
      <c r="AE92" s="1017"/>
      <c r="AF92" s="1018"/>
      <c r="AG92" s="1018"/>
      <c r="AH92" s="1019">
        <f>Y92+AB92/2</f>
        <v>0.5</v>
      </c>
    </row>
    <row r="93" spans="1:34" s="32" customFormat="1" ht="14.45" customHeight="1" x14ac:dyDescent="0.25">
      <c r="A93" s="5" t="s">
        <v>139</v>
      </c>
      <c r="B93" s="268" t="s">
        <v>713</v>
      </c>
      <c r="C93" s="272"/>
      <c r="D93" s="273"/>
      <c r="E93" s="273"/>
      <c r="F93" s="273"/>
      <c r="G93" s="273"/>
      <c r="H93" s="273"/>
      <c r="I93" s="273"/>
      <c r="J93" s="273"/>
      <c r="K93" s="274"/>
      <c r="L93" s="274"/>
      <c r="M93" s="274"/>
      <c r="N93" s="275">
        <f>SUM(N70:N92)</f>
        <v>23.5</v>
      </c>
      <c r="O93" s="275"/>
      <c r="P93" s="275">
        <f>N93</f>
        <v>23.5</v>
      </c>
      <c r="Q93" s="275">
        <f>SUM(Q70:Q91)</f>
        <v>0</v>
      </c>
      <c r="R93" s="275"/>
      <c r="S93" s="275">
        <f>SUM(S70:S91)</f>
        <v>0</v>
      </c>
      <c r="T93" s="275">
        <f>SUM(T70:T92)</f>
        <v>23.5</v>
      </c>
      <c r="U93" s="275"/>
      <c r="V93" s="275"/>
      <c r="W93" s="275"/>
      <c r="X93" s="275"/>
      <c r="Y93" s="275">
        <f>D93+K93+P93</f>
        <v>23.5</v>
      </c>
      <c r="Z93" s="275">
        <f>SUM(Z70:Z91)</f>
        <v>0</v>
      </c>
      <c r="AA93" s="275"/>
      <c r="AB93" s="275">
        <f>SUM(AB70:AB91)</f>
        <v>0</v>
      </c>
      <c r="AC93" s="718">
        <f>T93+Z93/2</f>
        <v>23.5</v>
      </c>
      <c r="AD93" s="718"/>
      <c r="AE93" s="718"/>
      <c r="AF93" s="887">
        <v>0</v>
      </c>
      <c r="AG93" s="887"/>
      <c r="AH93" s="718">
        <f>SUM(AH70:AH92)</f>
        <v>23.5</v>
      </c>
    </row>
    <row r="94" spans="1:34" s="32" customFormat="1" ht="14.45" customHeight="1" x14ac:dyDescent="0.25">
      <c r="A94" s="5"/>
      <c r="B94" s="615"/>
      <c r="C94" s="699"/>
      <c r="D94" s="700"/>
      <c r="E94" s="700"/>
      <c r="F94" s="700"/>
      <c r="G94" s="700"/>
      <c r="H94" s="700"/>
      <c r="I94" s="700"/>
      <c r="J94" s="700"/>
      <c r="K94" s="701"/>
      <c r="L94" s="701"/>
      <c r="M94" s="701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3"/>
      <c r="AD94" s="703"/>
      <c r="AE94" s="703"/>
      <c r="AF94" s="702"/>
      <c r="AG94" s="702"/>
      <c r="AH94" s="702"/>
    </row>
    <row r="95" spans="1:34" s="32" customFormat="1" ht="14.45" customHeight="1" x14ac:dyDescent="0.25">
      <c r="A95" s="5"/>
      <c r="B95" s="79"/>
      <c r="C95" s="73"/>
      <c r="D95" s="56"/>
      <c r="E95" s="56"/>
      <c r="F95" s="56"/>
      <c r="G95" s="56"/>
      <c r="H95" s="56"/>
      <c r="I95" s="56"/>
      <c r="J95" s="56"/>
      <c r="K95" s="74"/>
      <c r="L95" s="74"/>
      <c r="M95" s="74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270"/>
      <c r="AD95" s="270"/>
      <c r="AE95" s="270"/>
      <c r="AF95" s="57"/>
      <c r="AG95" s="57"/>
      <c r="AH95" s="57"/>
    </row>
    <row r="96" spans="1:34" s="32" customFormat="1" ht="14.45" customHeight="1" x14ac:dyDescent="0.25">
      <c r="A96" s="5"/>
      <c r="B96" s="79"/>
      <c r="C96" s="73"/>
      <c r="D96" s="56"/>
      <c r="E96" s="56"/>
      <c r="F96" s="56"/>
      <c r="G96" s="56"/>
      <c r="H96" s="56"/>
      <c r="I96" s="56"/>
      <c r="J96" s="56"/>
      <c r="K96" s="74"/>
      <c r="L96" s="74"/>
      <c r="M96" s="74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270"/>
      <c r="AD96" s="270"/>
      <c r="AE96" s="270"/>
      <c r="AF96" s="57"/>
      <c r="AG96" s="57"/>
      <c r="AH96" s="57"/>
    </row>
    <row r="97" spans="1:252" s="32" customFormat="1" ht="14.45" customHeight="1" x14ac:dyDescent="0.25">
      <c r="A97" s="269" t="s">
        <v>142</v>
      </c>
      <c r="B97" s="79" t="s">
        <v>515</v>
      </c>
      <c r="C97" s="73"/>
      <c r="D97" s="56"/>
      <c r="E97" s="56"/>
      <c r="F97" s="56"/>
      <c r="G97" s="56"/>
      <c r="H97" s="56"/>
      <c r="I97" s="56"/>
      <c r="J97" s="56"/>
      <c r="K97" s="74"/>
      <c r="L97" s="74"/>
      <c r="M97" s="74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270"/>
      <c r="AD97" s="270"/>
      <c r="AE97" s="270"/>
      <c r="AF97" s="57"/>
      <c r="AG97" s="57"/>
      <c r="AH97" s="57"/>
    </row>
    <row r="98" spans="1:252" s="32" customFormat="1" ht="14.45" customHeight="1" x14ac:dyDescent="0.25">
      <c r="A98" s="269" t="s">
        <v>143</v>
      </c>
      <c r="B98" s="271" t="s">
        <v>516</v>
      </c>
      <c r="C98" s="272"/>
      <c r="D98" s="273"/>
      <c r="E98" s="273"/>
      <c r="F98" s="273"/>
      <c r="G98" s="273"/>
      <c r="H98" s="273"/>
      <c r="I98" s="273"/>
      <c r="J98" s="273"/>
      <c r="K98" s="274"/>
      <c r="L98" s="274"/>
      <c r="M98" s="274"/>
      <c r="N98" s="274">
        <v>13</v>
      </c>
      <c r="O98" s="274"/>
      <c r="P98" s="274">
        <f>N98</f>
        <v>13</v>
      </c>
      <c r="Q98" s="275"/>
      <c r="R98" s="275"/>
      <c r="S98" s="275"/>
      <c r="T98" s="274">
        <f>N98</f>
        <v>13</v>
      </c>
      <c r="U98" s="274"/>
      <c r="V98" s="274"/>
      <c r="W98" s="275"/>
      <c r="X98" s="275"/>
      <c r="Y98" s="275">
        <f>P98+K98+D98</f>
        <v>13</v>
      </c>
      <c r="Z98" s="275"/>
      <c r="AA98" s="275"/>
      <c r="AB98" s="275"/>
      <c r="AC98" s="274">
        <f>T98+Z98/2</f>
        <v>13</v>
      </c>
      <c r="AD98" s="274"/>
      <c r="AE98" s="274"/>
      <c r="AF98" s="275"/>
      <c r="AG98" s="275"/>
      <c r="AH98" s="275">
        <f>Y98+AB98/2</f>
        <v>13</v>
      </c>
    </row>
    <row r="99" spans="1:252" s="32" customFormat="1" ht="14.45" customHeight="1" x14ac:dyDescent="0.25">
      <c r="A99" s="269" t="s">
        <v>144</v>
      </c>
      <c r="B99" s="271" t="s">
        <v>517</v>
      </c>
      <c r="C99" s="272"/>
      <c r="D99" s="273"/>
      <c r="E99" s="273"/>
      <c r="F99" s="273"/>
      <c r="G99" s="273"/>
      <c r="H99" s="273"/>
      <c r="I99" s="273"/>
      <c r="J99" s="273"/>
      <c r="K99" s="274"/>
      <c r="L99" s="274"/>
      <c r="M99" s="274"/>
      <c r="N99" s="274">
        <v>8</v>
      </c>
      <c r="O99" s="274"/>
      <c r="P99" s="274">
        <f>N99</f>
        <v>8</v>
      </c>
      <c r="Q99" s="275"/>
      <c r="R99" s="275"/>
      <c r="S99" s="275"/>
      <c r="T99" s="274">
        <f>N99</f>
        <v>8</v>
      </c>
      <c r="U99" s="274"/>
      <c r="V99" s="274"/>
      <c r="W99" s="275"/>
      <c r="X99" s="275"/>
      <c r="Y99" s="275">
        <f>T99+W99</f>
        <v>8</v>
      </c>
      <c r="Z99" s="275"/>
      <c r="AA99" s="275"/>
      <c r="AB99" s="275"/>
      <c r="AC99" s="274">
        <f>T99+Z99/2</f>
        <v>8</v>
      </c>
      <c r="AD99" s="274"/>
      <c r="AE99" s="274"/>
      <c r="AF99" s="275"/>
      <c r="AG99" s="275"/>
      <c r="AH99" s="275">
        <f>Y99+AB99/2</f>
        <v>8</v>
      </c>
    </row>
    <row r="100" spans="1:252" s="32" customFormat="1" ht="14.45" customHeight="1" x14ac:dyDescent="0.25">
      <c r="A100" s="269" t="s">
        <v>145</v>
      </c>
      <c r="B100" s="271" t="s">
        <v>518</v>
      </c>
      <c r="C100" s="272"/>
      <c r="D100" s="273"/>
      <c r="E100" s="273"/>
      <c r="F100" s="273"/>
      <c r="G100" s="273"/>
      <c r="H100" s="273"/>
      <c r="I100" s="273"/>
      <c r="J100" s="273"/>
      <c r="K100" s="274"/>
      <c r="L100" s="274"/>
      <c r="M100" s="274"/>
      <c r="N100" s="274">
        <v>3</v>
      </c>
      <c r="O100" s="274"/>
      <c r="P100" s="274">
        <f>N100</f>
        <v>3</v>
      </c>
      <c r="Q100" s="275"/>
      <c r="R100" s="275"/>
      <c r="S100" s="275"/>
      <c r="T100" s="274">
        <v>3</v>
      </c>
      <c r="U100" s="274"/>
      <c r="V100" s="274"/>
      <c r="W100" s="275"/>
      <c r="X100" s="275"/>
      <c r="Y100" s="275">
        <v>3</v>
      </c>
      <c r="Z100" s="275"/>
      <c r="AA100" s="275"/>
      <c r="AB100" s="275"/>
      <c r="AC100" s="274">
        <f>T100+Z100/2</f>
        <v>3</v>
      </c>
      <c r="AD100" s="274"/>
      <c r="AE100" s="274"/>
      <c r="AF100" s="275"/>
      <c r="AG100" s="275"/>
      <c r="AH100" s="275">
        <f>Y100+AB100/2</f>
        <v>3</v>
      </c>
    </row>
    <row r="101" spans="1:252" s="32" customFormat="1" ht="14.45" customHeight="1" x14ac:dyDescent="0.25">
      <c r="A101" s="269" t="s">
        <v>146</v>
      </c>
      <c r="B101" s="276" t="s">
        <v>1134</v>
      </c>
      <c r="C101" s="277"/>
      <c r="D101" s="278"/>
      <c r="E101" s="278"/>
      <c r="F101" s="278"/>
      <c r="G101" s="278"/>
      <c r="H101" s="278"/>
      <c r="I101" s="278"/>
      <c r="J101" s="278"/>
      <c r="K101" s="274"/>
      <c r="L101" s="274"/>
      <c r="M101" s="274"/>
      <c r="N101" s="275">
        <f>N98+N99+N100</f>
        <v>24</v>
      </c>
      <c r="O101" s="275"/>
      <c r="P101" s="275">
        <f>N101</f>
        <v>24</v>
      </c>
      <c r="Q101" s="275">
        <v>0</v>
      </c>
      <c r="R101" s="275"/>
      <c r="S101" s="275">
        <f>S98+S99+S100</f>
        <v>0</v>
      </c>
      <c r="T101" s="275">
        <f>T98+T99+T100</f>
        <v>24</v>
      </c>
      <c r="U101" s="275"/>
      <c r="V101" s="275"/>
      <c r="W101" s="275"/>
      <c r="X101" s="275"/>
      <c r="Y101" s="275">
        <f>Y98+Y99+Y100</f>
        <v>24</v>
      </c>
      <c r="Z101" s="275">
        <f>Z98+Z99+Z100</f>
        <v>0</v>
      </c>
      <c r="AA101" s="275"/>
      <c r="AB101" s="275">
        <f>AB98+AB99+AB100</f>
        <v>0</v>
      </c>
      <c r="AC101" s="718">
        <f>T101+Z101/2</f>
        <v>24</v>
      </c>
      <c r="AD101" s="718"/>
      <c r="AE101" s="718"/>
      <c r="AF101" s="887">
        <v>0</v>
      </c>
      <c r="AG101" s="887"/>
      <c r="AH101" s="718">
        <f>Y101+AB101/2</f>
        <v>24</v>
      </c>
    </row>
    <row r="102" spans="1:252" ht="15.75" customHeight="1" x14ac:dyDescent="0.25">
      <c r="A102" s="269"/>
      <c r="B102" s="704"/>
      <c r="C102" s="705"/>
      <c r="D102" s="706"/>
      <c r="E102" s="706"/>
      <c r="F102" s="706"/>
      <c r="G102" s="706"/>
      <c r="H102" s="706"/>
      <c r="I102" s="706"/>
      <c r="J102" s="706"/>
      <c r="K102" s="707"/>
      <c r="L102" s="707"/>
      <c r="M102" s="707"/>
      <c r="N102" s="708"/>
      <c r="O102" s="708"/>
      <c r="P102" s="708"/>
      <c r="Q102" s="708"/>
      <c r="R102" s="708"/>
      <c r="S102" s="708"/>
      <c r="T102" s="708"/>
      <c r="U102" s="708"/>
      <c r="V102" s="708"/>
      <c r="W102" s="708"/>
      <c r="X102" s="708"/>
      <c r="Y102" s="708"/>
      <c r="Z102" s="708"/>
      <c r="AA102" s="708"/>
      <c r="AB102" s="708"/>
      <c r="AC102" s="708"/>
      <c r="AD102" s="708"/>
      <c r="AE102" s="708"/>
      <c r="AF102" s="708"/>
      <c r="AG102" s="708"/>
      <c r="AH102" s="709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</row>
    <row r="103" spans="1:252" s="32" customFormat="1" ht="14.45" customHeight="1" x14ac:dyDescent="0.25">
      <c r="A103" s="269"/>
      <c r="B103" s="54"/>
      <c r="C103" s="55"/>
      <c r="D103" s="56"/>
      <c r="E103" s="56"/>
      <c r="F103" s="56"/>
      <c r="G103" s="56"/>
      <c r="H103" s="56"/>
      <c r="I103" s="56"/>
      <c r="J103" s="56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</row>
    <row r="104" spans="1:252" s="32" customFormat="1" ht="15.75" customHeight="1" x14ac:dyDescent="0.25">
      <c r="A104" s="269" t="s">
        <v>148</v>
      </c>
      <c r="B104" s="49" t="s">
        <v>678</v>
      </c>
      <c r="C104" s="50">
        <f>C24+C40+C64</f>
        <v>0</v>
      </c>
      <c r="D104" s="50">
        <f>D24+D40+D64</f>
        <v>0</v>
      </c>
      <c r="E104" s="50"/>
      <c r="F104" s="50"/>
      <c r="G104" s="50">
        <f>G24+G40+G64</f>
        <v>0</v>
      </c>
      <c r="H104" s="50"/>
      <c r="I104" s="50"/>
      <c r="J104" s="50"/>
      <c r="K104" s="50">
        <f>K24+K40+K64</f>
        <v>0</v>
      </c>
      <c r="L104" s="50">
        <f>L24+L40+L64</f>
        <v>0</v>
      </c>
      <c r="M104" s="50">
        <f>M24+M40+M64</f>
        <v>0</v>
      </c>
      <c r="N104" s="50">
        <f t="shared" ref="N104:AH104" si="15">N24+N40+N101+N93</f>
        <v>187</v>
      </c>
      <c r="O104" s="1168">
        <f>O24+O40+O93+O101</f>
        <v>2</v>
      </c>
      <c r="P104" s="50">
        <f t="shared" si="15"/>
        <v>189</v>
      </c>
      <c r="Q104" s="50">
        <f t="shared" si="15"/>
        <v>1</v>
      </c>
      <c r="R104" s="50">
        <f t="shared" si="15"/>
        <v>-1</v>
      </c>
      <c r="S104" s="50">
        <f t="shared" si="15"/>
        <v>0</v>
      </c>
      <c r="T104" s="50">
        <f t="shared" si="15"/>
        <v>187</v>
      </c>
      <c r="U104" s="50">
        <f>U24+U40+U93+U101</f>
        <v>2</v>
      </c>
      <c r="V104" s="50"/>
      <c r="W104" s="888">
        <f>W101+W93+W40+W24</f>
        <v>0</v>
      </c>
      <c r="X104" s="888"/>
      <c r="Y104" s="50">
        <f t="shared" si="15"/>
        <v>189</v>
      </c>
      <c r="Z104" s="50">
        <f t="shared" si="15"/>
        <v>1</v>
      </c>
      <c r="AA104" s="50">
        <f>AA24+AA40+AA93+AA101</f>
        <v>-1</v>
      </c>
      <c r="AB104" s="50">
        <f t="shared" si="15"/>
        <v>0</v>
      </c>
      <c r="AC104" s="719">
        <f t="shared" si="15"/>
        <v>187.5</v>
      </c>
      <c r="AD104" s="719">
        <f>AD24+AD40+AD93+AD101</f>
        <v>1.5</v>
      </c>
      <c r="AE104" s="719"/>
      <c r="AF104" s="719">
        <f t="shared" ref="AF104" si="16">AF101+AF93+AF40+AF24</f>
        <v>0</v>
      </c>
      <c r="AG104" s="719"/>
      <c r="AH104" s="719">
        <f t="shared" si="15"/>
        <v>189</v>
      </c>
    </row>
    <row r="105" spans="1:252" s="32" customFormat="1" ht="14.45" customHeight="1" x14ac:dyDescent="0.25">
      <c r="A105" s="269"/>
      <c r="B105" s="59"/>
      <c r="C105" s="60"/>
      <c r="D105" s="61"/>
      <c r="E105" s="61"/>
      <c r="F105" s="61"/>
      <c r="G105" s="61"/>
      <c r="H105" s="61"/>
      <c r="I105" s="61"/>
      <c r="J105" s="61"/>
      <c r="K105" s="62"/>
      <c r="L105" s="62"/>
      <c r="M105" s="62"/>
      <c r="N105" s="62"/>
      <c r="O105" s="62"/>
      <c r="P105" s="61"/>
      <c r="Q105" s="61"/>
      <c r="R105" s="61"/>
      <c r="S105" s="61"/>
      <c r="T105" s="61"/>
      <c r="U105" s="57"/>
      <c r="V105" s="57"/>
      <c r="W105" s="57"/>
      <c r="X105" s="57"/>
      <c r="Y105" s="71"/>
      <c r="Z105" s="72"/>
      <c r="AA105" s="72"/>
      <c r="AB105" s="72"/>
      <c r="AC105" s="464"/>
      <c r="AD105" s="464"/>
      <c r="AE105" s="464"/>
      <c r="AF105" s="464"/>
      <c r="AG105" s="464"/>
      <c r="AH105" s="464"/>
    </row>
    <row r="106" spans="1:252" ht="14.45" customHeight="1" x14ac:dyDescent="0.25">
      <c r="A106" s="269" t="s">
        <v>151</v>
      </c>
      <c r="B106" s="49" t="s">
        <v>597</v>
      </c>
      <c r="C106" s="78">
        <f>C10+C12+C104</f>
        <v>9</v>
      </c>
      <c r="D106" s="889">
        <f>D10+D12+D104</f>
        <v>9</v>
      </c>
      <c r="E106" s="840">
        <f>E10++E12+E104</f>
        <v>0</v>
      </c>
      <c r="F106" s="840">
        <f>F104+F12+F10</f>
        <v>0</v>
      </c>
      <c r="G106" s="78">
        <f>G10+G12+G104</f>
        <v>38</v>
      </c>
      <c r="H106" s="78">
        <f t="shared" ref="H106:K106" si="17">H10+H12+H104</f>
        <v>2</v>
      </c>
      <c r="I106" s="78">
        <f t="shared" si="17"/>
        <v>-2</v>
      </c>
      <c r="J106" s="78">
        <f t="shared" si="17"/>
        <v>1</v>
      </c>
      <c r="K106" s="78">
        <f t="shared" si="17"/>
        <v>39</v>
      </c>
      <c r="L106" s="78">
        <f>L10+L12+L104</f>
        <v>0</v>
      </c>
      <c r="M106" s="78">
        <f>M10+M12+M104</f>
        <v>0</v>
      </c>
      <c r="N106" s="465">
        <f>N104</f>
        <v>187</v>
      </c>
      <c r="O106" s="78">
        <f>O104+O10+O12</f>
        <v>2</v>
      </c>
      <c r="P106" s="465">
        <f>P10+P12+P104</f>
        <v>189</v>
      </c>
      <c r="Q106" s="465">
        <f>Q10+Q12+Q104</f>
        <v>1</v>
      </c>
      <c r="R106" s="465">
        <f>R10+R12+R104</f>
        <v>-1</v>
      </c>
      <c r="S106" s="465">
        <f>S10+S12+S104</f>
        <v>0</v>
      </c>
      <c r="T106" s="53">
        <f>C106+G106+N106</f>
        <v>234</v>
      </c>
      <c r="U106" s="840">
        <f>U104+U10+U12</f>
        <v>2</v>
      </c>
      <c r="V106" s="840">
        <f>V12+V10</f>
        <v>2</v>
      </c>
      <c r="W106" s="840">
        <f>W10+W12+W104</f>
        <v>-2</v>
      </c>
      <c r="X106" s="840">
        <f>X10+X12+X104</f>
        <v>1</v>
      </c>
      <c r="Y106" s="267">
        <f>Y104+Y12+Y10</f>
        <v>237</v>
      </c>
      <c r="Z106" s="1051">
        <f>Z10+Z12+Z104</f>
        <v>1</v>
      </c>
      <c r="AA106" s="1051">
        <f>AA104+AA10+AA12</f>
        <v>-1</v>
      </c>
      <c r="AB106" s="490">
        <f>AB10+AB12+AB104</f>
        <v>0</v>
      </c>
      <c r="AC106" s="946">
        <f>AC10+AC12+AC104</f>
        <v>234.5</v>
      </c>
      <c r="AD106" s="946">
        <f>AD104+AD10+AD12</f>
        <v>1.5</v>
      </c>
      <c r="AE106" s="946">
        <f t="shared" ref="AE106" si="18">AE10+AE12+AE104</f>
        <v>2</v>
      </c>
      <c r="AF106" s="946">
        <f>AF10+AF12+AF104</f>
        <v>-2</v>
      </c>
      <c r="AG106" s="946">
        <f t="shared" ref="AG106:AH106" si="19">AG10+AG12+AG104</f>
        <v>1</v>
      </c>
      <c r="AH106" s="946">
        <f t="shared" si="19"/>
        <v>237</v>
      </c>
      <c r="AI106" s="56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</row>
    <row r="107" spans="1:252" ht="15.75" customHeight="1" x14ac:dyDescent="0.25">
      <c r="B107" s="79"/>
      <c r="C107" s="73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491"/>
      <c r="U107" s="491"/>
      <c r="V107" s="491"/>
      <c r="W107" s="610"/>
      <c r="X107" s="610"/>
      <c r="Y107" s="491"/>
      <c r="Z107" s="610"/>
      <c r="AA107" s="610"/>
      <c r="AB107" s="610"/>
      <c r="AC107" s="610"/>
      <c r="AD107" s="610"/>
      <c r="AE107" s="610"/>
      <c r="AF107" s="610"/>
      <c r="AG107" s="610"/>
      <c r="AH107" s="610"/>
    </row>
    <row r="108" spans="1:252" ht="30" customHeight="1" x14ac:dyDescent="0.25">
      <c r="B108" s="1496" t="s">
        <v>1135</v>
      </c>
      <c r="C108" s="1496"/>
      <c r="D108" s="1496"/>
      <c r="E108" s="1496"/>
      <c r="F108" s="1496"/>
      <c r="G108" s="1496"/>
      <c r="H108" s="1496"/>
      <c r="I108" s="1496"/>
      <c r="J108" s="1496"/>
      <c r="K108" s="1496"/>
      <c r="L108" s="1496"/>
      <c r="M108" s="1496"/>
      <c r="N108" s="1496"/>
      <c r="O108" s="1496"/>
      <c r="P108" s="1496"/>
      <c r="Q108" s="1496"/>
      <c r="R108" s="1496"/>
      <c r="S108" s="1496"/>
      <c r="T108" s="1496"/>
      <c r="U108" s="1496"/>
      <c r="V108" s="1496"/>
      <c r="W108" s="1496"/>
      <c r="X108" s="1496"/>
      <c r="Y108" s="1496"/>
      <c r="Z108" s="1496"/>
      <c r="AA108" s="1496"/>
      <c r="AB108" s="1496"/>
      <c r="AC108" s="1496"/>
      <c r="AD108" s="1496"/>
      <c r="AE108" s="1496"/>
      <c r="AF108" s="1496"/>
      <c r="AG108" s="1496"/>
      <c r="AH108" s="1496"/>
      <c r="AI108" s="492"/>
    </row>
    <row r="109" spans="1:252" ht="29.25" customHeight="1" x14ac:dyDescent="0.25">
      <c r="A109" s="16"/>
      <c r="B109" s="1493" t="s">
        <v>1237</v>
      </c>
      <c r="C109" s="1493"/>
      <c r="D109" s="1493"/>
      <c r="E109" s="1493"/>
      <c r="F109" s="1493"/>
      <c r="G109" s="1493"/>
      <c r="H109" s="1493"/>
      <c r="I109" s="1493"/>
      <c r="J109" s="1493"/>
      <c r="K109" s="1493"/>
      <c r="L109" s="1493"/>
      <c r="M109" s="1493"/>
      <c r="N109" s="1493"/>
      <c r="O109" s="1493"/>
      <c r="P109" s="1493"/>
      <c r="Q109" s="1493"/>
      <c r="R109" s="1493"/>
      <c r="S109" s="1493"/>
      <c r="T109" s="1493"/>
      <c r="U109" s="1493"/>
      <c r="V109" s="1493"/>
      <c r="W109" s="1493"/>
      <c r="X109" s="1493"/>
      <c r="Y109" s="1493"/>
      <c r="Z109" s="1493"/>
      <c r="AA109" s="1493"/>
      <c r="AB109" s="1493"/>
      <c r="AC109" s="1493"/>
      <c r="AD109" s="1493"/>
      <c r="AE109" s="1493"/>
      <c r="AF109" s="1493"/>
      <c r="AG109" s="1493"/>
      <c r="AH109" s="1493"/>
      <c r="AI109" s="492"/>
    </row>
    <row r="110" spans="1:252" ht="12.75" customHeight="1" x14ac:dyDescent="0.25">
      <c r="B110" s="24" t="s">
        <v>281</v>
      </c>
    </row>
    <row r="111" spans="1:252" ht="13.9" customHeight="1" x14ac:dyDescent="0.25">
      <c r="B111" s="1492" t="s">
        <v>1394</v>
      </c>
      <c r="C111" s="1492"/>
      <c r="D111" s="1492"/>
      <c r="E111" s="1492"/>
      <c r="F111" s="1492"/>
      <c r="G111" s="1492"/>
      <c r="H111" s="1492"/>
      <c r="I111" s="1492"/>
      <c r="J111" s="1492"/>
      <c r="K111" s="1492"/>
      <c r="L111" s="1492"/>
      <c r="M111" s="1492"/>
      <c r="N111" s="1492"/>
      <c r="O111" s="1492"/>
      <c r="P111" s="1492"/>
      <c r="Q111" s="1492"/>
      <c r="R111" s="1492"/>
      <c r="S111" s="1492"/>
      <c r="T111" s="1492"/>
      <c r="U111" s="1492"/>
      <c r="V111" s="1492"/>
      <c r="W111" s="1492"/>
      <c r="X111" s="1492"/>
      <c r="Y111" s="1492"/>
      <c r="Z111" s="1492"/>
      <c r="AA111" s="1492"/>
      <c r="AB111" s="1492"/>
      <c r="AC111" s="1492"/>
      <c r="AD111" s="1492"/>
      <c r="AE111" s="1492"/>
      <c r="AF111" s="1492"/>
      <c r="AG111" s="1492"/>
      <c r="AH111" s="1492"/>
    </row>
  </sheetData>
  <sheetProtection selectLockedCells="1" selectUnlockedCells="1"/>
  <mergeCells count="30">
    <mergeCell ref="T6:AB6"/>
    <mergeCell ref="AC6:AH7"/>
    <mergeCell ref="C6:F6"/>
    <mergeCell ref="G6:M6"/>
    <mergeCell ref="B6:B8"/>
    <mergeCell ref="L7:M7"/>
    <mergeCell ref="N6:S6"/>
    <mergeCell ref="A1:AH1"/>
    <mergeCell ref="A2:AH2"/>
    <mergeCell ref="A3:AH3"/>
    <mergeCell ref="N5:P5"/>
    <mergeCell ref="Q5:S5"/>
    <mergeCell ref="T5:Y5"/>
    <mergeCell ref="Z5:AB5"/>
    <mergeCell ref="AC5:AH5"/>
    <mergeCell ref="E5:F5"/>
    <mergeCell ref="G5:K5"/>
    <mergeCell ref="A5:A8"/>
    <mergeCell ref="C5:D5"/>
    <mergeCell ref="L5:M5"/>
    <mergeCell ref="E7:F7"/>
    <mergeCell ref="G7:K7"/>
    <mergeCell ref="C7:D7"/>
    <mergeCell ref="B111:AH111"/>
    <mergeCell ref="B109:AH109"/>
    <mergeCell ref="N7:P7"/>
    <mergeCell ref="Q7:S7"/>
    <mergeCell ref="T7:Y7"/>
    <mergeCell ref="Z7:AB7"/>
    <mergeCell ref="B108:AH108"/>
  </mergeCells>
  <pageMargins left="0.39370078740157483" right="0.19685039370078741" top="0.19685039370078741" bottom="0.19685039370078741" header="0.51181102362204722" footer="0.51181102362204722"/>
  <pageSetup paperSize="9" scale="53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4" customWidth="1"/>
    <col min="2" max="2" width="42.85546875" style="154" customWidth="1"/>
    <col min="3" max="3" width="11" style="155" customWidth="1"/>
    <col min="4" max="4" width="11.42578125" style="155" customWidth="1"/>
    <col min="5" max="5" width="12" style="155" customWidth="1"/>
    <col min="6" max="6" width="41.7109375" style="155" customWidth="1"/>
    <col min="7" max="7" width="11.140625" style="155" customWidth="1"/>
    <col min="8" max="8" width="12.85546875" style="155" customWidth="1"/>
    <col min="9" max="9" width="16" style="155" customWidth="1"/>
    <col min="10" max="22" width="9.140625" style="154"/>
    <col min="23" max="16384" width="9.140625" style="10"/>
  </cols>
  <sheetData>
    <row r="1" spans="1:22" ht="12.75" customHeight="1" x14ac:dyDescent="0.2">
      <c r="A1" s="1268" t="s">
        <v>1397</v>
      </c>
      <c r="B1" s="1268"/>
      <c r="C1" s="1268"/>
      <c r="D1" s="1268"/>
      <c r="E1" s="1268"/>
      <c r="F1" s="1268"/>
      <c r="G1" s="1268"/>
      <c r="H1" s="1268"/>
      <c r="I1" s="1268"/>
    </row>
    <row r="2" spans="1:22" x14ac:dyDescent="0.2">
      <c r="B2" s="555"/>
      <c r="I2" s="156"/>
    </row>
    <row r="3" spans="1:22" s="122" customFormat="1" x14ac:dyDescent="0.2">
      <c r="A3" s="157"/>
      <c r="B3" s="1271" t="s">
        <v>54</v>
      </c>
      <c r="C3" s="1271"/>
      <c r="D3" s="1271"/>
      <c r="E3" s="1271"/>
      <c r="F3" s="1271"/>
      <c r="G3" s="1271"/>
      <c r="H3" s="1271"/>
      <c r="I3" s="1271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</row>
    <row r="4" spans="1:22" s="122" customFormat="1" x14ac:dyDescent="0.2">
      <c r="A4" s="157"/>
      <c r="B4" s="1271" t="s">
        <v>1148</v>
      </c>
      <c r="C4" s="1271"/>
      <c r="D4" s="1271"/>
      <c r="E4" s="1271"/>
      <c r="F4" s="1271"/>
      <c r="G4" s="1271"/>
      <c r="H4" s="1271"/>
      <c r="I4" s="1271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</row>
    <row r="5" spans="1:22" s="122" customFormat="1" ht="12.75" customHeight="1" x14ac:dyDescent="0.2">
      <c r="A5" s="1272" t="s">
        <v>304</v>
      </c>
      <c r="B5" s="1272"/>
      <c r="C5" s="1272"/>
      <c r="D5" s="1272"/>
      <c r="E5" s="1272"/>
      <c r="F5" s="1272"/>
      <c r="G5" s="1272"/>
      <c r="H5" s="1272"/>
      <c r="I5" s="1272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</row>
    <row r="6" spans="1:22" s="122" customFormat="1" ht="12.75" customHeight="1" x14ac:dyDescent="0.2">
      <c r="A6" s="1295" t="s">
        <v>56</v>
      </c>
      <c r="B6" s="1277" t="s">
        <v>57</v>
      </c>
      <c r="C6" s="1292" t="s">
        <v>58</v>
      </c>
      <c r="D6" s="1292"/>
      <c r="E6" s="1293"/>
      <c r="F6" s="1" t="s">
        <v>59</v>
      </c>
      <c r="G6" s="1294" t="s">
        <v>60</v>
      </c>
      <c r="H6" s="1294"/>
      <c r="I6" s="1294"/>
      <c r="J6" s="157"/>
      <c r="K6" s="157"/>
      <c r="L6" s="157"/>
      <c r="M6" s="157"/>
      <c r="N6" s="157"/>
      <c r="O6" s="157"/>
      <c r="P6" s="157"/>
    </row>
    <row r="7" spans="1:22" s="122" customFormat="1" ht="12.75" customHeight="1" x14ac:dyDescent="0.2">
      <c r="A7" s="1296"/>
      <c r="B7" s="1277"/>
      <c r="C7" s="1269" t="s">
        <v>1137</v>
      </c>
      <c r="D7" s="1269"/>
      <c r="E7" s="1270"/>
      <c r="F7" s="2"/>
      <c r="G7" s="1269" t="s">
        <v>1137</v>
      </c>
      <c r="H7" s="1269"/>
      <c r="I7" s="1269"/>
      <c r="J7" s="157"/>
      <c r="K7" s="157"/>
      <c r="L7" s="157"/>
      <c r="M7" s="157"/>
    </row>
    <row r="8" spans="1:22" s="123" customFormat="1" ht="36.6" customHeight="1" x14ac:dyDescent="0.2">
      <c r="A8" s="1297"/>
      <c r="B8" s="158" t="s">
        <v>61</v>
      </c>
      <c r="C8" s="134" t="s">
        <v>62</v>
      </c>
      <c r="D8" s="134" t="s">
        <v>63</v>
      </c>
      <c r="E8" s="159" t="s">
        <v>64</v>
      </c>
      <c r="F8" s="160" t="s">
        <v>65</v>
      </c>
      <c r="G8" s="134" t="s">
        <v>62</v>
      </c>
      <c r="H8" s="134" t="s">
        <v>63</v>
      </c>
      <c r="I8" s="134" t="s">
        <v>64</v>
      </c>
      <c r="J8" s="570"/>
      <c r="K8" s="184"/>
      <c r="L8" s="184"/>
      <c r="M8" s="184"/>
    </row>
    <row r="9" spans="1:22" ht="11.45" customHeight="1" x14ac:dyDescent="0.2">
      <c r="A9" s="161">
        <v>1</v>
      </c>
      <c r="B9" s="162" t="s">
        <v>24</v>
      </c>
      <c r="C9" s="163"/>
      <c r="D9" s="163"/>
      <c r="E9" s="163"/>
      <c r="F9" s="137" t="s">
        <v>25</v>
      </c>
      <c r="G9" s="163"/>
      <c r="H9" s="163"/>
      <c r="I9" s="439"/>
      <c r="J9" s="181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1">
        <f t="shared" ref="A10:A45" si="0">A9+1</f>
        <v>2</v>
      </c>
      <c r="B10" s="164"/>
      <c r="C10" s="118"/>
      <c r="D10" s="118"/>
      <c r="E10" s="119"/>
      <c r="F10" s="138"/>
      <c r="G10" s="119"/>
      <c r="H10" s="119"/>
      <c r="I10" s="432"/>
      <c r="J10" s="181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1">
        <f t="shared" si="0"/>
        <v>3</v>
      </c>
      <c r="B11" s="164" t="s">
        <v>38</v>
      </c>
      <c r="C11" s="118">
        <f>Össz.önkor.mérleg.!C14</f>
        <v>0</v>
      </c>
      <c r="D11" s="118">
        <f>Össz.önkor.mérleg.!D14</f>
        <v>0</v>
      </c>
      <c r="E11" s="118">
        <f>Össz.önkor.mérleg.!E14</f>
        <v>0</v>
      </c>
      <c r="F11" s="139" t="s">
        <v>34</v>
      </c>
      <c r="G11" s="170"/>
      <c r="H11" s="170"/>
      <c r="I11" s="434"/>
      <c r="J11" s="181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1">
        <f t="shared" si="0"/>
        <v>4</v>
      </c>
      <c r="B12" s="164" t="s">
        <v>1115</v>
      </c>
      <c r="C12" s="118">
        <f>Össz.önkor.mérleg.!C15</f>
        <v>0</v>
      </c>
      <c r="D12" s="118">
        <f>Össz.önkor.mérleg.!D15</f>
        <v>0</v>
      </c>
      <c r="E12" s="118">
        <f>Össz.önkor.mérleg.!E15</f>
        <v>0</v>
      </c>
      <c r="F12" s="139"/>
      <c r="G12" s="170"/>
      <c r="H12" s="170"/>
      <c r="I12" s="434"/>
      <c r="J12" s="181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61">
        <f t="shared" si="0"/>
        <v>5</v>
      </c>
      <c r="B13" s="1080" t="s">
        <v>1116</v>
      </c>
      <c r="C13" s="118">
        <f>Össz.önkor.mérleg.!C16</f>
        <v>621278</v>
      </c>
      <c r="D13" s="118">
        <f>Össz.önkor.mérleg.!D16</f>
        <v>14540</v>
      </c>
      <c r="E13" s="118">
        <f>Össz.önkor.mérleg.!E16</f>
        <v>635818</v>
      </c>
      <c r="F13" s="139"/>
      <c r="G13" s="170"/>
      <c r="H13" s="170"/>
      <c r="I13" s="434"/>
      <c r="J13" s="181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1">
        <f t="shared" si="0"/>
        <v>6</v>
      </c>
      <c r="B14" s="154" t="s">
        <v>633</v>
      </c>
      <c r="C14" s="118"/>
      <c r="D14" s="165"/>
      <c r="E14" s="165"/>
      <c r="F14" s="138" t="s">
        <v>628</v>
      </c>
      <c r="G14" s="166">
        <f>Össz.önkor.mérleg.!G27</f>
        <v>1732254</v>
      </c>
      <c r="H14" s="166">
        <f>Össz.önkor.mérleg.!H27</f>
        <v>169988</v>
      </c>
      <c r="I14" s="434">
        <f>Össz.önkor.mérleg.!I27</f>
        <v>1902242</v>
      </c>
      <c r="J14" s="181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61">
        <f t="shared" si="0"/>
        <v>7</v>
      </c>
      <c r="B15" s="154" t="s">
        <v>43</v>
      </c>
      <c r="C15" s="118"/>
      <c r="D15" s="165"/>
      <c r="E15" s="165"/>
      <c r="F15" s="138" t="s">
        <v>31</v>
      </c>
      <c r="G15" s="166">
        <f>Össz.önkor.mérleg.!G28</f>
        <v>49715</v>
      </c>
      <c r="H15" s="166">
        <f>Össz.önkor.mérleg.!H28</f>
        <v>0</v>
      </c>
      <c r="I15" s="434">
        <f>SUM(G15:H15)</f>
        <v>49715</v>
      </c>
      <c r="J15" s="181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1">
        <f t="shared" si="0"/>
        <v>8</v>
      </c>
      <c r="B16" s="164" t="s">
        <v>44</v>
      </c>
      <c r="C16" s="129">
        <f>Össz.önkor.mérleg.!C24</f>
        <v>19447</v>
      </c>
      <c r="D16" s="129">
        <f>Össz.önkor.mérleg.!D24</f>
        <v>40800</v>
      </c>
      <c r="E16" s="118">
        <f>Össz.önkor.mérleg.!E24</f>
        <v>60247</v>
      </c>
      <c r="F16" s="138" t="s">
        <v>32</v>
      </c>
      <c r="G16" s="166"/>
      <c r="H16" s="166"/>
      <c r="I16" s="434"/>
      <c r="J16" s="181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1">
        <f t="shared" si="0"/>
        <v>9</v>
      </c>
      <c r="B17" s="164" t="s">
        <v>45</v>
      </c>
      <c r="C17" s="118">
        <f>Össz.önkor.mérleg.!C25</f>
        <v>1285</v>
      </c>
      <c r="D17" s="118">
        <f>Össz.önkor.mérleg.!D25</f>
        <v>77</v>
      </c>
      <c r="E17" s="118">
        <f>Össz.önkor.mérleg.!E25</f>
        <v>1362</v>
      </c>
      <c r="F17" s="138" t="s">
        <v>447</v>
      </c>
      <c r="G17" s="166">
        <f>Össz.önkor.mérleg.!G30</f>
        <v>12004</v>
      </c>
      <c r="H17" s="166">
        <f>Össz.önkor.mérleg.!H30</f>
        <v>78232</v>
      </c>
      <c r="I17" s="434">
        <f>SUM(G17:H17)</f>
        <v>90236</v>
      </c>
      <c r="J17" s="181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1">
        <f t="shared" si="0"/>
        <v>10</v>
      </c>
      <c r="B18" s="164"/>
      <c r="C18" s="118"/>
      <c r="D18" s="118"/>
      <c r="E18" s="118"/>
      <c r="F18" s="138" t="s">
        <v>1131</v>
      </c>
      <c r="G18" s="166">
        <f>Össz.önkor.mérleg.!G31</f>
        <v>0</v>
      </c>
      <c r="H18" s="166">
        <f>Össz.önkor.mérleg.!H31</f>
        <v>5000</v>
      </c>
      <c r="I18" s="166">
        <f>Össz.önkor.mérleg.!I31</f>
        <v>5000</v>
      </c>
      <c r="J18" s="181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1">
        <f t="shared" si="0"/>
        <v>11</v>
      </c>
      <c r="B19" s="116" t="s">
        <v>46</v>
      </c>
      <c r="C19" s="118">
        <f>Össz.önkor.mérleg.!C21</f>
        <v>0</v>
      </c>
      <c r="D19" s="119">
        <f>Össz.önkor.mérleg.!D26</f>
        <v>180</v>
      </c>
      <c r="E19" s="118">
        <f>Össz.önkor.mérleg.!E26</f>
        <v>180</v>
      </c>
      <c r="F19" s="138" t="s">
        <v>1132</v>
      </c>
      <c r="G19" s="166">
        <f>Össz.önkor.mérleg.!G32</f>
        <v>53844</v>
      </c>
      <c r="H19" s="166">
        <f>Össz.önkor.mérleg.!H32</f>
        <v>13880</v>
      </c>
      <c r="I19" s="434">
        <f>Össz.önkor.mérleg.!I32</f>
        <v>67724</v>
      </c>
      <c r="J19" s="181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61">
        <f t="shared" si="0"/>
        <v>12</v>
      </c>
      <c r="B20" s="164" t="s">
        <v>47</v>
      </c>
      <c r="C20" s="118">
        <f>Össz.önkor.mérleg.!C22</f>
        <v>0</v>
      </c>
      <c r="D20" s="118">
        <f>Össz.önkor.mérleg.!D22</f>
        <v>0</v>
      </c>
      <c r="E20" s="118">
        <f>Össz.önkor.mérleg.!E22</f>
        <v>0</v>
      </c>
      <c r="F20" s="138" t="s">
        <v>1133</v>
      </c>
      <c r="G20" s="166">
        <f>Össz.önkor.mérleg.!G33</f>
        <v>22391</v>
      </c>
      <c r="H20" s="166">
        <f>Össz.önkor.mérleg.!H33</f>
        <v>733</v>
      </c>
      <c r="I20" s="434">
        <f>Össz.önkor.mérleg.!I33</f>
        <v>23124</v>
      </c>
      <c r="J20" s="181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61">
        <f t="shared" si="0"/>
        <v>13</v>
      </c>
      <c r="B21" s="164"/>
      <c r="C21" s="118"/>
      <c r="D21" s="119"/>
      <c r="E21" s="119"/>
      <c r="F21" s="173" t="s">
        <v>68</v>
      </c>
      <c r="G21" s="174">
        <f>SUM(G14:G20)</f>
        <v>1870208</v>
      </c>
      <c r="H21" s="174">
        <f>SUM(H14:H20)</f>
        <v>267833</v>
      </c>
      <c r="I21" s="436">
        <f>SUM(I14:I20)</f>
        <v>2138041</v>
      </c>
      <c r="J21" s="181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61">
        <f t="shared" si="0"/>
        <v>14</v>
      </c>
      <c r="B22" s="154" t="s">
        <v>634</v>
      </c>
      <c r="C22" s="119">
        <f>Össz.önkor.mérleg.!C30</f>
        <v>9900</v>
      </c>
      <c r="D22" s="119">
        <f>Össz.önkor.mérleg.!D30</f>
        <v>4232</v>
      </c>
      <c r="E22" s="119">
        <f>Össz.önkor.mérleg.!E30</f>
        <v>14132</v>
      </c>
      <c r="F22" s="138"/>
      <c r="G22" s="166"/>
      <c r="H22" s="166"/>
      <c r="I22" s="432"/>
      <c r="J22" s="181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124" customFormat="1" x14ac:dyDescent="0.2">
      <c r="A23" s="161">
        <f t="shared" si="0"/>
        <v>15</v>
      </c>
      <c r="B23" s="154"/>
      <c r="C23" s="119"/>
      <c r="D23" s="119"/>
      <c r="E23" s="119"/>
      <c r="F23" s="168"/>
      <c r="G23" s="166"/>
      <c r="H23" s="166"/>
      <c r="I23" s="434"/>
      <c r="J23" s="517"/>
      <c r="K23" s="185"/>
      <c r="L23" s="185"/>
      <c r="M23" s="185"/>
    </row>
    <row r="24" spans="1:22" s="124" customFormat="1" x14ac:dyDescent="0.2">
      <c r="A24" s="161">
        <f t="shared" si="0"/>
        <v>16</v>
      </c>
      <c r="B24" s="171"/>
      <c r="C24" s="165"/>
      <c r="D24" s="165"/>
      <c r="E24" s="165"/>
      <c r="F24" s="168"/>
      <c r="G24" s="166"/>
      <c r="H24" s="166"/>
      <c r="I24" s="434"/>
      <c r="J24" s="517"/>
      <c r="K24" s="185"/>
      <c r="L24" s="185"/>
      <c r="M24" s="185"/>
    </row>
    <row r="25" spans="1:22" x14ac:dyDescent="0.2">
      <c r="A25" s="161">
        <f t="shared" si="0"/>
        <v>17</v>
      </c>
      <c r="B25" s="172" t="s">
        <v>67</v>
      </c>
      <c r="C25" s="125">
        <f>C12+C13+C16+C17+C19+C20+C22</f>
        <v>651910</v>
      </c>
      <c r="D25" s="125">
        <f t="shared" ref="D25:E25" si="1">D12+D13+D16+D17+D19+D20+D22</f>
        <v>59829</v>
      </c>
      <c r="E25" s="125">
        <f t="shared" si="1"/>
        <v>711739</v>
      </c>
      <c r="F25" s="169"/>
      <c r="G25" s="125"/>
      <c r="H25" s="125"/>
      <c r="I25" s="433"/>
      <c r="J25" s="181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61">
        <f t="shared" si="0"/>
        <v>18</v>
      </c>
      <c r="B26" s="175" t="s">
        <v>51</v>
      </c>
      <c r="C26" s="170">
        <f>SUM(C24:C25)</f>
        <v>651910</v>
      </c>
      <c r="D26" s="170">
        <f>SUM(D24:D25)</f>
        <v>59829</v>
      </c>
      <c r="E26" s="170">
        <f>SUM(E24:E25)</f>
        <v>711739</v>
      </c>
      <c r="F26" s="176" t="s">
        <v>69</v>
      </c>
      <c r="G26" s="170">
        <f>G25+G21</f>
        <v>1870208</v>
      </c>
      <c r="H26" s="170">
        <f>H25+H21</f>
        <v>267833</v>
      </c>
      <c r="I26" s="437">
        <f>I25+I21</f>
        <v>2138041</v>
      </c>
      <c r="J26" s="181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61">
        <f t="shared" si="0"/>
        <v>19</v>
      </c>
      <c r="B27" s="177"/>
      <c r="C27" s="166"/>
      <c r="D27" s="166"/>
      <c r="E27" s="166"/>
      <c r="F27" s="168"/>
      <c r="I27" s="434"/>
      <c r="J27" s="181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61">
        <f t="shared" si="0"/>
        <v>20</v>
      </c>
      <c r="B28" s="175" t="s">
        <v>635</v>
      </c>
      <c r="C28" s="170">
        <f>C26-G26</f>
        <v>-1218298</v>
      </c>
      <c r="D28" s="170">
        <f>D26-H26</f>
        <v>-208004</v>
      </c>
      <c r="E28" s="569">
        <f>E26-I26</f>
        <v>-1426302</v>
      </c>
      <c r="F28" s="168"/>
      <c r="I28" s="434"/>
      <c r="J28" s="181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61">
        <f t="shared" si="0"/>
        <v>21</v>
      </c>
      <c r="B29" s="812" t="s">
        <v>1291</v>
      </c>
      <c r="C29" s="284">
        <f>-'működ. mérleg '!C27</f>
        <v>0</v>
      </c>
      <c r="D29" s="284">
        <f>-'működ. mérleg '!D27</f>
        <v>0</v>
      </c>
      <c r="E29" s="284">
        <f>-'működ. mérleg '!E27</f>
        <v>0</v>
      </c>
      <c r="F29" s="168"/>
      <c r="I29" s="434"/>
      <c r="J29" s="181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61">
        <f t="shared" si="0"/>
        <v>22</v>
      </c>
      <c r="B30" s="127"/>
      <c r="C30" s="166"/>
      <c r="D30" s="166"/>
      <c r="E30" s="166">
        <f>C30+D30</f>
        <v>0</v>
      </c>
      <c r="F30" s="168"/>
      <c r="G30" s="166"/>
      <c r="H30" s="166"/>
      <c r="I30" s="434"/>
      <c r="J30" s="495"/>
      <c r="K30" s="180"/>
      <c r="L30" s="180"/>
      <c r="M30" s="180"/>
    </row>
    <row r="31" spans="1:22" s="11" customFormat="1" x14ac:dyDescent="0.2">
      <c r="A31" s="161">
        <f t="shared" si="0"/>
        <v>23</v>
      </c>
      <c r="B31" s="126" t="s">
        <v>53</v>
      </c>
      <c r="C31" s="126"/>
      <c r="D31" s="126"/>
      <c r="E31" s="126"/>
      <c r="F31" s="139" t="s">
        <v>33</v>
      </c>
      <c r="G31" s="170"/>
      <c r="H31" s="170"/>
      <c r="I31" s="437"/>
      <c r="J31" s="495"/>
      <c r="K31" s="180"/>
      <c r="L31" s="180"/>
      <c r="M31" s="180"/>
    </row>
    <row r="32" spans="1:22" s="11" customFormat="1" x14ac:dyDescent="0.2">
      <c r="A32" s="161">
        <f t="shared" si="0"/>
        <v>24</v>
      </c>
      <c r="B32" s="135" t="s">
        <v>682</v>
      </c>
      <c r="C32" s="126"/>
      <c r="D32" s="126"/>
      <c r="E32" s="126"/>
      <c r="F32" s="178" t="s">
        <v>4</v>
      </c>
      <c r="G32" s="179"/>
      <c r="H32" s="180"/>
      <c r="I32" s="438"/>
      <c r="J32" s="495"/>
      <c r="K32" s="180"/>
      <c r="L32" s="180"/>
      <c r="M32" s="180"/>
    </row>
    <row r="33" spans="1:22" s="11" customFormat="1" x14ac:dyDescent="0.2">
      <c r="A33" s="161">
        <f t="shared" si="0"/>
        <v>25</v>
      </c>
      <c r="B33" s="154" t="s">
        <v>998</v>
      </c>
      <c r="C33" s="119">
        <f>Össz.önkor.mérleg.!C41</f>
        <v>588859</v>
      </c>
      <c r="D33" s="119">
        <f>Össz.önkor.mérleg.!D41</f>
        <v>0</v>
      </c>
      <c r="E33" s="119">
        <f>Össz.önkor.mérleg.!E41</f>
        <v>588859</v>
      </c>
      <c r="F33" s="181" t="s">
        <v>3</v>
      </c>
      <c r="G33" s="170"/>
      <c r="H33" s="170"/>
      <c r="I33" s="437"/>
      <c r="J33" s="495"/>
      <c r="K33" s="180"/>
      <c r="L33" s="180"/>
      <c r="M33" s="180"/>
    </row>
    <row r="34" spans="1:22" x14ac:dyDescent="0.2">
      <c r="A34" s="161">
        <f t="shared" si="0"/>
        <v>26</v>
      </c>
      <c r="B34" s="118" t="s">
        <v>684</v>
      </c>
      <c r="C34" s="182"/>
      <c r="D34" s="136"/>
      <c r="E34" s="136">
        <f>SUM(C34:D34)</f>
        <v>0</v>
      </c>
      <c r="F34" s="138" t="s">
        <v>5</v>
      </c>
      <c r="G34" s="170"/>
      <c r="H34" s="170"/>
      <c r="I34" s="437"/>
      <c r="J34" s="181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1">
        <f t="shared" si="0"/>
        <v>27</v>
      </c>
      <c r="B35" s="118" t="s">
        <v>683</v>
      </c>
      <c r="C35" s="119"/>
      <c r="D35" s="119"/>
      <c r="E35" s="119"/>
      <c r="F35" s="138" t="s">
        <v>6</v>
      </c>
      <c r="G35" s="179"/>
      <c r="H35" s="179"/>
      <c r="I35" s="437"/>
      <c r="J35" s="181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1">
        <f t="shared" si="0"/>
        <v>28</v>
      </c>
      <c r="B36" s="118" t="s">
        <v>1041</v>
      </c>
      <c r="C36" s="279">
        <f>-(C28+C33)-C30-C29</f>
        <v>629439</v>
      </c>
      <c r="D36" s="279">
        <f t="shared" ref="D36:E36" si="2">-(D28+D33)-D30-D29</f>
        <v>208004</v>
      </c>
      <c r="E36" s="279">
        <f t="shared" si="2"/>
        <v>837443</v>
      </c>
      <c r="F36" s="138" t="s">
        <v>7</v>
      </c>
      <c r="G36" s="179"/>
      <c r="H36" s="179"/>
      <c r="I36" s="437"/>
      <c r="J36" s="181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1">
        <f t="shared" si="0"/>
        <v>29</v>
      </c>
      <c r="B37" s="119" t="s">
        <v>685</v>
      </c>
      <c r="C37" s="126"/>
      <c r="D37" s="126"/>
      <c r="E37" s="504"/>
      <c r="F37" s="138" t="s">
        <v>9</v>
      </c>
      <c r="G37" s="170"/>
      <c r="H37" s="170"/>
      <c r="I37" s="434"/>
      <c r="J37" s="181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1">
        <f t="shared" si="0"/>
        <v>30</v>
      </c>
      <c r="B38" s="119" t="s">
        <v>686</v>
      </c>
      <c r="C38" s="119"/>
      <c r="D38" s="119"/>
      <c r="E38" s="119"/>
      <c r="F38" s="138" t="s">
        <v>10</v>
      </c>
      <c r="G38" s="166"/>
      <c r="H38" s="166"/>
      <c r="I38" s="434"/>
      <c r="J38" s="181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1">
        <f t="shared" si="0"/>
        <v>31</v>
      </c>
      <c r="B39" s="118" t="s">
        <v>687</v>
      </c>
      <c r="C39" s="119"/>
      <c r="D39" s="119"/>
      <c r="E39" s="119"/>
      <c r="F39" s="138" t="s">
        <v>11</v>
      </c>
      <c r="G39" s="166"/>
      <c r="H39" s="166"/>
      <c r="I39" s="434"/>
      <c r="J39" s="181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1">
        <f t="shared" si="0"/>
        <v>32</v>
      </c>
      <c r="B40" s="118" t="s">
        <v>688</v>
      </c>
      <c r="C40" s="119"/>
      <c r="D40" s="119"/>
      <c r="E40" s="119"/>
      <c r="F40" s="138" t="s">
        <v>12</v>
      </c>
      <c r="G40" s="166"/>
      <c r="H40" s="166"/>
      <c r="I40" s="434"/>
      <c r="J40" s="181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61">
        <f t="shared" si="0"/>
        <v>33</v>
      </c>
      <c r="B41" s="118" t="s">
        <v>0</v>
      </c>
      <c r="C41" s="119"/>
      <c r="D41" s="119"/>
      <c r="E41" s="119"/>
      <c r="F41" s="138" t="s">
        <v>13</v>
      </c>
      <c r="G41" s="166"/>
      <c r="H41" s="166"/>
      <c r="I41" s="434"/>
      <c r="J41" s="181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61">
        <f t="shared" si="0"/>
        <v>34</v>
      </c>
      <c r="B42" s="118" t="s">
        <v>1</v>
      </c>
      <c r="C42" s="119"/>
      <c r="D42" s="119"/>
      <c r="E42" s="119"/>
      <c r="F42" s="138" t="s">
        <v>14</v>
      </c>
      <c r="G42" s="166"/>
      <c r="H42" s="166"/>
      <c r="I42" s="434"/>
      <c r="J42" s="181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61">
        <f t="shared" si="0"/>
        <v>35</v>
      </c>
      <c r="B43" s="118" t="s">
        <v>2</v>
      </c>
      <c r="C43" s="119"/>
      <c r="D43" s="119"/>
      <c r="E43" s="119"/>
      <c r="F43" s="138" t="s">
        <v>15</v>
      </c>
      <c r="G43" s="166"/>
      <c r="H43" s="166"/>
      <c r="I43" s="434"/>
      <c r="J43" s="181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61">
        <f t="shared" si="0"/>
        <v>36</v>
      </c>
      <c r="B44" s="175" t="s">
        <v>448</v>
      </c>
      <c r="C44" s="489">
        <f t="shared" ref="C44:D44" si="3">SUM(C31:C42)</f>
        <v>1218298</v>
      </c>
      <c r="D44" s="489">
        <f t="shared" si="3"/>
        <v>208004</v>
      </c>
      <c r="E44" s="489">
        <f>SUM(E31:E42)</f>
        <v>1426302</v>
      </c>
      <c r="F44" s="139" t="s">
        <v>441</v>
      </c>
      <c r="G44" s="170">
        <f>SUM(G32:G43)</f>
        <v>0</v>
      </c>
      <c r="H44" s="170">
        <f>SUM(H32:H43)</f>
        <v>0</v>
      </c>
      <c r="I44" s="441">
        <f>SUM(I32:I43)</f>
        <v>0</v>
      </c>
      <c r="J44" s="181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1085">
        <f t="shared" si="0"/>
        <v>37</v>
      </c>
      <c r="B45" s="1086" t="s">
        <v>443</v>
      </c>
      <c r="C45" s="183">
        <f t="shared" ref="C45:D45" si="4">C26+C29+C44</f>
        <v>1870208</v>
      </c>
      <c r="D45" s="183">
        <f t="shared" si="4"/>
        <v>267833</v>
      </c>
      <c r="E45" s="183">
        <f>E26+E29+E44</f>
        <v>2138041</v>
      </c>
      <c r="F45" s="488" t="s">
        <v>442</v>
      </c>
      <c r="G45" s="1045">
        <f>G26+G44</f>
        <v>1870208</v>
      </c>
      <c r="H45" s="1045">
        <f>H26+H44</f>
        <v>267833</v>
      </c>
      <c r="I45" s="1046">
        <f>I26+I44</f>
        <v>2138041</v>
      </c>
      <c r="J45" s="181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80"/>
      <c r="C46" s="179"/>
      <c r="D46" s="179"/>
      <c r="E46" s="179"/>
      <c r="F46" s="179"/>
      <c r="G46" s="179"/>
      <c r="H46" s="179"/>
      <c r="I46" s="179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66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491" t="s">
        <v>1245</v>
      </c>
      <c r="B1" s="1491"/>
      <c r="C1" s="1491"/>
      <c r="D1" s="1491"/>
      <c r="E1" s="1491"/>
      <c r="F1" s="1491"/>
      <c r="G1" s="1491"/>
      <c r="H1" s="149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</row>
    <row r="2" spans="1:35" x14ac:dyDescent="0.2">
      <c r="C2" t="s">
        <v>327</v>
      </c>
    </row>
    <row r="3" spans="1:35" ht="14.25" x14ac:dyDescent="0.2">
      <c r="A3" s="1505" t="s">
        <v>316</v>
      </c>
      <c r="B3" s="1505"/>
      <c r="C3" s="1505"/>
      <c r="D3" s="1505"/>
      <c r="E3" s="1505"/>
      <c r="F3" s="1505"/>
      <c r="G3" s="1505"/>
      <c r="H3" s="1505"/>
    </row>
    <row r="4" spans="1:35" ht="14.25" x14ac:dyDescent="0.2">
      <c r="A4" s="1505" t="s">
        <v>317</v>
      </c>
      <c r="B4" s="1505"/>
      <c r="C4" s="1505"/>
      <c r="D4" s="1505"/>
      <c r="E4" s="1505"/>
      <c r="F4" s="1505"/>
      <c r="G4" s="1505"/>
      <c r="H4" s="1505"/>
    </row>
    <row r="5" spans="1:35" ht="14.25" x14ac:dyDescent="0.2">
      <c r="A5" s="1506" t="s">
        <v>55</v>
      </c>
      <c r="B5" s="1506"/>
      <c r="C5" s="1506"/>
      <c r="D5" s="1506"/>
      <c r="E5" s="1506"/>
      <c r="F5" s="1506"/>
      <c r="G5" s="1506"/>
      <c r="H5" s="1506"/>
    </row>
    <row r="6" spans="1:35" ht="15" x14ac:dyDescent="0.25">
      <c r="A6" s="379"/>
      <c r="B6" s="623"/>
      <c r="C6" s="623"/>
      <c r="D6" s="623"/>
      <c r="E6" s="623"/>
    </row>
    <row r="7" spans="1:35" ht="14.25" customHeight="1" x14ac:dyDescent="0.2">
      <c r="A7" s="1507"/>
      <c r="B7" s="624" t="s">
        <v>57</v>
      </c>
      <c r="C7" s="624" t="s">
        <v>58</v>
      </c>
      <c r="D7" s="624" t="s">
        <v>59</v>
      </c>
      <c r="E7" s="624" t="s">
        <v>60</v>
      </c>
      <c r="F7" s="625" t="s">
        <v>470</v>
      </c>
      <c r="G7" s="625" t="s">
        <v>471</v>
      </c>
      <c r="H7" s="625" t="s">
        <v>472</v>
      </c>
    </row>
    <row r="8" spans="1:35" ht="14.25" customHeight="1" x14ac:dyDescent="0.2">
      <c r="A8" s="1507"/>
      <c r="B8" s="1508" t="s">
        <v>777</v>
      </c>
      <c r="C8" s="1509" t="s">
        <v>319</v>
      </c>
      <c r="D8" s="1510" t="s">
        <v>320</v>
      </c>
      <c r="E8" s="1511"/>
      <c r="F8" s="1512"/>
    </row>
    <row r="9" spans="1:35" ht="15.75" x14ac:dyDescent="0.25">
      <c r="A9" s="1507"/>
      <c r="B9" s="1508"/>
      <c r="C9" s="1509"/>
      <c r="D9" s="1510"/>
      <c r="E9" s="382">
        <v>2015</v>
      </c>
      <c r="F9" s="626">
        <v>2017</v>
      </c>
      <c r="G9" s="648">
        <v>2017</v>
      </c>
      <c r="H9" s="648">
        <v>2018</v>
      </c>
    </row>
    <row r="10" spans="1:35" ht="15" x14ac:dyDescent="0.25">
      <c r="A10" s="627"/>
      <c r="B10" s="628" t="s">
        <v>326</v>
      </c>
      <c r="C10" s="629"/>
      <c r="D10" s="649"/>
      <c r="E10" s="629"/>
    </row>
    <row r="11" spans="1:35" ht="15" x14ac:dyDescent="0.25">
      <c r="A11" s="630">
        <v>1</v>
      </c>
      <c r="B11" s="631" t="s">
        <v>778</v>
      </c>
      <c r="C11" s="632" t="s">
        <v>779</v>
      </c>
      <c r="D11" s="650" t="s">
        <v>332</v>
      </c>
      <c r="E11" s="633">
        <v>41</v>
      </c>
      <c r="F11" s="633">
        <v>50</v>
      </c>
      <c r="G11" s="633">
        <v>50</v>
      </c>
      <c r="H11" s="633">
        <v>50</v>
      </c>
    </row>
    <row r="12" spans="1:35" ht="15" x14ac:dyDescent="0.25">
      <c r="A12" s="630">
        <v>2</v>
      </c>
      <c r="B12" s="631" t="s">
        <v>780</v>
      </c>
      <c r="C12" s="632" t="s">
        <v>781</v>
      </c>
      <c r="D12" s="650" t="s">
        <v>332</v>
      </c>
      <c r="E12" s="633">
        <v>125</v>
      </c>
      <c r="F12" s="633">
        <v>147</v>
      </c>
      <c r="G12" s="633">
        <v>147</v>
      </c>
      <c r="H12" s="633">
        <v>147</v>
      </c>
    </row>
    <row r="13" spans="1:35" ht="25.5" customHeight="1" x14ac:dyDescent="0.25">
      <c r="A13" s="630">
        <v>3</v>
      </c>
      <c r="B13" s="634" t="s">
        <v>782</v>
      </c>
      <c r="C13" s="635" t="s">
        <v>725</v>
      </c>
      <c r="D13" s="651" t="s">
        <v>332</v>
      </c>
      <c r="E13" s="636"/>
      <c r="F13" s="636">
        <v>240</v>
      </c>
      <c r="G13" s="636">
        <v>240</v>
      </c>
      <c r="H13" s="636">
        <v>240</v>
      </c>
    </row>
    <row r="14" spans="1:35" ht="15" x14ac:dyDescent="0.25">
      <c r="A14" s="630">
        <v>4</v>
      </c>
      <c r="B14" s="631" t="s">
        <v>375</v>
      </c>
      <c r="C14" s="632" t="s">
        <v>783</v>
      </c>
      <c r="D14" s="650" t="s">
        <v>332</v>
      </c>
      <c r="E14" s="633">
        <v>330</v>
      </c>
      <c r="F14" s="633">
        <v>335</v>
      </c>
      <c r="G14" s="633">
        <v>335</v>
      </c>
      <c r="H14" s="633">
        <v>335</v>
      </c>
    </row>
    <row r="15" spans="1:35" ht="15" x14ac:dyDescent="0.25">
      <c r="A15" s="630">
        <v>5</v>
      </c>
      <c r="B15" s="631" t="s">
        <v>377</v>
      </c>
      <c r="C15" s="632" t="s">
        <v>784</v>
      </c>
      <c r="D15" s="650" t="s">
        <v>332</v>
      </c>
      <c r="E15" s="633">
        <v>930</v>
      </c>
      <c r="F15" s="633">
        <v>960</v>
      </c>
      <c r="G15" s="633">
        <v>960</v>
      </c>
      <c r="H15" s="633">
        <v>960</v>
      </c>
    </row>
    <row r="16" spans="1:35" ht="15" x14ac:dyDescent="0.25">
      <c r="A16" s="630">
        <v>6</v>
      </c>
      <c r="B16" s="631" t="s">
        <v>785</v>
      </c>
      <c r="C16" s="632" t="s">
        <v>786</v>
      </c>
      <c r="D16" s="650" t="s">
        <v>332</v>
      </c>
      <c r="E16" s="633"/>
      <c r="F16" s="633">
        <v>700</v>
      </c>
      <c r="G16" s="633">
        <v>700</v>
      </c>
      <c r="H16" s="633">
        <v>700</v>
      </c>
    </row>
    <row r="17" spans="1:8" ht="15" x14ac:dyDescent="0.25">
      <c r="A17" s="630">
        <v>7</v>
      </c>
      <c r="B17" s="632" t="s">
        <v>395</v>
      </c>
      <c r="C17" s="632" t="s">
        <v>787</v>
      </c>
      <c r="D17" s="652" t="s">
        <v>332</v>
      </c>
      <c r="E17" s="633">
        <v>225</v>
      </c>
      <c r="F17" s="633">
        <v>271</v>
      </c>
      <c r="G17" s="633">
        <v>271</v>
      </c>
      <c r="H17" s="633">
        <v>271</v>
      </c>
    </row>
    <row r="18" spans="1:8" ht="24.75" customHeight="1" x14ac:dyDescent="0.25">
      <c r="A18" s="630">
        <v>8</v>
      </c>
      <c r="B18" s="637" t="s">
        <v>788</v>
      </c>
      <c r="C18" s="638" t="s">
        <v>789</v>
      </c>
      <c r="D18" s="653" t="s">
        <v>332</v>
      </c>
      <c r="E18" s="639">
        <v>233</v>
      </c>
      <c r="F18" s="639">
        <v>236</v>
      </c>
      <c r="G18" s="639">
        <v>236</v>
      </c>
      <c r="H18" s="639">
        <v>236</v>
      </c>
    </row>
    <row r="19" spans="1:8" ht="20.25" customHeight="1" x14ac:dyDescent="0.25">
      <c r="A19" s="630">
        <v>9</v>
      </c>
      <c r="B19" s="637" t="s">
        <v>401</v>
      </c>
      <c r="C19" s="638" t="s">
        <v>790</v>
      </c>
      <c r="D19" s="653" t="s">
        <v>332</v>
      </c>
      <c r="E19" s="639">
        <v>250</v>
      </c>
      <c r="F19" s="639">
        <v>200</v>
      </c>
      <c r="G19" s="639">
        <v>200</v>
      </c>
      <c r="H19" s="639">
        <v>200</v>
      </c>
    </row>
    <row r="20" spans="1:8" ht="27.75" customHeight="1" x14ac:dyDescent="0.25">
      <c r="A20" s="630">
        <v>10</v>
      </c>
      <c r="B20" s="637" t="s">
        <v>412</v>
      </c>
      <c r="C20" s="638" t="s">
        <v>791</v>
      </c>
      <c r="D20" s="653" t="s">
        <v>332</v>
      </c>
      <c r="E20" s="639">
        <v>1800</v>
      </c>
      <c r="F20" s="639">
        <v>1800</v>
      </c>
      <c r="G20" s="639">
        <v>1800</v>
      </c>
      <c r="H20" s="639">
        <v>1800</v>
      </c>
    </row>
    <row r="21" spans="1:8" ht="28.5" customHeight="1" x14ac:dyDescent="0.25">
      <c r="A21" s="630">
        <v>11</v>
      </c>
      <c r="B21" s="637" t="s">
        <v>414</v>
      </c>
      <c r="C21" s="638" t="s">
        <v>792</v>
      </c>
      <c r="D21" s="653" t="s">
        <v>332</v>
      </c>
      <c r="E21" s="639">
        <v>2000</v>
      </c>
      <c r="F21" s="639">
        <v>2000</v>
      </c>
      <c r="G21" s="639">
        <v>2000</v>
      </c>
      <c r="H21" s="639">
        <v>2000</v>
      </c>
    </row>
    <row r="22" spans="1:8" ht="48" customHeight="1" x14ac:dyDescent="0.2">
      <c r="A22" s="654">
        <v>12</v>
      </c>
      <c r="B22" s="640" t="s">
        <v>793</v>
      </c>
      <c r="C22" s="655" t="s">
        <v>794</v>
      </c>
      <c r="D22" s="656" t="s">
        <v>332</v>
      </c>
      <c r="E22" s="657"/>
      <c r="F22" s="657">
        <v>97</v>
      </c>
      <c r="G22" s="657">
        <v>97</v>
      </c>
      <c r="H22" s="657">
        <v>97</v>
      </c>
    </row>
    <row r="23" spans="1:8" ht="30" customHeight="1" x14ac:dyDescent="0.25">
      <c r="A23" s="630">
        <v>13</v>
      </c>
      <c r="B23" s="637" t="s">
        <v>795</v>
      </c>
      <c r="C23" s="638" t="s">
        <v>796</v>
      </c>
      <c r="D23" s="653">
        <v>43465</v>
      </c>
      <c r="E23" s="639"/>
      <c r="F23" s="639">
        <v>991</v>
      </c>
      <c r="G23" s="639">
        <v>991</v>
      </c>
      <c r="H23" s="639">
        <v>991</v>
      </c>
    </row>
    <row r="24" spans="1:8" ht="33" customHeight="1" x14ac:dyDescent="0.25">
      <c r="A24" s="630">
        <v>14</v>
      </c>
      <c r="B24" s="637" t="s">
        <v>797</v>
      </c>
      <c r="C24" s="638" t="s">
        <v>798</v>
      </c>
      <c r="D24" s="653" t="s">
        <v>332</v>
      </c>
      <c r="E24" s="639"/>
      <c r="F24" s="639">
        <v>515</v>
      </c>
      <c r="G24" s="639">
        <v>515</v>
      </c>
      <c r="H24" s="639">
        <v>515</v>
      </c>
    </row>
    <row r="25" spans="1:8" ht="15" x14ac:dyDescent="0.25">
      <c r="A25" s="630">
        <v>17</v>
      </c>
      <c r="B25" s="642" t="s">
        <v>799</v>
      </c>
      <c r="C25" s="642" t="s">
        <v>800</v>
      </c>
      <c r="D25" s="658">
        <v>43009</v>
      </c>
      <c r="E25" s="643"/>
      <c r="F25" s="644">
        <v>3500</v>
      </c>
      <c r="G25" s="644">
        <v>3500</v>
      </c>
      <c r="H25" s="644">
        <v>3500</v>
      </c>
    </row>
    <row r="26" spans="1:8" ht="15" x14ac:dyDescent="0.25">
      <c r="A26" s="630">
        <v>22</v>
      </c>
      <c r="B26" s="642" t="s">
        <v>801</v>
      </c>
      <c r="C26" s="642" t="s">
        <v>802</v>
      </c>
      <c r="D26" s="658" t="s">
        <v>332</v>
      </c>
      <c r="E26" s="645"/>
      <c r="F26" s="644">
        <v>248</v>
      </c>
      <c r="G26" s="644">
        <v>248</v>
      </c>
      <c r="H26" s="644">
        <v>248</v>
      </c>
    </row>
    <row r="27" spans="1:8" ht="15.75" x14ac:dyDescent="0.25">
      <c r="A27" s="630">
        <v>23</v>
      </c>
      <c r="B27" s="642" t="s">
        <v>803</v>
      </c>
      <c r="C27" s="642" t="s">
        <v>804</v>
      </c>
      <c r="D27" s="647" t="s">
        <v>332</v>
      </c>
      <c r="E27" s="646"/>
      <c r="F27" s="644">
        <v>168</v>
      </c>
      <c r="G27" s="644">
        <v>168</v>
      </c>
      <c r="H27" s="644">
        <v>168</v>
      </c>
    </row>
    <row r="28" spans="1:8" ht="15.75" x14ac:dyDescent="0.25">
      <c r="A28" s="659">
        <v>24</v>
      </c>
      <c r="B28" s="642" t="s">
        <v>805</v>
      </c>
      <c r="C28" s="642" t="s">
        <v>806</v>
      </c>
      <c r="D28" s="647" t="s">
        <v>332</v>
      </c>
      <c r="E28" s="646"/>
      <c r="F28" s="644">
        <v>76</v>
      </c>
      <c r="G28" s="644">
        <v>76</v>
      </c>
      <c r="H28" s="644">
        <v>76</v>
      </c>
    </row>
    <row r="29" spans="1:8" ht="15.75" x14ac:dyDescent="0.25">
      <c r="A29" s="630">
        <v>25</v>
      </c>
      <c r="B29" s="646"/>
      <c r="C29" s="642" t="s">
        <v>807</v>
      </c>
      <c r="D29" s="647" t="s">
        <v>332</v>
      </c>
      <c r="E29" s="646"/>
      <c r="F29" s="641">
        <v>127</v>
      </c>
      <c r="G29" s="641">
        <v>127</v>
      </c>
      <c r="H29" s="641">
        <v>127</v>
      </c>
    </row>
    <row r="30" spans="1:8" ht="15" x14ac:dyDescent="0.25">
      <c r="A30" s="630">
        <v>26</v>
      </c>
      <c r="B30" s="642" t="s">
        <v>808</v>
      </c>
      <c r="C30" s="642" t="s">
        <v>809</v>
      </c>
      <c r="D30" s="658">
        <v>42855</v>
      </c>
      <c r="E30" s="645"/>
      <c r="F30" s="644">
        <v>1531</v>
      </c>
      <c r="G30" s="644">
        <v>1531</v>
      </c>
      <c r="H30" s="644">
        <v>1531</v>
      </c>
    </row>
    <row r="31" spans="1:8" ht="15" x14ac:dyDescent="0.25">
      <c r="A31" s="630">
        <v>27</v>
      </c>
      <c r="B31" s="642" t="s">
        <v>765</v>
      </c>
      <c r="C31" s="642" t="s">
        <v>810</v>
      </c>
      <c r="D31" s="658">
        <v>42855</v>
      </c>
      <c r="E31" s="645"/>
      <c r="F31" s="644">
        <v>3446</v>
      </c>
      <c r="G31" s="644">
        <v>3446</v>
      </c>
      <c r="H31" s="644">
        <v>3446</v>
      </c>
    </row>
    <row r="32" spans="1:8" ht="15" x14ac:dyDescent="0.25">
      <c r="A32" s="630">
        <v>28</v>
      </c>
      <c r="B32" s="642" t="s">
        <v>763</v>
      </c>
      <c r="C32" s="642" t="s">
        <v>811</v>
      </c>
      <c r="D32" s="658">
        <v>42825</v>
      </c>
      <c r="E32" s="645"/>
      <c r="F32" s="644">
        <v>1727</v>
      </c>
      <c r="G32" s="644">
        <v>1727</v>
      </c>
      <c r="H32" s="644">
        <v>1727</v>
      </c>
    </row>
    <row r="33" spans="1:8" ht="15" x14ac:dyDescent="0.25">
      <c r="A33" s="630">
        <v>29</v>
      </c>
      <c r="B33" s="642" t="s">
        <v>812</v>
      </c>
      <c r="C33" s="642" t="s">
        <v>813</v>
      </c>
      <c r="D33" s="658">
        <v>42916</v>
      </c>
      <c r="E33" s="643"/>
      <c r="F33" s="644">
        <v>1270</v>
      </c>
      <c r="G33" s="644">
        <v>1270</v>
      </c>
      <c r="H33" s="644">
        <v>1270</v>
      </c>
    </row>
    <row r="34" spans="1:8" ht="15" x14ac:dyDescent="0.25">
      <c r="A34" s="630">
        <v>30</v>
      </c>
      <c r="B34" s="642"/>
      <c r="C34" s="642" t="s">
        <v>814</v>
      </c>
      <c r="D34" s="658" t="s">
        <v>332</v>
      </c>
      <c r="E34" s="643"/>
      <c r="F34" s="644">
        <v>355</v>
      </c>
      <c r="G34" s="644">
        <v>355</v>
      </c>
      <c r="H34" s="644">
        <v>355</v>
      </c>
    </row>
    <row r="35" spans="1:8" ht="15" x14ac:dyDescent="0.25">
      <c r="A35" s="630">
        <v>31</v>
      </c>
      <c r="B35" s="642"/>
      <c r="C35" s="642" t="s">
        <v>815</v>
      </c>
      <c r="D35" s="658" t="s">
        <v>332</v>
      </c>
      <c r="E35" s="643"/>
      <c r="F35" s="644">
        <v>321</v>
      </c>
      <c r="G35" s="644">
        <v>321</v>
      </c>
      <c r="H35" s="644">
        <v>321</v>
      </c>
    </row>
    <row r="36" spans="1:8" ht="15" x14ac:dyDescent="0.25">
      <c r="A36" s="630">
        <v>32</v>
      </c>
      <c r="B36" s="642"/>
      <c r="C36" s="642" t="s">
        <v>816</v>
      </c>
      <c r="D36" s="658" t="s">
        <v>332</v>
      </c>
      <c r="E36" s="643"/>
      <c r="F36" s="644">
        <v>458</v>
      </c>
      <c r="G36" s="644">
        <v>458</v>
      </c>
      <c r="H36" s="644">
        <v>458</v>
      </c>
    </row>
    <row r="37" spans="1:8" ht="15" x14ac:dyDescent="0.25">
      <c r="A37" s="630">
        <v>33</v>
      </c>
      <c r="B37" s="642" t="s">
        <v>891</v>
      </c>
      <c r="C37" s="642" t="s">
        <v>892</v>
      </c>
      <c r="D37" s="658" t="s">
        <v>332</v>
      </c>
      <c r="E37" s="643"/>
      <c r="F37" s="644">
        <v>131</v>
      </c>
      <c r="G37" s="644">
        <v>131</v>
      </c>
      <c r="H37" s="644">
        <v>131</v>
      </c>
    </row>
    <row r="38" spans="1:8" ht="30" x14ac:dyDescent="0.25">
      <c r="A38" s="630">
        <v>34</v>
      </c>
      <c r="B38" s="642" t="s">
        <v>893</v>
      </c>
      <c r="C38" s="710" t="s">
        <v>894</v>
      </c>
      <c r="D38" s="658" t="s">
        <v>332</v>
      </c>
      <c r="E38" s="643"/>
      <c r="F38" s="644">
        <v>686</v>
      </c>
      <c r="G38" s="644">
        <v>686</v>
      </c>
      <c r="H38" s="644">
        <v>686</v>
      </c>
    </row>
    <row r="39" spans="1:8" ht="15" x14ac:dyDescent="0.25">
      <c r="A39" s="630"/>
      <c r="B39" s="642"/>
      <c r="C39" s="710" t="s">
        <v>895</v>
      </c>
      <c r="D39" s="658" t="s">
        <v>332</v>
      </c>
      <c r="E39" s="643"/>
      <c r="F39" s="644">
        <v>550</v>
      </c>
      <c r="G39" s="644">
        <v>550</v>
      </c>
      <c r="H39" s="644">
        <v>550</v>
      </c>
    </row>
    <row r="40" spans="1:8" ht="15" x14ac:dyDescent="0.25">
      <c r="A40" s="630"/>
      <c r="B40" s="642"/>
      <c r="C40" s="710" t="s">
        <v>890</v>
      </c>
      <c r="D40" s="658" t="s">
        <v>332</v>
      </c>
      <c r="E40" s="643"/>
      <c r="F40" s="644">
        <v>4000</v>
      </c>
      <c r="G40" s="644">
        <v>4000</v>
      </c>
      <c r="H40" s="644">
        <v>4000</v>
      </c>
    </row>
    <row r="41" spans="1:8" ht="15.75" x14ac:dyDescent="0.25">
      <c r="E41" s="660">
        <v>5934</v>
      </c>
      <c r="F41" s="660">
        <f>SUM(F11:F40)</f>
        <v>27136</v>
      </c>
      <c r="G41" s="660">
        <f>SUM(G11:G40)</f>
        <v>27136</v>
      </c>
      <c r="H41" s="660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513" t="s">
        <v>1252</v>
      </c>
      <c r="B1" s="1513"/>
      <c r="C1" s="1513"/>
      <c r="D1" s="1513"/>
      <c r="E1" s="1513"/>
      <c r="F1" s="1513"/>
      <c r="G1" s="1513"/>
      <c r="H1" s="1513"/>
    </row>
    <row r="2" spans="1:8" x14ac:dyDescent="0.2">
      <c r="A2" s="775"/>
      <c r="B2" s="775"/>
      <c r="C2" s="775"/>
      <c r="D2" s="776"/>
      <c r="E2" s="775"/>
      <c r="F2" s="775"/>
      <c r="G2" s="775"/>
      <c r="H2" s="775"/>
    </row>
    <row r="3" spans="1:8" x14ac:dyDescent="0.2">
      <c r="A3" s="1517" t="s">
        <v>77</v>
      </c>
      <c r="B3" s="1517"/>
      <c r="C3" s="1517"/>
      <c r="D3" s="1517"/>
      <c r="E3" s="1517"/>
      <c r="F3" s="1517"/>
      <c r="G3" s="1517"/>
      <c r="H3" s="1517"/>
    </row>
    <row r="4" spans="1:8" ht="14.25" x14ac:dyDescent="0.2">
      <c r="A4" s="1505" t="s">
        <v>316</v>
      </c>
      <c r="B4" s="1505"/>
      <c r="C4" s="1505"/>
      <c r="D4" s="1505"/>
      <c r="E4" s="1505"/>
      <c r="F4" s="1505"/>
      <c r="G4" s="1505"/>
      <c r="H4" s="1505"/>
    </row>
    <row r="5" spans="1:8" ht="14.25" x14ac:dyDescent="0.2">
      <c r="A5" s="1505" t="s">
        <v>1058</v>
      </c>
      <c r="B5" s="1505"/>
      <c r="C5" s="1505"/>
      <c r="D5" s="1505"/>
      <c r="E5" s="1505"/>
      <c r="F5" s="1505"/>
      <c r="G5" s="1505"/>
      <c r="H5" s="1505"/>
    </row>
    <row r="6" spans="1:8" ht="14.25" x14ac:dyDescent="0.2">
      <c r="A6" s="1506" t="s">
        <v>55</v>
      </c>
      <c r="B6" s="1506"/>
      <c r="C6" s="1506"/>
      <c r="D6" s="1506"/>
      <c r="E6" s="1506"/>
      <c r="F6" s="1506"/>
      <c r="G6" s="1506"/>
      <c r="H6" s="1506"/>
    </row>
    <row r="7" spans="1:8" ht="15" x14ac:dyDescent="0.25">
      <c r="A7" s="968"/>
      <c r="B7" s="969"/>
      <c r="C7" s="969"/>
      <c r="D7" s="969"/>
      <c r="E7" s="969"/>
      <c r="F7" s="775"/>
      <c r="G7" s="775"/>
      <c r="H7" s="775"/>
    </row>
    <row r="8" spans="1:8" ht="14.25" customHeight="1" x14ac:dyDescent="0.2">
      <c r="A8" s="1514"/>
      <c r="B8" s="970" t="s">
        <v>57</v>
      </c>
      <c r="C8" s="970" t="s">
        <v>58</v>
      </c>
      <c r="D8" s="970" t="s">
        <v>59</v>
      </c>
      <c r="E8" s="970" t="s">
        <v>60</v>
      </c>
      <c r="F8" s="971" t="s">
        <v>470</v>
      </c>
      <c r="G8" s="971" t="s">
        <v>471</v>
      </c>
      <c r="H8" s="971" t="s">
        <v>472</v>
      </c>
    </row>
    <row r="9" spans="1:8" ht="14.25" customHeight="1" x14ac:dyDescent="0.2">
      <c r="A9" s="1514"/>
      <c r="B9" s="1515" t="s">
        <v>318</v>
      </c>
      <c r="C9" s="1516" t="s">
        <v>319</v>
      </c>
      <c r="D9" s="1516" t="s">
        <v>320</v>
      </c>
      <c r="E9" s="972"/>
      <c r="F9" s="973"/>
      <c r="G9" s="974"/>
      <c r="H9" s="974"/>
    </row>
    <row r="10" spans="1:8" ht="14.25" customHeight="1" x14ac:dyDescent="0.2">
      <c r="A10" s="1514"/>
      <c r="B10" s="1515"/>
      <c r="C10" s="1516"/>
      <c r="D10" s="1516"/>
      <c r="E10" s="975" t="s">
        <v>935</v>
      </c>
      <c r="F10" s="976" t="s">
        <v>1247</v>
      </c>
      <c r="G10" s="977" t="s">
        <v>1059</v>
      </c>
      <c r="H10" s="977" t="s">
        <v>1244</v>
      </c>
    </row>
    <row r="11" spans="1:8" ht="15" x14ac:dyDescent="0.25">
      <c r="A11" s="390"/>
      <c r="B11" s="426" t="s">
        <v>326</v>
      </c>
      <c r="C11" s="427"/>
      <c r="D11" s="427"/>
      <c r="E11" s="775"/>
      <c r="F11" s="775"/>
      <c r="G11" s="775"/>
      <c r="H11" s="775"/>
    </row>
    <row r="12" spans="1:8" ht="15" x14ac:dyDescent="0.25">
      <c r="A12" s="978">
        <v>1</v>
      </c>
      <c r="B12" s="979" t="s">
        <v>330</v>
      </c>
      <c r="C12" s="980" t="s">
        <v>329</v>
      </c>
      <c r="D12" s="981" t="s">
        <v>332</v>
      </c>
      <c r="E12" s="982">
        <v>300</v>
      </c>
      <c r="F12" s="982">
        <v>300</v>
      </c>
      <c r="G12" s="982">
        <v>300</v>
      </c>
      <c r="H12" s="982">
        <v>300</v>
      </c>
    </row>
    <row r="13" spans="1:8" ht="15" x14ac:dyDescent="0.25">
      <c r="A13" s="978">
        <v>2</v>
      </c>
      <c r="B13" s="983" t="s">
        <v>333</v>
      </c>
      <c r="C13" s="984" t="s">
        <v>334</v>
      </c>
      <c r="D13" s="981" t="s">
        <v>332</v>
      </c>
      <c r="E13" s="985">
        <v>100</v>
      </c>
      <c r="F13" s="985">
        <v>100</v>
      </c>
      <c r="G13" s="985">
        <v>100</v>
      </c>
      <c r="H13" s="985">
        <v>100</v>
      </c>
    </row>
    <row r="14" spans="1:8" ht="15" x14ac:dyDescent="0.25">
      <c r="A14" s="978">
        <v>3</v>
      </c>
      <c r="B14" s="983" t="s">
        <v>337</v>
      </c>
      <c r="C14" s="984" t="s">
        <v>715</v>
      </c>
      <c r="D14" s="981" t="s">
        <v>332</v>
      </c>
      <c r="E14" s="985">
        <v>24241</v>
      </c>
      <c r="F14" s="985">
        <v>24241</v>
      </c>
      <c r="G14" s="985">
        <v>24241</v>
      </c>
      <c r="H14" s="985">
        <v>24241</v>
      </c>
    </row>
    <row r="15" spans="1:8" ht="15" x14ac:dyDescent="0.25">
      <c r="A15" s="978">
        <v>4</v>
      </c>
      <c r="B15" s="983" t="s">
        <v>337</v>
      </c>
      <c r="C15" s="984" t="s">
        <v>716</v>
      </c>
      <c r="D15" s="981" t="s">
        <v>332</v>
      </c>
      <c r="E15" s="985">
        <v>27321</v>
      </c>
      <c r="F15" s="985">
        <v>27321</v>
      </c>
      <c r="G15" s="985">
        <v>27321</v>
      </c>
      <c r="H15" s="985">
        <v>27321</v>
      </c>
    </row>
    <row r="16" spans="1:8" ht="15" x14ac:dyDescent="0.25">
      <c r="A16" s="978">
        <v>5</v>
      </c>
      <c r="B16" s="983" t="s">
        <v>345</v>
      </c>
      <c r="C16" s="984" t="s">
        <v>346</v>
      </c>
      <c r="D16" s="981" t="s">
        <v>332</v>
      </c>
      <c r="E16" s="985">
        <v>10</v>
      </c>
      <c r="F16" s="985">
        <v>10</v>
      </c>
      <c r="G16" s="985">
        <v>10</v>
      </c>
      <c r="H16" s="985">
        <v>10</v>
      </c>
    </row>
    <row r="17" spans="1:19" ht="15" x14ac:dyDescent="0.25">
      <c r="A17" s="978">
        <v>6</v>
      </c>
      <c r="B17" s="983" t="s">
        <v>717</v>
      </c>
      <c r="C17" s="984" t="s">
        <v>718</v>
      </c>
      <c r="D17" s="986" t="s">
        <v>332</v>
      </c>
      <c r="E17" s="985">
        <v>62</v>
      </c>
      <c r="F17" s="985">
        <v>62</v>
      </c>
      <c r="G17" s="985">
        <v>62</v>
      </c>
      <c r="H17" s="985">
        <v>62</v>
      </c>
    </row>
    <row r="18" spans="1:19" ht="15" x14ac:dyDescent="0.25">
      <c r="A18" s="978">
        <v>7</v>
      </c>
      <c r="B18" s="983" t="s">
        <v>719</v>
      </c>
      <c r="C18" s="984" t="s">
        <v>720</v>
      </c>
      <c r="D18" s="986" t="s">
        <v>332</v>
      </c>
      <c r="E18" s="985">
        <v>900</v>
      </c>
      <c r="F18" s="985">
        <v>900</v>
      </c>
      <c r="G18" s="985">
        <v>900</v>
      </c>
      <c r="H18" s="985">
        <v>900</v>
      </c>
    </row>
    <row r="19" spans="1:19" ht="15" x14ac:dyDescent="0.25">
      <c r="A19" s="978">
        <v>8</v>
      </c>
      <c r="B19" s="983" t="s">
        <v>721</v>
      </c>
      <c r="C19" s="984" t="s">
        <v>722</v>
      </c>
      <c r="D19" s="986" t="s">
        <v>332</v>
      </c>
      <c r="E19" s="985">
        <v>1190</v>
      </c>
      <c r="F19" s="985">
        <v>1190</v>
      </c>
      <c r="G19" s="985">
        <v>1190</v>
      </c>
      <c r="H19" s="985">
        <v>1190</v>
      </c>
    </row>
    <row r="20" spans="1:19" ht="15" x14ac:dyDescent="0.25">
      <c r="A20" s="978">
        <v>9</v>
      </c>
      <c r="B20" s="983" t="s">
        <v>357</v>
      </c>
      <c r="C20" s="984" t="s">
        <v>723</v>
      </c>
      <c r="D20" s="986" t="s">
        <v>332</v>
      </c>
      <c r="E20" s="985">
        <v>1600</v>
      </c>
      <c r="F20" s="985">
        <v>1600</v>
      </c>
      <c r="G20" s="985">
        <v>1600</v>
      </c>
      <c r="H20" s="985">
        <v>1600</v>
      </c>
    </row>
    <row r="21" spans="1:19" ht="31.5" customHeight="1" x14ac:dyDescent="0.25">
      <c r="A21" s="978">
        <v>10</v>
      </c>
      <c r="B21" s="987" t="s">
        <v>724</v>
      </c>
      <c r="C21" s="988" t="s">
        <v>725</v>
      </c>
      <c r="D21" s="989" t="s">
        <v>332</v>
      </c>
      <c r="E21" s="990">
        <v>35</v>
      </c>
      <c r="F21" s="990">
        <v>35</v>
      </c>
      <c r="G21" s="990">
        <v>35</v>
      </c>
      <c r="H21" s="990">
        <v>35</v>
      </c>
    </row>
    <row r="22" spans="1:19" ht="15" x14ac:dyDescent="0.25">
      <c r="A22" s="978">
        <f>A21+1</f>
        <v>11</v>
      </c>
      <c r="B22" s="984"/>
      <c r="C22" s="984" t="s">
        <v>726</v>
      </c>
      <c r="D22" s="981"/>
      <c r="E22" s="985">
        <v>1844</v>
      </c>
      <c r="F22" s="985">
        <v>1844</v>
      </c>
      <c r="G22" s="985">
        <v>1844</v>
      </c>
      <c r="H22" s="985">
        <v>1844</v>
      </c>
    </row>
    <row r="23" spans="1:19" ht="15" x14ac:dyDescent="0.25">
      <c r="A23" s="978">
        <v>12</v>
      </c>
      <c r="B23" s="983" t="s">
        <v>955</v>
      </c>
      <c r="C23" s="984" t="s">
        <v>952</v>
      </c>
      <c r="D23" s="981" t="s">
        <v>332</v>
      </c>
      <c r="E23" s="985">
        <v>900</v>
      </c>
      <c r="F23" s="985">
        <v>900</v>
      </c>
      <c r="G23" s="985">
        <v>900</v>
      </c>
      <c r="H23" s="985">
        <v>900</v>
      </c>
    </row>
    <row r="24" spans="1:19" ht="31.5" customHeight="1" x14ac:dyDescent="0.25">
      <c r="A24" s="978">
        <f t="shared" ref="A24:A68" si="0">A23+1</f>
        <v>13</v>
      </c>
      <c r="B24" s="642" t="s">
        <v>381</v>
      </c>
      <c r="C24" s="991" t="s">
        <v>382</v>
      </c>
      <c r="D24" s="992" t="s">
        <v>332</v>
      </c>
      <c r="E24" s="993">
        <v>40</v>
      </c>
      <c r="F24" s="993">
        <v>40</v>
      </c>
      <c r="G24" s="993">
        <v>40</v>
      </c>
      <c r="H24" s="993">
        <v>40</v>
      </c>
    </row>
    <row r="25" spans="1:19" ht="30" customHeight="1" x14ac:dyDescent="0.25">
      <c r="A25" s="978">
        <f t="shared" si="0"/>
        <v>14</v>
      </c>
      <c r="B25" s="642" t="s">
        <v>385</v>
      </c>
      <c r="C25" s="991" t="s">
        <v>727</v>
      </c>
      <c r="D25" s="992" t="s">
        <v>332</v>
      </c>
      <c r="E25" s="994">
        <v>210</v>
      </c>
      <c r="F25" s="994">
        <v>210</v>
      </c>
      <c r="G25" s="994">
        <v>210</v>
      </c>
      <c r="H25" s="994">
        <v>210</v>
      </c>
    </row>
    <row r="26" spans="1:19" ht="27" customHeight="1" x14ac:dyDescent="0.25">
      <c r="A26" s="978">
        <f t="shared" si="0"/>
        <v>15</v>
      </c>
      <c r="B26" s="987" t="s">
        <v>387</v>
      </c>
      <c r="C26" s="988" t="s">
        <v>728</v>
      </c>
      <c r="D26" s="989" t="s">
        <v>332</v>
      </c>
      <c r="E26" s="990">
        <v>199</v>
      </c>
      <c r="F26" s="990">
        <v>199</v>
      </c>
      <c r="G26" s="990">
        <v>199</v>
      </c>
      <c r="H26" s="990">
        <v>199</v>
      </c>
    </row>
    <row r="27" spans="1:19" ht="26.25" customHeight="1" x14ac:dyDescent="0.25">
      <c r="A27" s="978">
        <f t="shared" si="0"/>
        <v>16</v>
      </c>
      <c r="B27" s="987" t="s">
        <v>389</v>
      </c>
      <c r="C27" s="988" t="s">
        <v>390</v>
      </c>
      <c r="D27" s="989" t="s">
        <v>332</v>
      </c>
      <c r="E27" s="990">
        <v>1863</v>
      </c>
      <c r="F27" s="990">
        <v>1863</v>
      </c>
      <c r="G27" s="990">
        <v>1863</v>
      </c>
      <c r="H27" s="990">
        <v>1863</v>
      </c>
    </row>
    <row r="28" spans="1:19" s="996" customFormat="1" ht="30" customHeight="1" x14ac:dyDescent="0.25">
      <c r="A28" s="978">
        <f t="shared" si="0"/>
        <v>17</v>
      </c>
      <c r="B28" s="642" t="s">
        <v>1060</v>
      </c>
      <c r="C28" s="995" t="s">
        <v>1061</v>
      </c>
      <c r="D28" s="992" t="s">
        <v>332</v>
      </c>
      <c r="E28" s="645">
        <v>5985</v>
      </c>
      <c r="F28" s="645">
        <v>5985</v>
      </c>
      <c r="G28" s="645">
        <v>5985</v>
      </c>
      <c r="H28" s="645">
        <v>5985</v>
      </c>
      <c r="I28" s="646"/>
      <c r="J28" s="646"/>
      <c r="K28" s="646"/>
      <c r="L28" s="646"/>
      <c r="M28" s="646"/>
      <c r="N28" s="646"/>
      <c r="O28" s="646"/>
      <c r="P28" s="646"/>
      <c r="Q28" s="646"/>
      <c r="R28" s="646"/>
      <c r="S28" s="646"/>
    </row>
    <row r="29" spans="1:19" ht="15" x14ac:dyDescent="0.25">
      <c r="A29" s="978">
        <f t="shared" si="0"/>
        <v>18</v>
      </c>
      <c r="B29" s="984" t="s">
        <v>397</v>
      </c>
      <c r="C29" s="984" t="s">
        <v>729</v>
      </c>
      <c r="D29" s="981" t="s">
        <v>332</v>
      </c>
      <c r="E29" s="985">
        <v>36</v>
      </c>
      <c r="F29" s="985">
        <v>36</v>
      </c>
      <c r="G29" s="985">
        <v>36</v>
      </c>
      <c r="H29" s="985">
        <v>36</v>
      </c>
    </row>
    <row r="30" spans="1:19" ht="27" customHeight="1" x14ac:dyDescent="0.25">
      <c r="A30" s="978">
        <f t="shared" si="0"/>
        <v>19</v>
      </c>
      <c r="B30" s="642"/>
      <c r="C30" s="995" t="s">
        <v>730</v>
      </c>
      <c r="D30" s="992" t="s">
        <v>332</v>
      </c>
      <c r="E30" s="994">
        <v>15</v>
      </c>
      <c r="F30" s="994">
        <v>15</v>
      </c>
      <c r="G30" s="994">
        <v>15</v>
      </c>
      <c r="H30" s="994">
        <v>15</v>
      </c>
    </row>
    <row r="31" spans="1:19" ht="35.25" customHeight="1" x14ac:dyDescent="0.25">
      <c r="A31" s="978">
        <f t="shared" si="0"/>
        <v>20</v>
      </c>
      <c r="B31" s="642" t="s">
        <v>403</v>
      </c>
      <c r="C31" s="995" t="s">
        <v>404</v>
      </c>
      <c r="D31" s="992">
        <v>43497</v>
      </c>
      <c r="E31" s="645">
        <v>3553</v>
      </c>
      <c r="F31" s="645">
        <v>3553</v>
      </c>
      <c r="G31" s="645">
        <v>3553</v>
      </c>
      <c r="H31" s="645">
        <v>3553</v>
      </c>
    </row>
    <row r="32" spans="1:19" ht="30.75" customHeight="1" x14ac:dyDescent="0.25">
      <c r="A32" s="978">
        <f t="shared" si="0"/>
        <v>21</v>
      </c>
      <c r="B32" s="642" t="s">
        <v>731</v>
      </c>
      <c r="C32" s="995" t="s">
        <v>1062</v>
      </c>
      <c r="D32" s="992" t="s">
        <v>332</v>
      </c>
      <c r="E32" s="645">
        <v>1920</v>
      </c>
      <c r="F32" s="645">
        <v>1920</v>
      </c>
      <c r="G32" s="645">
        <v>1920</v>
      </c>
      <c r="H32" s="645">
        <v>1920</v>
      </c>
    </row>
    <row r="33" spans="1:19" s="996" customFormat="1" ht="27.75" customHeight="1" x14ac:dyDescent="0.25">
      <c r="A33" s="978">
        <f t="shared" si="0"/>
        <v>22</v>
      </c>
      <c r="B33" s="642" t="s">
        <v>731</v>
      </c>
      <c r="C33" s="995" t="s">
        <v>1063</v>
      </c>
      <c r="D33" s="992" t="s">
        <v>332</v>
      </c>
      <c r="E33" s="645">
        <v>1800</v>
      </c>
      <c r="F33" s="645">
        <v>1800</v>
      </c>
      <c r="G33" s="645">
        <v>1800</v>
      </c>
      <c r="H33" s="645">
        <v>1800</v>
      </c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6"/>
    </row>
    <row r="34" spans="1:19" ht="27.75" customHeight="1" x14ac:dyDescent="0.25">
      <c r="A34" s="978">
        <f t="shared" si="0"/>
        <v>23</v>
      </c>
      <c r="B34" s="642" t="s">
        <v>732</v>
      </c>
      <c r="C34" s="995" t="s">
        <v>733</v>
      </c>
      <c r="D34" s="992" t="s">
        <v>332</v>
      </c>
      <c r="E34" s="645">
        <v>30</v>
      </c>
      <c r="F34" s="645">
        <v>30</v>
      </c>
      <c r="G34" s="645">
        <v>30</v>
      </c>
      <c r="H34" s="645">
        <v>30</v>
      </c>
    </row>
    <row r="35" spans="1:19" ht="21.75" customHeight="1" x14ac:dyDescent="0.25">
      <c r="A35" s="978">
        <f t="shared" si="0"/>
        <v>24</v>
      </c>
      <c r="B35" s="642" t="s">
        <v>734</v>
      </c>
      <c r="C35" s="995" t="s">
        <v>735</v>
      </c>
      <c r="D35" s="992">
        <v>44196</v>
      </c>
      <c r="E35" s="645">
        <v>153</v>
      </c>
      <c r="F35" s="645">
        <v>153</v>
      </c>
      <c r="G35" s="645">
        <v>153</v>
      </c>
      <c r="H35" s="645">
        <v>153</v>
      </c>
    </row>
    <row r="36" spans="1:19" ht="24.75" customHeight="1" x14ac:dyDescent="0.25">
      <c r="A36" s="978">
        <f t="shared" si="0"/>
        <v>25</v>
      </c>
      <c r="B36" s="642" t="s">
        <v>736</v>
      </c>
      <c r="C36" s="995" t="s">
        <v>737</v>
      </c>
      <c r="D36" s="992" t="s">
        <v>332</v>
      </c>
      <c r="E36" s="645">
        <v>457</v>
      </c>
      <c r="F36" s="645">
        <v>457</v>
      </c>
      <c r="G36" s="645">
        <v>457</v>
      </c>
      <c r="H36" s="645">
        <v>457</v>
      </c>
    </row>
    <row r="37" spans="1:19" ht="28.5" customHeight="1" x14ac:dyDescent="0.25">
      <c r="A37" s="978">
        <f t="shared" si="0"/>
        <v>26</v>
      </c>
      <c r="B37" s="642" t="s">
        <v>738</v>
      </c>
      <c r="C37" s="995" t="s">
        <v>934</v>
      </c>
      <c r="D37" s="992" t="s">
        <v>332</v>
      </c>
      <c r="E37" s="645">
        <v>198</v>
      </c>
      <c r="F37" s="645">
        <v>198</v>
      </c>
      <c r="G37" s="645">
        <v>198</v>
      </c>
      <c r="H37" s="645">
        <v>198</v>
      </c>
    </row>
    <row r="38" spans="1:19" ht="36" customHeight="1" x14ac:dyDescent="0.25">
      <c r="A38" s="978">
        <f t="shared" si="0"/>
        <v>27</v>
      </c>
      <c r="B38" s="642" t="s">
        <v>739</v>
      </c>
      <c r="C38" s="995" t="s">
        <v>740</v>
      </c>
      <c r="D38" s="992" t="s">
        <v>332</v>
      </c>
      <c r="E38" s="645">
        <v>217</v>
      </c>
      <c r="F38" s="645">
        <v>217</v>
      </c>
      <c r="G38" s="645">
        <v>217</v>
      </c>
      <c r="H38" s="645">
        <v>217</v>
      </c>
    </row>
    <row r="39" spans="1:19" ht="26.25" customHeight="1" x14ac:dyDescent="0.25">
      <c r="A39" s="978">
        <f t="shared" si="0"/>
        <v>28</v>
      </c>
      <c r="B39" s="642" t="s">
        <v>121</v>
      </c>
      <c r="C39" s="995" t="s">
        <v>741</v>
      </c>
      <c r="D39" s="992" t="s">
        <v>332</v>
      </c>
      <c r="E39" s="645">
        <v>1200</v>
      </c>
      <c r="F39" s="645">
        <v>1200</v>
      </c>
      <c r="G39" s="645">
        <v>1200</v>
      </c>
      <c r="H39" s="645">
        <v>1200</v>
      </c>
    </row>
    <row r="40" spans="1:19" ht="30.75" customHeight="1" x14ac:dyDescent="0.25">
      <c r="A40" s="978">
        <f t="shared" si="0"/>
        <v>29</v>
      </c>
      <c r="B40" s="642" t="s">
        <v>742</v>
      </c>
      <c r="C40" s="995" t="s">
        <v>743</v>
      </c>
      <c r="D40" s="992">
        <v>43709</v>
      </c>
      <c r="E40" s="645">
        <v>2439</v>
      </c>
      <c r="F40" s="645">
        <v>2439</v>
      </c>
      <c r="G40" s="645">
        <v>2439</v>
      </c>
      <c r="H40" s="645">
        <v>2439</v>
      </c>
    </row>
    <row r="41" spans="1:19" ht="36" customHeight="1" x14ac:dyDescent="0.25">
      <c r="A41" s="978">
        <f t="shared" si="0"/>
        <v>30</v>
      </c>
      <c r="B41" s="997" t="s">
        <v>744</v>
      </c>
      <c r="C41" s="995" t="s">
        <v>745</v>
      </c>
      <c r="D41" s="992" t="s">
        <v>332</v>
      </c>
      <c r="E41" s="644">
        <v>508</v>
      </c>
      <c r="F41" s="644">
        <v>508</v>
      </c>
      <c r="G41" s="644">
        <v>508</v>
      </c>
      <c r="H41" s="644">
        <v>508</v>
      </c>
    </row>
    <row r="42" spans="1:19" ht="30" customHeight="1" x14ac:dyDescent="0.25">
      <c r="A42" s="978">
        <f t="shared" si="0"/>
        <v>31</v>
      </c>
      <c r="B42" s="997"/>
      <c r="C42" s="995" t="s">
        <v>746</v>
      </c>
      <c r="D42" s="992" t="s">
        <v>332</v>
      </c>
      <c r="E42" s="644">
        <v>230</v>
      </c>
      <c r="F42" s="644">
        <v>230</v>
      </c>
      <c r="G42" s="644">
        <v>230</v>
      </c>
      <c r="H42" s="644">
        <v>230</v>
      </c>
    </row>
    <row r="43" spans="1:19" ht="15" x14ac:dyDescent="0.25">
      <c r="A43" s="978">
        <v>32</v>
      </c>
      <c r="B43" s="642" t="s">
        <v>1064</v>
      </c>
      <c r="C43" s="642" t="s">
        <v>747</v>
      </c>
      <c r="D43" s="992">
        <v>43251</v>
      </c>
      <c r="E43" s="644">
        <v>302</v>
      </c>
      <c r="F43" s="644">
        <v>302</v>
      </c>
      <c r="G43" s="644">
        <v>302</v>
      </c>
      <c r="H43" s="644">
        <v>302</v>
      </c>
    </row>
    <row r="44" spans="1:19" ht="15" x14ac:dyDescent="0.25">
      <c r="A44" s="978">
        <v>33</v>
      </c>
      <c r="B44" s="642" t="s">
        <v>748</v>
      </c>
      <c r="C44" s="642" t="s">
        <v>749</v>
      </c>
      <c r="D44" s="992" t="s">
        <v>1065</v>
      </c>
      <c r="E44" s="644">
        <v>10672</v>
      </c>
      <c r="F44" s="644">
        <v>10672</v>
      </c>
      <c r="G44" s="644">
        <v>10672</v>
      </c>
      <c r="H44" s="644"/>
    </row>
    <row r="45" spans="1:19" ht="15" x14ac:dyDescent="0.25">
      <c r="A45" s="978">
        <f t="shared" si="0"/>
        <v>34</v>
      </c>
      <c r="B45" s="642" t="s">
        <v>750</v>
      </c>
      <c r="C45" s="642" t="s">
        <v>751</v>
      </c>
      <c r="D45" s="992" t="s">
        <v>332</v>
      </c>
      <c r="E45" s="644">
        <v>5760</v>
      </c>
      <c r="F45" s="644">
        <v>5760</v>
      </c>
      <c r="G45" s="644">
        <v>5760</v>
      </c>
      <c r="H45" s="644">
        <v>5760</v>
      </c>
    </row>
    <row r="46" spans="1:19" ht="15" x14ac:dyDescent="0.25">
      <c r="A46" s="978">
        <f t="shared" si="0"/>
        <v>35</v>
      </c>
      <c r="B46" s="642" t="s">
        <v>752</v>
      </c>
      <c r="C46" s="642" t="s">
        <v>753</v>
      </c>
      <c r="D46" s="992" t="s">
        <v>332</v>
      </c>
      <c r="E46" s="644">
        <v>3658</v>
      </c>
      <c r="F46" s="644">
        <v>3658</v>
      </c>
      <c r="G46" s="644">
        <v>3658</v>
      </c>
      <c r="H46" s="644">
        <v>3658</v>
      </c>
    </row>
    <row r="47" spans="1:19" ht="15" x14ac:dyDescent="0.25">
      <c r="A47" s="978">
        <f t="shared" si="0"/>
        <v>36</v>
      </c>
      <c r="B47" s="642" t="s">
        <v>109</v>
      </c>
      <c r="C47" s="642" t="s">
        <v>755</v>
      </c>
      <c r="D47" s="992" t="s">
        <v>332</v>
      </c>
      <c r="E47" s="644">
        <v>242</v>
      </c>
      <c r="F47" s="644">
        <v>242</v>
      </c>
      <c r="G47" s="644">
        <v>242</v>
      </c>
      <c r="H47" s="644">
        <v>242</v>
      </c>
    </row>
    <row r="48" spans="1:19" ht="15" x14ac:dyDescent="0.25">
      <c r="A48" s="978">
        <f t="shared" si="0"/>
        <v>37</v>
      </c>
      <c r="B48" s="642" t="s">
        <v>756</v>
      </c>
      <c r="C48" s="642" t="s">
        <v>757</v>
      </c>
      <c r="D48" s="992" t="s">
        <v>332</v>
      </c>
      <c r="E48" s="644">
        <v>993</v>
      </c>
      <c r="F48" s="644">
        <v>993</v>
      </c>
      <c r="G48" s="644">
        <v>993</v>
      </c>
      <c r="H48" s="644">
        <v>993</v>
      </c>
    </row>
    <row r="49" spans="1:11" ht="30" x14ac:dyDescent="0.25">
      <c r="A49" s="978">
        <f t="shared" si="0"/>
        <v>38</v>
      </c>
      <c r="B49" s="997" t="s">
        <v>758</v>
      </c>
      <c r="C49" s="995" t="s">
        <v>759</v>
      </c>
      <c r="D49" s="992" t="s">
        <v>332</v>
      </c>
      <c r="E49" s="644">
        <v>38</v>
      </c>
      <c r="F49" s="644">
        <v>38</v>
      </c>
      <c r="G49" s="644">
        <v>38</v>
      </c>
      <c r="H49" s="644">
        <v>38</v>
      </c>
    </row>
    <row r="50" spans="1:11" ht="15" customHeight="1" x14ac:dyDescent="0.25">
      <c r="A50" s="978">
        <f t="shared" si="0"/>
        <v>39</v>
      </c>
      <c r="B50" s="642"/>
      <c r="C50" s="642" t="s">
        <v>760</v>
      </c>
      <c r="D50" s="992" t="s">
        <v>332</v>
      </c>
      <c r="E50" s="644">
        <v>45</v>
      </c>
      <c r="F50" s="644">
        <v>45</v>
      </c>
      <c r="G50" s="644">
        <v>45</v>
      </c>
      <c r="H50" s="644">
        <v>45</v>
      </c>
    </row>
    <row r="51" spans="1:11" ht="15" x14ac:dyDescent="0.25">
      <c r="A51" s="978">
        <f t="shared" si="0"/>
        <v>40</v>
      </c>
      <c r="B51" s="642" t="s">
        <v>1066</v>
      </c>
      <c r="C51" s="642" t="s">
        <v>761</v>
      </c>
      <c r="D51" s="992">
        <v>43190</v>
      </c>
      <c r="E51" s="644">
        <v>610</v>
      </c>
      <c r="F51" s="644">
        <v>610</v>
      </c>
      <c r="G51" s="644">
        <v>610</v>
      </c>
      <c r="H51" s="644">
        <v>610</v>
      </c>
    </row>
    <row r="52" spans="1:11" ht="15" x14ac:dyDescent="0.25">
      <c r="A52" s="978">
        <f t="shared" si="0"/>
        <v>41</v>
      </c>
      <c r="B52" s="642" t="s">
        <v>1067</v>
      </c>
      <c r="C52" s="642" t="s">
        <v>762</v>
      </c>
      <c r="D52" s="992">
        <v>43190</v>
      </c>
      <c r="E52" s="644">
        <v>610</v>
      </c>
      <c r="F52" s="644">
        <v>610</v>
      </c>
      <c r="G52" s="644">
        <v>610</v>
      </c>
      <c r="H52" s="644">
        <v>610</v>
      </c>
    </row>
    <row r="53" spans="1:11" ht="15" x14ac:dyDescent="0.25">
      <c r="A53" s="978">
        <f t="shared" si="0"/>
        <v>42</v>
      </c>
      <c r="B53" s="642" t="s">
        <v>763</v>
      </c>
      <c r="C53" s="642" t="s">
        <v>764</v>
      </c>
      <c r="D53" s="992">
        <v>42825</v>
      </c>
      <c r="E53" s="644">
        <v>210</v>
      </c>
      <c r="F53" s="644">
        <v>210</v>
      </c>
      <c r="G53" s="644">
        <v>210</v>
      </c>
      <c r="H53" s="644">
        <v>210</v>
      </c>
    </row>
    <row r="54" spans="1:11" ht="15" x14ac:dyDescent="0.25">
      <c r="A54" s="978">
        <f t="shared" si="0"/>
        <v>43</v>
      </c>
      <c r="B54" s="642" t="s">
        <v>765</v>
      </c>
      <c r="C54" s="642" t="s">
        <v>766</v>
      </c>
      <c r="D54" s="992">
        <v>42855</v>
      </c>
      <c r="E54" s="644">
        <v>972</v>
      </c>
      <c r="F54" s="644">
        <v>972</v>
      </c>
      <c r="G54" s="644">
        <v>972</v>
      </c>
      <c r="H54" s="644">
        <v>972</v>
      </c>
    </row>
    <row r="55" spans="1:11" ht="15" x14ac:dyDescent="0.25">
      <c r="A55" s="978">
        <f t="shared" si="0"/>
        <v>44</v>
      </c>
      <c r="B55" s="642" t="s">
        <v>754</v>
      </c>
      <c r="C55" s="642" t="s">
        <v>767</v>
      </c>
      <c r="D55" s="992" t="s">
        <v>332</v>
      </c>
      <c r="E55" s="644">
        <v>486</v>
      </c>
      <c r="F55" s="644">
        <v>486</v>
      </c>
      <c r="G55" s="644">
        <v>486</v>
      </c>
      <c r="H55" s="644">
        <v>486</v>
      </c>
    </row>
    <row r="56" spans="1:11" ht="15.75" x14ac:dyDescent="0.25">
      <c r="A56" s="978">
        <v>45</v>
      </c>
      <c r="B56" s="998"/>
      <c r="C56" s="642" t="s">
        <v>768</v>
      </c>
      <c r="D56" s="999" t="s">
        <v>332</v>
      </c>
      <c r="E56" s="644">
        <v>175</v>
      </c>
      <c r="F56" s="644">
        <v>175</v>
      </c>
      <c r="G56" s="644">
        <v>175</v>
      </c>
      <c r="H56" s="644">
        <v>175</v>
      </c>
    </row>
    <row r="57" spans="1:11" ht="15.75" x14ac:dyDescent="0.25">
      <c r="A57" s="978">
        <f t="shared" si="0"/>
        <v>46</v>
      </c>
      <c r="B57" s="998"/>
      <c r="C57" s="642" t="s">
        <v>769</v>
      </c>
      <c r="D57" s="999" t="s">
        <v>332</v>
      </c>
      <c r="E57" s="644">
        <v>55</v>
      </c>
      <c r="F57" s="644">
        <v>55</v>
      </c>
      <c r="G57" s="644">
        <v>55</v>
      </c>
      <c r="H57" s="644">
        <v>55</v>
      </c>
    </row>
    <row r="58" spans="1:11" ht="15" x14ac:dyDescent="0.25">
      <c r="A58" s="978">
        <f t="shared" si="0"/>
        <v>47</v>
      </c>
      <c r="B58" s="998"/>
      <c r="C58" s="642" t="s">
        <v>770</v>
      </c>
      <c r="D58" s="1000">
        <v>45291</v>
      </c>
      <c r="E58" s="644">
        <v>19500</v>
      </c>
      <c r="F58" s="644">
        <v>19500</v>
      </c>
      <c r="G58" s="644">
        <v>19500</v>
      </c>
      <c r="H58" s="644">
        <v>19500</v>
      </c>
    </row>
    <row r="59" spans="1:11" ht="15.75" x14ac:dyDescent="0.25">
      <c r="A59" s="978">
        <f t="shared" si="0"/>
        <v>48</v>
      </c>
      <c r="B59" s="998"/>
      <c r="C59" s="642" t="s">
        <v>771</v>
      </c>
      <c r="D59" s="999" t="s">
        <v>332</v>
      </c>
      <c r="E59" s="644">
        <v>37</v>
      </c>
      <c r="F59" s="644">
        <v>37</v>
      </c>
      <c r="G59" s="644">
        <v>37</v>
      </c>
      <c r="H59" s="644">
        <v>37</v>
      </c>
    </row>
    <row r="60" spans="1:11" ht="15.75" x14ac:dyDescent="0.25">
      <c r="A60" s="978">
        <f t="shared" si="0"/>
        <v>49</v>
      </c>
      <c r="B60" s="998"/>
      <c r="C60" s="642" t="s">
        <v>772</v>
      </c>
      <c r="D60" s="999" t="s">
        <v>332</v>
      </c>
      <c r="E60" s="644">
        <v>53</v>
      </c>
      <c r="F60" s="644">
        <v>53</v>
      </c>
      <c r="G60" s="644">
        <v>53</v>
      </c>
      <c r="H60" s="644">
        <v>53</v>
      </c>
      <c r="K60" s="644"/>
    </row>
    <row r="61" spans="1:11" ht="15.75" x14ac:dyDescent="0.25">
      <c r="A61" s="978">
        <f t="shared" si="0"/>
        <v>50</v>
      </c>
      <c r="B61" s="998"/>
      <c r="C61" s="642" t="s">
        <v>773</v>
      </c>
      <c r="D61" s="999" t="s">
        <v>332</v>
      </c>
      <c r="E61" s="644">
        <v>104</v>
      </c>
      <c r="F61" s="644">
        <v>104</v>
      </c>
      <c r="G61" s="644">
        <v>104</v>
      </c>
      <c r="H61" s="644">
        <v>104</v>
      </c>
    </row>
    <row r="62" spans="1:11" ht="15.75" x14ac:dyDescent="0.25">
      <c r="A62" s="978">
        <f t="shared" si="0"/>
        <v>51</v>
      </c>
      <c r="B62" s="998"/>
      <c r="C62" s="642" t="s">
        <v>774</v>
      </c>
      <c r="D62" s="999" t="s">
        <v>332</v>
      </c>
      <c r="E62" s="644">
        <v>192</v>
      </c>
      <c r="F62" s="644">
        <v>192</v>
      </c>
      <c r="G62" s="644">
        <v>192</v>
      </c>
      <c r="H62" s="644">
        <v>192</v>
      </c>
    </row>
    <row r="63" spans="1:11" ht="15.75" x14ac:dyDescent="0.25">
      <c r="A63" s="978">
        <f t="shared" si="0"/>
        <v>52</v>
      </c>
      <c r="B63" s="998"/>
      <c r="C63" s="642" t="s">
        <v>775</v>
      </c>
      <c r="D63" s="999" t="s">
        <v>332</v>
      </c>
      <c r="E63" s="644">
        <v>134</v>
      </c>
      <c r="F63" s="644">
        <v>134</v>
      </c>
      <c r="G63" s="644">
        <v>134</v>
      </c>
      <c r="H63" s="644">
        <v>134</v>
      </c>
    </row>
    <row r="64" spans="1:11" ht="15.75" x14ac:dyDescent="0.25">
      <c r="A64" s="978">
        <f t="shared" si="0"/>
        <v>53</v>
      </c>
      <c r="B64" s="998"/>
      <c r="C64" s="642" t="s">
        <v>776</v>
      </c>
      <c r="D64" s="999" t="s">
        <v>332</v>
      </c>
      <c r="E64" s="644">
        <v>159</v>
      </c>
      <c r="F64" s="644">
        <v>159</v>
      </c>
      <c r="G64" s="644">
        <v>159</v>
      </c>
      <c r="H64" s="644">
        <v>159</v>
      </c>
    </row>
    <row r="65" spans="1:11" ht="15" x14ac:dyDescent="0.25">
      <c r="A65" s="978">
        <f t="shared" si="0"/>
        <v>54</v>
      </c>
      <c r="B65" s="1001">
        <v>68360</v>
      </c>
      <c r="C65" s="642" t="s">
        <v>936</v>
      </c>
      <c r="D65" s="1002" t="s">
        <v>332</v>
      </c>
      <c r="E65" s="644">
        <v>1844</v>
      </c>
      <c r="F65" s="644">
        <v>1844</v>
      </c>
      <c r="G65" s="644">
        <v>1844</v>
      </c>
      <c r="H65" s="644">
        <v>1844</v>
      </c>
    </row>
    <row r="66" spans="1:11" ht="15" x14ac:dyDescent="0.25">
      <c r="A66" s="978">
        <f t="shared" si="0"/>
        <v>55</v>
      </c>
      <c r="B66" s="1003" t="s">
        <v>886</v>
      </c>
      <c r="C66" s="642" t="s">
        <v>887</v>
      </c>
      <c r="D66" s="1000">
        <v>43465</v>
      </c>
      <c r="E66" s="644">
        <v>21000</v>
      </c>
      <c r="F66" s="644">
        <v>21000</v>
      </c>
      <c r="G66" s="644">
        <v>21000</v>
      </c>
      <c r="H66" s="644">
        <v>21000</v>
      </c>
    </row>
    <row r="67" spans="1:11" ht="15" x14ac:dyDescent="0.25">
      <c r="A67" s="978">
        <f t="shared" si="0"/>
        <v>56</v>
      </c>
      <c r="B67" s="1003" t="s">
        <v>888</v>
      </c>
      <c r="C67" s="642" t="s">
        <v>889</v>
      </c>
      <c r="D67" s="1002" t="s">
        <v>332</v>
      </c>
      <c r="E67" s="644">
        <v>31000</v>
      </c>
      <c r="F67" s="644">
        <v>31000</v>
      </c>
      <c r="G67" s="644">
        <v>31000</v>
      </c>
      <c r="H67" s="644">
        <v>31000</v>
      </c>
      <c r="I67" s="775"/>
    </row>
    <row r="68" spans="1:11" ht="15" x14ac:dyDescent="0.25">
      <c r="A68" s="978">
        <f t="shared" si="0"/>
        <v>57</v>
      </c>
      <c r="B68" s="1004"/>
      <c r="C68" s="642" t="s">
        <v>890</v>
      </c>
      <c r="D68" s="1002" t="s">
        <v>332</v>
      </c>
      <c r="E68" s="644">
        <v>732</v>
      </c>
      <c r="F68" s="644">
        <v>732</v>
      </c>
      <c r="G68" s="644">
        <v>732</v>
      </c>
      <c r="H68" s="644">
        <v>732</v>
      </c>
      <c r="I68" s="775"/>
    </row>
    <row r="69" spans="1:11" ht="15" x14ac:dyDescent="0.25">
      <c r="A69" s="978">
        <v>61</v>
      </c>
      <c r="B69" s="1003" t="s">
        <v>953</v>
      </c>
      <c r="C69" s="642" t="s">
        <v>954</v>
      </c>
      <c r="D69" s="1002" t="s">
        <v>332</v>
      </c>
      <c r="E69" s="644">
        <v>3277</v>
      </c>
      <c r="F69" s="644">
        <v>3277</v>
      </c>
      <c r="G69" s="644">
        <v>3277</v>
      </c>
      <c r="H69" s="644">
        <v>3277</v>
      </c>
      <c r="I69" s="775"/>
    </row>
    <row r="70" spans="1:11" ht="30" x14ac:dyDescent="0.25">
      <c r="A70" s="978">
        <v>62</v>
      </c>
      <c r="B70" s="1003" t="s">
        <v>1068</v>
      </c>
      <c r="C70" s="710" t="s">
        <v>1069</v>
      </c>
      <c r="D70" s="1002" t="s">
        <v>332</v>
      </c>
      <c r="E70" s="644">
        <v>600</v>
      </c>
      <c r="F70" s="644">
        <v>600</v>
      </c>
      <c r="G70" s="644">
        <v>600</v>
      </c>
      <c r="H70" s="644">
        <v>600</v>
      </c>
      <c r="I70" s="775"/>
      <c r="J70" s="775"/>
      <c r="K70" s="775"/>
    </row>
    <row r="71" spans="1:11" ht="15" x14ac:dyDescent="0.25">
      <c r="A71" s="978">
        <v>63</v>
      </c>
      <c r="B71" s="1003" t="s">
        <v>1070</v>
      </c>
      <c r="C71" s="642" t="s">
        <v>1071</v>
      </c>
      <c r="D71" s="1002" t="s">
        <v>332</v>
      </c>
      <c r="E71" s="644">
        <v>283</v>
      </c>
      <c r="F71" s="644">
        <v>283</v>
      </c>
      <c r="G71" s="644">
        <v>283</v>
      </c>
      <c r="H71" s="644">
        <v>283</v>
      </c>
      <c r="I71" s="1005"/>
      <c r="J71" s="1005"/>
      <c r="K71" s="1005"/>
    </row>
    <row r="72" spans="1:11" ht="15" x14ac:dyDescent="0.25">
      <c r="A72" s="978">
        <v>64</v>
      </c>
      <c r="B72" s="1003" t="s">
        <v>1072</v>
      </c>
      <c r="C72" s="642" t="s">
        <v>1073</v>
      </c>
      <c r="D72" s="1000">
        <v>46727</v>
      </c>
      <c r="E72" s="644"/>
      <c r="F72" s="644"/>
      <c r="G72" s="644">
        <v>155396</v>
      </c>
      <c r="H72" s="644">
        <v>155396</v>
      </c>
      <c r="I72" s="1005"/>
      <c r="J72" s="1005"/>
      <c r="K72" s="1005"/>
    </row>
    <row r="73" spans="1:11" ht="15" x14ac:dyDescent="0.25">
      <c r="A73" s="978">
        <v>65</v>
      </c>
      <c r="B73" s="1003" t="s">
        <v>1074</v>
      </c>
      <c r="C73" s="642" t="s">
        <v>1075</v>
      </c>
      <c r="D73" s="1000" t="s">
        <v>332</v>
      </c>
      <c r="E73" s="644">
        <v>3000</v>
      </c>
      <c r="F73" s="644">
        <v>3000</v>
      </c>
      <c r="G73" s="644">
        <v>3000</v>
      </c>
      <c r="H73" s="644">
        <v>3000</v>
      </c>
      <c r="I73" s="1005"/>
      <c r="J73" s="1005"/>
      <c r="K73" s="1005"/>
    </row>
    <row r="74" spans="1:11" ht="15" x14ac:dyDescent="0.25">
      <c r="A74" s="978">
        <v>66</v>
      </c>
      <c r="B74" s="1003" t="s">
        <v>1076</v>
      </c>
      <c r="C74" s="642" t="s">
        <v>1077</v>
      </c>
      <c r="D74" s="1000">
        <v>44105</v>
      </c>
      <c r="E74" s="644">
        <v>350</v>
      </c>
      <c r="F74" s="644">
        <v>350</v>
      </c>
      <c r="G74" s="644">
        <v>263</v>
      </c>
      <c r="H74" s="644">
        <v>0</v>
      </c>
      <c r="I74" s="1005"/>
      <c r="J74" s="1005"/>
      <c r="K74" s="1005"/>
    </row>
    <row r="75" spans="1:11" ht="15.75" x14ac:dyDescent="0.25">
      <c r="A75" s="978"/>
      <c r="B75" s="998"/>
      <c r="C75" s="998"/>
      <c r="D75" s="1006"/>
      <c r="E75" s="1007">
        <f>SUM(E11:E74)</f>
        <v>186649</v>
      </c>
      <c r="F75" s="1008">
        <f>SUM(F12:F74)</f>
        <v>186649</v>
      </c>
      <c r="G75" s="1008">
        <f>SUM(G12:G74)</f>
        <v>341958</v>
      </c>
      <c r="H75" s="1008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80" customWidth="1"/>
    <col min="2" max="2" width="27.7109375" style="392" customWidth="1"/>
    <col min="3" max="3" width="47.85546875" style="392" customWidth="1"/>
    <col min="4" max="4" width="9.140625" style="381"/>
    <col min="5" max="5" width="8.7109375" style="392" bestFit="1" customWidth="1"/>
    <col min="6" max="6" width="8.42578125" style="392" bestFit="1" customWidth="1"/>
    <col min="7" max="7" width="8.7109375" style="392" customWidth="1"/>
    <col min="8" max="8" width="8.85546875" style="392" customWidth="1"/>
    <col min="9" max="9" width="9.140625" style="392"/>
    <col min="10" max="16384" width="9.140625" style="383"/>
  </cols>
  <sheetData>
    <row r="1" spans="1:11" ht="14.1" customHeight="1" x14ac:dyDescent="0.25">
      <c r="C1" s="1522" t="s">
        <v>159</v>
      </c>
      <c r="D1" s="1522"/>
      <c r="E1" s="1522"/>
      <c r="F1" s="1522"/>
      <c r="G1" s="1522"/>
      <c r="H1" s="1522"/>
    </row>
    <row r="2" spans="1:11" ht="20.100000000000001" customHeight="1" x14ac:dyDescent="0.25">
      <c r="A2" s="1505" t="s">
        <v>316</v>
      </c>
      <c r="B2" s="1523"/>
      <c r="C2" s="1523"/>
      <c r="D2" s="1523"/>
      <c r="E2" s="1523"/>
      <c r="F2" s="1523"/>
      <c r="G2" s="1523"/>
      <c r="H2" s="1523"/>
    </row>
    <row r="3" spans="1:11" ht="14.1" customHeight="1" x14ac:dyDescent="0.25">
      <c r="A3" s="1505" t="s">
        <v>317</v>
      </c>
      <c r="B3" s="1523"/>
      <c r="C3" s="1523"/>
      <c r="D3" s="1523"/>
      <c r="E3" s="1523"/>
      <c r="F3" s="1523"/>
      <c r="G3" s="1523"/>
      <c r="H3" s="1523"/>
    </row>
    <row r="4" spans="1:11" ht="14.1" customHeight="1" x14ac:dyDescent="0.25">
      <c r="A4" s="1506" t="s">
        <v>55</v>
      </c>
      <c r="B4" s="1524"/>
      <c r="C4" s="1524"/>
      <c r="D4" s="1524"/>
      <c r="E4" s="1524"/>
      <c r="F4" s="1524"/>
      <c r="G4" s="1524"/>
      <c r="H4" s="1524"/>
    </row>
    <row r="5" spans="1:11" ht="14.1" customHeight="1" x14ac:dyDescent="0.25">
      <c r="A5" s="379"/>
      <c r="B5" s="380"/>
      <c r="C5" s="380"/>
      <c r="D5" s="380"/>
      <c r="E5" s="380"/>
      <c r="F5" s="380"/>
      <c r="G5" s="380"/>
      <c r="H5" s="380"/>
    </row>
    <row r="6" spans="1:11" ht="14.1" customHeight="1" x14ac:dyDescent="0.25">
      <c r="A6" s="1514"/>
      <c r="B6" s="382" t="s">
        <v>57</v>
      </c>
      <c r="C6" s="382" t="s">
        <v>58</v>
      </c>
      <c r="D6" s="382" t="s">
        <v>59</v>
      </c>
      <c r="E6" s="382" t="s">
        <v>60</v>
      </c>
      <c r="F6" s="382" t="s">
        <v>470</v>
      </c>
      <c r="G6" s="382" t="s">
        <v>471</v>
      </c>
      <c r="H6" s="382" t="s">
        <v>472</v>
      </c>
      <c r="I6" s="382" t="s">
        <v>592</v>
      </c>
    </row>
    <row r="7" spans="1:11" s="422" customFormat="1" ht="13.5" customHeight="1" x14ac:dyDescent="0.25">
      <c r="A7" s="1514"/>
      <c r="B7" s="1521" t="s">
        <v>318</v>
      </c>
      <c r="C7" s="1525" t="s">
        <v>319</v>
      </c>
      <c r="D7" s="1525" t="s">
        <v>320</v>
      </c>
      <c r="E7" s="1519" t="s">
        <v>321</v>
      </c>
      <c r="F7" s="1520"/>
      <c r="G7" s="1520"/>
      <c r="H7" s="1520"/>
      <c r="I7" s="1521"/>
      <c r="J7" s="421"/>
      <c r="K7" s="421"/>
    </row>
    <row r="8" spans="1:11" s="422" customFormat="1" ht="13.5" customHeight="1" x14ac:dyDescent="0.25">
      <c r="A8" s="1514"/>
      <c r="B8" s="1521"/>
      <c r="C8" s="1525"/>
      <c r="D8" s="1525"/>
      <c r="E8" s="423" t="s">
        <v>322</v>
      </c>
      <c r="F8" s="423" t="s">
        <v>323</v>
      </c>
      <c r="G8" s="423" t="s">
        <v>324</v>
      </c>
      <c r="H8" s="424" t="s">
        <v>325</v>
      </c>
      <c r="I8" s="423" t="s">
        <v>156</v>
      </c>
      <c r="J8" s="425"/>
      <c r="K8" s="425"/>
    </row>
    <row r="9" spans="1:11" s="422" customFormat="1" ht="13.5" customHeight="1" x14ac:dyDescent="0.25">
      <c r="A9" s="390" t="s">
        <v>479</v>
      </c>
      <c r="B9" s="426" t="s">
        <v>326</v>
      </c>
      <c r="C9" s="427"/>
      <c r="D9" s="428"/>
      <c r="E9" s="427"/>
      <c r="F9" s="427"/>
      <c r="G9" s="427"/>
      <c r="H9" s="427"/>
      <c r="I9" s="378"/>
    </row>
    <row r="10" spans="1:11" ht="13.5" customHeight="1" x14ac:dyDescent="0.25">
      <c r="A10" s="390" t="s">
        <v>487</v>
      </c>
      <c r="B10" s="429" t="s">
        <v>327</v>
      </c>
    </row>
    <row r="11" spans="1:11" ht="13.5" customHeight="1" x14ac:dyDescent="0.25">
      <c r="A11" s="390" t="s">
        <v>488</v>
      </c>
      <c r="B11" s="412" t="s">
        <v>328</v>
      </c>
      <c r="C11" s="413" t="s">
        <v>329</v>
      </c>
      <c r="D11" s="414"/>
      <c r="E11" s="413"/>
      <c r="F11" s="413"/>
      <c r="G11" s="413"/>
      <c r="H11" s="413"/>
    </row>
    <row r="12" spans="1:11" ht="13.5" customHeight="1" x14ac:dyDescent="0.25">
      <c r="A12" s="390" t="s">
        <v>489</v>
      </c>
      <c r="B12" s="412" t="s">
        <v>330</v>
      </c>
      <c r="C12" s="413" t="s">
        <v>331</v>
      </c>
      <c r="D12" s="381" t="s">
        <v>332</v>
      </c>
      <c r="E12" s="415">
        <v>300</v>
      </c>
      <c r="F12" s="415">
        <v>300</v>
      </c>
      <c r="G12" s="415">
        <v>300</v>
      </c>
      <c r="H12" s="415">
        <v>300</v>
      </c>
    </row>
    <row r="13" spans="1:11" ht="13.5" customHeight="1" x14ac:dyDescent="0.25">
      <c r="A13" s="390" t="s">
        <v>490</v>
      </c>
      <c r="B13" s="391" t="s">
        <v>333</v>
      </c>
      <c r="C13" s="392" t="s">
        <v>334</v>
      </c>
      <c r="D13" s="381" t="s">
        <v>332</v>
      </c>
      <c r="E13" s="389">
        <v>100</v>
      </c>
      <c r="F13" s="389">
        <v>100</v>
      </c>
      <c r="G13" s="389">
        <v>100</v>
      </c>
      <c r="H13" s="389">
        <v>100</v>
      </c>
      <c r="I13" s="392">
        <v>100</v>
      </c>
    </row>
    <row r="14" spans="1:11" ht="13.5" customHeight="1" x14ac:dyDescent="0.25">
      <c r="A14" s="390" t="s">
        <v>491</v>
      </c>
      <c r="B14" s="391" t="s">
        <v>335</v>
      </c>
      <c r="C14" s="392" t="s">
        <v>336</v>
      </c>
      <c r="D14" s="381" t="s">
        <v>332</v>
      </c>
      <c r="E14" s="389">
        <v>24554</v>
      </c>
      <c r="F14" s="389">
        <v>19393</v>
      </c>
      <c r="G14" s="389"/>
      <c r="H14" s="389">
        <v>24241</v>
      </c>
      <c r="I14" s="392">
        <v>24250</v>
      </c>
    </row>
    <row r="15" spans="1:11" ht="13.5" customHeight="1" x14ac:dyDescent="0.25">
      <c r="A15" s="390" t="s">
        <v>492</v>
      </c>
      <c r="B15" s="391" t="s">
        <v>337</v>
      </c>
      <c r="C15" s="392" t="s">
        <v>338</v>
      </c>
      <c r="D15" s="381" t="s">
        <v>332</v>
      </c>
      <c r="E15" s="389"/>
      <c r="F15" s="389"/>
      <c r="G15" s="389"/>
      <c r="H15" s="389"/>
    </row>
    <row r="16" spans="1:11" ht="13.5" customHeight="1" x14ac:dyDescent="0.25">
      <c r="A16" s="390" t="s">
        <v>493</v>
      </c>
      <c r="B16" s="391" t="s">
        <v>339</v>
      </c>
      <c r="C16" s="392" t="s">
        <v>340</v>
      </c>
      <c r="D16" s="381" t="s">
        <v>332</v>
      </c>
      <c r="E16" s="389">
        <v>17280</v>
      </c>
      <c r="F16" s="389">
        <v>17280</v>
      </c>
      <c r="G16" s="389">
        <v>17280</v>
      </c>
      <c r="H16" s="389">
        <v>17280</v>
      </c>
      <c r="I16" s="392">
        <v>17280</v>
      </c>
    </row>
    <row r="17" spans="1:13" ht="13.5" customHeight="1" x14ac:dyDescent="0.25">
      <c r="A17" s="390" t="s">
        <v>494</v>
      </c>
      <c r="B17" s="391" t="s">
        <v>341</v>
      </c>
      <c r="C17" s="392" t="s">
        <v>342</v>
      </c>
      <c r="D17" s="381" t="s">
        <v>332</v>
      </c>
      <c r="E17" s="389">
        <v>32739</v>
      </c>
      <c r="F17" s="389">
        <v>25858</v>
      </c>
      <c r="G17" s="389"/>
      <c r="H17" s="389">
        <v>27321</v>
      </c>
      <c r="I17" s="392">
        <v>27350</v>
      </c>
    </row>
    <row r="18" spans="1:13" ht="13.5" customHeight="1" x14ac:dyDescent="0.25">
      <c r="A18" s="390" t="s">
        <v>530</v>
      </c>
      <c r="B18" s="391"/>
      <c r="C18" s="392" t="s">
        <v>343</v>
      </c>
      <c r="D18" s="381" t="s">
        <v>332</v>
      </c>
      <c r="E18" s="389"/>
      <c r="F18" s="389"/>
      <c r="G18" s="389"/>
      <c r="H18" s="389"/>
    </row>
    <row r="19" spans="1:13" ht="13.5" customHeight="1" x14ac:dyDescent="0.25">
      <c r="A19" s="390" t="s">
        <v>531</v>
      </c>
      <c r="B19" s="391"/>
      <c r="C19" s="392" t="s">
        <v>344</v>
      </c>
      <c r="D19" s="381" t="s">
        <v>332</v>
      </c>
      <c r="E19" s="389">
        <v>23050</v>
      </c>
      <c r="F19" s="389">
        <v>23050</v>
      </c>
      <c r="G19" s="389">
        <v>23050</v>
      </c>
      <c r="H19" s="389">
        <v>23050</v>
      </c>
      <c r="I19" s="392">
        <v>23050</v>
      </c>
    </row>
    <row r="20" spans="1:13" ht="18" customHeight="1" x14ac:dyDescent="0.25">
      <c r="A20" s="390" t="s">
        <v>532</v>
      </c>
      <c r="B20" s="391" t="s">
        <v>345</v>
      </c>
      <c r="C20" s="392" t="s">
        <v>346</v>
      </c>
      <c r="D20" s="381" t="s">
        <v>332</v>
      </c>
      <c r="E20" s="389">
        <v>9</v>
      </c>
      <c r="F20" s="389">
        <v>9</v>
      </c>
      <c r="G20" s="389">
        <v>9</v>
      </c>
      <c r="H20" s="389">
        <v>9</v>
      </c>
      <c r="I20" s="392">
        <v>9</v>
      </c>
    </row>
    <row r="21" spans="1:13" ht="13.5" customHeight="1" x14ac:dyDescent="0.25">
      <c r="A21" s="390" t="s">
        <v>533</v>
      </c>
      <c r="B21" s="391" t="s">
        <v>347</v>
      </c>
      <c r="C21" s="392" t="s">
        <v>348</v>
      </c>
      <c r="D21" s="381" t="s">
        <v>332</v>
      </c>
      <c r="E21" s="389">
        <v>50</v>
      </c>
      <c r="F21" s="389">
        <v>50</v>
      </c>
      <c r="G21" s="389">
        <v>50</v>
      </c>
      <c r="H21" s="389">
        <v>100</v>
      </c>
      <c r="I21" s="392">
        <v>100</v>
      </c>
    </row>
    <row r="22" spans="1:13" ht="21" customHeight="1" x14ac:dyDescent="0.25">
      <c r="A22" s="390" t="s">
        <v>534</v>
      </c>
      <c r="B22" s="391" t="s">
        <v>349</v>
      </c>
      <c r="C22" s="392" t="s">
        <v>350</v>
      </c>
      <c r="D22" s="393" t="s">
        <v>332</v>
      </c>
      <c r="E22" s="389">
        <v>875</v>
      </c>
      <c r="F22" s="389">
        <v>875</v>
      </c>
      <c r="G22" s="389">
        <v>875</v>
      </c>
      <c r="H22" s="389">
        <v>875</v>
      </c>
      <c r="I22" s="392">
        <v>875</v>
      </c>
    </row>
    <row r="23" spans="1:13" s="385" customFormat="1" ht="30" x14ac:dyDescent="0.25">
      <c r="A23" s="390" t="s">
        <v>535</v>
      </c>
      <c r="B23" s="394" t="s">
        <v>351</v>
      </c>
      <c r="C23" s="416" t="s">
        <v>352</v>
      </c>
      <c r="D23" s="396" t="s">
        <v>332</v>
      </c>
      <c r="E23" s="417">
        <v>129</v>
      </c>
      <c r="F23" s="417">
        <v>129</v>
      </c>
      <c r="G23" s="417">
        <v>129</v>
      </c>
      <c r="H23" s="417">
        <v>193</v>
      </c>
      <c r="I23" s="402">
        <v>193</v>
      </c>
      <c r="J23" s="409"/>
      <c r="K23" s="418"/>
      <c r="M23" s="419"/>
    </row>
    <row r="24" spans="1:13" ht="17.25" customHeight="1" x14ac:dyDescent="0.25">
      <c r="A24" s="390" t="s">
        <v>536</v>
      </c>
      <c r="B24" s="391" t="s">
        <v>107</v>
      </c>
      <c r="C24" s="392" t="s">
        <v>353</v>
      </c>
      <c r="D24" s="393" t="s">
        <v>332</v>
      </c>
      <c r="E24" s="389">
        <v>125</v>
      </c>
      <c r="F24" s="389">
        <v>125</v>
      </c>
      <c r="G24" s="389">
        <v>125</v>
      </c>
      <c r="H24" s="389">
        <v>147</v>
      </c>
      <c r="I24" s="392">
        <v>147</v>
      </c>
    </row>
    <row r="25" spans="1:13" ht="15.75" customHeight="1" x14ac:dyDescent="0.25">
      <c r="A25" s="390" t="s">
        <v>537</v>
      </c>
      <c r="B25" s="391"/>
      <c r="C25" s="392" t="s">
        <v>354</v>
      </c>
      <c r="D25" s="393" t="s">
        <v>332</v>
      </c>
      <c r="E25" s="389">
        <v>54</v>
      </c>
      <c r="F25" s="389">
        <v>54</v>
      </c>
      <c r="G25" s="389">
        <v>54</v>
      </c>
      <c r="H25" s="389">
        <v>54</v>
      </c>
      <c r="I25" s="392">
        <v>54</v>
      </c>
    </row>
    <row r="26" spans="1:13" ht="13.5" customHeight="1" x14ac:dyDescent="0.25">
      <c r="A26" s="390" t="s">
        <v>539</v>
      </c>
      <c r="B26" s="391" t="s">
        <v>355</v>
      </c>
      <c r="C26" s="392" t="s">
        <v>356</v>
      </c>
      <c r="D26" s="393" t="s">
        <v>332</v>
      </c>
      <c r="E26" s="389">
        <v>100</v>
      </c>
      <c r="F26" s="389">
        <v>100</v>
      </c>
      <c r="G26" s="389">
        <v>100</v>
      </c>
      <c r="H26" s="389">
        <v>100</v>
      </c>
      <c r="I26" s="392">
        <v>100</v>
      </c>
    </row>
    <row r="27" spans="1:13" ht="13.5" customHeight="1" x14ac:dyDescent="0.25">
      <c r="A27" s="390" t="s">
        <v>540</v>
      </c>
      <c r="B27" s="391" t="s">
        <v>357</v>
      </c>
      <c r="C27" s="392" t="s">
        <v>358</v>
      </c>
      <c r="D27" s="393" t="s">
        <v>332</v>
      </c>
      <c r="E27" s="389">
        <v>1575</v>
      </c>
      <c r="F27" s="389">
        <v>1575</v>
      </c>
      <c r="G27" s="389">
        <v>1575</v>
      </c>
      <c r="H27" s="389">
        <v>1575</v>
      </c>
      <c r="I27" s="392">
        <v>1575</v>
      </c>
    </row>
    <row r="28" spans="1:13" ht="13.5" customHeight="1" x14ac:dyDescent="0.25">
      <c r="A28" s="390" t="s">
        <v>541</v>
      </c>
      <c r="B28" s="391" t="s">
        <v>359</v>
      </c>
      <c r="C28" s="392" t="s">
        <v>360</v>
      </c>
      <c r="D28" s="393" t="s">
        <v>332</v>
      </c>
      <c r="E28" s="389">
        <v>60</v>
      </c>
      <c r="F28" s="389">
        <v>60</v>
      </c>
      <c r="G28" s="389">
        <v>60</v>
      </c>
      <c r="H28" s="389">
        <v>60</v>
      </c>
      <c r="I28" s="392">
        <v>60</v>
      </c>
    </row>
    <row r="29" spans="1:13" ht="13.5" customHeight="1" x14ac:dyDescent="0.25">
      <c r="A29" s="390" t="s">
        <v>542</v>
      </c>
      <c r="B29" s="391" t="s">
        <v>361</v>
      </c>
      <c r="C29" s="392" t="s">
        <v>362</v>
      </c>
      <c r="D29" s="381" t="s">
        <v>332</v>
      </c>
      <c r="E29" s="389">
        <v>2900</v>
      </c>
      <c r="F29" s="389">
        <v>2900</v>
      </c>
      <c r="G29" s="389">
        <v>2900</v>
      </c>
      <c r="H29" s="389">
        <v>2000</v>
      </c>
      <c r="I29" s="392">
        <v>2000</v>
      </c>
    </row>
    <row r="30" spans="1:13" ht="18" customHeight="1" x14ac:dyDescent="0.25">
      <c r="A30" s="390" t="s">
        <v>543</v>
      </c>
      <c r="B30" s="394" t="s">
        <v>363</v>
      </c>
      <c r="C30" s="395" t="s">
        <v>364</v>
      </c>
      <c r="D30" s="396" t="s">
        <v>332</v>
      </c>
      <c r="E30" s="397">
        <v>383</v>
      </c>
      <c r="F30" s="397">
        <v>383</v>
      </c>
      <c r="G30" s="397">
        <v>383</v>
      </c>
      <c r="H30" s="397">
        <v>250</v>
      </c>
      <c r="I30" s="392">
        <v>250</v>
      </c>
    </row>
    <row r="31" spans="1:13" ht="18" customHeight="1" x14ac:dyDescent="0.25">
      <c r="A31" s="390" t="s">
        <v>544</v>
      </c>
      <c r="B31" s="394"/>
      <c r="C31" s="395" t="s">
        <v>108</v>
      </c>
      <c r="D31" s="396"/>
      <c r="E31" s="397"/>
      <c r="F31" s="397"/>
      <c r="G31" s="397"/>
      <c r="H31" s="397">
        <v>2980</v>
      </c>
      <c r="I31" s="392">
        <v>2980</v>
      </c>
    </row>
    <row r="32" spans="1:13" ht="18" customHeight="1" x14ac:dyDescent="0.25">
      <c r="A32" s="390" t="s">
        <v>545</v>
      </c>
      <c r="B32" s="394" t="s">
        <v>109</v>
      </c>
      <c r="C32" s="395" t="s">
        <v>110</v>
      </c>
      <c r="D32" s="396" t="s">
        <v>332</v>
      </c>
      <c r="E32" s="397"/>
      <c r="F32" s="397"/>
      <c r="G32" s="397">
        <v>248</v>
      </c>
      <c r="H32" s="397">
        <v>248</v>
      </c>
      <c r="I32" s="392">
        <v>248</v>
      </c>
    </row>
    <row r="33" spans="1:13" ht="15.75" x14ac:dyDescent="0.25">
      <c r="A33" s="390" t="s">
        <v>546</v>
      </c>
      <c r="B33" s="392" t="s">
        <v>365</v>
      </c>
      <c r="C33" s="392" t="s">
        <v>366</v>
      </c>
      <c r="D33" s="381" t="s">
        <v>367</v>
      </c>
      <c r="E33" s="392">
        <v>1936</v>
      </c>
      <c r="F33" s="392">
        <v>1718</v>
      </c>
      <c r="G33" s="392">
        <v>1718</v>
      </c>
      <c r="H33" s="392">
        <v>1650</v>
      </c>
      <c r="I33" s="392">
        <v>1650</v>
      </c>
    </row>
    <row r="34" spans="1:13" ht="17.25" customHeight="1" x14ac:dyDescent="0.25">
      <c r="A34" s="390" t="s">
        <v>564</v>
      </c>
      <c r="B34" s="391" t="s">
        <v>368</v>
      </c>
      <c r="C34" s="392" t="s">
        <v>369</v>
      </c>
      <c r="D34" s="381" t="s">
        <v>332</v>
      </c>
      <c r="E34" s="389">
        <v>2500</v>
      </c>
      <c r="F34" s="389">
        <v>2500</v>
      </c>
      <c r="G34" s="389">
        <v>2500</v>
      </c>
      <c r="H34" s="389">
        <v>2500</v>
      </c>
      <c r="I34" s="392">
        <v>2500</v>
      </c>
    </row>
    <row r="35" spans="1:13" ht="20.25" customHeight="1" x14ac:dyDescent="0.25">
      <c r="A35" s="390" t="s">
        <v>565</v>
      </c>
      <c r="B35" s="391" t="s">
        <v>370</v>
      </c>
      <c r="C35" s="392" t="s">
        <v>371</v>
      </c>
      <c r="D35" s="393">
        <v>42124</v>
      </c>
      <c r="E35" s="389">
        <v>1250</v>
      </c>
      <c r="F35" s="389">
        <v>1250</v>
      </c>
      <c r="G35" s="405">
        <v>1250</v>
      </c>
      <c r="H35" s="405">
        <v>312</v>
      </c>
    </row>
    <row r="36" spans="1:13" ht="13.5" customHeight="1" x14ac:dyDescent="0.25">
      <c r="A36" s="390" t="s">
        <v>566</v>
      </c>
      <c r="B36" s="391"/>
      <c r="C36" s="392" t="s">
        <v>372</v>
      </c>
      <c r="D36" s="381" t="s">
        <v>332</v>
      </c>
      <c r="E36" s="389">
        <v>200</v>
      </c>
      <c r="F36" s="389">
        <v>200</v>
      </c>
      <c r="G36" s="389">
        <v>258</v>
      </c>
      <c r="H36" s="389">
        <v>258</v>
      </c>
      <c r="I36" s="392">
        <v>258</v>
      </c>
    </row>
    <row r="37" spans="1:13" ht="13.5" customHeight="1" x14ac:dyDescent="0.25">
      <c r="A37" s="390" t="s">
        <v>567</v>
      </c>
      <c r="B37" s="391" t="s">
        <v>373</v>
      </c>
      <c r="C37" s="392" t="s">
        <v>374</v>
      </c>
      <c r="D37" s="381" t="s">
        <v>332</v>
      </c>
      <c r="E37" s="389">
        <v>994</v>
      </c>
      <c r="F37" s="389">
        <v>994</v>
      </c>
      <c r="G37" s="389">
        <v>994</v>
      </c>
      <c r="H37" s="389">
        <v>994</v>
      </c>
      <c r="I37" s="392">
        <v>971</v>
      </c>
    </row>
    <row r="38" spans="1:13" ht="13.5" customHeight="1" x14ac:dyDescent="0.25">
      <c r="A38" s="390" t="s">
        <v>568</v>
      </c>
      <c r="B38" s="391" t="s">
        <v>111</v>
      </c>
      <c r="C38" s="392" t="s">
        <v>112</v>
      </c>
      <c r="D38" s="381" t="s">
        <v>332</v>
      </c>
      <c r="E38" s="389">
        <v>750</v>
      </c>
      <c r="F38" s="389">
        <v>750</v>
      </c>
      <c r="G38" s="389">
        <v>762</v>
      </c>
      <c r="H38" s="389">
        <v>762</v>
      </c>
      <c r="I38" s="392">
        <v>762</v>
      </c>
    </row>
    <row r="39" spans="1:13" ht="15.75" x14ac:dyDescent="0.25">
      <c r="A39" s="390" t="s">
        <v>569</v>
      </c>
      <c r="B39" s="391" t="s">
        <v>375</v>
      </c>
      <c r="C39" s="392" t="s">
        <v>376</v>
      </c>
      <c r="D39" s="393" t="s">
        <v>332</v>
      </c>
      <c r="E39" s="381">
        <v>330</v>
      </c>
      <c r="F39" s="392">
        <v>330</v>
      </c>
      <c r="G39" s="392">
        <v>330</v>
      </c>
      <c r="H39" s="392">
        <v>330</v>
      </c>
      <c r="I39" s="392">
        <v>330</v>
      </c>
      <c r="K39" s="406"/>
      <c r="M39" s="384"/>
    </row>
    <row r="40" spans="1:13" ht="15.75" x14ac:dyDescent="0.25">
      <c r="A40" s="390" t="s">
        <v>570</v>
      </c>
      <c r="B40" s="391" t="s">
        <v>377</v>
      </c>
      <c r="C40" s="392" t="s">
        <v>378</v>
      </c>
      <c r="D40" s="393" t="s">
        <v>332</v>
      </c>
      <c r="E40" s="381">
        <v>930</v>
      </c>
      <c r="F40" s="392">
        <v>930</v>
      </c>
      <c r="G40" s="392">
        <v>930</v>
      </c>
      <c r="H40" s="392">
        <v>930</v>
      </c>
      <c r="I40" s="392">
        <v>930</v>
      </c>
      <c r="K40" s="406"/>
      <c r="M40" s="384"/>
    </row>
    <row r="41" spans="1:13" ht="15.75" x14ac:dyDescent="0.25">
      <c r="A41" s="390" t="s">
        <v>571</v>
      </c>
      <c r="B41" s="391" t="s">
        <v>113</v>
      </c>
      <c r="C41" s="392" t="s">
        <v>114</v>
      </c>
      <c r="D41" s="393" t="s">
        <v>332</v>
      </c>
      <c r="E41" s="381"/>
      <c r="G41" s="392">
        <v>823</v>
      </c>
      <c r="H41" s="392">
        <v>823</v>
      </c>
      <c r="I41" s="392">
        <v>823</v>
      </c>
      <c r="K41" s="406"/>
      <c r="M41" s="384"/>
    </row>
    <row r="42" spans="1:13" ht="14.1" customHeight="1" x14ac:dyDescent="0.25">
      <c r="A42" s="390" t="s">
        <v>572</v>
      </c>
      <c r="B42" s="392" t="s">
        <v>379</v>
      </c>
      <c r="C42" s="392" t="s">
        <v>380</v>
      </c>
      <c r="D42" s="381" t="s">
        <v>332</v>
      </c>
      <c r="E42" s="392">
        <v>16</v>
      </c>
      <c r="F42" s="392">
        <v>16</v>
      </c>
      <c r="G42" s="392">
        <v>16</v>
      </c>
      <c r="H42" s="392">
        <v>16</v>
      </c>
      <c r="I42" s="392">
        <v>16</v>
      </c>
    </row>
    <row r="43" spans="1:13" s="385" customFormat="1" ht="30" x14ac:dyDescent="0.25">
      <c r="A43" s="390" t="s">
        <v>624</v>
      </c>
      <c r="B43" s="398" t="s">
        <v>381</v>
      </c>
      <c r="C43" s="407" t="s">
        <v>382</v>
      </c>
      <c r="D43" s="400" t="s">
        <v>332</v>
      </c>
      <c r="E43" s="408">
        <v>40</v>
      </c>
      <c r="F43" s="408">
        <v>40</v>
      </c>
      <c r="G43" s="408">
        <v>40</v>
      </c>
      <c r="H43" s="408">
        <v>40</v>
      </c>
      <c r="I43" s="402">
        <v>40</v>
      </c>
      <c r="J43" s="409"/>
      <c r="K43" s="410"/>
      <c r="M43" s="386"/>
    </row>
    <row r="44" spans="1:13" s="385" customFormat="1" ht="18" customHeight="1" x14ac:dyDescent="0.25">
      <c r="A44" s="390" t="s">
        <v>625</v>
      </c>
      <c r="B44" s="398" t="s">
        <v>383</v>
      </c>
      <c r="C44" s="407" t="s">
        <v>384</v>
      </c>
      <c r="D44" s="400" t="s">
        <v>332</v>
      </c>
      <c r="E44" s="408">
        <v>994</v>
      </c>
      <c r="F44" s="408">
        <v>994</v>
      </c>
      <c r="G44" s="408">
        <v>994</v>
      </c>
      <c r="H44" s="402">
        <v>994</v>
      </c>
      <c r="I44" s="402">
        <v>994</v>
      </c>
      <c r="J44" s="409"/>
      <c r="K44" s="410"/>
      <c r="M44" s="386"/>
    </row>
    <row r="45" spans="1:13" s="385" customFormat="1" ht="15.75" x14ac:dyDescent="0.25">
      <c r="A45" s="390" t="s">
        <v>626</v>
      </c>
      <c r="B45" s="398" t="s">
        <v>385</v>
      </c>
      <c r="C45" s="407" t="s">
        <v>386</v>
      </c>
      <c r="D45" s="400" t="s">
        <v>332</v>
      </c>
      <c r="E45" s="408">
        <v>176</v>
      </c>
      <c r="F45" s="408">
        <v>176</v>
      </c>
      <c r="G45" s="408">
        <v>176</v>
      </c>
      <c r="H45" s="402">
        <v>176</v>
      </c>
      <c r="I45" s="402">
        <v>176</v>
      </c>
      <c r="J45" s="409"/>
      <c r="K45" s="410"/>
      <c r="M45" s="386"/>
    </row>
    <row r="46" spans="1:13" ht="13.5" customHeight="1" x14ac:dyDescent="0.25">
      <c r="A46" s="390" t="s">
        <v>627</v>
      </c>
      <c r="B46" s="394" t="s">
        <v>387</v>
      </c>
      <c r="C46" s="395" t="s">
        <v>388</v>
      </c>
      <c r="D46" s="396" t="s">
        <v>332</v>
      </c>
      <c r="E46" s="397">
        <v>199</v>
      </c>
      <c r="F46" s="397">
        <v>199</v>
      </c>
      <c r="G46" s="390">
        <v>199</v>
      </c>
      <c r="H46" s="397">
        <v>199</v>
      </c>
      <c r="I46" s="392">
        <v>199</v>
      </c>
    </row>
    <row r="47" spans="1:13" ht="13.5" customHeight="1" x14ac:dyDescent="0.25">
      <c r="A47" s="390" t="s">
        <v>115</v>
      </c>
      <c r="B47" s="394" t="s">
        <v>389</v>
      </c>
      <c r="C47" s="395" t="s">
        <v>390</v>
      </c>
      <c r="D47" s="396" t="s">
        <v>332</v>
      </c>
      <c r="E47" s="397">
        <v>1863</v>
      </c>
      <c r="F47" s="397">
        <v>1863</v>
      </c>
      <c r="G47" s="397">
        <v>1863</v>
      </c>
      <c r="H47" s="397">
        <v>1863</v>
      </c>
      <c r="I47" s="392">
        <v>1900</v>
      </c>
    </row>
    <row r="48" spans="1:13" ht="13.5" customHeight="1" x14ac:dyDescent="0.25">
      <c r="A48" s="390" t="s">
        <v>652</v>
      </c>
      <c r="B48" s="394" t="s">
        <v>116</v>
      </c>
      <c r="C48" s="395" t="s">
        <v>117</v>
      </c>
      <c r="D48" s="396" t="s">
        <v>332</v>
      </c>
      <c r="E48" s="397"/>
      <c r="F48" s="397"/>
      <c r="G48" s="397">
        <v>29600</v>
      </c>
      <c r="H48" s="397">
        <v>29600</v>
      </c>
      <c r="I48" s="392">
        <v>29600</v>
      </c>
    </row>
    <row r="49" spans="1:13" s="385" customFormat="1" ht="15.75" x14ac:dyDescent="0.25">
      <c r="A49" s="390" t="s">
        <v>653</v>
      </c>
      <c r="B49" s="398" t="s">
        <v>391</v>
      </c>
      <c r="C49" s="399" t="s">
        <v>392</v>
      </c>
      <c r="D49" s="400" t="s">
        <v>332</v>
      </c>
      <c r="E49" s="401">
        <v>3600</v>
      </c>
      <c r="F49" s="401">
        <v>3600</v>
      </c>
      <c r="G49" s="401">
        <v>3600</v>
      </c>
      <c r="H49" s="401">
        <v>6553</v>
      </c>
      <c r="I49" s="402">
        <v>6553</v>
      </c>
      <c r="J49" s="409"/>
      <c r="K49" s="410"/>
      <c r="M49" s="386"/>
    </row>
    <row r="50" spans="1:13" s="385" customFormat="1" ht="15.75" x14ac:dyDescent="0.25">
      <c r="A50" s="390" t="s">
        <v>118</v>
      </c>
      <c r="B50" s="398" t="s">
        <v>393</v>
      </c>
      <c r="C50" s="399" t="s">
        <v>394</v>
      </c>
      <c r="D50" s="400" t="s">
        <v>332</v>
      </c>
      <c r="E50" s="401">
        <v>123</v>
      </c>
      <c r="F50" s="401">
        <v>123</v>
      </c>
      <c r="G50" s="401">
        <v>123</v>
      </c>
      <c r="H50" s="401">
        <v>123</v>
      </c>
      <c r="I50" s="402">
        <v>123</v>
      </c>
      <c r="J50" s="409"/>
      <c r="K50" s="410"/>
      <c r="M50" s="386"/>
    </row>
    <row r="51" spans="1:13" ht="14.1" customHeight="1" x14ac:dyDescent="0.25">
      <c r="A51" s="390" t="s">
        <v>119</v>
      </c>
      <c r="B51" s="392" t="s">
        <v>395</v>
      </c>
      <c r="C51" s="392" t="s">
        <v>396</v>
      </c>
      <c r="D51" s="381" t="s">
        <v>332</v>
      </c>
      <c r="E51" s="392">
        <v>225</v>
      </c>
      <c r="F51" s="392">
        <v>225</v>
      </c>
      <c r="G51" s="392">
        <v>225</v>
      </c>
      <c r="H51" s="392">
        <v>241</v>
      </c>
      <c r="I51" s="392">
        <v>241</v>
      </c>
    </row>
    <row r="52" spans="1:13" ht="14.1" customHeight="1" x14ac:dyDescent="0.25">
      <c r="A52" s="390" t="s">
        <v>120</v>
      </c>
      <c r="B52" s="392" t="s">
        <v>121</v>
      </c>
      <c r="C52" s="392" t="s">
        <v>122</v>
      </c>
      <c r="D52" s="381" t="s">
        <v>430</v>
      </c>
      <c r="G52" s="392">
        <v>600</v>
      </c>
      <c r="H52" s="392">
        <v>1200</v>
      </c>
      <c r="I52" s="392">
        <v>1200</v>
      </c>
    </row>
    <row r="53" spans="1:13" ht="14.1" customHeight="1" x14ac:dyDescent="0.25">
      <c r="A53" s="390" t="s">
        <v>123</v>
      </c>
      <c r="B53" s="392" t="s">
        <v>124</v>
      </c>
      <c r="C53" s="392" t="s">
        <v>125</v>
      </c>
      <c r="D53" s="381" t="s">
        <v>332</v>
      </c>
      <c r="H53" s="392">
        <v>243</v>
      </c>
      <c r="I53" s="392">
        <v>243</v>
      </c>
    </row>
    <row r="54" spans="1:13" ht="14.1" customHeight="1" x14ac:dyDescent="0.25">
      <c r="A54" s="390" t="s">
        <v>126</v>
      </c>
      <c r="B54" s="392" t="s">
        <v>397</v>
      </c>
      <c r="C54" s="392" t="s">
        <v>398</v>
      </c>
      <c r="D54" s="381" t="s">
        <v>332</v>
      </c>
      <c r="E54" s="392">
        <v>26</v>
      </c>
      <c r="F54" s="392">
        <v>26</v>
      </c>
      <c r="G54" s="392">
        <v>26</v>
      </c>
      <c r="H54" s="392">
        <v>26</v>
      </c>
      <c r="I54" s="392">
        <v>26</v>
      </c>
    </row>
    <row r="55" spans="1:13" s="385" customFormat="1" ht="15.75" x14ac:dyDescent="0.25">
      <c r="A55" s="390" t="s">
        <v>127</v>
      </c>
      <c r="B55" s="398" t="s">
        <v>399</v>
      </c>
      <c r="C55" s="399" t="s">
        <v>400</v>
      </c>
      <c r="D55" s="400" t="s">
        <v>332</v>
      </c>
      <c r="E55" s="401">
        <v>5</v>
      </c>
      <c r="F55" s="401">
        <v>5</v>
      </c>
      <c r="G55" s="401">
        <v>5</v>
      </c>
      <c r="H55" s="402">
        <v>5</v>
      </c>
      <c r="I55" s="402">
        <v>5</v>
      </c>
      <c r="J55" s="409"/>
      <c r="K55" s="410"/>
      <c r="M55" s="386"/>
    </row>
    <row r="56" spans="1:13" s="387" customFormat="1" ht="13.5" customHeight="1" x14ac:dyDescent="0.25">
      <c r="A56" s="390" t="s">
        <v>128</v>
      </c>
      <c r="B56" s="398" t="s">
        <v>401</v>
      </c>
      <c r="C56" s="399" t="s">
        <v>402</v>
      </c>
      <c r="D56" s="400" t="s">
        <v>332</v>
      </c>
      <c r="E56" s="401">
        <v>250</v>
      </c>
      <c r="F56" s="401">
        <v>250</v>
      </c>
      <c r="G56" s="401">
        <v>250</v>
      </c>
      <c r="H56" s="401">
        <v>250</v>
      </c>
      <c r="I56" s="402">
        <v>250</v>
      </c>
      <c r="J56" s="403"/>
      <c r="K56" s="404"/>
      <c r="M56" s="388"/>
    </row>
    <row r="57" spans="1:13" s="387" customFormat="1" ht="13.5" customHeight="1" x14ac:dyDescent="0.25">
      <c r="A57" s="390" t="s">
        <v>129</v>
      </c>
      <c r="B57" s="398" t="s">
        <v>130</v>
      </c>
      <c r="C57" s="399" t="s">
        <v>131</v>
      </c>
      <c r="D57" s="400" t="s">
        <v>430</v>
      </c>
      <c r="E57" s="401"/>
      <c r="F57" s="401"/>
      <c r="G57" s="401">
        <v>2439</v>
      </c>
      <c r="H57" s="401">
        <v>3658</v>
      </c>
      <c r="I57" s="402">
        <v>3658</v>
      </c>
      <c r="J57" s="403"/>
      <c r="K57" s="404"/>
      <c r="M57" s="388"/>
    </row>
    <row r="58" spans="1:13" s="387" customFormat="1" ht="13.5" customHeight="1" x14ac:dyDescent="0.25">
      <c r="A58" s="390" t="s">
        <v>132</v>
      </c>
      <c r="B58" s="398" t="s">
        <v>133</v>
      </c>
      <c r="C58" s="399" t="s">
        <v>134</v>
      </c>
      <c r="D58" s="400" t="s">
        <v>430</v>
      </c>
      <c r="E58" s="401"/>
      <c r="F58" s="401"/>
      <c r="G58" s="401">
        <v>2438</v>
      </c>
      <c r="H58" s="401">
        <v>2438</v>
      </c>
      <c r="I58" s="402">
        <v>2438</v>
      </c>
      <c r="J58" s="403"/>
      <c r="K58" s="404"/>
      <c r="M58" s="388"/>
    </row>
    <row r="59" spans="1:13" s="387" customFormat="1" ht="13.5" customHeight="1" x14ac:dyDescent="0.25">
      <c r="A59" s="390" t="s">
        <v>135</v>
      </c>
      <c r="B59" s="398" t="s">
        <v>136</v>
      </c>
      <c r="C59" s="399" t="s">
        <v>137</v>
      </c>
      <c r="D59" s="400" t="s">
        <v>332</v>
      </c>
      <c r="E59" s="401"/>
      <c r="F59" s="401"/>
      <c r="G59" s="401">
        <v>610</v>
      </c>
      <c r="H59" s="401">
        <v>610</v>
      </c>
      <c r="I59" s="402">
        <v>610</v>
      </c>
      <c r="J59" s="403"/>
      <c r="K59" s="404"/>
      <c r="M59" s="388"/>
    </row>
    <row r="60" spans="1:13" s="387" customFormat="1" ht="13.5" customHeight="1" x14ac:dyDescent="0.25">
      <c r="A60" s="390" t="s">
        <v>138</v>
      </c>
      <c r="B60" s="398" t="s">
        <v>403</v>
      </c>
      <c r="C60" s="399" t="s">
        <v>404</v>
      </c>
      <c r="D60" s="400">
        <v>43496</v>
      </c>
      <c r="E60" s="401">
        <v>2865</v>
      </c>
      <c r="F60" s="401">
        <v>2865</v>
      </c>
      <c r="G60" s="401">
        <v>2865</v>
      </c>
      <c r="H60" s="401">
        <v>2865</v>
      </c>
      <c r="I60" s="402">
        <v>2865</v>
      </c>
      <c r="J60" s="403"/>
      <c r="K60" s="404"/>
      <c r="M60" s="388"/>
    </row>
    <row r="61" spans="1:13" s="387" customFormat="1" ht="13.5" customHeight="1" x14ac:dyDescent="0.25">
      <c r="A61" s="390" t="s">
        <v>139</v>
      </c>
      <c r="B61" s="398" t="s">
        <v>140</v>
      </c>
      <c r="C61" s="399" t="s">
        <v>141</v>
      </c>
      <c r="D61" s="400"/>
      <c r="E61" s="401">
        <v>175</v>
      </c>
      <c r="F61" s="401">
        <v>175</v>
      </c>
      <c r="G61" s="401">
        <v>175</v>
      </c>
      <c r="H61" s="401">
        <v>175</v>
      </c>
      <c r="I61" s="402">
        <v>175</v>
      </c>
      <c r="J61" s="403"/>
      <c r="K61" s="404"/>
      <c r="M61" s="388"/>
    </row>
    <row r="62" spans="1:13" s="387" customFormat="1" ht="13.5" customHeight="1" x14ac:dyDescent="0.25">
      <c r="A62" s="390" t="s">
        <v>142</v>
      </c>
      <c r="B62" s="398" t="s">
        <v>405</v>
      </c>
      <c r="C62" s="399" t="s">
        <v>406</v>
      </c>
      <c r="D62" s="400" t="s">
        <v>332</v>
      </c>
      <c r="E62" s="401">
        <v>217</v>
      </c>
      <c r="F62" s="401">
        <v>217</v>
      </c>
      <c r="G62" s="401">
        <v>217</v>
      </c>
      <c r="H62" s="401">
        <v>217</v>
      </c>
      <c r="I62" s="402">
        <v>217</v>
      </c>
      <c r="J62" s="403"/>
      <c r="K62" s="404"/>
      <c r="M62" s="388"/>
    </row>
    <row r="63" spans="1:13" s="387" customFormat="1" ht="13.5" customHeight="1" x14ac:dyDescent="0.25">
      <c r="A63" s="390" t="s">
        <v>143</v>
      </c>
      <c r="B63" s="391" t="s">
        <v>407</v>
      </c>
      <c r="C63" s="411" t="s">
        <v>408</v>
      </c>
      <c r="D63" s="400" t="s">
        <v>332</v>
      </c>
      <c r="E63" s="420">
        <v>15</v>
      </c>
      <c r="F63" s="420">
        <v>15</v>
      </c>
      <c r="G63" s="401">
        <v>15</v>
      </c>
      <c r="H63" s="401">
        <v>15</v>
      </c>
      <c r="I63" s="402">
        <v>15</v>
      </c>
      <c r="J63" s="403"/>
      <c r="K63" s="404"/>
      <c r="M63" s="388"/>
    </row>
    <row r="64" spans="1:13" s="387" customFormat="1" ht="13.5" customHeight="1" x14ac:dyDescent="0.25">
      <c r="A64" s="390" t="s">
        <v>144</v>
      </c>
      <c r="B64" s="391" t="s">
        <v>407</v>
      </c>
      <c r="C64" s="411" t="s">
        <v>409</v>
      </c>
      <c r="D64" s="400" t="s">
        <v>332</v>
      </c>
      <c r="E64" s="420">
        <v>150</v>
      </c>
      <c r="F64" s="420">
        <v>150</v>
      </c>
      <c r="G64" s="401">
        <v>150</v>
      </c>
      <c r="H64" s="401">
        <v>226</v>
      </c>
      <c r="I64" s="402">
        <v>226</v>
      </c>
      <c r="J64" s="403"/>
      <c r="K64" s="404"/>
      <c r="M64" s="388"/>
    </row>
    <row r="65" spans="1:13" s="387" customFormat="1" ht="13.5" customHeight="1" x14ac:dyDescent="0.25">
      <c r="A65" s="390" t="s">
        <v>145</v>
      </c>
      <c r="B65" s="391" t="s">
        <v>410</v>
      </c>
      <c r="C65" s="411" t="s">
        <v>411</v>
      </c>
      <c r="D65" s="400" t="s">
        <v>332</v>
      </c>
      <c r="E65" s="420">
        <v>75</v>
      </c>
      <c r="F65" s="420">
        <v>75</v>
      </c>
      <c r="G65" s="401">
        <v>75</v>
      </c>
      <c r="H65" s="401">
        <v>45</v>
      </c>
      <c r="I65" s="402">
        <v>45</v>
      </c>
      <c r="J65" s="403"/>
      <c r="K65" s="404"/>
      <c r="M65" s="388"/>
    </row>
    <row r="66" spans="1:13" s="387" customFormat="1" ht="13.5" customHeight="1" x14ac:dyDescent="0.25">
      <c r="A66" s="390" t="s">
        <v>146</v>
      </c>
      <c r="B66" s="398"/>
      <c r="C66" s="399" t="s">
        <v>147</v>
      </c>
      <c r="D66" s="400" t="s">
        <v>430</v>
      </c>
      <c r="E66" s="401"/>
      <c r="F66" s="401"/>
      <c r="G66" s="401">
        <v>347</v>
      </c>
      <c r="H66" s="401">
        <v>347</v>
      </c>
      <c r="I66" s="402">
        <v>347</v>
      </c>
      <c r="J66" s="403"/>
      <c r="K66" s="404"/>
      <c r="M66" s="388"/>
    </row>
    <row r="67" spans="1:13" s="387" customFormat="1" ht="13.5" customHeight="1" x14ac:dyDescent="0.25">
      <c r="A67" s="390" t="s">
        <v>148</v>
      </c>
      <c r="B67" s="398" t="s">
        <v>149</v>
      </c>
      <c r="C67" s="399" t="s">
        <v>150</v>
      </c>
      <c r="D67" s="400" t="s">
        <v>430</v>
      </c>
      <c r="E67" s="401"/>
      <c r="F67" s="401"/>
      <c r="G67" s="401">
        <v>54</v>
      </c>
      <c r="H67" s="401">
        <v>216</v>
      </c>
      <c r="I67" s="402">
        <v>216</v>
      </c>
      <c r="J67" s="403"/>
      <c r="K67" s="404"/>
      <c r="M67" s="388"/>
    </row>
    <row r="68" spans="1:13" s="387" customFormat="1" ht="13.5" customHeight="1" x14ac:dyDescent="0.25">
      <c r="A68" s="390" t="s">
        <v>151</v>
      </c>
      <c r="B68" s="398"/>
      <c r="C68" s="399" t="s">
        <v>152</v>
      </c>
      <c r="D68" s="400" t="s">
        <v>430</v>
      </c>
      <c r="E68" s="401"/>
      <c r="F68" s="401"/>
      <c r="G68" s="401">
        <v>380</v>
      </c>
      <c r="H68" s="401">
        <v>380</v>
      </c>
      <c r="I68" s="402">
        <v>380</v>
      </c>
      <c r="J68" s="403"/>
      <c r="K68" s="404"/>
      <c r="M68" s="388"/>
    </row>
    <row r="69" spans="1:13" s="387" customFormat="1" ht="13.5" customHeight="1" x14ac:dyDescent="0.25">
      <c r="A69" s="390" t="s">
        <v>153</v>
      </c>
      <c r="B69" s="398" t="s">
        <v>412</v>
      </c>
      <c r="C69" s="399" t="s">
        <v>413</v>
      </c>
      <c r="D69" s="400" t="s">
        <v>332</v>
      </c>
      <c r="E69" s="401">
        <v>1800</v>
      </c>
      <c r="F69" s="401">
        <v>1800</v>
      </c>
      <c r="G69" s="401">
        <v>1800</v>
      </c>
      <c r="H69" s="401">
        <v>1500</v>
      </c>
      <c r="I69" s="402">
        <v>1500</v>
      </c>
      <c r="J69" s="403"/>
      <c r="K69" s="404"/>
      <c r="M69" s="388"/>
    </row>
    <row r="70" spans="1:13" s="387" customFormat="1" ht="13.5" customHeight="1" x14ac:dyDescent="0.25">
      <c r="A70" s="390" t="s">
        <v>154</v>
      </c>
      <c r="B70" s="398" t="s">
        <v>414</v>
      </c>
      <c r="C70" s="399" t="s">
        <v>415</v>
      </c>
      <c r="D70" s="400" t="s">
        <v>332</v>
      </c>
      <c r="E70" s="401">
        <v>1875</v>
      </c>
      <c r="F70" s="401">
        <v>2000</v>
      </c>
      <c r="G70" s="401">
        <v>2000</v>
      </c>
      <c r="H70" s="401">
        <v>1700</v>
      </c>
      <c r="I70" s="402">
        <v>1700</v>
      </c>
      <c r="J70" s="403"/>
      <c r="K70" s="404"/>
      <c r="M70" s="388"/>
    </row>
    <row r="71" spans="1:13" ht="13.5" customHeight="1" x14ac:dyDescent="0.25">
      <c r="A71" s="390" t="s">
        <v>155</v>
      </c>
      <c r="B71" s="1518" t="s">
        <v>416</v>
      </c>
      <c r="C71" s="1518"/>
      <c r="E71" s="430">
        <f>SUM(E12:E70)</f>
        <v>127862</v>
      </c>
      <c r="F71" s="430">
        <f>SUM(F12:F70)</f>
        <v>115727</v>
      </c>
      <c r="G71" s="430">
        <f>SUM(G12:G70)</f>
        <v>108085</v>
      </c>
      <c r="H71" s="430">
        <f>SUM(H12:H70)</f>
        <v>165363</v>
      </c>
      <c r="I71" s="430">
        <f>SUM(I12:I70)</f>
        <v>164803</v>
      </c>
    </row>
    <row r="72" spans="1:13" ht="9.75" customHeight="1" x14ac:dyDescent="0.25">
      <c r="A72" s="390"/>
      <c r="B72" s="378"/>
      <c r="C72" s="391"/>
      <c r="E72" s="389"/>
      <c r="F72" s="389"/>
      <c r="G72" s="389"/>
      <c r="H72" s="389"/>
    </row>
    <row r="73" spans="1:13" ht="6.75" customHeight="1" x14ac:dyDescent="0.25">
      <c r="E73" s="389"/>
      <c r="F73" s="389"/>
      <c r="G73" s="389"/>
      <c r="H73" s="389"/>
    </row>
    <row r="74" spans="1:13" ht="13.5" customHeight="1" x14ac:dyDescent="0.25">
      <c r="E74" s="389"/>
      <c r="F74" s="389"/>
      <c r="G74" s="389"/>
      <c r="H74" s="389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D30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64" customWidth="1"/>
    <col min="2" max="2" width="71.7109375" style="364" customWidth="1"/>
    <col min="3" max="3" width="13.5703125" style="364" customWidth="1"/>
    <col min="4" max="4" width="9.140625" style="352"/>
    <col min="5" max="16384" width="9.140625" style="353"/>
  </cols>
  <sheetData>
    <row r="2" spans="1:4" ht="32.25" customHeight="1" x14ac:dyDescent="0.25">
      <c r="A2" s="353"/>
      <c r="B2" s="1526" t="s">
        <v>1296</v>
      </c>
      <c r="C2" s="1526"/>
    </row>
    <row r="3" spans="1:4" ht="20.100000000000001" customHeight="1" x14ac:dyDescent="0.25">
      <c r="A3" s="353"/>
      <c r="B3" s="445"/>
      <c r="C3" s="445"/>
    </row>
    <row r="4" spans="1:4" ht="20.100000000000001" customHeight="1" x14ac:dyDescent="0.25">
      <c r="A4" s="353"/>
      <c r="B4" s="1528" t="s">
        <v>77</v>
      </c>
      <c r="C4" s="1528"/>
    </row>
    <row r="5" spans="1:4" ht="20.100000000000001" customHeight="1" x14ac:dyDescent="0.25">
      <c r="A5" s="353"/>
      <c r="B5" s="1528" t="s">
        <v>1157</v>
      </c>
      <c r="C5" s="1528"/>
    </row>
    <row r="6" spans="1:4" ht="20.100000000000001" customHeight="1" x14ac:dyDescent="0.25">
      <c r="A6" s="353"/>
      <c r="B6" s="1528" t="s">
        <v>1263</v>
      </c>
      <c r="C6" s="1528"/>
    </row>
    <row r="7" spans="1:4" s="355" customFormat="1" ht="20.100000000000001" customHeight="1" x14ac:dyDescent="0.25">
      <c r="B7" s="1528"/>
      <c r="C7" s="1528"/>
      <c r="D7" s="354"/>
    </row>
    <row r="8" spans="1:4" s="355" customFormat="1" ht="20.100000000000001" customHeight="1" x14ac:dyDescent="0.25">
      <c r="B8" s="446"/>
      <c r="C8" s="446"/>
      <c r="D8" s="354"/>
    </row>
    <row r="9" spans="1:4" s="357" customFormat="1" ht="20.100000000000001" customHeight="1" x14ac:dyDescent="0.25">
      <c r="B9" s="447"/>
      <c r="C9" s="448" t="s">
        <v>314</v>
      </c>
      <c r="D9" s="356"/>
    </row>
    <row r="10" spans="1:4" ht="20.100000000000001" customHeight="1" x14ac:dyDescent="0.25">
      <c r="A10" s="1527"/>
      <c r="B10" s="449" t="s">
        <v>57</v>
      </c>
      <c r="C10" s="449" t="s">
        <v>58</v>
      </c>
    </row>
    <row r="11" spans="1:4" s="357" customFormat="1" ht="30.75" customHeight="1" x14ac:dyDescent="0.25">
      <c r="A11" s="1527"/>
      <c r="B11" s="450" t="s">
        <v>85</v>
      </c>
      <c r="C11" s="450" t="s">
        <v>417</v>
      </c>
      <c r="D11" s="356"/>
    </row>
    <row r="12" spans="1:4" ht="22.5" customHeight="1" x14ac:dyDescent="0.25">
      <c r="A12" s="451"/>
      <c r="B12" s="355" t="s">
        <v>1264</v>
      </c>
      <c r="C12" s="353"/>
    </row>
    <row r="13" spans="1:4" ht="69" customHeight="1" x14ac:dyDescent="0.25">
      <c r="A13" s="452" t="s">
        <v>479</v>
      </c>
      <c r="B13" s="1170" t="s">
        <v>1295</v>
      </c>
      <c r="C13" s="725">
        <v>178673</v>
      </c>
    </row>
    <row r="14" spans="1:4" ht="20.100000000000001" customHeight="1" x14ac:dyDescent="0.25">
      <c r="A14" s="451"/>
      <c r="B14" s="353"/>
      <c r="C14" s="726"/>
    </row>
    <row r="15" spans="1:4" ht="35.25" customHeight="1" x14ac:dyDescent="0.25">
      <c r="A15" s="452" t="s">
        <v>487</v>
      </c>
      <c r="B15" s="453" t="s">
        <v>1293</v>
      </c>
      <c r="C15" s="725">
        <v>328</v>
      </c>
    </row>
    <row r="16" spans="1:4" ht="29.25" customHeight="1" x14ac:dyDescent="0.25">
      <c r="A16" s="451"/>
      <c r="B16" s="453" t="s">
        <v>1294</v>
      </c>
      <c r="C16" s="726">
        <v>1072</v>
      </c>
    </row>
    <row r="17" spans="1:4" ht="19.5" customHeight="1" x14ac:dyDescent="0.25">
      <c r="A17" s="451"/>
      <c r="B17" s="453"/>
      <c r="C17" s="726"/>
    </row>
    <row r="18" spans="1:4" ht="36" customHeight="1" x14ac:dyDescent="0.25">
      <c r="A18" s="452" t="s">
        <v>488</v>
      </c>
      <c r="B18" s="453" t="s">
        <v>1270</v>
      </c>
      <c r="C18" s="727">
        <v>0</v>
      </c>
    </row>
    <row r="19" spans="1:4" ht="20.100000000000001" customHeight="1" x14ac:dyDescent="0.25">
      <c r="A19" s="451"/>
      <c r="B19" s="454"/>
      <c r="C19" s="726"/>
    </row>
    <row r="20" spans="1:4" s="355" customFormat="1" ht="20.100000000000001" customHeight="1" x14ac:dyDescent="0.25">
      <c r="A20" s="451" t="s">
        <v>489</v>
      </c>
      <c r="B20" s="355" t="s">
        <v>1268</v>
      </c>
      <c r="C20" s="728">
        <f>SUM(C13:C19)</f>
        <v>180073</v>
      </c>
      <c r="D20" s="354"/>
    </row>
    <row r="21" spans="1:4" ht="20.100000000000001" customHeight="1" x14ac:dyDescent="0.25">
      <c r="A21" s="353"/>
      <c r="B21" s="353"/>
      <c r="C21" s="726"/>
    </row>
    <row r="22" spans="1:4" ht="20.100000000000001" customHeight="1" x14ac:dyDescent="0.25">
      <c r="C22" s="365"/>
    </row>
    <row r="23" spans="1:4" ht="20.100000000000001" customHeight="1" x14ac:dyDescent="0.25">
      <c r="B23" s="355" t="s">
        <v>1262</v>
      </c>
      <c r="C23" s="726"/>
    </row>
    <row r="24" spans="1:4" ht="20.100000000000001" customHeight="1" x14ac:dyDescent="0.25">
      <c r="B24" s="353" t="s">
        <v>1266</v>
      </c>
      <c r="C24" s="726">
        <v>1031</v>
      </c>
    </row>
    <row r="25" spans="1:4" ht="20.100000000000001" customHeight="1" x14ac:dyDescent="0.25">
      <c r="B25" s="353"/>
      <c r="C25" s="726"/>
    </row>
    <row r="26" spans="1:4" ht="33" customHeight="1" x14ac:dyDescent="0.25">
      <c r="B26" s="453" t="s">
        <v>1265</v>
      </c>
      <c r="C26" s="353">
        <v>1707</v>
      </c>
    </row>
    <row r="27" spans="1:4" ht="33" customHeight="1" x14ac:dyDescent="0.25">
      <c r="B27" s="453"/>
      <c r="C27" s="353"/>
    </row>
    <row r="28" spans="1:4" ht="20.100000000000001" customHeight="1" x14ac:dyDescent="0.25">
      <c r="B28" s="355" t="s">
        <v>1267</v>
      </c>
      <c r="C28" s="728">
        <f>SUM(C24:C26)</f>
        <v>2738</v>
      </c>
    </row>
    <row r="29" spans="1:4" ht="20.100000000000001" customHeight="1" x14ac:dyDescent="0.25">
      <c r="B29" s="353"/>
      <c r="C29" s="353"/>
    </row>
    <row r="30" spans="1:4" ht="20.100000000000001" customHeight="1" x14ac:dyDescent="0.25">
      <c r="B30" s="355" t="s">
        <v>1269</v>
      </c>
      <c r="C30" s="728">
        <f>C20+C28</f>
        <v>182811</v>
      </c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sqref="A1:J1"/>
    </sheetView>
  </sheetViews>
  <sheetFormatPr defaultColWidth="10.28515625" defaultRowHeight="12.75" x14ac:dyDescent="0.2"/>
  <cols>
    <col min="1" max="1" width="3.140625" style="358" customWidth="1"/>
    <col min="2" max="2" width="29.28515625" style="358" customWidth="1"/>
    <col min="3" max="3" width="16.85546875" style="358" bestFit="1" customWidth="1"/>
    <col min="4" max="4" width="15.5703125" style="358" customWidth="1"/>
    <col min="5" max="5" width="9.85546875" style="358" bestFit="1" customWidth="1"/>
    <col min="6" max="6" width="12.85546875" style="358" customWidth="1"/>
    <col min="7" max="8" width="14.5703125" style="358" customWidth="1"/>
    <col min="9" max="9" width="10.7109375" style="358" customWidth="1"/>
    <col min="10" max="10" width="10.5703125" style="358" customWidth="1"/>
    <col min="11" max="11" width="10.28515625" style="358" customWidth="1"/>
    <col min="12" max="12" width="10.28515625" style="358"/>
    <col min="13" max="16384" width="10.28515625" style="363"/>
  </cols>
  <sheetData>
    <row r="1" spans="1:12" s="358" customFormat="1" x14ac:dyDescent="0.2">
      <c r="A1" s="1529" t="s">
        <v>1253</v>
      </c>
      <c r="B1" s="1529"/>
      <c r="C1" s="1529"/>
      <c r="D1" s="1529"/>
      <c r="E1" s="1529"/>
      <c r="F1" s="1529"/>
      <c r="G1" s="1529"/>
      <c r="H1" s="1529"/>
      <c r="I1" s="1529"/>
      <c r="J1" s="1529"/>
    </row>
    <row r="2" spans="1:12" s="358" customFormat="1" ht="14.1" customHeight="1" x14ac:dyDescent="0.2"/>
    <row r="3" spans="1:12" s="358" customFormat="1" ht="15" customHeight="1" x14ac:dyDescent="0.25">
      <c r="B3" s="1531" t="s">
        <v>77</v>
      </c>
      <c r="C3" s="1531"/>
      <c r="D3" s="1531"/>
      <c r="E3" s="1531"/>
      <c r="F3" s="1531"/>
      <c r="G3" s="1531"/>
      <c r="H3" s="1531"/>
      <c r="I3" s="1531"/>
      <c r="J3" s="1531"/>
    </row>
    <row r="4" spans="1:12" s="358" customFormat="1" ht="15" customHeight="1" x14ac:dyDescent="0.25">
      <c r="B4" s="1531" t="s">
        <v>1157</v>
      </c>
      <c r="C4" s="1531"/>
      <c r="D4" s="1531"/>
      <c r="E4" s="1531"/>
      <c r="F4" s="1531"/>
      <c r="G4" s="1531"/>
      <c r="H4" s="1531"/>
      <c r="I4" s="1531"/>
      <c r="J4" s="1531"/>
    </row>
    <row r="5" spans="1:12" s="358" customFormat="1" ht="15" customHeight="1" x14ac:dyDescent="0.25">
      <c r="B5" s="1531" t="s">
        <v>418</v>
      </c>
      <c r="C5" s="1531"/>
      <c r="D5" s="1531"/>
      <c r="E5" s="1531"/>
      <c r="F5" s="1531"/>
      <c r="G5" s="1531"/>
      <c r="H5" s="1531"/>
      <c r="I5" s="1531"/>
      <c r="J5" s="1531"/>
    </row>
    <row r="6" spans="1:12" s="358" customFormat="1" ht="15" customHeight="1" x14ac:dyDescent="0.25">
      <c r="B6" s="1531"/>
      <c r="C6" s="1531"/>
      <c r="D6" s="1531"/>
      <c r="E6" s="1531"/>
      <c r="F6" s="1531"/>
      <c r="G6" s="1531"/>
      <c r="H6" s="1531"/>
      <c r="I6" s="1531"/>
      <c r="J6" s="1531"/>
    </row>
    <row r="7" spans="1:12" s="358" customFormat="1" ht="15" customHeight="1" x14ac:dyDescent="0.25">
      <c r="B7" s="1539" t="s">
        <v>314</v>
      </c>
      <c r="C7" s="1539"/>
      <c r="D7" s="1539"/>
      <c r="E7" s="1539"/>
      <c r="F7" s="1539"/>
      <c r="G7" s="1539"/>
      <c r="H7" s="1539"/>
      <c r="I7" s="1539"/>
      <c r="J7" s="1539"/>
    </row>
    <row r="8" spans="1:12" s="359" customFormat="1" ht="14.1" customHeight="1" x14ac:dyDescent="0.25">
      <c r="A8" s="1530"/>
      <c r="B8" s="1162" t="s">
        <v>57</v>
      </c>
      <c r="C8" s="1162" t="s">
        <v>58</v>
      </c>
      <c r="D8" s="1162" t="s">
        <v>59</v>
      </c>
      <c r="E8" s="1162" t="s">
        <v>60</v>
      </c>
      <c r="F8" s="1162" t="s">
        <v>470</v>
      </c>
      <c r="G8" s="1162" t="s">
        <v>471</v>
      </c>
      <c r="H8" s="1162" t="s">
        <v>472</v>
      </c>
      <c r="I8" s="1162" t="s">
        <v>592</v>
      </c>
      <c r="J8" s="1162" t="s">
        <v>600</v>
      </c>
    </row>
    <row r="9" spans="1:12" s="360" customFormat="1" ht="17.25" customHeight="1" x14ac:dyDescent="0.25">
      <c r="A9" s="1530"/>
      <c r="B9" s="1533" t="s">
        <v>85</v>
      </c>
      <c r="C9" s="1535" t="s">
        <v>419</v>
      </c>
      <c r="D9" s="1535" t="s">
        <v>1240</v>
      </c>
      <c r="E9" s="1533" t="s">
        <v>420</v>
      </c>
      <c r="F9" s="1537" t="s">
        <v>421</v>
      </c>
      <c r="G9" s="1533" t="s">
        <v>422</v>
      </c>
      <c r="H9" s="1535" t="s">
        <v>920</v>
      </c>
      <c r="I9" s="1532" t="s">
        <v>423</v>
      </c>
      <c r="J9" s="1532"/>
    </row>
    <row r="10" spans="1:12" s="360" customFormat="1" ht="30" customHeight="1" x14ac:dyDescent="0.25">
      <c r="A10" s="1530"/>
      <c r="B10" s="1534"/>
      <c r="C10" s="1536"/>
      <c r="D10" s="1536"/>
      <c r="E10" s="1534"/>
      <c r="F10" s="1538"/>
      <c r="G10" s="1534"/>
      <c r="H10" s="1536"/>
      <c r="I10" s="1162" t="s">
        <v>424</v>
      </c>
      <c r="J10" s="1162" t="s">
        <v>425</v>
      </c>
    </row>
    <row r="11" spans="1:12" s="359" customFormat="1" ht="16.5" customHeight="1" x14ac:dyDescent="0.25">
      <c r="A11" s="361" t="s">
        <v>479</v>
      </c>
      <c r="B11" s="367" t="s">
        <v>426</v>
      </c>
    </row>
    <row r="12" spans="1:12" s="359" customFormat="1" ht="15" customHeight="1" x14ac:dyDescent="0.25">
      <c r="A12" s="361" t="s">
        <v>487</v>
      </c>
      <c r="B12" s="359" t="s">
        <v>427</v>
      </c>
      <c r="C12" s="368"/>
      <c r="D12" s="368"/>
      <c r="E12" s="369"/>
      <c r="F12" s="369"/>
      <c r="G12" s="369"/>
      <c r="H12" s="368"/>
      <c r="I12" s="369"/>
      <c r="J12" s="369"/>
    </row>
    <row r="13" spans="1:12" s="359" customFormat="1" ht="15" customHeight="1" x14ac:dyDescent="0.25">
      <c r="A13" s="361" t="s">
        <v>488</v>
      </c>
      <c r="B13" s="370" t="s">
        <v>428</v>
      </c>
      <c r="C13" s="371">
        <v>500</v>
      </c>
      <c r="D13" s="372">
        <v>25</v>
      </c>
      <c r="E13" s="373" t="s">
        <v>429</v>
      </c>
      <c r="F13" s="373" t="s">
        <v>430</v>
      </c>
      <c r="G13" s="373" t="s">
        <v>430</v>
      </c>
      <c r="H13" s="372">
        <v>25</v>
      </c>
      <c r="I13" s="374">
        <v>0</v>
      </c>
      <c r="J13" s="373" t="s">
        <v>431</v>
      </c>
    </row>
    <row r="14" spans="1:12" s="360" customFormat="1" ht="15" customHeight="1" x14ac:dyDescent="0.25">
      <c r="A14" s="361" t="s">
        <v>489</v>
      </c>
      <c r="B14" s="370" t="s">
        <v>432</v>
      </c>
      <c r="C14" s="371">
        <v>28130</v>
      </c>
      <c r="D14" s="371">
        <v>17378</v>
      </c>
      <c r="E14" s="373" t="s">
        <v>429</v>
      </c>
      <c r="F14" s="373" t="s">
        <v>430</v>
      </c>
      <c r="G14" s="373" t="s">
        <v>430</v>
      </c>
      <c r="H14" s="371">
        <v>2758</v>
      </c>
      <c r="I14" s="374">
        <v>0</v>
      </c>
      <c r="J14" s="373" t="s">
        <v>431</v>
      </c>
    </row>
    <row r="15" spans="1:12" s="362" customFormat="1" ht="16.5" customHeight="1" x14ac:dyDescent="0.25">
      <c r="A15" s="361" t="s">
        <v>490</v>
      </c>
      <c r="B15" s="360" t="s">
        <v>433</v>
      </c>
      <c r="C15" s="375">
        <f>SUM(C13:C14)</f>
        <v>28630</v>
      </c>
      <c r="D15" s="375">
        <f>SUM(D13:D14)</f>
        <v>17403</v>
      </c>
      <c r="E15" s="376"/>
      <c r="F15" s="376"/>
      <c r="G15" s="376"/>
      <c r="H15" s="375">
        <f>SUM(H13:H14)</f>
        <v>2783</v>
      </c>
      <c r="I15" s="374"/>
      <c r="J15" s="373" t="s">
        <v>431</v>
      </c>
      <c r="K15" s="359"/>
      <c r="L15" s="359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W97"/>
  <sheetViews>
    <sheetView workbookViewId="0">
      <selection sqref="A1:I1"/>
    </sheetView>
  </sheetViews>
  <sheetFormatPr defaultColWidth="61.7109375" defaultRowHeight="12" x14ac:dyDescent="0.2"/>
  <cols>
    <col min="1" max="1" width="61.7109375" style="188" customWidth="1"/>
    <col min="2" max="2" width="9.85546875" style="188" hidden="1" customWidth="1"/>
    <col min="3" max="3" width="11.7109375" style="188" hidden="1" customWidth="1"/>
    <col min="4" max="4" width="9.85546875" style="188" hidden="1" customWidth="1"/>
    <col min="5" max="5" width="15.85546875" style="19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3" width="4.140625" style="6" customWidth="1"/>
    <col min="14" max="14" width="11.140625" style="6" customWidth="1"/>
    <col min="15" max="15" width="10.85546875" style="6" bestFit="1" customWidth="1"/>
    <col min="16" max="16" width="10.85546875" style="6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300" t="s">
        <v>1250</v>
      </c>
      <c r="B1" s="1300"/>
      <c r="C1" s="1300"/>
      <c r="D1" s="1300"/>
      <c r="E1" s="1300"/>
      <c r="F1" s="1300"/>
      <c r="G1" s="1300"/>
      <c r="H1" s="1300"/>
      <c r="I1" s="1300"/>
      <c r="J1" s="1103"/>
      <c r="K1" s="1103"/>
      <c r="L1" s="1103"/>
      <c r="M1" s="1103"/>
      <c r="N1" s="1103"/>
      <c r="O1" s="1103"/>
      <c r="P1" s="1103"/>
      <c r="Q1" s="1103"/>
      <c r="R1" s="1103"/>
    </row>
    <row r="2" spans="1:257" x14ac:dyDescent="0.2">
      <c r="A2" s="1104"/>
      <c r="B2" s="1104"/>
      <c r="C2" s="1104"/>
      <c r="D2" s="1104"/>
      <c r="E2" s="1105"/>
      <c r="F2" s="1301"/>
      <c r="G2" s="1301"/>
      <c r="H2" s="1301"/>
      <c r="I2" s="1301"/>
      <c r="J2" s="1103"/>
      <c r="K2" s="1103"/>
      <c r="L2" s="1103"/>
      <c r="M2" s="1103"/>
      <c r="N2" s="1103"/>
      <c r="O2" s="1103"/>
      <c r="P2" s="1103"/>
      <c r="Q2" s="1103"/>
      <c r="R2" s="1103"/>
    </row>
    <row r="3" spans="1:257" ht="30" customHeight="1" x14ac:dyDescent="0.2">
      <c r="A3" s="1302" t="s">
        <v>77</v>
      </c>
      <c r="B3" s="1302"/>
      <c r="C3" s="1302"/>
      <c r="D3" s="1302"/>
      <c r="E3" s="1302"/>
      <c r="F3" s="1303"/>
      <c r="G3" s="1303"/>
      <c r="H3" s="1303"/>
      <c r="I3" s="1303"/>
      <c r="J3" s="1103"/>
      <c r="K3" s="1103"/>
      <c r="L3" s="1103"/>
      <c r="M3" s="1103"/>
      <c r="N3" s="1103"/>
      <c r="O3" s="1103"/>
      <c r="P3" s="1103"/>
      <c r="Q3" s="1103"/>
      <c r="R3" s="1103"/>
    </row>
    <row r="4" spans="1:257" ht="33" customHeight="1" thickBot="1" x14ac:dyDescent="0.25">
      <c r="A4" s="1302" t="s">
        <v>1207</v>
      </c>
      <c r="B4" s="1302"/>
      <c r="C4" s="1302"/>
      <c r="D4" s="1302"/>
      <c r="E4" s="1302"/>
      <c r="F4" s="1303"/>
      <c r="G4" s="1303"/>
      <c r="H4" s="1303"/>
      <c r="I4" s="1303"/>
      <c r="J4" s="1103"/>
      <c r="K4" s="1103"/>
      <c r="L4" s="1103"/>
      <c r="M4" s="1103"/>
      <c r="N4" s="1103"/>
      <c r="O4" s="1103"/>
      <c r="P4" s="1103"/>
      <c r="Q4" s="1103"/>
      <c r="R4" s="1103"/>
    </row>
    <row r="5" spans="1:257" ht="30.75" customHeight="1" thickBot="1" x14ac:dyDescent="0.25">
      <c r="A5" s="1304" t="s">
        <v>78</v>
      </c>
      <c r="B5" s="1306" t="s">
        <v>106</v>
      </c>
      <c r="C5" s="1307"/>
      <c r="D5" s="1307"/>
      <c r="E5" s="1307"/>
      <c r="F5" s="1308" t="s">
        <v>1165</v>
      </c>
      <c r="G5" s="1309"/>
      <c r="H5" s="1309"/>
      <c r="I5" s="1310"/>
      <c r="J5" s="1103"/>
      <c r="K5" s="1103"/>
      <c r="L5" s="1103"/>
      <c r="M5" s="1103"/>
      <c r="N5" s="1103"/>
      <c r="O5" s="1103"/>
      <c r="P5" s="1103"/>
      <c r="Q5" s="1103"/>
      <c r="R5" s="1103"/>
    </row>
    <row r="6" spans="1:257" ht="36.75" thickBot="1" x14ac:dyDescent="0.25">
      <c r="A6" s="1305"/>
      <c r="B6" s="1106" t="s">
        <v>79</v>
      </c>
      <c r="C6" s="1107" t="s">
        <v>80</v>
      </c>
      <c r="D6" s="1107" t="s">
        <v>679</v>
      </c>
      <c r="E6" s="1108" t="s">
        <v>81</v>
      </c>
      <c r="F6" s="1106" t="s">
        <v>79</v>
      </c>
      <c r="G6" s="1107" t="s">
        <v>80</v>
      </c>
      <c r="H6" s="1107" t="s">
        <v>679</v>
      </c>
      <c r="I6" s="1108" t="s">
        <v>81</v>
      </c>
      <c r="J6" s="1109"/>
      <c r="K6" s="1109"/>
      <c r="L6" s="1109"/>
      <c r="M6" s="1109"/>
      <c r="N6" s="1109"/>
      <c r="O6" s="1109"/>
      <c r="P6" s="1109"/>
      <c r="Q6" s="1109"/>
      <c r="R6" s="1109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spans="1:257" ht="12.75" x14ac:dyDescent="0.2">
      <c r="A7" s="1110" t="s">
        <v>82</v>
      </c>
      <c r="B7" s="1111"/>
      <c r="C7" s="1111"/>
      <c r="D7" s="1111"/>
      <c r="E7" s="1111"/>
      <c r="F7" s="1112"/>
      <c r="G7" s="1112"/>
      <c r="H7" s="1112"/>
      <c r="I7" s="1112"/>
      <c r="J7" s="1113"/>
      <c r="K7" s="1103"/>
      <c r="L7" s="1103"/>
      <c r="M7" s="1103"/>
      <c r="N7" s="1103"/>
      <c r="O7" s="1103"/>
      <c r="P7" s="1103"/>
      <c r="Q7" s="1103"/>
      <c r="R7" s="1103"/>
    </row>
    <row r="8" spans="1:257" ht="12.75" x14ac:dyDescent="0.2">
      <c r="A8" s="1114" t="s">
        <v>817</v>
      </c>
      <c r="B8" s="665"/>
      <c r="C8" s="665"/>
      <c r="D8" s="665"/>
      <c r="E8" s="665"/>
      <c r="F8" s="729"/>
      <c r="G8" s="729"/>
      <c r="H8" s="729"/>
      <c r="I8" s="729"/>
      <c r="J8" s="1113"/>
      <c r="K8" s="1103"/>
      <c r="L8" s="1103"/>
      <c r="M8" s="1103"/>
      <c r="N8" s="1103"/>
      <c r="O8" s="1103"/>
      <c r="P8" s="1103"/>
      <c r="Q8" s="1103"/>
      <c r="R8" s="1103"/>
    </row>
    <row r="9" spans="1:257" ht="36" x14ac:dyDescent="0.2">
      <c r="A9" s="662" t="s">
        <v>818</v>
      </c>
      <c r="B9" s="532">
        <v>4865</v>
      </c>
      <c r="C9" s="663">
        <v>18.690000000000001</v>
      </c>
      <c r="D9" s="532">
        <v>4580000</v>
      </c>
      <c r="E9" s="532">
        <f>C9*D9</f>
        <v>85600200</v>
      </c>
      <c r="F9" s="777" t="s">
        <v>1166</v>
      </c>
      <c r="G9" s="530">
        <v>18.420000000000002</v>
      </c>
      <c r="H9" s="530">
        <v>4580000</v>
      </c>
      <c r="I9" s="531">
        <f>G9*H9</f>
        <v>84363600.000000015</v>
      </c>
      <c r="J9" s="1113"/>
      <c r="K9" s="1103"/>
      <c r="L9" s="1103"/>
      <c r="M9" s="1103"/>
      <c r="N9" s="1103"/>
      <c r="O9" s="1103"/>
      <c r="P9" s="1103"/>
      <c r="Q9" s="1103"/>
      <c r="R9" s="1103"/>
    </row>
    <row r="10" spans="1:257" ht="12.75" x14ac:dyDescent="0.2">
      <c r="A10" s="535" t="s">
        <v>1167</v>
      </c>
      <c r="B10" s="665"/>
      <c r="C10" s="665"/>
      <c r="D10" s="665"/>
      <c r="E10" s="665"/>
      <c r="F10" s="621"/>
      <c r="G10" s="670"/>
      <c r="H10" s="670"/>
      <c r="I10" s="621"/>
      <c r="J10" s="1113"/>
      <c r="K10" s="1103"/>
      <c r="L10" s="1103"/>
      <c r="M10" s="1103"/>
      <c r="N10" s="1103"/>
      <c r="O10" s="1103"/>
      <c r="P10" s="1103"/>
      <c r="Q10" s="1103"/>
      <c r="R10" s="1103"/>
    </row>
    <row r="11" spans="1:257" ht="12.75" x14ac:dyDescent="0.2">
      <c r="A11" s="662" t="s">
        <v>820</v>
      </c>
      <c r="B11" s="665"/>
      <c r="C11" s="674"/>
      <c r="D11" s="665" t="s">
        <v>294</v>
      </c>
      <c r="E11" s="665">
        <v>8328800</v>
      </c>
      <c r="F11" s="1115"/>
      <c r="G11" s="670"/>
      <c r="H11" s="530" t="s">
        <v>294</v>
      </c>
      <c r="I11" s="531">
        <v>8329050</v>
      </c>
      <c r="J11" s="1113"/>
      <c r="K11" s="1103"/>
      <c r="L11" s="1103"/>
      <c r="M11" s="1103"/>
      <c r="N11" s="1103"/>
      <c r="O11" s="1103"/>
      <c r="P11" s="1103"/>
      <c r="Q11" s="1103"/>
      <c r="R11" s="1103"/>
    </row>
    <row r="12" spans="1:257" ht="12.75" x14ac:dyDescent="0.2">
      <c r="A12" s="662" t="s">
        <v>1208</v>
      </c>
      <c r="B12" s="532"/>
      <c r="C12" s="533"/>
      <c r="D12" s="532"/>
      <c r="E12" s="532"/>
      <c r="F12" s="531"/>
      <c r="G12" s="530"/>
      <c r="H12" s="530"/>
      <c r="I12" s="531">
        <v>-8329050</v>
      </c>
      <c r="J12" s="1113"/>
      <c r="K12" s="1103"/>
      <c r="L12" s="1103"/>
      <c r="M12" s="1103"/>
      <c r="N12" s="1103"/>
      <c r="O12" s="1103"/>
      <c r="P12" s="1103"/>
      <c r="Q12" s="1103"/>
      <c r="R12" s="1103"/>
    </row>
    <row r="13" spans="1:257" ht="24" x14ac:dyDescent="0.2">
      <c r="A13" s="662" t="s">
        <v>1209</v>
      </c>
      <c r="B13" s="532"/>
      <c r="C13" s="533"/>
      <c r="D13" s="532"/>
      <c r="E13" s="532"/>
      <c r="F13" s="531"/>
      <c r="G13" s="530"/>
      <c r="H13" s="530"/>
      <c r="I13" s="531">
        <f>I11+I12</f>
        <v>0</v>
      </c>
      <c r="J13" s="1113"/>
      <c r="K13" s="1103"/>
      <c r="L13" s="1103"/>
      <c r="M13" s="1103"/>
      <c r="N13" s="1103"/>
      <c r="O13" s="1103"/>
      <c r="P13" s="1103"/>
      <c r="Q13" s="1103"/>
      <c r="R13" s="1103"/>
    </row>
    <row r="14" spans="1:257" ht="12.75" x14ac:dyDescent="0.2">
      <c r="A14" s="535" t="s">
        <v>823</v>
      </c>
      <c r="B14" s="665"/>
      <c r="C14" s="665"/>
      <c r="D14" s="733" t="s">
        <v>295</v>
      </c>
      <c r="E14" s="665">
        <v>18272000</v>
      </c>
      <c r="F14" s="1115"/>
      <c r="G14" s="670"/>
      <c r="H14" s="1116" t="s">
        <v>295</v>
      </c>
      <c r="I14" s="531">
        <v>18304000</v>
      </c>
      <c r="J14" s="1113"/>
      <c r="K14" s="1103"/>
      <c r="L14" s="1103"/>
      <c r="M14" s="1103"/>
      <c r="N14" s="1103"/>
      <c r="O14" s="1103"/>
      <c r="P14" s="1103"/>
      <c r="Q14" s="1103"/>
      <c r="R14" s="1103"/>
    </row>
    <row r="15" spans="1:257" ht="12.75" x14ac:dyDescent="0.2">
      <c r="A15" s="535" t="s">
        <v>1208</v>
      </c>
      <c r="B15" s="665"/>
      <c r="C15" s="665"/>
      <c r="D15" s="733"/>
      <c r="E15" s="665"/>
      <c r="F15" s="621"/>
      <c r="G15" s="670"/>
      <c r="H15" s="670"/>
      <c r="I15" s="531">
        <v>-18304000</v>
      </c>
      <c r="J15" s="1113"/>
      <c r="K15" s="1103"/>
      <c r="L15" s="1103"/>
      <c r="M15" s="1103"/>
      <c r="N15" s="1103"/>
      <c r="O15" s="1103"/>
      <c r="P15" s="1103"/>
      <c r="Q15" s="1103"/>
      <c r="R15" s="1103"/>
    </row>
    <row r="16" spans="1:257" ht="12.75" x14ac:dyDescent="0.2">
      <c r="A16" s="535" t="s">
        <v>1210</v>
      </c>
      <c r="B16" s="665"/>
      <c r="C16" s="665"/>
      <c r="D16" s="733"/>
      <c r="E16" s="665"/>
      <c r="F16" s="621"/>
      <c r="G16" s="670"/>
      <c r="H16" s="670"/>
      <c r="I16" s="531">
        <f>I14+I15</f>
        <v>0</v>
      </c>
      <c r="J16" s="1113"/>
      <c r="K16" s="1103"/>
      <c r="L16" s="1103"/>
      <c r="M16" s="1103"/>
      <c r="N16" s="1103"/>
      <c r="O16" s="1103"/>
      <c r="P16" s="1103"/>
      <c r="Q16" s="1103"/>
      <c r="R16" s="1103"/>
    </row>
    <row r="17" spans="1:18" ht="12.75" x14ac:dyDescent="0.2">
      <c r="A17" s="535" t="s">
        <v>825</v>
      </c>
      <c r="B17" s="665"/>
      <c r="C17" s="665" t="s">
        <v>1168</v>
      </c>
      <c r="D17" s="666" t="s">
        <v>680</v>
      </c>
      <c r="E17" s="665">
        <v>1355022</v>
      </c>
      <c r="F17" s="1115"/>
      <c r="G17" s="665"/>
      <c r="H17" s="666"/>
      <c r="I17" s="531">
        <v>100000</v>
      </c>
      <c r="J17" s="1113"/>
      <c r="K17" s="1103"/>
      <c r="L17" s="1103"/>
      <c r="M17" s="1103"/>
      <c r="N17" s="1103"/>
      <c r="O17" s="1103"/>
      <c r="P17" s="1103"/>
      <c r="Q17" s="1103"/>
      <c r="R17" s="1103"/>
    </row>
    <row r="18" spans="1:18" ht="12.75" x14ac:dyDescent="0.2">
      <c r="A18" s="535" t="s">
        <v>1208</v>
      </c>
      <c r="B18" s="665"/>
      <c r="C18" s="665"/>
      <c r="D18" s="666"/>
      <c r="E18" s="665"/>
      <c r="F18" s="621"/>
      <c r="G18" s="665"/>
      <c r="H18" s="666"/>
      <c r="I18" s="531">
        <v>-100000</v>
      </c>
      <c r="J18" s="1113"/>
      <c r="K18" s="1103"/>
      <c r="L18" s="1103"/>
      <c r="M18" s="1103"/>
      <c r="N18" s="1103"/>
      <c r="O18" s="1103"/>
      <c r="P18" s="1103"/>
      <c r="Q18" s="1103"/>
      <c r="R18" s="1103"/>
    </row>
    <row r="19" spans="1:18" ht="12.75" x14ac:dyDescent="0.2">
      <c r="A19" s="535" t="s">
        <v>1211</v>
      </c>
      <c r="B19" s="665"/>
      <c r="C19" s="665"/>
      <c r="D19" s="666"/>
      <c r="E19" s="665"/>
      <c r="F19" s="621"/>
      <c r="G19" s="665"/>
      <c r="H19" s="666"/>
      <c r="I19" s="531">
        <f>I17+I18</f>
        <v>0</v>
      </c>
      <c r="J19" s="1113"/>
      <c r="K19" s="1103"/>
      <c r="L19" s="1103"/>
      <c r="M19" s="1103"/>
      <c r="N19" s="1103"/>
      <c r="O19" s="1103"/>
      <c r="P19" s="1103"/>
      <c r="Q19" s="1103"/>
      <c r="R19" s="1103"/>
    </row>
    <row r="20" spans="1:18" ht="12.75" x14ac:dyDescent="0.2">
      <c r="A20" s="535" t="s">
        <v>829</v>
      </c>
      <c r="B20" s="665"/>
      <c r="C20" s="674"/>
      <c r="D20" s="733" t="s">
        <v>681</v>
      </c>
      <c r="E20" s="665">
        <v>6369620</v>
      </c>
      <c r="F20" s="1115"/>
      <c r="G20" s="670"/>
      <c r="H20" s="664" t="s">
        <v>681</v>
      </c>
      <c r="I20" s="531">
        <v>6212990</v>
      </c>
      <c r="J20" s="1113"/>
      <c r="K20" s="1103"/>
      <c r="L20" s="1103"/>
      <c r="M20" s="1103"/>
      <c r="N20" s="1103"/>
      <c r="O20" s="1103"/>
      <c r="P20" s="1103"/>
      <c r="Q20" s="1103"/>
      <c r="R20" s="1103"/>
    </row>
    <row r="21" spans="1:18" ht="12.75" x14ac:dyDescent="0.2">
      <c r="A21" s="535" t="s">
        <v>1208</v>
      </c>
      <c r="B21" s="665"/>
      <c r="C21" s="674"/>
      <c r="D21" s="733"/>
      <c r="E21" s="665"/>
      <c r="F21" s="621"/>
      <c r="G21" s="670"/>
      <c r="H21" s="733"/>
      <c r="I21" s="531">
        <v>-6212990</v>
      </c>
      <c r="J21" s="1113"/>
      <c r="K21" s="1103"/>
      <c r="L21" s="1103"/>
      <c r="M21" s="1103"/>
      <c r="N21" s="1103"/>
      <c r="O21" s="1103"/>
      <c r="P21" s="1103"/>
      <c r="Q21" s="1103"/>
      <c r="R21" s="1103"/>
    </row>
    <row r="22" spans="1:18" ht="12.75" x14ac:dyDescent="0.2">
      <c r="A22" s="535" t="s">
        <v>1212</v>
      </c>
      <c r="B22" s="665"/>
      <c r="C22" s="674"/>
      <c r="D22" s="733"/>
      <c r="E22" s="665"/>
      <c r="F22" s="621"/>
      <c r="G22" s="670"/>
      <c r="H22" s="733"/>
      <c r="I22" s="531">
        <f>I20+I21</f>
        <v>0</v>
      </c>
      <c r="J22" s="1113"/>
      <c r="K22" s="1103"/>
      <c r="L22" s="1103"/>
      <c r="M22" s="1103"/>
      <c r="N22" s="1103"/>
      <c r="O22" s="1103"/>
      <c r="P22" s="1103"/>
      <c r="Q22" s="1103"/>
      <c r="R22" s="1103"/>
    </row>
    <row r="23" spans="1:18" ht="12.75" x14ac:dyDescent="0.2">
      <c r="A23" s="535" t="s">
        <v>831</v>
      </c>
      <c r="B23" s="665">
        <v>4865</v>
      </c>
      <c r="C23" s="665"/>
      <c r="D23" s="665">
        <v>2700</v>
      </c>
      <c r="E23" s="665">
        <f>B23*D23</f>
        <v>13135500</v>
      </c>
      <c r="F23" s="531">
        <v>4747</v>
      </c>
      <c r="G23" s="530"/>
      <c r="H23" s="532">
        <v>2700</v>
      </c>
      <c r="I23" s="531">
        <f>F23*H23</f>
        <v>12816900</v>
      </c>
      <c r="J23" s="571"/>
      <c r="K23" s="1103"/>
      <c r="L23" s="1103"/>
      <c r="M23" s="1103"/>
      <c r="N23" s="1103"/>
      <c r="O23" s="1103"/>
      <c r="P23" s="1103"/>
      <c r="Q23" s="1103"/>
      <c r="R23" s="1103"/>
    </row>
    <row r="24" spans="1:18" ht="12.75" x14ac:dyDescent="0.2">
      <c r="A24" s="535" t="s">
        <v>1213</v>
      </c>
      <c r="B24" s="532"/>
      <c r="C24" s="532"/>
      <c r="D24" s="532"/>
      <c r="E24" s="532">
        <v>-13135500</v>
      </c>
      <c r="F24" s="531"/>
      <c r="G24" s="530"/>
      <c r="H24" s="530"/>
      <c r="I24" s="531">
        <v>-12816900</v>
      </c>
      <c r="J24" s="1113"/>
      <c r="K24" s="1103"/>
      <c r="L24" s="1103"/>
      <c r="M24" s="1103"/>
      <c r="N24" s="1103"/>
      <c r="O24" s="1103"/>
      <c r="P24" s="1103"/>
      <c r="Q24" s="1103"/>
      <c r="R24" s="1103"/>
    </row>
    <row r="25" spans="1:18" ht="12.75" x14ac:dyDescent="0.2">
      <c r="A25" s="535" t="s">
        <v>1214</v>
      </c>
      <c r="B25" s="532"/>
      <c r="C25" s="532"/>
      <c r="D25" s="532"/>
      <c r="E25" s="532">
        <f>E23+E24</f>
        <v>0</v>
      </c>
      <c r="F25" s="531"/>
      <c r="G25" s="530"/>
      <c r="H25" s="530"/>
      <c r="I25" s="531">
        <f>I23+I24</f>
        <v>0</v>
      </c>
      <c r="J25" s="1113"/>
      <c r="K25" s="1103"/>
      <c r="L25" s="1103"/>
      <c r="M25" s="1103"/>
      <c r="N25" s="1103"/>
      <c r="O25" s="1103"/>
      <c r="P25" s="1103"/>
      <c r="Q25" s="1103"/>
      <c r="R25" s="1103"/>
    </row>
    <row r="26" spans="1:18" ht="12.75" x14ac:dyDescent="0.2">
      <c r="A26" s="535" t="s">
        <v>834</v>
      </c>
      <c r="B26" s="665">
        <v>10</v>
      </c>
      <c r="C26" s="665"/>
      <c r="D26" s="665" t="s">
        <v>297</v>
      </c>
      <c r="E26" s="668">
        <v>25500</v>
      </c>
      <c r="F26" s="531">
        <v>19</v>
      </c>
      <c r="G26" s="530"/>
      <c r="H26" s="532" t="s">
        <v>297</v>
      </c>
      <c r="I26" s="531">
        <v>48450</v>
      </c>
      <c r="J26" s="1113"/>
      <c r="K26" s="1103"/>
      <c r="L26" s="1103"/>
      <c r="M26" s="1103"/>
      <c r="N26" s="1103"/>
      <c r="O26" s="1103"/>
      <c r="P26" s="1103"/>
      <c r="Q26" s="1103"/>
      <c r="R26" s="1103"/>
    </row>
    <row r="27" spans="1:18" ht="12.75" x14ac:dyDescent="0.2">
      <c r="A27" s="535" t="s">
        <v>1215</v>
      </c>
      <c r="B27" s="665"/>
      <c r="C27" s="665"/>
      <c r="D27" s="665"/>
      <c r="E27" s="665">
        <v>-25500</v>
      </c>
      <c r="F27" s="621"/>
      <c r="G27" s="670"/>
      <c r="H27" s="670"/>
      <c r="I27" s="531">
        <v>-48450</v>
      </c>
      <c r="J27" s="1113"/>
      <c r="K27" s="1103"/>
      <c r="L27" s="1103"/>
      <c r="M27" s="1103"/>
      <c r="N27" s="1103"/>
      <c r="O27" s="1103"/>
      <c r="P27" s="1103"/>
      <c r="Q27" s="1103"/>
      <c r="R27" s="1103"/>
    </row>
    <row r="28" spans="1:18" ht="12.75" x14ac:dyDescent="0.2">
      <c r="A28" s="535" t="s">
        <v>1216</v>
      </c>
      <c r="B28" s="665"/>
      <c r="C28" s="665"/>
      <c r="D28" s="665"/>
      <c r="E28" s="668">
        <v>0</v>
      </c>
      <c r="F28" s="621"/>
      <c r="G28" s="670"/>
      <c r="H28" s="670"/>
      <c r="I28" s="531">
        <f>I26+I27</f>
        <v>0</v>
      </c>
      <c r="J28" s="1113"/>
      <c r="K28" s="1103"/>
      <c r="L28" s="1103"/>
      <c r="M28" s="1103"/>
      <c r="N28" s="1103"/>
      <c r="O28" s="1103"/>
      <c r="P28" s="1103"/>
      <c r="Q28" s="1103"/>
      <c r="R28" s="1103"/>
    </row>
    <row r="29" spans="1:18" ht="12.75" x14ac:dyDescent="0.2">
      <c r="A29" s="535" t="s">
        <v>1169</v>
      </c>
      <c r="B29" s="532"/>
      <c r="C29" s="532">
        <v>487729000</v>
      </c>
      <c r="D29" s="533">
        <v>1.55</v>
      </c>
      <c r="E29" s="532">
        <f>C29*D29</f>
        <v>755979950</v>
      </c>
      <c r="F29" s="531"/>
      <c r="G29" s="531">
        <v>600595988</v>
      </c>
      <c r="H29" s="533">
        <v>1</v>
      </c>
      <c r="I29" s="531">
        <f>G29*H29</f>
        <v>600595988</v>
      </c>
      <c r="J29" s="1113"/>
      <c r="K29" s="1103"/>
      <c r="L29" s="1103"/>
      <c r="M29" s="1103"/>
      <c r="N29" s="1103"/>
      <c r="O29" s="1103"/>
      <c r="P29" s="1103"/>
      <c r="Q29" s="1103"/>
      <c r="R29" s="1103"/>
    </row>
    <row r="30" spans="1:18" ht="12.75" x14ac:dyDescent="0.2">
      <c r="A30" s="535" t="s">
        <v>1213</v>
      </c>
      <c r="B30" s="532"/>
      <c r="C30" s="532"/>
      <c r="D30" s="536"/>
      <c r="E30" s="532">
        <v>-98054262</v>
      </c>
      <c r="F30" s="531"/>
      <c r="G30" s="530"/>
      <c r="H30" s="530"/>
      <c r="I30" s="531">
        <v>-80431412</v>
      </c>
      <c r="J30" s="1113"/>
      <c r="K30" s="1103"/>
      <c r="L30" s="1103"/>
      <c r="M30" s="1103"/>
      <c r="N30" s="1103"/>
      <c r="O30" s="1103"/>
      <c r="P30" s="1103"/>
      <c r="Q30" s="1103"/>
      <c r="R30" s="1103"/>
    </row>
    <row r="31" spans="1:18" ht="12.75" x14ac:dyDescent="0.2">
      <c r="A31" s="535" t="s">
        <v>1217</v>
      </c>
      <c r="B31" s="532"/>
      <c r="C31" s="532"/>
      <c r="D31" s="536"/>
      <c r="E31" s="532">
        <f>E29+E30</f>
        <v>657925688</v>
      </c>
      <c r="F31" s="531"/>
      <c r="G31" s="530"/>
      <c r="H31" s="530"/>
      <c r="I31" s="531">
        <f>I29+I30</f>
        <v>520164576</v>
      </c>
      <c r="J31" s="1113"/>
      <c r="K31" s="1103"/>
      <c r="L31" s="1103"/>
      <c r="M31" s="1103"/>
      <c r="N31" s="1103"/>
      <c r="O31" s="1103"/>
      <c r="P31" s="1103"/>
      <c r="Q31" s="1103"/>
      <c r="R31" s="1103"/>
    </row>
    <row r="32" spans="1:18" ht="36" x14ac:dyDescent="0.2">
      <c r="A32" s="662" t="s">
        <v>1238</v>
      </c>
      <c r="B32" s="665"/>
      <c r="C32" s="665"/>
      <c r="D32" s="665"/>
      <c r="E32" s="665"/>
      <c r="F32" s="621"/>
      <c r="G32" s="670"/>
      <c r="H32" s="670"/>
      <c r="I32" s="621"/>
      <c r="J32" s="1113"/>
      <c r="K32" s="671" t="s">
        <v>1218</v>
      </c>
      <c r="M32" s="1103"/>
      <c r="N32" s="671">
        <v>135897496</v>
      </c>
      <c r="O32" s="671">
        <v>-9654694</v>
      </c>
      <c r="P32" s="671">
        <f>N32+O32</f>
        <v>126242802</v>
      </c>
      <c r="Q32" s="1103"/>
      <c r="R32" s="1103"/>
    </row>
    <row r="33" spans="1:19" ht="36" x14ac:dyDescent="0.2">
      <c r="A33" s="662" t="s">
        <v>1239</v>
      </c>
      <c r="B33" s="665"/>
      <c r="C33" s="665"/>
      <c r="D33" s="665"/>
      <c r="E33" s="665"/>
      <c r="F33" s="1115"/>
      <c r="G33" s="670"/>
      <c r="H33" s="670"/>
      <c r="I33" s="531">
        <v>0</v>
      </c>
      <c r="J33" s="1113"/>
      <c r="K33" s="1117"/>
      <c r="M33" s="1103"/>
      <c r="N33" s="1103"/>
      <c r="O33" s="1103"/>
      <c r="P33" s="1103"/>
      <c r="Q33" s="1103"/>
      <c r="R33" s="1103"/>
    </row>
    <row r="34" spans="1:19" ht="36" x14ac:dyDescent="0.2">
      <c r="A34" s="662" t="s">
        <v>1170</v>
      </c>
      <c r="B34" s="665"/>
      <c r="C34" s="665"/>
      <c r="D34" s="665"/>
      <c r="E34" s="665"/>
      <c r="F34" s="777" t="s">
        <v>1171</v>
      </c>
      <c r="G34" s="670"/>
      <c r="H34" s="670"/>
      <c r="I34" s="621"/>
      <c r="J34" s="1113"/>
      <c r="K34" s="1150">
        <f>I9+I13+I16+I19+I22+I25+I28+I31+I32+I33+I34</f>
        <v>604528176</v>
      </c>
      <c r="L34" s="6" t="s">
        <v>910</v>
      </c>
      <c r="M34" s="1103"/>
      <c r="N34" s="1103"/>
      <c r="O34" s="1103"/>
      <c r="P34" s="1103"/>
      <c r="Q34" s="1103"/>
      <c r="R34" s="1103"/>
    </row>
    <row r="35" spans="1:19" ht="12.75" x14ac:dyDescent="0.2">
      <c r="A35" s="669"/>
      <c r="B35" s="665"/>
      <c r="C35" s="665"/>
      <c r="D35" s="665"/>
      <c r="E35" s="665"/>
      <c r="F35" s="621"/>
      <c r="G35" s="670"/>
      <c r="H35" s="670"/>
      <c r="I35" s="621"/>
      <c r="J35" s="1113"/>
      <c r="K35" s="1117"/>
      <c r="L35" s="1103"/>
      <c r="M35" s="1103"/>
      <c r="N35" s="1103"/>
      <c r="O35" s="1103"/>
      <c r="P35" s="1103"/>
      <c r="Q35" s="1103"/>
      <c r="R35" s="1103"/>
    </row>
    <row r="36" spans="1:19" ht="12.75" x14ac:dyDescent="0.2">
      <c r="A36" s="669"/>
      <c r="B36" s="665"/>
      <c r="C36" s="665"/>
      <c r="D36" s="665"/>
      <c r="E36" s="665"/>
      <c r="F36" s="621"/>
      <c r="G36" s="670"/>
      <c r="H36" s="670"/>
      <c r="I36" s="621"/>
      <c r="J36" s="1113"/>
      <c r="K36" s="1117"/>
      <c r="L36" s="1103"/>
      <c r="M36" s="1103"/>
      <c r="N36" s="1103"/>
      <c r="O36" s="1103"/>
      <c r="P36" s="1103"/>
      <c r="Q36" s="1103"/>
      <c r="R36" s="1103"/>
    </row>
    <row r="37" spans="1:19" ht="12.75" x14ac:dyDescent="0.2">
      <c r="A37" s="672" t="s">
        <v>83</v>
      </c>
      <c r="B37" s="532"/>
      <c r="C37" s="532"/>
      <c r="D37" s="532"/>
      <c r="E37" s="532"/>
      <c r="F37" s="531"/>
      <c r="G37" s="530"/>
      <c r="H37" s="530"/>
      <c r="I37" s="531"/>
      <c r="J37" s="1113"/>
      <c r="K37" s="1103"/>
      <c r="L37" s="1103"/>
      <c r="M37" s="1103"/>
      <c r="N37" s="1103"/>
      <c r="O37" s="1103"/>
      <c r="P37" s="1103"/>
      <c r="Q37" s="1103"/>
      <c r="R37" s="1103"/>
    </row>
    <row r="38" spans="1:19" ht="24" x14ac:dyDescent="0.2">
      <c r="A38" s="662" t="s">
        <v>840</v>
      </c>
      <c r="B38" s="532"/>
      <c r="C38" s="532"/>
      <c r="D38" s="532"/>
      <c r="E38" s="532"/>
      <c r="F38" s="531"/>
      <c r="G38" s="530"/>
      <c r="H38" s="530"/>
      <c r="I38" s="531"/>
      <c r="J38" s="1113"/>
      <c r="K38" s="1103"/>
      <c r="L38" s="1103"/>
      <c r="M38" s="1103"/>
      <c r="N38" s="1103"/>
      <c r="O38" s="1103"/>
      <c r="P38" s="1103"/>
      <c r="Q38" s="1103"/>
      <c r="R38" s="1103"/>
    </row>
    <row r="39" spans="1:19" ht="12.75" x14ac:dyDescent="0.2">
      <c r="A39" s="662" t="s">
        <v>841</v>
      </c>
      <c r="B39" s="532"/>
      <c r="C39" s="533">
        <v>13.1</v>
      </c>
      <c r="D39" s="532">
        <v>4152000</v>
      </c>
      <c r="E39" s="532">
        <f>C39*D39*8/12</f>
        <v>36260800</v>
      </c>
      <c r="F39" s="1119" t="s">
        <v>1219</v>
      </c>
      <c r="G39" s="734">
        <v>11.8</v>
      </c>
      <c r="H39" s="1120">
        <v>4371500</v>
      </c>
      <c r="I39" s="531">
        <f>G39*8/12*H39</f>
        <v>34389133.333333336</v>
      </c>
      <c r="J39" s="1113"/>
      <c r="K39" s="1103"/>
      <c r="L39" s="1103"/>
      <c r="M39" s="1103"/>
      <c r="N39" s="1103"/>
      <c r="O39" s="1103"/>
      <c r="P39" s="1103"/>
      <c r="Q39" s="1103"/>
      <c r="R39" s="1103"/>
    </row>
    <row r="40" spans="1:19" ht="12.75" x14ac:dyDescent="0.2">
      <c r="A40" s="662" t="s">
        <v>842</v>
      </c>
      <c r="B40" s="532"/>
      <c r="C40" s="533">
        <v>13.1</v>
      </c>
      <c r="D40" s="534">
        <v>4152000</v>
      </c>
      <c r="E40" s="532">
        <f>C40*D40*4/12</f>
        <v>18130400</v>
      </c>
      <c r="F40" s="1119" t="s">
        <v>1220</v>
      </c>
      <c r="G40" s="673">
        <v>11.6</v>
      </c>
      <c r="H40" s="531">
        <v>4371500</v>
      </c>
      <c r="I40" s="531">
        <f>G40*4/12*H40</f>
        <v>16903133.333333332</v>
      </c>
      <c r="J40" s="1113"/>
      <c r="K40" s="1103"/>
      <c r="L40" s="1103"/>
      <c r="M40" s="1103"/>
      <c r="N40" s="1103"/>
      <c r="O40" s="1103"/>
      <c r="P40" s="1103"/>
      <c r="Q40" s="1103"/>
      <c r="R40" s="1103"/>
    </row>
    <row r="41" spans="1:19" ht="24" x14ac:dyDescent="0.2">
      <c r="A41" s="662" t="s">
        <v>843</v>
      </c>
      <c r="B41" s="532"/>
      <c r="C41" s="532">
        <v>10</v>
      </c>
      <c r="D41" s="532">
        <v>1800000</v>
      </c>
      <c r="E41" s="532">
        <f>C41*D41*8/12</f>
        <v>12000000</v>
      </c>
      <c r="F41" s="777"/>
      <c r="G41" s="673">
        <v>9</v>
      </c>
      <c r="H41" s="531">
        <v>2205000</v>
      </c>
      <c r="I41" s="531">
        <f>G41*H41*8/12</f>
        <v>13230000</v>
      </c>
      <c r="J41" s="1113"/>
      <c r="K41" s="1103"/>
      <c r="L41" s="1103"/>
      <c r="M41" s="1103"/>
      <c r="N41" s="1103"/>
      <c r="O41" s="1103"/>
      <c r="P41" s="1103"/>
      <c r="Q41" s="1103"/>
      <c r="R41" s="1103"/>
    </row>
    <row r="42" spans="1:19" ht="24" x14ac:dyDescent="0.2">
      <c r="A42" s="662" t="s">
        <v>940</v>
      </c>
      <c r="B42" s="532"/>
      <c r="C42" s="532"/>
      <c r="D42" s="532"/>
      <c r="E42" s="532"/>
      <c r="F42" s="531"/>
      <c r="G42" s="673">
        <v>0</v>
      </c>
      <c r="H42" s="531">
        <v>4371500</v>
      </c>
      <c r="I42" s="531">
        <f>G42*H42*8/12</f>
        <v>0</v>
      </c>
      <c r="J42" s="1113"/>
      <c r="K42" s="1103"/>
      <c r="L42" s="1103"/>
      <c r="M42" s="1103"/>
      <c r="N42" s="1103"/>
      <c r="O42" s="1103"/>
      <c r="P42" s="1103"/>
      <c r="Q42" s="1103"/>
      <c r="R42" s="1103"/>
    </row>
    <row r="43" spans="1:19" ht="24" x14ac:dyDescent="0.2">
      <c r="A43" s="662" t="s">
        <v>845</v>
      </c>
      <c r="B43" s="532"/>
      <c r="C43" s="532">
        <v>10</v>
      </c>
      <c r="D43" s="532">
        <v>1800000</v>
      </c>
      <c r="E43" s="532">
        <f>C43*D43*4/12</f>
        <v>6000000</v>
      </c>
      <c r="F43" s="531"/>
      <c r="G43" s="673">
        <v>9</v>
      </c>
      <c r="H43" s="531">
        <v>2205000</v>
      </c>
      <c r="I43" s="531">
        <f>G43*H43*4/12</f>
        <v>6615000</v>
      </c>
      <c r="J43" s="1121"/>
      <c r="K43" s="1103"/>
      <c r="L43" s="1103"/>
      <c r="M43" s="1103"/>
      <c r="N43" s="1103"/>
      <c r="O43" s="1103"/>
      <c r="P43" s="1103"/>
      <c r="Q43" s="1103"/>
      <c r="R43" s="1103"/>
    </row>
    <row r="44" spans="1:19" ht="60" x14ac:dyDescent="0.2">
      <c r="A44" s="662" t="s">
        <v>941</v>
      </c>
      <c r="B44" s="532"/>
      <c r="C44" s="532"/>
      <c r="D44" s="532"/>
      <c r="E44" s="532"/>
      <c r="F44" s="531"/>
      <c r="G44" s="673">
        <v>0</v>
      </c>
      <c r="H44" s="531">
        <v>4371500</v>
      </c>
      <c r="I44" s="531">
        <f>G44*H44*4/12</f>
        <v>0</v>
      </c>
      <c r="J44" s="1121"/>
      <c r="K44" s="836" t="s">
        <v>1172</v>
      </c>
      <c r="L44" s="671">
        <f>I9+I11+I14+I17+I20+I23+I26+I29</f>
        <v>730770978</v>
      </c>
      <c r="M44" s="1103"/>
      <c r="N44" s="837" t="s">
        <v>1173</v>
      </c>
      <c r="O44" s="671">
        <v>135897496</v>
      </c>
      <c r="P44" s="671">
        <v>-9654694</v>
      </c>
      <c r="Q44" s="671">
        <f>I12+I15+I18+I21+I24+I27</f>
        <v>-45811390</v>
      </c>
      <c r="R44" s="671">
        <f>O44+Q44+P44</f>
        <v>80431412</v>
      </c>
      <c r="S44" s="837" t="s">
        <v>912</v>
      </c>
    </row>
    <row r="45" spans="1:19" ht="12.75" x14ac:dyDescent="0.2">
      <c r="A45" s="535" t="s">
        <v>848</v>
      </c>
      <c r="B45" s="532"/>
      <c r="C45" s="532"/>
      <c r="D45" s="532"/>
      <c r="E45" s="532"/>
      <c r="F45" s="531"/>
      <c r="G45" s="530"/>
      <c r="H45" s="530"/>
      <c r="I45" s="531"/>
      <c r="J45" s="571"/>
      <c r="K45" s="1103"/>
      <c r="L45" s="1103"/>
      <c r="M45" s="1103"/>
      <c r="N45" s="1103"/>
      <c r="O45" s="1103"/>
      <c r="P45" s="1103"/>
      <c r="Q45" s="1103"/>
      <c r="R45" s="1103"/>
    </row>
    <row r="46" spans="1:19" ht="24" x14ac:dyDescent="0.2">
      <c r="A46" s="662" t="s">
        <v>942</v>
      </c>
      <c r="B46" s="532"/>
      <c r="C46" s="532">
        <v>142</v>
      </c>
      <c r="D46" s="532">
        <v>70000</v>
      </c>
      <c r="E46" s="532">
        <f>C46*D46*8/12</f>
        <v>6626666.666666667</v>
      </c>
      <c r="F46" s="777"/>
      <c r="G46" s="531">
        <v>128</v>
      </c>
      <c r="H46" s="532">
        <v>97400</v>
      </c>
      <c r="I46" s="531">
        <f>G46*H46*8/12</f>
        <v>8311466.666666667</v>
      </c>
      <c r="J46" s="571"/>
      <c r="K46" s="1103"/>
      <c r="L46" s="1103"/>
      <c r="M46" s="1103"/>
      <c r="N46" s="1103"/>
      <c r="O46" s="1103"/>
      <c r="P46" s="1103"/>
      <c r="Q46" s="1103"/>
      <c r="R46" s="1103"/>
    </row>
    <row r="47" spans="1:19" ht="24" x14ac:dyDescent="0.2">
      <c r="A47" s="662" t="s">
        <v>1174</v>
      </c>
      <c r="B47" s="532"/>
      <c r="C47" s="532">
        <v>142</v>
      </c>
      <c r="D47" s="532">
        <v>70000</v>
      </c>
      <c r="E47" s="532">
        <f>C47*D47*4/12</f>
        <v>3313333.3333333335</v>
      </c>
      <c r="F47" s="777"/>
      <c r="G47" s="531">
        <v>130</v>
      </c>
      <c r="H47" s="532">
        <v>97400</v>
      </c>
      <c r="I47" s="531">
        <f>G47*H47*4/12</f>
        <v>4220666.666666667</v>
      </c>
      <c r="J47" s="1113"/>
      <c r="K47" s="1103"/>
      <c r="L47" s="1103"/>
      <c r="M47" s="1103"/>
      <c r="N47" s="1103"/>
      <c r="O47" s="1103"/>
      <c r="P47" s="1103"/>
      <c r="Q47" s="1103"/>
      <c r="R47" s="1103"/>
    </row>
    <row r="48" spans="1:19" ht="12.75" x14ac:dyDescent="0.2">
      <c r="A48" s="535" t="s">
        <v>898</v>
      </c>
      <c r="B48" s="532"/>
      <c r="C48" s="532"/>
      <c r="D48" s="532"/>
      <c r="E48" s="532"/>
      <c r="F48" s="531"/>
      <c r="G48" s="530"/>
      <c r="H48" s="530"/>
      <c r="I48" s="531"/>
      <c r="J48" s="1113"/>
      <c r="K48" s="1103"/>
      <c r="L48" s="1103"/>
      <c r="M48" s="1103"/>
      <c r="N48" s="1103"/>
      <c r="O48" s="1103"/>
      <c r="P48" s="1103"/>
      <c r="Q48" s="1103"/>
      <c r="R48" s="1103"/>
    </row>
    <row r="49" spans="1:18" ht="48" x14ac:dyDescent="0.2">
      <c r="A49" s="662" t="s">
        <v>1175</v>
      </c>
      <c r="B49" s="532"/>
      <c r="C49" s="532">
        <v>5</v>
      </c>
      <c r="D49" s="677" t="s">
        <v>298</v>
      </c>
      <c r="E49" s="532">
        <v>1760000</v>
      </c>
      <c r="F49" s="531"/>
      <c r="G49" s="530">
        <v>4</v>
      </c>
      <c r="H49" s="531">
        <v>396700</v>
      </c>
      <c r="I49" s="531">
        <f>G49*H49</f>
        <v>1586800</v>
      </c>
      <c r="J49" s="1113"/>
      <c r="K49" s="1103"/>
      <c r="L49" s="1103"/>
      <c r="M49" s="1103"/>
      <c r="N49" s="1103"/>
      <c r="O49" s="1103"/>
      <c r="P49" s="1103"/>
      <c r="Q49" s="1103"/>
      <c r="R49" s="1103"/>
    </row>
    <row r="50" spans="1:18" ht="48" x14ac:dyDescent="0.2">
      <c r="A50" s="662" t="s">
        <v>1176</v>
      </c>
      <c r="B50" s="532"/>
      <c r="C50" s="532"/>
      <c r="D50" s="532"/>
      <c r="E50" s="532"/>
      <c r="F50" s="531"/>
      <c r="G50" s="530">
        <v>0</v>
      </c>
      <c r="H50" s="531">
        <v>363642</v>
      </c>
      <c r="I50" s="531">
        <f>G50*H50</f>
        <v>0</v>
      </c>
      <c r="J50" s="1113"/>
      <c r="K50" s="671"/>
      <c r="M50" s="1103"/>
      <c r="N50" s="1103"/>
      <c r="O50" s="1103"/>
      <c r="P50" s="1103"/>
      <c r="Q50" s="1103"/>
      <c r="R50" s="1103"/>
    </row>
    <row r="51" spans="1:18" ht="12.75" x14ac:dyDescent="0.2">
      <c r="A51" s="662" t="s">
        <v>1177</v>
      </c>
      <c r="B51" s="532"/>
      <c r="C51" s="532"/>
      <c r="D51" s="532"/>
      <c r="E51" s="532"/>
      <c r="F51" s="531"/>
      <c r="G51" s="530">
        <v>0</v>
      </c>
      <c r="H51" s="531">
        <v>563000</v>
      </c>
      <c r="I51" s="531">
        <f>G51*H51</f>
        <v>0</v>
      </c>
      <c r="J51" s="1113"/>
      <c r="K51" s="1150">
        <f>SUM(I39:I51)</f>
        <v>85256200.000000015</v>
      </c>
      <c r="L51" s="6" t="s">
        <v>913</v>
      </c>
      <c r="M51" s="1103"/>
      <c r="N51" s="1103"/>
      <c r="O51" s="1103"/>
      <c r="P51" s="1103"/>
      <c r="Q51" s="1103"/>
      <c r="R51" s="1103"/>
    </row>
    <row r="52" spans="1:18" ht="12.75" x14ac:dyDescent="0.2">
      <c r="A52" s="676"/>
      <c r="B52" s="665"/>
      <c r="C52" s="665"/>
      <c r="D52" s="665"/>
      <c r="E52" s="665"/>
      <c r="F52" s="621"/>
      <c r="G52" s="670"/>
      <c r="H52" s="670"/>
      <c r="I52" s="621"/>
      <c r="J52" s="1113"/>
      <c r="K52" s="1117"/>
      <c r="L52" s="1103"/>
      <c r="M52" s="1103"/>
      <c r="N52" s="1103"/>
      <c r="O52" s="1103"/>
      <c r="P52" s="1103"/>
      <c r="Q52" s="1103"/>
      <c r="R52" s="1103"/>
    </row>
    <row r="53" spans="1:18" ht="12.75" x14ac:dyDescent="0.2">
      <c r="A53" s="672" t="s">
        <v>84</v>
      </c>
      <c r="B53" s="665"/>
      <c r="C53" s="665"/>
      <c r="D53" s="665"/>
      <c r="E53" s="665"/>
      <c r="F53" s="621"/>
      <c r="G53" s="670"/>
      <c r="H53" s="670"/>
      <c r="I53" s="621"/>
      <c r="J53" s="1113"/>
      <c r="K53" s="1103"/>
      <c r="L53" s="1103"/>
      <c r="M53" s="1103"/>
      <c r="N53" s="1103"/>
      <c r="O53" s="1103"/>
      <c r="P53" s="1103"/>
      <c r="Q53" s="1103"/>
      <c r="R53" s="1103"/>
    </row>
    <row r="54" spans="1:18" ht="36" x14ac:dyDescent="0.2">
      <c r="A54" s="535" t="s">
        <v>1178</v>
      </c>
      <c r="B54" s="665"/>
      <c r="C54" s="665"/>
      <c r="D54" s="665"/>
      <c r="E54" s="665">
        <v>0</v>
      </c>
      <c r="F54" s="777" t="s">
        <v>1171</v>
      </c>
      <c r="G54" s="670"/>
      <c r="H54" s="670"/>
      <c r="I54" s="531">
        <v>0</v>
      </c>
      <c r="J54" s="1122"/>
      <c r="K54" s="1103"/>
      <c r="L54" s="1103"/>
      <c r="M54" s="1103"/>
      <c r="N54" s="1103"/>
      <c r="O54" s="1103"/>
      <c r="P54" s="1103"/>
      <c r="Q54" s="1103"/>
      <c r="R54" s="1103"/>
    </row>
    <row r="55" spans="1:18" ht="24" x14ac:dyDescent="0.2">
      <c r="A55" s="662" t="s">
        <v>1179</v>
      </c>
      <c r="B55" s="665"/>
      <c r="C55" s="665"/>
      <c r="D55" s="665"/>
      <c r="E55" s="668">
        <v>0</v>
      </c>
      <c r="F55" s="621"/>
      <c r="G55" s="670"/>
      <c r="H55" s="670"/>
      <c r="I55" s="531">
        <v>0</v>
      </c>
      <c r="J55" s="1113"/>
      <c r="K55" s="1103"/>
      <c r="L55" s="1103"/>
      <c r="M55" s="1103"/>
      <c r="N55" s="1103"/>
      <c r="O55" s="1103"/>
      <c r="P55" s="1103"/>
      <c r="Q55" s="1103"/>
      <c r="R55" s="1103"/>
    </row>
    <row r="56" spans="1:18" ht="12.75" x14ac:dyDescent="0.2">
      <c r="A56" s="535" t="s">
        <v>859</v>
      </c>
      <c r="B56" s="665"/>
      <c r="C56" s="665"/>
      <c r="D56" s="665"/>
      <c r="E56" s="665"/>
      <c r="F56" s="621"/>
      <c r="G56" s="670"/>
      <c r="H56" s="670"/>
      <c r="I56" s="621"/>
      <c r="J56" s="1113"/>
      <c r="K56" s="1103"/>
      <c r="L56" s="1103"/>
      <c r="M56" s="1103"/>
      <c r="N56" s="1103"/>
      <c r="O56" s="1103"/>
      <c r="P56" s="1103"/>
      <c r="Q56" s="1103"/>
      <c r="R56" s="1103"/>
    </row>
    <row r="57" spans="1:18" ht="12.75" x14ac:dyDescent="0.2">
      <c r="A57" s="535" t="s">
        <v>860</v>
      </c>
      <c r="B57" s="665"/>
      <c r="C57" s="665"/>
      <c r="D57" s="665"/>
      <c r="E57" s="665"/>
      <c r="F57" s="621"/>
      <c r="G57" s="670"/>
      <c r="H57" s="670"/>
      <c r="I57" s="621"/>
      <c r="J57" s="1113"/>
      <c r="K57" s="1103"/>
      <c r="L57" s="1103"/>
      <c r="M57" s="1103"/>
      <c r="N57" s="1103"/>
      <c r="O57" s="1103"/>
      <c r="P57" s="1103"/>
      <c r="Q57" s="1103"/>
      <c r="R57" s="1103"/>
    </row>
    <row r="58" spans="1:18" ht="12.75" x14ac:dyDescent="0.2">
      <c r="A58" s="535" t="s">
        <v>861</v>
      </c>
      <c r="B58" s="665"/>
      <c r="C58" s="665"/>
      <c r="D58" s="665"/>
      <c r="E58" s="665"/>
      <c r="F58" s="621"/>
      <c r="G58" s="670"/>
      <c r="H58" s="670"/>
      <c r="I58" s="621"/>
      <c r="J58" s="1113"/>
      <c r="K58" s="1103"/>
      <c r="L58" s="1103"/>
      <c r="M58" s="1103"/>
      <c r="N58" s="1103"/>
      <c r="O58" s="1103"/>
      <c r="P58" s="1103"/>
      <c r="Q58" s="1103"/>
      <c r="R58" s="1103"/>
    </row>
    <row r="59" spans="1:18" ht="12.75" x14ac:dyDescent="0.2">
      <c r="A59" s="676" t="s">
        <v>1221</v>
      </c>
      <c r="B59" s="669"/>
      <c r="C59" s="678"/>
      <c r="D59" s="665"/>
      <c r="E59" s="665">
        <f>C59*D59/2</f>
        <v>0</v>
      </c>
      <c r="F59" s="532"/>
      <c r="G59" s="679"/>
      <c r="H59" s="670"/>
      <c r="I59" s="621"/>
      <c r="J59" s="1122"/>
      <c r="K59" s="1103"/>
      <c r="L59" s="1103"/>
      <c r="M59" s="1103"/>
      <c r="N59" s="1103"/>
      <c r="O59" s="1103"/>
      <c r="P59" s="1103"/>
      <c r="Q59" s="1103"/>
      <c r="R59" s="1103"/>
    </row>
    <row r="60" spans="1:18" ht="24" x14ac:dyDescent="0.2">
      <c r="A60" s="662" t="s">
        <v>899</v>
      </c>
      <c r="B60" s="532"/>
      <c r="C60" s="535"/>
      <c r="D60" s="532"/>
      <c r="E60" s="532"/>
      <c r="F60" s="531"/>
      <c r="G60" s="537">
        <v>0</v>
      </c>
      <c r="H60" s="530"/>
      <c r="I60" s="531"/>
      <c r="J60" s="1122"/>
      <c r="K60" s="1103"/>
      <c r="L60" s="1103"/>
      <c r="M60" s="1103"/>
      <c r="N60" s="1103"/>
      <c r="O60" s="1103"/>
      <c r="P60" s="1103"/>
      <c r="Q60" s="1103"/>
      <c r="R60" s="1103"/>
    </row>
    <row r="61" spans="1:18" ht="24" x14ac:dyDescent="0.2">
      <c r="A61" s="662" t="s">
        <v>1180</v>
      </c>
      <c r="B61" s="532"/>
      <c r="C61" s="535"/>
      <c r="D61" s="532"/>
      <c r="E61" s="532"/>
      <c r="F61" s="531"/>
      <c r="G61" s="536">
        <v>1</v>
      </c>
      <c r="H61" s="530"/>
      <c r="I61" s="531"/>
      <c r="J61" s="1113"/>
      <c r="K61" s="1103"/>
      <c r="L61" s="1103"/>
      <c r="M61" s="1103"/>
      <c r="N61" s="1103"/>
      <c r="O61" s="1103"/>
      <c r="P61" s="1103"/>
      <c r="Q61" s="1103"/>
      <c r="R61" s="1103"/>
    </row>
    <row r="62" spans="1:18" ht="12.75" x14ac:dyDescent="0.2">
      <c r="A62" s="535" t="s">
        <v>865</v>
      </c>
      <c r="B62" s="532"/>
      <c r="C62" s="1123">
        <v>0.97299999999999998</v>
      </c>
      <c r="D62" s="532">
        <v>3000000</v>
      </c>
      <c r="E62" s="532"/>
      <c r="F62" s="531"/>
      <c r="G62" s="536">
        <v>2</v>
      </c>
      <c r="H62" s="532">
        <v>3000000</v>
      </c>
      <c r="I62" s="531">
        <f>(2*1+0)*H62</f>
        <v>6000000</v>
      </c>
      <c r="J62" s="1113"/>
      <c r="K62" s="1103"/>
      <c r="L62" s="1103"/>
      <c r="M62" s="1103"/>
      <c r="N62" s="1103"/>
      <c r="O62" s="1103"/>
      <c r="P62" s="1103"/>
      <c r="Q62" s="1103"/>
      <c r="R62" s="1103"/>
    </row>
    <row r="63" spans="1:18" ht="12.75" x14ac:dyDescent="0.2">
      <c r="A63" s="535" t="s">
        <v>1181</v>
      </c>
      <c r="B63" s="737"/>
      <c r="C63" s="532">
        <v>80</v>
      </c>
      <c r="D63" s="532">
        <v>55360</v>
      </c>
      <c r="E63" s="532">
        <f>C63*D63</f>
        <v>4428800</v>
      </c>
      <c r="F63" s="777"/>
      <c r="G63" s="532">
        <v>73</v>
      </c>
      <c r="H63" s="532">
        <v>55360</v>
      </c>
      <c r="I63" s="532">
        <f>G63*H63</f>
        <v>4041280</v>
      </c>
      <c r="J63" s="1113"/>
      <c r="K63" s="1103"/>
      <c r="L63" s="1103"/>
      <c r="M63" s="1103"/>
      <c r="N63" s="1103"/>
      <c r="O63" s="1103"/>
      <c r="P63" s="1103"/>
      <c r="Q63" s="1103"/>
      <c r="R63" s="1103"/>
    </row>
    <row r="64" spans="1:18" ht="12.75" x14ac:dyDescent="0.2">
      <c r="A64" s="535" t="s">
        <v>1182</v>
      </c>
      <c r="B64" s="681"/>
      <c r="C64" s="665">
        <v>55</v>
      </c>
      <c r="D64" s="665">
        <v>145000</v>
      </c>
      <c r="E64" s="665">
        <f>C64*D64</f>
        <v>7975000</v>
      </c>
      <c r="F64" s="621"/>
      <c r="G64" s="665"/>
      <c r="H64" s="665"/>
      <c r="I64" s="665"/>
      <c r="J64" s="1113"/>
      <c r="K64" s="1103"/>
      <c r="L64" s="1103"/>
      <c r="M64" s="1103"/>
      <c r="N64" s="1103"/>
      <c r="O64" s="1103"/>
      <c r="P64" s="1103"/>
      <c r="Q64" s="1103"/>
      <c r="R64" s="1103"/>
    </row>
    <row r="65" spans="1:18" ht="12.75" x14ac:dyDescent="0.2">
      <c r="A65" s="535" t="s">
        <v>901</v>
      </c>
      <c r="B65" s="737"/>
      <c r="C65" s="532"/>
      <c r="D65" s="532"/>
      <c r="E65" s="532"/>
      <c r="F65" s="777"/>
      <c r="G65" s="532">
        <v>2</v>
      </c>
      <c r="H65" s="532">
        <v>25000</v>
      </c>
      <c r="I65" s="532">
        <f>G65*H65</f>
        <v>50000</v>
      </c>
      <c r="J65" s="1113"/>
      <c r="K65" s="1103"/>
      <c r="L65" s="1103"/>
      <c r="M65" s="1103"/>
      <c r="N65" s="1103"/>
      <c r="O65" s="1103"/>
      <c r="P65" s="1103"/>
      <c r="Q65" s="1103"/>
      <c r="R65" s="1103"/>
    </row>
    <row r="66" spans="1:18" ht="12.75" x14ac:dyDescent="0.2">
      <c r="A66" s="535" t="s">
        <v>902</v>
      </c>
      <c r="B66" s="737"/>
      <c r="C66" s="532"/>
      <c r="D66" s="532"/>
      <c r="E66" s="532"/>
      <c r="F66" s="777"/>
      <c r="G66" s="532">
        <v>52</v>
      </c>
      <c r="H66" s="532">
        <v>210000</v>
      </c>
      <c r="I66" s="532">
        <f>G66*H66</f>
        <v>10920000</v>
      </c>
      <c r="J66" s="1113"/>
      <c r="K66" s="1103"/>
      <c r="L66" s="1103"/>
      <c r="M66" s="1103"/>
      <c r="N66" s="1103"/>
      <c r="O66" s="1103"/>
      <c r="P66" s="1103"/>
      <c r="Q66" s="1103"/>
      <c r="R66" s="1103"/>
    </row>
    <row r="67" spans="1:18" ht="12.75" x14ac:dyDescent="0.2">
      <c r="A67" s="662" t="s">
        <v>1183</v>
      </c>
      <c r="B67" s="736"/>
      <c r="C67" s="532">
        <v>23</v>
      </c>
      <c r="D67" s="532">
        <v>109000</v>
      </c>
      <c r="E67" s="532">
        <f>C67*D67</f>
        <v>2507000</v>
      </c>
      <c r="F67" s="531"/>
      <c r="G67" s="532">
        <v>25</v>
      </c>
      <c r="H67" s="532">
        <v>109000</v>
      </c>
      <c r="I67" s="532">
        <f>G67*H67</f>
        <v>2725000</v>
      </c>
      <c r="J67" s="1113"/>
      <c r="K67" s="1103"/>
      <c r="L67" s="1103"/>
      <c r="M67" s="1103"/>
      <c r="N67" s="1103"/>
      <c r="O67" s="1103"/>
      <c r="P67" s="1103"/>
      <c r="Q67" s="1103"/>
      <c r="R67" s="1103"/>
    </row>
    <row r="68" spans="1:18" ht="12.75" x14ac:dyDescent="0.2">
      <c r="A68" s="662" t="s">
        <v>1184</v>
      </c>
      <c r="B68" s="736"/>
      <c r="C68" s="532"/>
      <c r="D68" s="532"/>
      <c r="E68" s="532"/>
      <c r="F68" s="531"/>
      <c r="G68" s="532"/>
      <c r="H68" s="532"/>
      <c r="I68" s="532"/>
      <c r="J68" s="1113"/>
      <c r="K68" s="1103"/>
      <c r="L68" s="1103"/>
      <c r="M68" s="1103"/>
      <c r="N68" s="1103"/>
      <c r="O68" s="1103"/>
      <c r="P68" s="1103"/>
      <c r="Q68" s="1103"/>
      <c r="R68" s="1103"/>
    </row>
    <row r="69" spans="1:18" ht="24" x14ac:dyDescent="0.2">
      <c r="A69" s="662" t="s">
        <v>1185</v>
      </c>
      <c r="B69" s="736"/>
      <c r="C69" s="532"/>
      <c r="D69" s="532"/>
      <c r="E69" s="532"/>
      <c r="F69" s="531"/>
      <c r="G69" s="536">
        <v>2</v>
      </c>
      <c r="H69" s="532">
        <v>400000</v>
      </c>
      <c r="I69" s="532">
        <f>G69*H69</f>
        <v>800000</v>
      </c>
      <c r="J69" s="1113"/>
      <c r="K69" s="1103"/>
      <c r="L69" s="1103"/>
      <c r="M69" s="1103"/>
      <c r="N69" s="1103"/>
      <c r="O69" s="1103"/>
      <c r="P69" s="1103"/>
      <c r="Q69" s="1103"/>
      <c r="R69" s="1103"/>
    </row>
    <row r="70" spans="1:18" ht="24" x14ac:dyDescent="0.2">
      <c r="A70" s="662" t="s">
        <v>1186</v>
      </c>
      <c r="B70" s="736"/>
      <c r="C70" s="532"/>
      <c r="D70" s="532"/>
      <c r="E70" s="532"/>
      <c r="F70" s="531"/>
      <c r="G70" s="532">
        <v>52</v>
      </c>
      <c r="H70" s="532">
        <v>120000</v>
      </c>
      <c r="I70" s="532">
        <f>G70*H70</f>
        <v>6240000</v>
      </c>
      <c r="J70" s="1113"/>
      <c r="K70" s="1103"/>
      <c r="L70" s="1103"/>
      <c r="M70" s="1103"/>
      <c r="N70" s="1103"/>
      <c r="O70" s="1103"/>
      <c r="P70" s="1103"/>
      <c r="Q70" s="1103"/>
      <c r="R70" s="1103"/>
    </row>
    <row r="71" spans="1:18" ht="24" x14ac:dyDescent="0.2">
      <c r="A71" s="662" t="s">
        <v>1187</v>
      </c>
      <c r="B71" s="737"/>
      <c r="C71" s="532"/>
      <c r="D71" s="532"/>
      <c r="E71" s="532"/>
      <c r="F71" s="531"/>
      <c r="G71" s="530"/>
      <c r="H71" s="530"/>
      <c r="I71" s="915"/>
      <c r="J71" s="1113"/>
      <c r="K71" s="1103"/>
      <c r="L71" s="1103"/>
      <c r="M71" s="1103"/>
      <c r="N71" s="1103"/>
      <c r="O71" s="1103"/>
      <c r="P71" s="1103"/>
      <c r="Q71" s="1103"/>
      <c r="R71" s="1103"/>
    </row>
    <row r="72" spans="1:18" ht="24" x14ac:dyDescent="0.2">
      <c r="A72" s="662" t="s">
        <v>1222</v>
      </c>
      <c r="B72" s="737"/>
      <c r="C72" s="532">
        <v>15</v>
      </c>
      <c r="D72" s="532">
        <v>2606040</v>
      </c>
      <c r="E72" s="532">
        <f>C72*D72</f>
        <v>39090600</v>
      </c>
      <c r="F72" s="777"/>
      <c r="G72" s="532">
        <v>15</v>
      </c>
      <c r="H72" s="532">
        <v>2606040</v>
      </c>
      <c r="I72" s="532">
        <f>G72*H72</f>
        <v>39090600</v>
      </c>
      <c r="J72" s="1113"/>
      <c r="K72" s="1103"/>
      <c r="L72" s="1103"/>
      <c r="M72" s="1103"/>
      <c r="N72" s="1103"/>
      <c r="O72" s="1103"/>
      <c r="P72" s="1103"/>
      <c r="Q72" s="1103"/>
      <c r="R72" s="1103"/>
    </row>
    <row r="73" spans="1:18" ht="12.75" x14ac:dyDescent="0.2">
      <c r="A73" s="535" t="s">
        <v>1188</v>
      </c>
      <c r="B73" s="681"/>
      <c r="C73" s="665"/>
      <c r="D73" s="665"/>
      <c r="E73" s="668">
        <v>37834000</v>
      </c>
      <c r="F73" s="1118"/>
      <c r="G73" s="670"/>
      <c r="H73" s="670"/>
      <c r="I73" s="531">
        <v>40329000</v>
      </c>
      <c r="J73" s="1124"/>
      <c r="K73" s="1103"/>
      <c r="L73" s="1103"/>
      <c r="M73" s="1103"/>
      <c r="N73" s="1103"/>
      <c r="O73" s="1103"/>
      <c r="P73" s="1103"/>
      <c r="Q73" s="1103"/>
      <c r="R73" s="1103"/>
    </row>
    <row r="74" spans="1:18" ht="12.75" x14ac:dyDescent="0.2">
      <c r="A74" s="535" t="s">
        <v>1189</v>
      </c>
      <c r="B74" s="681"/>
      <c r="C74" s="665"/>
      <c r="D74" s="665"/>
      <c r="E74" s="668"/>
      <c r="F74" s="1118"/>
      <c r="G74" s="1125">
        <v>15</v>
      </c>
      <c r="H74" s="531">
        <v>241960</v>
      </c>
      <c r="I74" s="531">
        <f>G74*H74</f>
        <v>3629400</v>
      </c>
      <c r="J74" s="1124"/>
      <c r="K74" s="1103"/>
      <c r="L74" s="1103"/>
      <c r="M74" s="1103"/>
      <c r="N74" s="1103"/>
      <c r="O74" s="1103"/>
      <c r="P74" s="1103"/>
      <c r="Q74" s="1103"/>
      <c r="R74" s="1103"/>
    </row>
    <row r="75" spans="1:18" ht="12.75" x14ac:dyDescent="0.2">
      <c r="A75" s="535" t="s">
        <v>1190</v>
      </c>
      <c r="B75" s="737"/>
      <c r="C75" s="532"/>
      <c r="D75" s="532"/>
      <c r="E75" s="532"/>
      <c r="F75" s="531"/>
      <c r="G75" s="530"/>
      <c r="H75" s="530"/>
      <c r="I75" s="915"/>
      <c r="J75" s="1113"/>
      <c r="K75" s="1103"/>
      <c r="L75" s="1103"/>
      <c r="M75" s="1103"/>
      <c r="N75" s="1103"/>
      <c r="O75" s="1103"/>
      <c r="P75" s="1103"/>
      <c r="Q75" s="1103"/>
      <c r="R75" s="1103"/>
    </row>
    <row r="76" spans="1:18" ht="12.75" x14ac:dyDescent="0.2">
      <c r="A76" s="535" t="s">
        <v>1191</v>
      </c>
      <c r="B76" s="737"/>
      <c r="C76" s="532"/>
      <c r="D76" s="532"/>
      <c r="E76" s="532"/>
      <c r="F76" s="531"/>
      <c r="G76" s="530"/>
      <c r="H76" s="530"/>
      <c r="I76" s="915"/>
      <c r="J76" s="1113"/>
      <c r="K76" s="1103"/>
      <c r="L76" s="1103"/>
      <c r="M76" s="1103"/>
      <c r="N76" s="1103"/>
      <c r="O76" s="1103"/>
      <c r="P76" s="1103"/>
      <c r="Q76" s="1103"/>
      <c r="R76" s="1103"/>
    </row>
    <row r="77" spans="1:18" ht="12.75" x14ac:dyDescent="0.2">
      <c r="A77" s="535" t="s">
        <v>1192</v>
      </c>
      <c r="B77" s="532"/>
      <c r="C77" s="533">
        <v>12.33</v>
      </c>
      <c r="D77" s="532">
        <v>1632000</v>
      </c>
      <c r="E77" s="532">
        <f>C77*D77</f>
        <v>20122560</v>
      </c>
      <c r="F77" s="953" t="s">
        <v>1223</v>
      </c>
      <c r="G77" s="533">
        <v>14.29</v>
      </c>
      <c r="H77" s="532">
        <v>1900000</v>
      </c>
      <c r="I77" s="532">
        <f>G77*H77</f>
        <v>27151000</v>
      </c>
      <c r="J77" s="1126"/>
      <c r="K77" s="1103"/>
      <c r="L77" s="1103"/>
      <c r="M77" s="1103"/>
      <c r="N77" s="1103"/>
      <c r="O77" s="1103"/>
      <c r="P77" s="1103"/>
      <c r="Q77" s="1103"/>
      <c r="R77" s="1103"/>
    </row>
    <row r="78" spans="1:18" ht="12.75" x14ac:dyDescent="0.2">
      <c r="A78" s="535" t="s">
        <v>1193</v>
      </c>
      <c r="B78" s="665"/>
      <c r="C78" s="665"/>
      <c r="D78" s="665"/>
      <c r="E78" s="668">
        <v>7038795</v>
      </c>
      <c r="F78" s="1118"/>
      <c r="G78" s="670"/>
      <c r="H78" s="670"/>
      <c r="I78" s="531">
        <v>22570116</v>
      </c>
      <c r="J78" s="1127"/>
      <c r="K78" s="1103"/>
      <c r="L78" s="1103"/>
      <c r="M78" s="1103"/>
      <c r="N78" s="1103"/>
      <c r="O78" s="1103"/>
      <c r="P78" s="1103"/>
      <c r="Q78" s="1103"/>
      <c r="R78" s="1103"/>
    </row>
    <row r="79" spans="1:18" ht="24" x14ac:dyDescent="0.2">
      <c r="A79" s="662" t="s">
        <v>1194</v>
      </c>
      <c r="B79" s="532"/>
      <c r="C79" s="532"/>
      <c r="D79" s="532"/>
      <c r="E79" s="532"/>
      <c r="F79" s="777"/>
      <c r="G79" s="531">
        <v>136</v>
      </c>
      <c r="H79" s="531">
        <v>285</v>
      </c>
      <c r="I79" s="531">
        <f>G79*H79</f>
        <v>38760</v>
      </c>
      <c r="J79" s="1113"/>
      <c r="K79" s="1103"/>
      <c r="L79" s="1103"/>
      <c r="M79" s="1103"/>
      <c r="N79" s="1103"/>
      <c r="O79" s="1103"/>
      <c r="P79" s="1103"/>
      <c r="Q79" s="1103"/>
      <c r="R79" s="1103"/>
    </row>
    <row r="80" spans="1:18" ht="12.75" x14ac:dyDescent="0.2">
      <c r="A80" s="662" t="s">
        <v>1195</v>
      </c>
      <c r="B80" s="532"/>
      <c r="C80" s="532"/>
      <c r="D80" s="532"/>
      <c r="E80" s="1128"/>
      <c r="F80" s="777"/>
      <c r="G80" s="734"/>
      <c r="H80" s="531"/>
      <c r="I80" s="531"/>
      <c r="J80" s="1113"/>
      <c r="K80" s="1117"/>
      <c r="L80" s="1103"/>
      <c r="M80" s="1103"/>
      <c r="N80" s="1103"/>
      <c r="O80" s="1103"/>
      <c r="P80" s="1103"/>
      <c r="Q80" s="1103"/>
      <c r="R80" s="1103"/>
    </row>
    <row r="81" spans="1:257" ht="12.75" x14ac:dyDescent="0.2">
      <c r="A81" s="662" t="s">
        <v>1196</v>
      </c>
      <c r="B81" s="532"/>
      <c r="C81" s="532"/>
      <c r="D81" s="532"/>
      <c r="E81" s="1128"/>
      <c r="F81" s="777"/>
      <c r="G81" s="734"/>
      <c r="H81" s="531"/>
      <c r="I81" s="531"/>
      <c r="J81" s="1113"/>
      <c r="K81" s="1117"/>
      <c r="L81" s="1103"/>
      <c r="M81" s="1103"/>
      <c r="N81" s="1103"/>
      <c r="O81" s="1103"/>
      <c r="P81" s="1103"/>
      <c r="Q81" s="1103"/>
      <c r="R81" s="1103"/>
    </row>
    <row r="82" spans="1:257" ht="12.75" x14ac:dyDescent="0.2">
      <c r="A82" s="662" t="s">
        <v>1019</v>
      </c>
      <c r="B82" s="532"/>
      <c r="C82" s="532"/>
      <c r="D82" s="532"/>
      <c r="E82" s="1128"/>
      <c r="F82" s="777"/>
      <c r="G82" s="734">
        <v>1.3</v>
      </c>
      <c r="H82" s="531">
        <v>4419000</v>
      </c>
      <c r="I82" s="531">
        <f>G82*H82</f>
        <v>5744700</v>
      </c>
      <c r="J82" s="1113"/>
      <c r="K82" s="1117"/>
      <c r="L82" s="1103"/>
      <c r="M82" s="1103"/>
      <c r="N82" s="1103"/>
      <c r="O82" s="1103"/>
      <c r="P82" s="1103"/>
      <c r="Q82" s="1103"/>
      <c r="R82" s="1103"/>
    </row>
    <row r="83" spans="1:257" ht="24" x14ac:dyDescent="0.2">
      <c r="A83" s="662" t="s">
        <v>1051</v>
      </c>
      <c r="B83" s="532"/>
      <c r="C83" s="532"/>
      <c r="D83" s="532"/>
      <c r="E83" s="1128"/>
      <c r="F83" s="777"/>
      <c r="G83" s="734">
        <v>2.5</v>
      </c>
      <c r="H83" s="531">
        <v>2993000</v>
      </c>
      <c r="I83" s="531">
        <f>G83*H83</f>
        <v>7482500</v>
      </c>
      <c r="J83" s="1113"/>
      <c r="K83" s="1117"/>
      <c r="L83" s="1103"/>
      <c r="M83" s="1103"/>
      <c r="N83" s="1103"/>
      <c r="O83" s="1103"/>
      <c r="P83" s="1103"/>
      <c r="Q83" s="1103"/>
      <c r="R83" s="1103"/>
    </row>
    <row r="84" spans="1:257" ht="24" x14ac:dyDescent="0.2">
      <c r="A84" s="662" t="s">
        <v>1197</v>
      </c>
      <c r="B84" s="665"/>
      <c r="C84" s="665"/>
      <c r="D84" s="665"/>
      <c r="E84" s="684"/>
      <c r="F84" s="1118"/>
      <c r="G84" s="1129"/>
      <c r="H84" s="531">
        <v>0</v>
      </c>
      <c r="I84" s="531">
        <v>10223000</v>
      </c>
      <c r="J84" s="1113"/>
      <c r="K84" s="1150">
        <f>SUM(I54:I84)</f>
        <v>187035356</v>
      </c>
      <c r="L84" s="6" t="s">
        <v>915</v>
      </c>
      <c r="M84" s="1103"/>
      <c r="N84" s="1103"/>
      <c r="O84" s="1103"/>
      <c r="P84" s="1103"/>
      <c r="Q84" s="1103"/>
      <c r="R84" s="1103"/>
    </row>
    <row r="85" spans="1:257" ht="12.75" x14ac:dyDescent="0.2">
      <c r="A85" s="676"/>
      <c r="B85" s="665"/>
      <c r="C85" s="665"/>
      <c r="D85" s="665"/>
      <c r="E85" s="684"/>
      <c r="F85" s="731"/>
      <c r="G85" s="1129"/>
      <c r="H85" s="621"/>
      <c r="I85" s="621"/>
      <c r="J85" s="1113"/>
      <c r="K85" s="1117"/>
      <c r="L85" s="1103"/>
      <c r="M85" s="1103"/>
      <c r="N85" s="1103"/>
      <c r="O85" s="1103"/>
      <c r="P85" s="1103"/>
      <c r="Q85" s="1103"/>
      <c r="R85" s="1103"/>
    </row>
    <row r="86" spans="1:257" ht="12.75" x14ac:dyDescent="0.2">
      <c r="A86" s="535" t="s">
        <v>880</v>
      </c>
      <c r="B86" s="532"/>
      <c r="C86" s="532"/>
      <c r="D86" s="532"/>
      <c r="E86" s="1128"/>
      <c r="F86" s="531"/>
      <c r="G86" s="530"/>
      <c r="H86" s="530"/>
      <c r="I86" s="531"/>
      <c r="J86" s="1113"/>
      <c r="K86" s="1103"/>
      <c r="L86" s="1103"/>
      <c r="M86" s="1103"/>
      <c r="N86" s="1103"/>
      <c r="O86" s="1103"/>
      <c r="P86" s="1103"/>
      <c r="Q86" s="1103"/>
      <c r="R86" s="1103"/>
    </row>
    <row r="87" spans="1:257" ht="12.75" x14ac:dyDescent="0.2">
      <c r="A87" s="535" t="s">
        <v>881</v>
      </c>
      <c r="B87" s="532"/>
      <c r="C87" s="532"/>
      <c r="D87" s="532"/>
      <c r="E87" s="1128"/>
      <c r="F87" s="531"/>
      <c r="G87" s="530"/>
      <c r="H87" s="530"/>
      <c r="I87" s="531"/>
      <c r="J87" s="1113"/>
      <c r="K87" s="1103"/>
      <c r="L87" s="1103"/>
      <c r="M87" s="1103"/>
      <c r="N87" s="1103"/>
      <c r="O87" s="1103"/>
      <c r="P87" s="1103"/>
      <c r="Q87" s="1103"/>
      <c r="R87" s="1103"/>
    </row>
    <row r="88" spans="1:257" ht="12.75" x14ac:dyDescent="0.2">
      <c r="A88" s="535" t="s">
        <v>882</v>
      </c>
      <c r="B88" s="532"/>
      <c r="C88" s="532">
        <v>4865</v>
      </c>
      <c r="D88" s="532">
        <v>1140</v>
      </c>
      <c r="E88" s="283"/>
      <c r="F88" s="531"/>
      <c r="G88" s="532">
        <v>4747</v>
      </c>
      <c r="H88" s="532">
        <v>1210</v>
      </c>
      <c r="I88" s="283">
        <f>G88*H88</f>
        <v>5743870</v>
      </c>
      <c r="J88" s="1113"/>
      <c r="K88" s="1103"/>
      <c r="L88" s="1103"/>
      <c r="M88" s="1103"/>
      <c r="N88" s="1103"/>
      <c r="O88" s="1103"/>
      <c r="P88" s="1103"/>
      <c r="Q88" s="1103"/>
      <c r="R88" s="1103"/>
    </row>
    <row r="89" spans="1:257" ht="48" x14ac:dyDescent="0.2">
      <c r="A89" s="662" t="s">
        <v>883</v>
      </c>
      <c r="B89" s="665"/>
      <c r="C89" s="665"/>
      <c r="D89" s="665"/>
      <c r="E89" s="685"/>
      <c r="F89" s="777" t="s">
        <v>1022</v>
      </c>
      <c r="G89" s="532" t="s">
        <v>1224</v>
      </c>
      <c r="H89" s="665"/>
      <c r="I89" s="283">
        <v>0</v>
      </c>
      <c r="J89" s="1113"/>
      <c r="K89" s="1103"/>
      <c r="L89" s="1103"/>
      <c r="M89" s="1103"/>
      <c r="N89" s="1103"/>
      <c r="O89" s="1103"/>
      <c r="P89" s="1103"/>
      <c r="Q89" s="1103"/>
      <c r="R89" s="1103"/>
    </row>
    <row r="90" spans="1:257" ht="48" x14ac:dyDescent="0.2">
      <c r="A90" s="662" t="s">
        <v>1023</v>
      </c>
      <c r="B90" s="532"/>
      <c r="C90" s="532"/>
      <c r="D90" s="532"/>
      <c r="E90" s="283"/>
      <c r="F90" s="777" t="s">
        <v>1024</v>
      </c>
      <c r="G90" s="532"/>
      <c r="H90" s="532"/>
      <c r="I90" s="283">
        <v>0</v>
      </c>
      <c r="J90" s="1113"/>
      <c r="K90" s="1150">
        <f>I88+I89+I90</f>
        <v>5743870</v>
      </c>
      <c r="L90" s="6" t="s">
        <v>916</v>
      </c>
      <c r="M90" s="1103"/>
      <c r="N90" s="1103"/>
      <c r="O90" s="1103"/>
      <c r="P90" s="1103"/>
      <c r="Q90" s="1103"/>
      <c r="R90" s="1103"/>
    </row>
    <row r="91" spans="1:257" ht="12.75" x14ac:dyDescent="0.2">
      <c r="A91" s="1130"/>
      <c r="B91" s="681"/>
      <c r="C91" s="687"/>
      <c r="D91" s="665"/>
      <c r="E91" s="665"/>
      <c r="F91" s="739"/>
      <c r="G91" s="670"/>
      <c r="H91" s="670"/>
      <c r="I91" s="621"/>
      <c r="J91" s="1113"/>
      <c r="K91" s="1117"/>
      <c r="L91" s="1117"/>
      <c r="M91" s="1131"/>
      <c r="N91" s="1105"/>
      <c r="O91" s="1103"/>
      <c r="P91" s="1103"/>
      <c r="Q91" s="1103"/>
      <c r="R91" s="1103"/>
    </row>
    <row r="92" spans="1:257" ht="24" x14ac:dyDescent="0.2">
      <c r="A92" s="711" t="s">
        <v>1225</v>
      </c>
      <c r="B92" s="689"/>
      <c r="C92" s="1132"/>
      <c r="D92" s="690"/>
      <c r="E92" s="690"/>
      <c r="F92" s="744"/>
      <c r="G92" s="693"/>
      <c r="H92" s="693"/>
      <c r="I92" s="746">
        <v>0</v>
      </c>
      <c r="J92" s="1113"/>
      <c r="K92" s="671">
        <v>0</v>
      </c>
      <c r="L92" s="671" t="s">
        <v>917</v>
      </c>
      <c r="M92" s="1131"/>
      <c r="N92" s="1105"/>
      <c r="O92" s="1103"/>
      <c r="P92" s="1103"/>
      <c r="Q92" s="1103"/>
      <c r="R92" s="1103"/>
    </row>
    <row r="93" spans="1:257" ht="13.5" thickBot="1" x14ac:dyDescent="0.25">
      <c r="A93" s="1133"/>
      <c r="B93" s="689"/>
      <c r="C93" s="1132"/>
      <c r="D93" s="690"/>
      <c r="E93" s="690"/>
      <c r="F93" s="689"/>
      <c r="G93" s="693"/>
      <c r="H93" s="693"/>
      <c r="I93" s="692"/>
      <c r="J93" s="1113"/>
      <c r="K93" s="1117"/>
      <c r="L93" s="1117"/>
      <c r="M93" s="1103"/>
      <c r="N93" s="1105"/>
      <c r="O93" s="1103"/>
      <c r="P93" s="1103"/>
      <c r="Q93" s="1103"/>
      <c r="R93" s="1103"/>
    </row>
    <row r="94" spans="1:257" ht="12.75" thickBot="1" x14ac:dyDescent="0.25">
      <c r="A94" s="694" t="s">
        <v>885</v>
      </c>
      <c r="B94" s="1134"/>
      <c r="C94" s="1134"/>
      <c r="D94" s="1135"/>
      <c r="E94" s="1136" t="e">
        <f>E9+E11+E14+E17+E20+E25+E28+E31+E39+E40+#REF!+E41+E43+E46+E47+E49+E54+E55+E59+E60+E63+E64+E67+#REF!+E72+E73+E77+E78</f>
        <v>#REF!</v>
      </c>
      <c r="F94" s="1298">
        <f>I9+I13+I16+I19+I22+I25+I28+I31+I32+I51+I39+I40+I41+I42+I43+I44+I46+I69+I47+L70+I49+I50+I54+I55+I62+I63+I65+I66+I67+I72+I73+I77+I78+I79+I82+I83+I84+I88+I89+I90+I92+I74+I70</f>
        <v>882563602</v>
      </c>
      <c r="G94" s="1298"/>
      <c r="H94" s="1298"/>
      <c r="I94" s="1299"/>
      <c r="J94" s="1109"/>
      <c r="K94" s="1151">
        <f>K84+K51+K34+K90-K92</f>
        <v>882563602</v>
      </c>
      <c r="L94" s="747" t="s">
        <v>1198</v>
      </c>
      <c r="M94" s="1109"/>
      <c r="N94" s="1109"/>
      <c r="O94" s="1109"/>
      <c r="P94" s="1109"/>
      <c r="Q94" s="1109"/>
      <c r="R94" s="1109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</row>
    <row r="96" spans="1:257" ht="15.75" x14ac:dyDescent="0.2">
      <c r="A96" s="748"/>
      <c r="B96" s="749"/>
      <c r="C96" s="749"/>
      <c r="D96" s="749"/>
      <c r="E96" s="750"/>
      <c r="F96" s="751"/>
      <c r="G96" s="751"/>
      <c r="H96" s="751"/>
      <c r="I96" s="751"/>
    </row>
    <row r="97" spans="1:1" ht="12.75" x14ac:dyDescent="0.2">
      <c r="A97" s="912"/>
    </row>
  </sheetData>
  <mergeCells count="8">
    <mergeCell ref="F94:I94"/>
    <mergeCell ref="A1:I1"/>
    <mergeCell ref="F2:I2"/>
    <mergeCell ref="A4:I4"/>
    <mergeCell ref="A3:I3"/>
    <mergeCell ref="A5:A6"/>
    <mergeCell ref="B5:E5"/>
    <mergeCell ref="F5:I5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88" customWidth="1"/>
    <col min="2" max="2" width="9.85546875" style="188" hidden="1" customWidth="1"/>
    <col min="3" max="3" width="11.7109375" style="188" hidden="1" customWidth="1"/>
    <col min="4" max="4" width="9.85546875" style="188" hidden="1" customWidth="1"/>
    <col min="5" max="5" width="15.85546875" style="19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311" t="s">
        <v>293</v>
      </c>
      <c r="C1" s="1311"/>
      <c r="D1" s="1311"/>
      <c r="E1" s="1311"/>
    </row>
    <row r="2" spans="1:10" x14ac:dyDescent="0.2">
      <c r="F2" s="1318"/>
      <c r="G2" s="1318"/>
      <c r="H2" s="1318"/>
      <c r="I2" s="1318"/>
    </row>
    <row r="4" spans="1:10" ht="12.75" x14ac:dyDescent="0.2">
      <c r="A4" s="1312" t="s">
        <v>77</v>
      </c>
      <c r="B4" s="1312"/>
      <c r="C4" s="1312"/>
      <c r="D4" s="1312"/>
      <c r="E4" s="1312"/>
      <c r="F4" s="1313"/>
      <c r="G4" s="1313"/>
      <c r="H4" s="1313"/>
      <c r="I4" s="1313"/>
    </row>
    <row r="5" spans="1:10" ht="12.75" x14ac:dyDescent="0.2">
      <c r="A5" s="1312" t="s">
        <v>896</v>
      </c>
      <c r="B5" s="1312"/>
      <c r="C5" s="1312"/>
      <c r="D5" s="1312"/>
      <c r="E5" s="1312"/>
      <c r="F5" s="1313"/>
      <c r="G5" s="1313"/>
      <c r="H5" s="1313"/>
      <c r="I5" s="1313"/>
    </row>
    <row r="7" spans="1:10" ht="13.5" thickBot="1" x14ac:dyDescent="0.25">
      <c r="E7" s="528" t="s">
        <v>20</v>
      </c>
      <c r="F7" s="539"/>
    </row>
    <row r="8" spans="1:10" ht="12.75" customHeight="1" thickBot="1" x14ac:dyDescent="0.25">
      <c r="A8" s="1314" t="s">
        <v>78</v>
      </c>
      <c r="B8" s="1316" t="s">
        <v>106</v>
      </c>
      <c r="C8" s="1317"/>
      <c r="D8" s="1317"/>
      <c r="E8" s="1317"/>
      <c r="F8" s="1316" t="s">
        <v>907</v>
      </c>
      <c r="G8" s="1317"/>
      <c r="H8" s="1317"/>
      <c r="I8" s="1317"/>
    </row>
    <row r="9" spans="1:10" s="7" customFormat="1" ht="49.5" customHeight="1" thickBot="1" x14ac:dyDescent="0.25">
      <c r="A9" s="1315"/>
      <c r="B9" s="280" t="s">
        <v>79</v>
      </c>
      <c r="C9" s="189" t="s">
        <v>80</v>
      </c>
      <c r="D9" s="189" t="s">
        <v>679</v>
      </c>
      <c r="E9" s="281" t="s">
        <v>81</v>
      </c>
      <c r="F9" s="280" t="s">
        <v>79</v>
      </c>
      <c r="G9" s="189" t="s">
        <v>80</v>
      </c>
      <c r="H9" s="189" t="s">
        <v>679</v>
      </c>
      <c r="I9" s="281" t="s">
        <v>81</v>
      </c>
    </row>
    <row r="10" spans="1:10" ht="13.5" customHeight="1" x14ac:dyDescent="0.2">
      <c r="A10" s="540" t="s">
        <v>82</v>
      </c>
      <c r="B10" s="541"/>
      <c r="C10" s="541"/>
      <c r="D10" s="541"/>
      <c r="E10" s="541"/>
      <c r="F10" s="542"/>
      <c r="G10" s="542"/>
      <c r="H10" s="542"/>
      <c r="I10" s="542"/>
      <c r="J10" s="571"/>
    </row>
    <row r="11" spans="1:10" ht="13.5" customHeight="1" x14ac:dyDescent="0.2">
      <c r="A11" s="190" t="s">
        <v>817</v>
      </c>
      <c r="B11" s="191"/>
      <c r="C11" s="191"/>
      <c r="D11" s="191"/>
      <c r="E11" s="191"/>
      <c r="F11" s="529"/>
      <c r="G11" s="529"/>
      <c r="H11" s="529"/>
      <c r="I11" s="529"/>
      <c r="J11" s="571"/>
    </row>
    <row r="12" spans="1:10" ht="30.75" customHeight="1" x14ac:dyDescent="0.2">
      <c r="A12" s="662" t="s">
        <v>818</v>
      </c>
      <c r="B12" s="532">
        <v>4865</v>
      </c>
      <c r="C12" s="663">
        <v>18.690000000000001</v>
      </c>
      <c r="D12" s="532">
        <v>4580000</v>
      </c>
      <c r="E12" s="532">
        <f>C12*D12</f>
        <v>85600200</v>
      </c>
      <c r="F12" s="531">
        <v>4837</v>
      </c>
      <c r="G12" s="530">
        <v>18.62</v>
      </c>
      <c r="H12" s="530">
        <v>4580000</v>
      </c>
      <c r="I12" s="531">
        <f>G12*H12</f>
        <v>85279600</v>
      </c>
      <c r="J12" s="571"/>
    </row>
    <row r="13" spans="1:10" ht="13.5" customHeight="1" x14ac:dyDescent="0.2">
      <c r="A13" s="535" t="s">
        <v>819</v>
      </c>
      <c r="B13" s="532"/>
      <c r="C13" s="532"/>
      <c r="D13" s="532"/>
      <c r="E13" s="532"/>
      <c r="F13" s="531"/>
      <c r="G13" s="530"/>
      <c r="H13" s="530"/>
      <c r="I13" s="531"/>
      <c r="J13" s="571"/>
    </row>
    <row r="14" spans="1:10" ht="30" customHeight="1" x14ac:dyDescent="0.2">
      <c r="A14" s="662" t="s">
        <v>820</v>
      </c>
      <c r="B14" s="532"/>
      <c r="C14" s="533"/>
      <c r="D14" s="532" t="s">
        <v>294</v>
      </c>
      <c r="E14" s="532">
        <v>8328800</v>
      </c>
      <c r="F14" s="531"/>
      <c r="G14" s="530"/>
      <c r="H14" s="530" t="s">
        <v>294</v>
      </c>
      <c r="I14" s="531">
        <v>8329050</v>
      </c>
      <c r="J14" s="571"/>
    </row>
    <row r="15" spans="1:10" ht="30" customHeight="1" x14ac:dyDescent="0.2">
      <c r="A15" s="662" t="s">
        <v>821</v>
      </c>
      <c r="B15" s="532"/>
      <c r="C15" s="533"/>
      <c r="D15" s="532"/>
      <c r="E15" s="532"/>
      <c r="F15" s="531"/>
      <c r="G15" s="530"/>
      <c r="H15" s="530"/>
      <c r="I15" s="531">
        <v>-8329050</v>
      </c>
      <c r="J15" s="571"/>
    </row>
    <row r="16" spans="1:10" ht="30" customHeight="1" x14ac:dyDescent="0.2">
      <c r="A16" s="662" t="s">
        <v>822</v>
      </c>
      <c r="B16" s="532"/>
      <c r="C16" s="533"/>
      <c r="D16" s="532"/>
      <c r="E16" s="532"/>
      <c r="F16" s="531"/>
      <c r="G16" s="530"/>
      <c r="H16" s="530"/>
      <c r="I16" s="531">
        <f>I14+I15</f>
        <v>0</v>
      </c>
      <c r="J16" s="571"/>
    </row>
    <row r="17" spans="1:10" ht="16.5" customHeight="1" x14ac:dyDescent="0.2">
      <c r="A17" s="535" t="s">
        <v>823</v>
      </c>
      <c r="B17" s="532"/>
      <c r="C17" s="532"/>
      <c r="D17" s="664" t="s">
        <v>295</v>
      </c>
      <c r="E17" s="532">
        <v>18272000</v>
      </c>
      <c r="F17" s="531"/>
      <c r="G17" s="530"/>
      <c r="H17" s="530" t="s">
        <v>296</v>
      </c>
      <c r="I17" s="531">
        <v>18304000</v>
      </c>
      <c r="J17" s="571"/>
    </row>
    <row r="18" spans="1:10" ht="16.5" customHeight="1" x14ac:dyDescent="0.2">
      <c r="A18" s="535" t="s">
        <v>821</v>
      </c>
      <c r="B18" s="532"/>
      <c r="C18" s="532"/>
      <c r="D18" s="664"/>
      <c r="E18" s="532"/>
      <c r="F18" s="531"/>
      <c r="G18" s="530"/>
      <c r="H18" s="530"/>
      <c r="I18" s="531">
        <v>-18304000</v>
      </c>
      <c r="J18" s="571"/>
    </row>
    <row r="19" spans="1:10" ht="16.5" customHeight="1" x14ac:dyDescent="0.2">
      <c r="A19" s="535" t="s">
        <v>824</v>
      </c>
      <c r="B19" s="532"/>
      <c r="C19" s="532"/>
      <c r="D19" s="664"/>
      <c r="E19" s="532"/>
      <c r="F19" s="531"/>
      <c r="G19" s="530"/>
      <c r="H19" s="530"/>
      <c r="I19" s="531">
        <f>I17+I18</f>
        <v>0</v>
      </c>
      <c r="J19" s="571"/>
    </row>
    <row r="20" spans="1:10" ht="13.5" customHeight="1" x14ac:dyDescent="0.2">
      <c r="A20" s="535" t="s">
        <v>825</v>
      </c>
      <c r="B20" s="665"/>
      <c r="C20" s="665" t="s">
        <v>826</v>
      </c>
      <c r="D20" s="666" t="s">
        <v>680</v>
      </c>
      <c r="E20" s="665">
        <v>1355022</v>
      </c>
      <c r="F20" s="621"/>
      <c r="G20" s="665"/>
      <c r="H20" s="667" t="s">
        <v>680</v>
      </c>
      <c r="I20" s="531">
        <v>1355022</v>
      </c>
      <c r="J20" s="571"/>
    </row>
    <row r="21" spans="1:10" ht="13.5" customHeight="1" x14ac:dyDescent="0.2">
      <c r="A21" s="535" t="s">
        <v>827</v>
      </c>
      <c r="B21" s="665"/>
      <c r="C21" s="665"/>
      <c r="D21" s="666"/>
      <c r="E21" s="665"/>
      <c r="F21" s="621"/>
      <c r="G21" s="665"/>
      <c r="H21" s="667"/>
      <c r="I21" s="531">
        <v>-1355022</v>
      </c>
      <c r="J21" s="571"/>
    </row>
    <row r="22" spans="1:10" ht="13.5" customHeight="1" x14ac:dyDescent="0.2">
      <c r="A22" s="535" t="s">
        <v>828</v>
      </c>
      <c r="B22" s="665"/>
      <c r="C22" s="665"/>
      <c r="D22" s="666"/>
      <c r="E22" s="665"/>
      <c r="F22" s="621"/>
      <c r="G22" s="665"/>
      <c r="H22" s="667"/>
      <c r="I22" s="531">
        <f>I20+I21</f>
        <v>0</v>
      </c>
      <c r="J22" s="571"/>
    </row>
    <row r="23" spans="1:10" ht="13.5" customHeight="1" x14ac:dyDescent="0.2">
      <c r="A23" s="535" t="s">
        <v>829</v>
      </c>
      <c r="B23" s="532"/>
      <c r="C23" s="533"/>
      <c r="D23" s="664" t="s">
        <v>681</v>
      </c>
      <c r="E23" s="532">
        <v>6369620</v>
      </c>
      <c r="F23" s="531"/>
      <c r="G23" s="530"/>
      <c r="H23" s="664" t="s">
        <v>681</v>
      </c>
      <c r="I23" s="531">
        <v>6369620</v>
      </c>
      <c r="J23" s="571"/>
    </row>
    <row r="24" spans="1:10" ht="13.5" customHeight="1" x14ac:dyDescent="0.2">
      <c r="A24" s="535" t="s">
        <v>827</v>
      </c>
      <c r="B24" s="532"/>
      <c r="C24" s="533"/>
      <c r="D24" s="664"/>
      <c r="E24" s="532"/>
      <c r="F24" s="531"/>
      <c r="G24" s="530"/>
      <c r="H24" s="664"/>
      <c r="I24" s="531">
        <v>-6369620</v>
      </c>
      <c r="J24" s="571"/>
    </row>
    <row r="25" spans="1:10" ht="13.5" customHeight="1" x14ac:dyDescent="0.2">
      <c r="A25" s="535" t="s">
        <v>830</v>
      </c>
      <c r="B25" s="532"/>
      <c r="C25" s="533"/>
      <c r="D25" s="664"/>
      <c r="E25" s="532"/>
      <c r="F25" s="531"/>
      <c r="G25" s="530"/>
      <c r="H25" s="664"/>
      <c r="I25" s="531">
        <f>I23+I24</f>
        <v>0</v>
      </c>
      <c r="J25" s="571"/>
    </row>
    <row r="26" spans="1:10" ht="13.5" customHeight="1" x14ac:dyDescent="0.2">
      <c r="A26" s="535" t="s">
        <v>831</v>
      </c>
      <c r="B26" s="532">
        <v>4865</v>
      </c>
      <c r="C26" s="532"/>
      <c r="D26" s="532">
        <v>2700</v>
      </c>
      <c r="E26" s="532">
        <f>B26*D26</f>
        <v>13135500</v>
      </c>
      <c r="F26" s="531">
        <v>4837</v>
      </c>
      <c r="G26" s="530"/>
      <c r="H26" s="532">
        <v>2700</v>
      </c>
      <c r="I26" s="531">
        <f>F26*H26</f>
        <v>13059900</v>
      </c>
      <c r="J26" s="571"/>
    </row>
    <row r="27" spans="1:10" ht="13.5" customHeight="1" x14ac:dyDescent="0.2">
      <c r="A27" s="535" t="s">
        <v>832</v>
      </c>
      <c r="B27" s="532"/>
      <c r="C27" s="532"/>
      <c r="D27" s="532"/>
      <c r="E27" s="532">
        <v>-13135500</v>
      </c>
      <c r="F27" s="531"/>
      <c r="G27" s="530"/>
      <c r="H27" s="530"/>
      <c r="I27" s="531">
        <v>-13059900</v>
      </c>
      <c r="J27" s="571"/>
    </row>
    <row r="28" spans="1:10" ht="13.5" customHeight="1" x14ac:dyDescent="0.2">
      <c r="A28" s="535" t="s">
        <v>833</v>
      </c>
      <c r="B28" s="532"/>
      <c r="C28" s="532"/>
      <c r="D28" s="532"/>
      <c r="E28" s="532">
        <f>E26+E27</f>
        <v>0</v>
      </c>
      <c r="F28" s="531"/>
      <c r="G28" s="530"/>
      <c r="H28" s="530"/>
      <c r="I28" s="531">
        <f>I26+I27</f>
        <v>0</v>
      </c>
      <c r="J28" s="571"/>
    </row>
    <row r="29" spans="1:10" ht="13.5" customHeight="1" x14ac:dyDescent="0.2">
      <c r="A29" s="535" t="s">
        <v>834</v>
      </c>
      <c r="B29" s="665">
        <v>10</v>
      </c>
      <c r="C29" s="665"/>
      <c r="D29" s="665" t="s">
        <v>297</v>
      </c>
      <c r="E29" s="668">
        <v>25500</v>
      </c>
      <c r="F29" s="531">
        <v>11</v>
      </c>
      <c r="G29" s="530"/>
      <c r="H29" s="532" t="s">
        <v>297</v>
      </c>
      <c r="I29" s="531">
        <v>28050</v>
      </c>
      <c r="J29" s="571"/>
    </row>
    <row r="30" spans="1:10" ht="13.5" customHeight="1" x14ac:dyDescent="0.2">
      <c r="A30" s="535" t="s">
        <v>835</v>
      </c>
      <c r="B30" s="665"/>
      <c r="C30" s="665"/>
      <c r="D30" s="665"/>
      <c r="E30" s="668">
        <v>-25500</v>
      </c>
      <c r="F30" s="531"/>
      <c r="G30" s="530"/>
      <c r="H30" s="530"/>
      <c r="I30" s="531">
        <v>-28050</v>
      </c>
      <c r="J30" s="571"/>
    </row>
    <row r="31" spans="1:10" ht="13.5" customHeight="1" x14ac:dyDescent="0.2">
      <c r="A31" s="535" t="s">
        <v>836</v>
      </c>
      <c r="B31" s="665"/>
      <c r="C31" s="665"/>
      <c r="D31" s="665"/>
      <c r="E31" s="668">
        <v>0</v>
      </c>
      <c r="F31" s="531"/>
      <c r="G31" s="530"/>
      <c r="H31" s="530"/>
      <c r="I31" s="531">
        <f>I29+I30</f>
        <v>0</v>
      </c>
      <c r="J31" s="571"/>
    </row>
    <row r="32" spans="1:10" ht="13.5" customHeight="1" x14ac:dyDescent="0.2">
      <c r="A32" s="535" t="s">
        <v>837</v>
      </c>
      <c r="B32" s="532"/>
      <c r="C32" s="532">
        <v>487729000</v>
      </c>
      <c r="D32" s="533">
        <v>1.55</v>
      </c>
      <c r="E32" s="532">
        <f>C32*D32</f>
        <v>755979950</v>
      </c>
      <c r="F32" s="531"/>
      <c r="G32" s="713">
        <v>482296000</v>
      </c>
      <c r="H32" s="714">
        <v>1.55</v>
      </c>
      <c r="I32" s="713">
        <f>G32*H32</f>
        <v>747558800</v>
      </c>
      <c r="J32" s="571"/>
    </row>
    <row r="33" spans="1:11" ht="13.5" customHeight="1" x14ac:dyDescent="0.2">
      <c r="A33" s="535" t="s">
        <v>832</v>
      </c>
      <c r="B33" s="532"/>
      <c r="C33" s="532"/>
      <c r="D33" s="536"/>
      <c r="E33" s="532">
        <v>-98054262</v>
      </c>
      <c r="F33" s="531"/>
      <c r="G33" s="530"/>
      <c r="H33" s="530"/>
      <c r="I33" s="531">
        <v>-69343482</v>
      </c>
      <c r="J33" s="571"/>
    </row>
    <row r="34" spans="1:11" ht="13.5" customHeight="1" x14ac:dyDescent="0.2">
      <c r="A34" s="535" t="s">
        <v>838</v>
      </c>
      <c r="B34" s="532"/>
      <c r="C34" s="532"/>
      <c r="D34" s="536"/>
      <c r="E34" s="532">
        <f>E32+E33</f>
        <v>657925688</v>
      </c>
      <c r="F34" s="531"/>
      <c r="G34" s="530"/>
      <c r="H34" s="530"/>
      <c r="I34" s="531">
        <f>I32+I33</f>
        <v>678215318</v>
      </c>
      <c r="J34" s="571"/>
    </row>
    <row r="35" spans="1:11" ht="13.5" customHeight="1" x14ac:dyDescent="0.2">
      <c r="A35" s="669" t="s">
        <v>839</v>
      </c>
      <c r="B35" s="665"/>
      <c r="C35" s="665"/>
      <c r="D35" s="665"/>
      <c r="E35" s="665">
        <v>0</v>
      </c>
      <c r="F35" s="621"/>
      <c r="G35" s="670"/>
      <c r="H35" s="670"/>
      <c r="I35" s="621">
        <v>0</v>
      </c>
      <c r="J35" s="571"/>
    </row>
    <row r="36" spans="1:11" ht="13.5" customHeight="1" x14ac:dyDescent="0.2">
      <c r="A36" s="669"/>
      <c r="B36" s="665"/>
      <c r="C36" s="665"/>
      <c r="D36" s="665"/>
      <c r="E36" s="665"/>
      <c r="F36" s="621"/>
      <c r="G36" s="670"/>
      <c r="H36" s="670"/>
      <c r="I36" s="621"/>
      <c r="J36" s="571"/>
      <c r="K36" s="671"/>
    </row>
    <row r="37" spans="1:11" ht="24.95" customHeight="1" x14ac:dyDescent="0.2">
      <c r="A37" s="672" t="s">
        <v>83</v>
      </c>
      <c r="B37" s="665"/>
      <c r="C37" s="665"/>
      <c r="D37" s="665"/>
      <c r="E37" s="665"/>
      <c r="F37" s="621"/>
      <c r="G37" s="670"/>
      <c r="H37" s="670"/>
      <c r="I37" s="621"/>
      <c r="J37" s="571"/>
    </row>
    <row r="38" spans="1:11" ht="15" customHeight="1" x14ac:dyDescent="0.2">
      <c r="A38" s="662" t="s">
        <v>840</v>
      </c>
      <c r="B38" s="665"/>
      <c r="C38" s="665"/>
      <c r="D38" s="665"/>
      <c r="E38" s="665"/>
      <c r="F38" s="621"/>
      <c r="G38" s="670"/>
      <c r="H38" s="670"/>
      <c r="I38" s="621"/>
      <c r="J38" s="571"/>
    </row>
    <row r="39" spans="1:11" ht="24" customHeight="1" x14ac:dyDescent="0.2">
      <c r="A39" s="662" t="s">
        <v>841</v>
      </c>
      <c r="B39" s="532"/>
      <c r="C39" s="533">
        <v>13.1</v>
      </c>
      <c r="D39" s="532">
        <v>4152000</v>
      </c>
      <c r="E39" s="532">
        <f>C39*D39*8/12</f>
        <v>36260800</v>
      </c>
      <c r="F39" s="531"/>
      <c r="G39" s="530">
        <v>13.3</v>
      </c>
      <c r="H39" s="531">
        <v>4308000</v>
      </c>
      <c r="I39" s="531">
        <f>G39*8/12*4308000</f>
        <v>38197600</v>
      </c>
      <c r="J39" s="571"/>
    </row>
    <row r="40" spans="1:11" ht="24" customHeight="1" x14ac:dyDescent="0.2">
      <c r="A40" s="662" t="s">
        <v>842</v>
      </c>
      <c r="B40" s="532"/>
      <c r="C40" s="533">
        <v>13.1</v>
      </c>
      <c r="D40" s="534">
        <v>4152000</v>
      </c>
      <c r="E40" s="532">
        <f>C40*D40*4/12</f>
        <v>18130400</v>
      </c>
      <c r="F40" s="531"/>
      <c r="G40" s="673">
        <v>13.4</v>
      </c>
      <c r="H40" s="531">
        <v>4308000</v>
      </c>
      <c r="I40" s="531">
        <f>G40*4/12*H40</f>
        <v>19242400</v>
      </c>
      <c r="J40" s="571"/>
    </row>
    <row r="41" spans="1:11" ht="24.95" customHeight="1" x14ac:dyDescent="0.2">
      <c r="A41" s="662" t="s">
        <v>908</v>
      </c>
      <c r="B41" s="665"/>
      <c r="C41" s="674">
        <v>13.1</v>
      </c>
      <c r="D41" s="675">
        <v>35000</v>
      </c>
      <c r="E41" s="665">
        <f>C41*D41</f>
        <v>458500</v>
      </c>
      <c r="F41" s="621"/>
      <c r="G41" s="673">
        <v>13.4</v>
      </c>
      <c r="H41" s="531">
        <v>35000</v>
      </c>
      <c r="I41" s="531">
        <f>G41*H41</f>
        <v>469000</v>
      </c>
      <c r="J41" s="571"/>
    </row>
    <row r="42" spans="1:11" ht="24.95" customHeight="1" x14ac:dyDescent="0.2">
      <c r="A42" s="662" t="s">
        <v>843</v>
      </c>
      <c r="B42" s="665"/>
      <c r="C42" s="665">
        <v>10</v>
      </c>
      <c r="D42" s="665">
        <v>1800000</v>
      </c>
      <c r="E42" s="668">
        <f>C42*D42*8/12</f>
        <v>12000000</v>
      </c>
      <c r="F42" s="621"/>
      <c r="G42" s="673">
        <v>9</v>
      </c>
      <c r="H42" s="531">
        <v>1800000</v>
      </c>
      <c r="I42" s="531">
        <f>G42*H42*8/12</f>
        <v>10800000</v>
      </c>
      <c r="J42" s="571"/>
    </row>
    <row r="43" spans="1:11" ht="35.25" customHeight="1" x14ac:dyDescent="0.2">
      <c r="A43" s="676" t="s">
        <v>844</v>
      </c>
      <c r="B43" s="665"/>
      <c r="C43" s="665"/>
      <c r="D43" s="665"/>
      <c r="E43" s="668"/>
      <c r="F43" s="621"/>
      <c r="G43" s="673">
        <v>1</v>
      </c>
      <c r="H43" s="531">
        <v>4308000</v>
      </c>
      <c r="I43" s="531">
        <f>G43*H43*8/12</f>
        <v>2872000</v>
      </c>
      <c r="J43" s="571"/>
    </row>
    <row r="44" spans="1:11" ht="35.25" customHeight="1" x14ac:dyDescent="0.2">
      <c r="A44" s="662" t="s">
        <v>845</v>
      </c>
      <c r="B44" s="665"/>
      <c r="C44" s="665">
        <v>10</v>
      </c>
      <c r="D44" s="665">
        <v>1800000</v>
      </c>
      <c r="E44" s="665">
        <f>C44*D44*4/12</f>
        <v>6000000</v>
      </c>
      <c r="F44" s="621"/>
      <c r="G44" s="673">
        <v>9</v>
      </c>
      <c r="H44" s="531">
        <v>1800000</v>
      </c>
      <c r="I44" s="531">
        <f>G44*H44*4/12</f>
        <v>5400000</v>
      </c>
      <c r="J44" s="572"/>
    </row>
    <row r="45" spans="1:11" ht="35.25" customHeight="1" x14ac:dyDescent="0.2">
      <c r="A45" s="662" t="s">
        <v>846</v>
      </c>
      <c r="B45" s="665"/>
      <c r="C45" s="665"/>
      <c r="D45" s="665"/>
      <c r="E45" s="665"/>
      <c r="F45" s="621"/>
      <c r="G45" s="673">
        <v>1</v>
      </c>
      <c r="H45" s="531">
        <v>4308000</v>
      </c>
      <c r="I45" s="531">
        <f>G45*H45*4/12</f>
        <v>1436000</v>
      </c>
      <c r="J45" s="572"/>
    </row>
    <row r="46" spans="1:11" ht="13.5" customHeight="1" x14ac:dyDescent="0.2">
      <c r="A46" s="662" t="s">
        <v>847</v>
      </c>
      <c r="B46" s="665"/>
      <c r="C46" s="665"/>
      <c r="D46" s="665"/>
      <c r="E46" s="665"/>
      <c r="F46" s="621"/>
      <c r="G46" s="673">
        <v>1</v>
      </c>
      <c r="H46" s="531">
        <v>35000</v>
      </c>
      <c r="I46" s="531">
        <f>G46*H46</f>
        <v>35000</v>
      </c>
      <c r="J46" s="572"/>
    </row>
    <row r="47" spans="1:11" ht="13.5" customHeight="1" x14ac:dyDescent="0.2">
      <c r="A47" s="535" t="s">
        <v>848</v>
      </c>
      <c r="B47" s="665"/>
      <c r="C47" s="665"/>
      <c r="D47" s="665"/>
      <c r="E47" s="665"/>
      <c r="F47" s="621"/>
      <c r="G47" s="670"/>
      <c r="H47" s="670"/>
      <c r="I47" s="621"/>
      <c r="J47" s="571"/>
    </row>
    <row r="48" spans="1:11" ht="13.5" customHeight="1" x14ac:dyDescent="0.2">
      <c r="A48" s="662" t="s">
        <v>849</v>
      </c>
      <c r="B48" s="532"/>
      <c r="C48" s="532"/>
      <c r="D48" s="532"/>
      <c r="E48" s="532"/>
      <c r="F48" s="531"/>
      <c r="G48" s="531">
        <v>0</v>
      </c>
      <c r="H48" s="532">
        <v>80000</v>
      </c>
      <c r="I48" s="531">
        <f>G48*H48*8/12</f>
        <v>0</v>
      </c>
      <c r="J48" s="571"/>
    </row>
    <row r="49" spans="1:11" ht="13.5" customHeight="1" x14ac:dyDescent="0.2">
      <c r="A49" s="662" t="s">
        <v>850</v>
      </c>
      <c r="B49" s="532"/>
      <c r="C49" s="532">
        <v>142</v>
      </c>
      <c r="D49" s="532">
        <v>70000</v>
      </c>
      <c r="E49" s="532">
        <f>C49*D49*8/12</f>
        <v>6626666.666666667</v>
      </c>
      <c r="F49" s="531"/>
      <c r="G49" s="531">
        <v>144</v>
      </c>
      <c r="H49" s="532">
        <v>80000</v>
      </c>
      <c r="I49" s="531">
        <f>G49*H49*8/12</f>
        <v>7680000</v>
      </c>
      <c r="J49" s="571"/>
    </row>
    <row r="50" spans="1:11" ht="13.5" customHeight="1" x14ac:dyDescent="0.2">
      <c r="A50" s="662" t="s">
        <v>851</v>
      </c>
      <c r="B50" s="665"/>
      <c r="C50" s="665"/>
      <c r="D50" s="665"/>
      <c r="E50" s="665"/>
      <c r="F50" s="621"/>
      <c r="G50" s="531">
        <v>0</v>
      </c>
      <c r="H50" s="532">
        <v>80000</v>
      </c>
      <c r="I50" s="531">
        <f>G50*H50*8/12</f>
        <v>0</v>
      </c>
      <c r="J50" s="571"/>
    </row>
    <row r="51" spans="1:11" ht="39.75" customHeight="1" x14ac:dyDescent="0.2">
      <c r="A51" s="662" t="s">
        <v>852</v>
      </c>
      <c r="B51" s="665"/>
      <c r="C51" s="665">
        <v>142</v>
      </c>
      <c r="D51" s="665">
        <v>70000</v>
      </c>
      <c r="E51" s="665">
        <f>C51*D51*4/12</f>
        <v>3313333.3333333335</v>
      </c>
      <c r="F51" s="621"/>
      <c r="G51" s="531">
        <v>144</v>
      </c>
      <c r="H51" s="532">
        <v>80000</v>
      </c>
      <c r="I51" s="531">
        <f>G51*H51*4/12</f>
        <v>3840000</v>
      </c>
      <c r="J51" s="571"/>
    </row>
    <row r="52" spans="1:11" ht="50.25" customHeight="1" x14ac:dyDescent="0.2">
      <c r="A52" s="535" t="s">
        <v>853</v>
      </c>
      <c r="B52" s="665"/>
      <c r="C52" s="665"/>
      <c r="D52" s="665"/>
      <c r="E52" s="665">
        <v>0</v>
      </c>
      <c r="F52" s="621"/>
      <c r="G52" s="670"/>
      <c r="H52" s="670"/>
      <c r="I52" s="531">
        <v>740000</v>
      </c>
      <c r="J52" s="574"/>
    </row>
    <row r="53" spans="1:11" ht="13.5" customHeight="1" x14ac:dyDescent="0.2">
      <c r="A53" s="535" t="s">
        <v>854</v>
      </c>
      <c r="B53" s="532"/>
      <c r="C53" s="532"/>
      <c r="D53" s="532"/>
      <c r="E53" s="532"/>
      <c r="F53" s="531"/>
      <c r="G53" s="530"/>
      <c r="H53" s="530"/>
      <c r="I53" s="531"/>
      <c r="J53" s="571"/>
    </row>
    <row r="54" spans="1:11" ht="13.5" customHeight="1" x14ac:dyDescent="0.2">
      <c r="A54" s="662" t="s">
        <v>855</v>
      </c>
      <c r="B54" s="532"/>
      <c r="C54" s="532">
        <v>5</v>
      </c>
      <c r="D54" s="677" t="s">
        <v>298</v>
      </c>
      <c r="E54" s="532">
        <v>1760000</v>
      </c>
      <c r="F54" s="531"/>
      <c r="G54" s="531">
        <v>5</v>
      </c>
      <c r="H54" s="531">
        <v>384000</v>
      </c>
      <c r="I54" s="531">
        <f>G54*H54</f>
        <v>1920000</v>
      </c>
      <c r="J54" s="571"/>
    </row>
    <row r="55" spans="1:11" ht="13.5" customHeight="1" x14ac:dyDescent="0.2">
      <c r="A55" s="662" t="s">
        <v>856</v>
      </c>
      <c r="B55" s="665"/>
      <c r="C55" s="665"/>
      <c r="D55" s="665"/>
      <c r="E55" s="665"/>
      <c r="F55" s="621"/>
      <c r="G55" s="531">
        <v>1</v>
      </c>
      <c r="H55" s="531">
        <v>352000</v>
      </c>
      <c r="I55" s="531">
        <f>G55*H55</f>
        <v>352000</v>
      </c>
      <c r="J55" s="571"/>
    </row>
    <row r="56" spans="1:11" ht="12.75" customHeight="1" x14ac:dyDescent="0.2">
      <c r="A56" s="669"/>
      <c r="B56" s="665"/>
      <c r="C56" s="665"/>
      <c r="D56" s="665"/>
      <c r="E56" s="665"/>
      <c r="F56" s="621"/>
      <c r="G56" s="670"/>
      <c r="H56" s="670"/>
      <c r="I56" s="621"/>
      <c r="J56" s="571"/>
      <c r="K56" s="671"/>
    </row>
    <row r="57" spans="1:11" ht="13.5" customHeight="1" x14ac:dyDescent="0.2">
      <c r="A57" s="672" t="s">
        <v>84</v>
      </c>
      <c r="B57" s="665"/>
      <c r="C57" s="665"/>
      <c r="D57" s="665"/>
      <c r="E57" s="665"/>
      <c r="F57" s="621"/>
      <c r="G57" s="670"/>
      <c r="H57" s="670"/>
      <c r="I57" s="621"/>
      <c r="J57" s="571"/>
    </row>
    <row r="58" spans="1:11" ht="33.75" customHeight="1" x14ac:dyDescent="0.2">
      <c r="A58" s="669" t="s">
        <v>857</v>
      </c>
      <c r="B58" s="665"/>
      <c r="C58" s="665"/>
      <c r="D58" s="665"/>
      <c r="E58" s="665">
        <v>0</v>
      </c>
      <c r="F58" s="621"/>
      <c r="G58" s="670"/>
      <c r="H58" s="670"/>
      <c r="I58" s="621">
        <v>0</v>
      </c>
      <c r="J58" s="573"/>
    </row>
    <row r="59" spans="1:11" ht="27" customHeight="1" x14ac:dyDescent="0.2">
      <c r="A59" s="676" t="s">
        <v>858</v>
      </c>
      <c r="B59" s="665"/>
      <c r="C59" s="665"/>
      <c r="D59" s="665"/>
      <c r="E59" s="668">
        <v>0</v>
      </c>
      <c r="F59" s="621"/>
      <c r="G59" s="670"/>
      <c r="H59" s="670"/>
      <c r="I59" s="621">
        <v>0</v>
      </c>
      <c r="J59" s="571"/>
    </row>
    <row r="60" spans="1:11" ht="13.5" customHeight="1" x14ac:dyDescent="0.2">
      <c r="A60" s="535" t="s">
        <v>859</v>
      </c>
      <c r="B60" s="665"/>
      <c r="C60" s="665"/>
      <c r="D60" s="665"/>
      <c r="E60" s="665"/>
      <c r="F60" s="621"/>
      <c r="G60" s="670"/>
      <c r="H60" s="670"/>
      <c r="I60" s="621"/>
      <c r="J60" s="571"/>
    </row>
    <row r="61" spans="1:11" ht="13.5" customHeight="1" x14ac:dyDescent="0.2">
      <c r="A61" s="535" t="s">
        <v>860</v>
      </c>
      <c r="B61" s="665"/>
      <c r="C61" s="665"/>
      <c r="D61" s="665"/>
      <c r="E61" s="665"/>
      <c r="F61" s="621"/>
      <c r="G61" s="670"/>
      <c r="H61" s="670"/>
      <c r="I61" s="621"/>
      <c r="J61" s="571"/>
    </row>
    <row r="62" spans="1:11" ht="13.5" customHeight="1" x14ac:dyDescent="0.2">
      <c r="A62" s="535" t="s">
        <v>861</v>
      </c>
      <c r="B62" s="665"/>
      <c r="C62" s="665"/>
      <c r="D62" s="665"/>
      <c r="E62" s="665"/>
      <c r="F62" s="621"/>
      <c r="G62" s="670"/>
      <c r="H62" s="670"/>
      <c r="I62" s="621"/>
      <c r="J62" s="571"/>
    </row>
    <row r="63" spans="1:11" ht="28.5" customHeight="1" x14ac:dyDescent="0.2">
      <c r="A63" s="662" t="s">
        <v>862</v>
      </c>
      <c r="B63" s="669"/>
      <c r="C63" s="678"/>
      <c r="D63" s="665"/>
      <c r="E63" s="665">
        <f>C63*D63/2</f>
        <v>0</v>
      </c>
      <c r="F63" s="532">
        <v>7916</v>
      </c>
      <c r="G63" s="679"/>
      <c r="H63" s="670"/>
      <c r="I63" s="621"/>
      <c r="J63" s="573"/>
    </row>
    <row r="64" spans="1:11" ht="24.95" customHeight="1" x14ac:dyDescent="0.2">
      <c r="A64" s="676" t="s">
        <v>863</v>
      </c>
      <c r="B64" s="665"/>
      <c r="C64" s="669"/>
      <c r="D64" s="665"/>
      <c r="E64" s="665"/>
      <c r="F64" s="621"/>
      <c r="G64" s="537">
        <v>0</v>
      </c>
      <c r="H64" s="670"/>
      <c r="I64" s="621"/>
      <c r="J64" s="573"/>
    </row>
    <row r="65" spans="1:10" ht="24.95" customHeight="1" x14ac:dyDescent="0.2">
      <c r="A65" s="669" t="s">
        <v>864</v>
      </c>
      <c r="B65" s="665"/>
      <c r="C65" s="669"/>
      <c r="D65" s="665"/>
      <c r="E65" s="665"/>
      <c r="F65" s="621"/>
      <c r="G65" s="536">
        <v>1</v>
      </c>
      <c r="H65" s="670"/>
      <c r="I65" s="621"/>
      <c r="J65" s="571"/>
    </row>
    <row r="66" spans="1:10" ht="24.95" customHeight="1" x14ac:dyDescent="0.2">
      <c r="A66" s="535" t="s">
        <v>865</v>
      </c>
      <c r="B66" s="665"/>
      <c r="C66" s="680">
        <v>0.97299999999999998</v>
      </c>
      <c r="D66" s="665">
        <v>3000000</v>
      </c>
      <c r="E66" s="665"/>
      <c r="F66" s="621"/>
      <c r="G66" s="536">
        <v>2</v>
      </c>
      <c r="H66" s="532">
        <v>3000000</v>
      </c>
      <c r="I66" s="531">
        <f>(2*1+0)*3000000</f>
        <v>6000000</v>
      </c>
      <c r="J66" s="571"/>
    </row>
    <row r="67" spans="1:10" ht="13.5" customHeight="1" x14ac:dyDescent="0.2">
      <c r="A67" s="535" t="s">
        <v>866</v>
      </c>
      <c r="B67" s="681"/>
      <c r="C67" s="665">
        <v>80</v>
      </c>
      <c r="D67" s="665">
        <v>55360</v>
      </c>
      <c r="E67" s="665">
        <f>C67*D67</f>
        <v>4428800</v>
      </c>
      <c r="F67" s="621"/>
      <c r="G67" s="532">
        <v>80</v>
      </c>
      <c r="H67" s="532">
        <v>55360</v>
      </c>
      <c r="I67" s="532">
        <f>G67*H67</f>
        <v>4428800</v>
      </c>
      <c r="J67" s="571"/>
    </row>
    <row r="68" spans="1:10" ht="13.5" customHeight="1" x14ac:dyDescent="0.2">
      <c r="A68" s="535" t="s">
        <v>867</v>
      </c>
      <c r="B68" s="681"/>
      <c r="C68" s="665">
        <v>55</v>
      </c>
      <c r="D68" s="665">
        <v>145000</v>
      </c>
      <c r="E68" s="665">
        <f>C68*D68</f>
        <v>7975000</v>
      </c>
      <c r="F68" s="621"/>
      <c r="G68" s="532">
        <v>50</v>
      </c>
      <c r="H68" s="532">
        <v>145000</v>
      </c>
      <c r="I68" s="532">
        <f>G68*H68</f>
        <v>7250000</v>
      </c>
      <c r="J68" s="571"/>
    </row>
    <row r="69" spans="1:10" ht="13.5" customHeight="1" x14ac:dyDescent="0.2">
      <c r="A69" s="676" t="s">
        <v>868</v>
      </c>
      <c r="B69" s="682"/>
      <c r="C69" s="665">
        <v>23</v>
      </c>
      <c r="D69" s="665">
        <v>109000</v>
      </c>
      <c r="E69" s="665">
        <f>C69*D69</f>
        <v>2507000</v>
      </c>
      <c r="F69" s="621"/>
      <c r="G69" s="532">
        <v>23</v>
      </c>
      <c r="H69" s="532">
        <v>109000</v>
      </c>
      <c r="I69" s="532">
        <f>G69*H69</f>
        <v>2507000</v>
      </c>
      <c r="J69" s="571"/>
    </row>
    <row r="70" spans="1:10" ht="15" customHeight="1" x14ac:dyDescent="0.2">
      <c r="A70" s="662" t="s">
        <v>869</v>
      </c>
      <c r="B70" s="682"/>
      <c r="C70" s="665"/>
      <c r="D70" s="665"/>
      <c r="E70" s="665"/>
      <c r="F70" s="621"/>
      <c r="G70" s="670"/>
      <c r="H70" s="670"/>
      <c r="I70" s="621"/>
      <c r="J70" s="571"/>
    </row>
    <row r="71" spans="1:10" ht="13.5" customHeight="1" x14ac:dyDescent="0.2">
      <c r="A71" s="669" t="s">
        <v>870</v>
      </c>
      <c r="B71" s="669"/>
      <c r="C71" s="669"/>
      <c r="D71" s="621"/>
      <c r="E71" s="665"/>
      <c r="F71" s="621"/>
      <c r="G71" s="670"/>
      <c r="H71" s="670"/>
      <c r="I71" s="621"/>
      <c r="J71" s="571"/>
    </row>
    <row r="72" spans="1:10" ht="13.5" customHeight="1" x14ac:dyDescent="0.2">
      <c r="A72" s="535" t="s">
        <v>871</v>
      </c>
      <c r="B72" s="683"/>
      <c r="C72" s="665">
        <v>13</v>
      </c>
      <c r="D72" s="665">
        <v>494100</v>
      </c>
      <c r="E72" s="665">
        <f>C72*D72</f>
        <v>6423300</v>
      </c>
      <c r="F72" s="621"/>
      <c r="G72" s="532">
        <v>15</v>
      </c>
      <c r="H72" s="532">
        <v>494100</v>
      </c>
      <c r="I72" s="532">
        <f>G72*H72</f>
        <v>7411500</v>
      </c>
      <c r="J72" s="571"/>
    </row>
    <row r="73" spans="1:10" ht="13.5" customHeight="1" x14ac:dyDescent="0.2">
      <c r="A73" s="662" t="s">
        <v>872</v>
      </c>
      <c r="B73" s="681"/>
      <c r="C73" s="665"/>
      <c r="D73" s="665"/>
      <c r="E73" s="665"/>
      <c r="F73" s="621"/>
      <c r="G73" s="670"/>
      <c r="H73" s="670"/>
      <c r="I73" s="621"/>
      <c r="J73" s="571"/>
    </row>
    <row r="74" spans="1:10" ht="13.5" customHeight="1" x14ac:dyDescent="0.2">
      <c r="A74" s="662" t="s">
        <v>873</v>
      </c>
      <c r="B74" s="681"/>
      <c r="C74" s="665">
        <v>15</v>
      </c>
      <c r="D74" s="665">
        <v>2606040</v>
      </c>
      <c r="E74" s="665">
        <f>C74*D74</f>
        <v>39090600</v>
      </c>
      <c r="F74" s="621"/>
      <c r="G74" s="532">
        <v>15</v>
      </c>
      <c r="H74" s="532">
        <v>2606040</v>
      </c>
      <c r="I74" s="532">
        <f>G74*H74</f>
        <v>39090600</v>
      </c>
      <c r="J74" s="571"/>
    </row>
    <row r="75" spans="1:10" ht="24.95" customHeight="1" x14ac:dyDescent="0.2">
      <c r="A75" s="535" t="s">
        <v>874</v>
      </c>
      <c r="B75" s="681"/>
      <c r="C75" s="665"/>
      <c r="D75" s="665"/>
      <c r="E75" s="668">
        <v>37834000</v>
      </c>
      <c r="F75" s="621"/>
      <c r="G75" s="670"/>
      <c r="H75" s="670"/>
      <c r="I75" s="531">
        <v>31081000</v>
      </c>
      <c r="J75" s="575"/>
    </row>
    <row r="76" spans="1:10" ht="15" customHeight="1" x14ac:dyDescent="0.2">
      <c r="A76" s="535" t="s">
        <v>875</v>
      </c>
      <c r="B76" s="681"/>
      <c r="C76" s="665"/>
      <c r="D76" s="665"/>
      <c r="E76" s="665"/>
      <c r="F76" s="621"/>
      <c r="G76" s="670"/>
      <c r="H76" s="670"/>
      <c r="I76" s="621"/>
      <c r="J76" s="571"/>
    </row>
    <row r="77" spans="1:10" ht="34.5" customHeight="1" x14ac:dyDescent="0.2">
      <c r="A77" s="535" t="s">
        <v>876</v>
      </c>
      <c r="B77" s="665"/>
      <c r="C77" s="674">
        <v>12.33</v>
      </c>
      <c r="D77" s="665">
        <v>1632000</v>
      </c>
      <c r="E77" s="665">
        <f>C77*D77</f>
        <v>20122560</v>
      </c>
      <c r="F77" s="621"/>
      <c r="G77" s="533">
        <v>13.81</v>
      </c>
      <c r="H77" s="532">
        <v>1632000</v>
      </c>
      <c r="I77" s="532">
        <f>G77*H77</f>
        <v>22537920</v>
      </c>
      <c r="J77" s="576"/>
    </row>
    <row r="78" spans="1:10" ht="13.5" customHeight="1" x14ac:dyDescent="0.2">
      <c r="A78" s="535" t="s">
        <v>877</v>
      </c>
      <c r="B78" s="665"/>
      <c r="C78" s="665"/>
      <c r="D78" s="665"/>
      <c r="E78" s="668">
        <v>7038795</v>
      </c>
      <c r="F78" s="621"/>
      <c r="G78" s="670"/>
      <c r="H78" s="670"/>
      <c r="I78" s="531">
        <v>10352656</v>
      </c>
      <c r="J78" s="577"/>
    </row>
    <row r="79" spans="1:10" ht="13.5" customHeight="1" x14ac:dyDescent="0.2">
      <c r="A79" s="662" t="s">
        <v>878</v>
      </c>
      <c r="B79" s="665"/>
      <c r="C79" s="665"/>
      <c r="D79" s="665"/>
      <c r="E79" s="668"/>
      <c r="F79" s="621"/>
      <c r="G79" s="531">
        <v>280</v>
      </c>
      <c r="H79" s="531">
        <v>285</v>
      </c>
      <c r="I79" s="531">
        <f>G79*H79</f>
        <v>79800</v>
      </c>
      <c r="J79" s="571"/>
    </row>
    <row r="80" spans="1:10" ht="31.5" customHeight="1" x14ac:dyDescent="0.2">
      <c r="A80" s="535" t="s">
        <v>879</v>
      </c>
      <c r="B80" s="665"/>
      <c r="C80" s="665"/>
      <c r="D80" s="665"/>
      <c r="E80" s="668">
        <v>0</v>
      </c>
      <c r="F80" s="621"/>
      <c r="G80" s="670"/>
      <c r="H80" s="670"/>
      <c r="I80" s="531">
        <v>0</v>
      </c>
      <c r="J80" s="571"/>
    </row>
    <row r="81" spans="1:256" ht="28.5" customHeight="1" x14ac:dyDescent="0.2">
      <c r="A81" s="669"/>
      <c r="B81" s="665"/>
      <c r="C81" s="665"/>
      <c r="D81" s="665"/>
      <c r="E81" s="684"/>
      <c r="F81" s="621"/>
      <c r="G81" s="670"/>
      <c r="H81" s="670"/>
      <c r="I81" s="621"/>
      <c r="J81" s="571"/>
      <c r="K81" s="671"/>
    </row>
    <row r="82" spans="1:256" ht="13.5" customHeight="1" x14ac:dyDescent="0.2">
      <c r="A82" s="672" t="s">
        <v>880</v>
      </c>
      <c r="B82" s="665"/>
      <c r="C82" s="665"/>
      <c r="D82" s="665"/>
      <c r="E82" s="684"/>
      <c r="F82" s="621"/>
      <c r="G82" s="670"/>
      <c r="H82" s="670"/>
      <c r="I82" s="621"/>
      <c r="J82" s="571"/>
    </row>
    <row r="83" spans="1:256" ht="13.5" customHeight="1" x14ac:dyDescent="0.2">
      <c r="A83" s="535" t="s">
        <v>881</v>
      </c>
      <c r="B83" s="665"/>
      <c r="C83" s="665"/>
      <c r="D83" s="665"/>
      <c r="E83" s="684"/>
      <c r="F83" s="621"/>
      <c r="G83" s="670"/>
      <c r="H83" s="670"/>
      <c r="I83" s="621"/>
      <c r="J83" s="571"/>
    </row>
    <row r="84" spans="1:256" ht="13.5" customHeight="1" x14ac:dyDescent="0.2">
      <c r="A84" s="535" t="s">
        <v>882</v>
      </c>
      <c r="B84" s="665"/>
      <c r="C84" s="665">
        <v>4865</v>
      </c>
      <c r="D84" s="665">
        <v>1140</v>
      </c>
      <c r="E84" s="685"/>
      <c r="F84" s="621"/>
      <c r="G84" s="532">
        <v>4837</v>
      </c>
      <c r="H84" s="532">
        <v>1140</v>
      </c>
      <c r="I84" s="283">
        <f>G84*H84</f>
        <v>5514180</v>
      </c>
      <c r="J84" s="571"/>
    </row>
    <row r="85" spans="1:256" ht="30" customHeight="1" x14ac:dyDescent="0.2">
      <c r="A85" s="662" t="s">
        <v>883</v>
      </c>
      <c r="B85" s="665"/>
      <c r="C85" s="665"/>
      <c r="D85" s="665"/>
      <c r="E85" s="685"/>
      <c r="F85" s="621"/>
      <c r="G85" s="665"/>
      <c r="H85" s="665"/>
      <c r="I85" s="283">
        <v>0</v>
      </c>
      <c r="J85" s="571"/>
    </row>
    <row r="86" spans="1:256" ht="13.5" customHeight="1" x14ac:dyDescent="0.2">
      <c r="A86" s="676"/>
      <c r="B86" s="681"/>
      <c r="C86" s="665"/>
      <c r="D86" s="679"/>
      <c r="E86" s="665"/>
      <c r="F86" s="621"/>
      <c r="G86" s="670"/>
      <c r="H86" s="670"/>
      <c r="I86" s="621"/>
      <c r="J86" s="571"/>
      <c r="K86" s="671"/>
    </row>
    <row r="87" spans="1:256" ht="25.5" customHeight="1" x14ac:dyDescent="0.2">
      <c r="A87" s="686" t="s">
        <v>884</v>
      </c>
      <c r="B87" s="681"/>
      <c r="C87" s="687"/>
      <c r="D87" s="665"/>
      <c r="E87" s="668"/>
      <c r="F87" s="681"/>
      <c r="G87" s="670"/>
      <c r="H87" s="670"/>
      <c r="I87" s="621"/>
      <c r="J87" s="571"/>
      <c r="K87" s="671"/>
      <c r="L87" s="671"/>
      <c r="N87" s="282"/>
    </row>
    <row r="88" spans="1:256" ht="13.5" customHeight="1" thickBot="1" x14ac:dyDescent="0.25">
      <c r="A88" s="688"/>
      <c r="B88" s="689"/>
      <c r="C88" s="690"/>
      <c r="D88" s="691"/>
      <c r="E88" s="690"/>
      <c r="F88" s="692"/>
      <c r="G88" s="693"/>
      <c r="H88" s="693"/>
      <c r="I88" s="692"/>
      <c r="J88" s="571"/>
    </row>
    <row r="89" spans="1:256" ht="11.25" customHeight="1" thickBot="1" x14ac:dyDescent="0.25">
      <c r="A89" s="694" t="s">
        <v>885</v>
      </c>
      <c r="B89" s="695"/>
      <c r="C89" s="695"/>
      <c r="D89" s="696"/>
      <c r="E89" s="697">
        <f>E12+E14+E17+E20+E23+E28+E31+E34+E39+E40+E41+E42+E44+E49+E51+E54+E58+E59+E63+E64+E67+E68+E69+E72+E74+E75+E77+E78</f>
        <v>987821085</v>
      </c>
      <c r="F89" s="1298">
        <f>I12+I16+I19+I22+I25+I28+I31+I34+I35+I39+I40+I41+I42+I44+I49+I50+I51+I52+I54+I58+I59+I66+I67+I68+I69+I72+I74+I75+I77+I78+I79+I80+I84+I45+I46+I43+I55</f>
        <v>992732374</v>
      </c>
      <c r="G89" s="1298"/>
      <c r="H89" s="1298"/>
      <c r="I89" s="1299"/>
      <c r="J89" s="7"/>
      <c r="K89" s="698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88"/>
      <c r="B91" s="188"/>
      <c r="C91" s="188"/>
      <c r="D91" s="188"/>
      <c r="E91" s="19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J39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2" customWidth="1"/>
    <col min="6" max="6" width="15.140625" style="3" customWidth="1"/>
    <col min="7" max="7" width="0" style="242" hidden="1" customWidth="1"/>
    <col min="8" max="8" width="0" style="293" hidden="1" customWidth="1"/>
    <col min="9" max="9" width="10.28515625" style="242" hidden="1" customWidth="1"/>
    <col min="10" max="16384" width="9.140625" style="4"/>
  </cols>
  <sheetData>
    <row r="1" spans="1:10" ht="27.75" customHeight="1" x14ac:dyDescent="0.2">
      <c r="A1" s="1319" t="s">
        <v>1398</v>
      </c>
      <c r="B1" s="1319"/>
      <c r="C1" s="1319"/>
      <c r="D1" s="1319"/>
      <c r="E1" s="1319"/>
      <c r="F1" s="1319"/>
      <c r="G1" s="1319"/>
      <c r="H1" s="1319"/>
      <c r="I1" s="1319"/>
    </row>
    <row r="3" spans="1:10" ht="15" customHeight="1" x14ac:dyDescent="0.2">
      <c r="B3" s="1322" t="s">
        <v>77</v>
      </c>
      <c r="C3" s="1322"/>
      <c r="D3" s="1322"/>
      <c r="E3" s="1322"/>
      <c r="F3" s="1322"/>
      <c r="G3" s="1323"/>
      <c r="H3" s="1323"/>
      <c r="I3" s="1323"/>
    </row>
    <row r="4" spans="1:10" ht="15" customHeight="1" x14ac:dyDescent="0.2">
      <c r="B4" s="1326" t="s">
        <v>1151</v>
      </c>
      <c r="C4" s="1326"/>
      <c r="D4" s="1326"/>
      <c r="E4" s="1326"/>
      <c r="F4" s="1326"/>
      <c r="G4" s="4"/>
      <c r="H4" s="4"/>
      <c r="I4" s="4"/>
    </row>
    <row r="5" spans="1:10" ht="15" customHeight="1" x14ac:dyDescent="0.2">
      <c r="B5" s="1322"/>
      <c r="C5" s="1322"/>
      <c r="D5" s="1322"/>
      <c r="E5" s="1322"/>
    </row>
    <row r="6" spans="1:10" ht="15" customHeight="1" x14ac:dyDescent="0.2">
      <c r="B6" s="1324" t="s">
        <v>302</v>
      </c>
      <c r="C6" s="1325"/>
      <c r="D6" s="1325"/>
      <c r="E6" s="1325"/>
      <c r="F6" s="1325"/>
      <c r="G6" s="1325"/>
      <c r="H6" s="1325"/>
      <c r="I6" s="1325"/>
    </row>
    <row r="7" spans="1:10" ht="48.75" customHeight="1" x14ac:dyDescent="0.2">
      <c r="B7" s="226" t="s">
        <v>85</v>
      </c>
      <c r="C7" s="152" t="s">
        <v>1153</v>
      </c>
      <c r="D7" s="1321" t="s">
        <v>1152</v>
      </c>
      <c r="E7" s="1321"/>
      <c r="F7" s="1321"/>
      <c r="G7" s="1321" t="s">
        <v>562</v>
      </c>
      <c r="H7" s="1321"/>
      <c r="I7" s="1321"/>
    </row>
    <row r="8" spans="1:10" ht="35.450000000000003" customHeight="1" x14ac:dyDescent="0.2">
      <c r="B8" s="227"/>
      <c r="C8" s="31"/>
      <c r="D8" s="153" t="s">
        <v>62</v>
      </c>
      <c r="E8" s="228" t="s">
        <v>63</v>
      </c>
      <c r="F8" s="228" t="s">
        <v>1056</v>
      </c>
      <c r="G8" s="4"/>
      <c r="H8" s="4"/>
      <c r="I8" s="4"/>
    </row>
    <row r="9" spans="1:10" ht="15.95" customHeight="1" x14ac:dyDescent="0.2">
      <c r="B9" s="229" t="s">
        <v>574</v>
      </c>
      <c r="C9" s="230"/>
      <c r="D9" s="231"/>
      <c r="E9" s="232"/>
      <c r="F9" s="462"/>
      <c r="G9" s="4"/>
      <c r="H9" s="4"/>
      <c r="I9" s="4"/>
      <c r="J9" s="590"/>
    </row>
    <row r="10" spans="1:10" ht="36" customHeight="1" x14ac:dyDescent="0.2">
      <c r="B10" s="1054" t="s">
        <v>575</v>
      </c>
      <c r="C10" s="1055" t="s">
        <v>559</v>
      </c>
      <c r="D10" s="1056">
        <v>134990</v>
      </c>
      <c r="E10" s="1057">
        <v>98610</v>
      </c>
      <c r="F10" s="1058">
        <f>SUM(D10:E10)</f>
        <v>233600</v>
      </c>
      <c r="G10" s="4"/>
      <c r="H10" s="4"/>
      <c r="I10" s="4"/>
      <c r="J10" s="590"/>
    </row>
    <row r="11" spans="1:10" ht="23.25" customHeight="1" x14ac:dyDescent="0.2">
      <c r="B11" s="1054" t="s">
        <v>576</v>
      </c>
      <c r="C11" s="1054" t="s">
        <v>1154</v>
      </c>
      <c r="D11" s="1059">
        <v>150934</v>
      </c>
      <c r="E11" s="1057">
        <v>477966</v>
      </c>
      <c r="F11" s="1058">
        <f>SUM(D11:E11)</f>
        <v>628900</v>
      </c>
      <c r="G11" s="4"/>
      <c r="H11" s="4"/>
      <c r="I11" s="4"/>
      <c r="J11" s="622"/>
    </row>
    <row r="12" spans="1:10" ht="22.5" customHeight="1" x14ac:dyDescent="0.2">
      <c r="B12" s="1054" t="s">
        <v>577</v>
      </c>
      <c r="C12" s="1060" t="s">
        <v>578</v>
      </c>
      <c r="D12" s="1059">
        <v>218716</v>
      </c>
      <c r="E12" s="1057">
        <v>299684</v>
      </c>
      <c r="F12" s="1058">
        <f>SUM(D12:E12)</f>
        <v>518400</v>
      </c>
      <c r="G12" s="4"/>
      <c r="H12" s="4"/>
      <c r="I12" s="4"/>
      <c r="J12" s="590"/>
    </row>
    <row r="13" spans="1:10" ht="23.25" customHeight="1" x14ac:dyDescent="0.2">
      <c r="B13" s="1061" t="s">
        <v>579</v>
      </c>
      <c r="C13" s="1060"/>
      <c r="D13" s="1062">
        <f>SUM(D10:D12)</f>
        <v>504640</v>
      </c>
      <c r="E13" s="1063">
        <f>SUM(E10:E12)</f>
        <v>876260</v>
      </c>
      <c r="F13" s="1064">
        <f>SUM(D13:E13)</f>
        <v>1380900</v>
      </c>
      <c r="G13" s="4"/>
      <c r="H13" s="4"/>
      <c r="I13" s="4"/>
      <c r="J13" s="590"/>
    </row>
    <row r="14" spans="1:10" ht="15.95" customHeight="1" x14ac:dyDescent="0.2">
      <c r="C14" s="234"/>
      <c r="D14" s="324"/>
      <c r="E14" s="262"/>
      <c r="F14" s="463"/>
      <c r="G14" s="4"/>
      <c r="H14" s="4"/>
      <c r="I14" s="4"/>
      <c r="J14" s="590"/>
    </row>
    <row r="15" spans="1:10" s="305" customFormat="1" ht="17.25" customHeight="1" x14ac:dyDescent="0.2">
      <c r="B15" s="556" t="s">
        <v>580</v>
      </c>
      <c r="C15" s="557"/>
      <c r="D15" s="862">
        <v>2076</v>
      </c>
      <c r="E15" s="264"/>
      <c r="F15" s="863">
        <f>D15+E15</f>
        <v>2076</v>
      </c>
      <c r="J15" s="591"/>
    </row>
    <row r="16" spans="1:10" ht="15.95" customHeight="1" x14ac:dyDescent="0.2">
      <c r="B16" s="230"/>
      <c r="C16" s="236"/>
      <c r="D16" s="324"/>
      <c r="E16" s="262"/>
      <c r="F16" s="463"/>
      <c r="G16" s="4"/>
      <c r="H16" s="4"/>
      <c r="I16" s="4"/>
      <c r="J16" s="590"/>
    </row>
    <row r="17" spans="1:10" ht="15.95" customHeight="1" x14ac:dyDescent="0.2">
      <c r="B17" s="1320" t="s">
        <v>581</v>
      </c>
      <c r="C17" s="1320"/>
      <c r="D17" s="324"/>
      <c r="E17" s="262"/>
      <c r="F17" s="463"/>
      <c r="G17" s="4"/>
      <c r="H17" s="4"/>
      <c r="I17" s="4"/>
      <c r="J17" s="590"/>
    </row>
    <row r="18" spans="1:10" ht="15.95" customHeight="1" x14ac:dyDescent="0.2">
      <c r="C18" s="234"/>
      <c r="D18" s="324"/>
      <c r="E18" s="262"/>
      <c r="F18" s="463"/>
      <c r="G18" s="4"/>
      <c r="H18" s="4"/>
      <c r="I18" s="4"/>
      <c r="J18" s="590"/>
    </row>
    <row r="19" spans="1:10" ht="78.75" customHeight="1" x14ac:dyDescent="0.2">
      <c r="B19" s="238" t="s">
        <v>582</v>
      </c>
      <c r="C19" s="239" t="s">
        <v>583</v>
      </c>
      <c r="D19" s="324">
        <v>19000</v>
      </c>
      <c r="E19" s="262"/>
      <c r="F19" s="463">
        <f t="shared" ref="F19:F29" si="0">SUM(D19:E19)</f>
        <v>19000</v>
      </c>
      <c r="G19" s="4"/>
      <c r="H19" s="4"/>
      <c r="I19" s="4"/>
      <c r="J19" s="590"/>
    </row>
    <row r="20" spans="1:10" ht="15.95" customHeight="1" x14ac:dyDescent="0.2">
      <c r="A20" s="4"/>
      <c r="B20" s="230" t="s">
        <v>584</v>
      </c>
      <c r="C20" s="236"/>
      <c r="D20" s="862">
        <f>SUM(D18:D19)</f>
        <v>19000</v>
      </c>
      <c r="E20" s="264"/>
      <c r="F20" s="863">
        <f t="shared" si="0"/>
        <v>19000</v>
      </c>
      <c r="G20" s="4"/>
      <c r="H20" s="4"/>
      <c r="I20" s="4"/>
      <c r="J20" s="590"/>
    </row>
    <row r="21" spans="1:10" ht="15.95" customHeight="1" x14ac:dyDescent="0.2">
      <c r="A21" s="4"/>
      <c r="B21" s="230"/>
      <c r="C21" s="236"/>
      <c r="D21" s="324"/>
      <c r="E21" s="262"/>
      <c r="F21" s="463"/>
      <c r="G21" s="4"/>
      <c r="H21" s="4"/>
      <c r="I21" s="4"/>
      <c r="J21" s="590"/>
    </row>
    <row r="22" spans="1:10" ht="15.95" customHeight="1" x14ac:dyDescent="0.2">
      <c r="A22" s="4"/>
      <c r="B22" s="229" t="s">
        <v>585</v>
      </c>
      <c r="C22" s="236"/>
      <c r="D22" s="324"/>
      <c r="E22" s="262"/>
      <c r="F22" s="463"/>
      <c r="G22" s="4"/>
      <c r="H22" s="4"/>
      <c r="I22" s="4"/>
      <c r="J22" s="590"/>
    </row>
    <row r="23" spans="1:10" ht="15.95" customHeight="1" x14ac:dyDescent="0.2">
      <c r="A23" s="4"/>
      <c r="B23" s="3" t="s">
        <v>586</v>
      </c>
      <c r="C23" s="236"/>
      <c r="D23" s="324"/>
      <c r="E23" s="262"/>
      <c r="F23" s="463">
        <f t="shared" si="0"/>
        <v>0</v>
      </c>
      <c r="G23" s="4"/>
      <c r="H23" s="4"/>
      <c r="I23" s="4"/>
      <c r="J23" s="590"/>
    </row>
    <row r="24" spans="1:10" s="305" customFormat="1" ht="15.95" customHeight="1" x14ac:dyDescent="0.2">
      <c r="B24" s="4" t="s">
        <v>105</v>
      </c>
      <c r="C24" s="323"/>
      <c r="D24" s="324">
        <v>0</v>
      </c>
      <c r="E24" s="262"/>
      <c r="F24" s="463">
        <f t="shared" si="0"/>
        <v>0</v>
      </c>
      <c r="G24" s="4"/>
      <c r="J24" s="591"/>
    </row>
    <row r="25" spans="1:10" s="305" customFormat="1" ht="15.95" customHeight="1" x14ac:dyDescent="0.2">
      <c r="B25" s="4" t="s">
        <v>547</v>
      </c>
      <c r="C25" s="323"/>
      <c r="D25" s="324">
        <v>1500</v>
      </c>
      <c r="E25" s="262"/>
      <c r="F25" s="463">
        <f>SUM(D25:E25)</f>
        <v>1500</v>
      </c>
      <c r="G25" s="4"/>
      <c r="J25" s="591"/>
    </row>
    <row r="26" spans="1:10" ht="15.95" customHeight="1" x14ac:dyDescent="0.2">
      <c r="A26" s="4"/>
      <c r="B26" s="3" t="s">
        <v>587</v>
      </c>
      <c r="C26" s="236"/>
      <c r="D26" s="324">
        <v>8</v>
      </c>
      <c r="E26" s="262"/>
      <c r="F26" s="463">
        <f t="shared" si="0"/>
        <v>8</v>
      </c>
      <c r="G26" s="4"/>
      <c r="H26" s="4"/>
      <c r="I26" s="4"/>
      <c r="J26" s="590"/>
    </row>
    <row r="27" spans="1:10" ht="15.95" customHeight="1" x14ac:dyDescent="0.2">
      <c r="A27" s="4"/>
      <c r="B27" s="3" t="s">
        <v>588</v>
      </c>
      <c r="C27" s="236"/>
      <c r="D27" s="324"/>
      <c r="E27" s="262"/>
      <c r="F27" s="463">
        <f t="shared" si="0"/>
        <v>0</v>
      </c>
      <c r="G27" s="4"/>
      <c r="H27" s="4"/>
      <c r="I27" s="4"/>
      <c r="J27" s="590"/>
    </row>
    <row r="28" spans="1:10" ht="15.95" customHeight="1" x14ac:dyDescent="0.2">
      <c r="A28" s="4"/>
      <c r="B28" s="230" t="s">
        <v>589</v>
      </c>
      <c r="C28" s="236"/>
      <c r="D28" s="862">
        <f>SUM(D23:D27)</f>
        <v>1508</v>
      </c>
      <c r="E28" s="264">
        <f>SUM(E23:E27)</f>
        <v>0</v>
      </c>
      <c r="F28" s="863">
        <f t="shared" si="0"/>
        <v>1508</v>
      </c>
      <c r="G28" s="4"/>
      <c r="H28" s="4"/>
      <c r="I28" s="4"/>
      <c r="J28" s="590"/>
    </row>
    <row r="29" spans="1:10" ht="15.95" customHeight="1" x14ac:dyDescent="0.2">
      <c r="A29" s="4"/>
      <c r="B29" s="230"/>
      <c r="C29" s="236"/>
      <c r="D29" s="324"/>
      <c r="E29" s="262"/>
      <c r="F29" s="864">
        <f t="shared" si="0"/>
        <v>0</v>
      </c>
      <c r="G29" s="4"/>
      <c r="H29" s="4"/>
      <c r="I29" s="4"/>
      <c r="J29" s="590"/>
    </row>
    <row r="30" spans="1:10" ht="15.95" customHeight="1" x14ac:dyDescent="0.2">
      <c r="A30" s="4"/>
      <c r="B30" s="240" t="s">
        <v>590</v>
      </c>
      <c r="C30" s="241"/>
      <c r="D30" s="865">
        <f>D13+D15+D20+D28</f>
        <v>527224</v>
      </c>
      <c r="E30" s="865">
        <f>E13+E15+E20+E28</f>
        <v>876260</v>
      </c>
      <c r="F30" s="865">
        <f>SUM(D30:E30)</f>
        <v>1403484</v>
      </c>
      <c r="G30" s="4"/>
      <c r="H30" s="4"/>
      <c r="I30" s="4"/>
    </row>
    <row r="31" spans="1:10" ht="15.95" customHeight="1" x14ac:dyDescent="0.2">
      <c r="A31" s="4"/>
      <c r="G31" s="4"/>
      <c r="H31" s="4"/>
      <c r="I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I94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1" customWidth="1"/>
    <col min="2" max="2" width="57.5703125" style="193" customWidth="1"/>
    <col min="3" max="3" width="8.7109375" style="155" customWidth="1"/>
    <col min="4" max="4" width="9.5703125" style="155" customWidth="1"/>
    <col min="5" max="5" width="8.28515625" style="155" customWidth="1"/>
    <col min="6" max="16384" width="9.140625" style="8"/>
  </cols>
  <sheetData>
    <row r="1" spans="1:8" x14ac:dyDescent="0.2">
      <c r="B1" s="1327" t="s">
        <v>1399</v>
      </c>
      <c r="C1" s="1327"/>
      <c r="D1" s="1327"/>
      <c r="E1" s="1327"/>
    </row>
    <row r="2" spans="1:8" x14ac:dyDescent="0.2">
      <c r="B2" s="194"/>
    </row>
    <row r="3" spans="1:8" x14ac:dyDescent="0.2">
      <c r="A3" s="1331" t="s">
        <v>54</v>
      </c>
      <c r="B3" s="1331"/>
      <c r="C3" s="1331"/>
      <c r="D3" s="1331"/>
      <c r="E3" s="1331"/>
    </row>
    <row r="4" spans="1:8" ht="11.25" customHeight="1" x14ac:dyDescent="0.2">
      <c r="A4" s="1331" t="s">
        <v>1155</v>
      </c>
      <c r="B4" s="1331"/>
      <c r="C4" s="1331"/>
      <c r="D4" s="1331"/>
      <c r="E4" s="1331"/>
    </row>
    <row r="5" spans="1:8" x14ac:dyDescent="0.2">
      <c r="A5" s="1331" t="s">
        <v>1119</v>
      </c>
      <c r="B5" s="1331"/>
      <c r="C5" s="1331"/>
      <c r="D5" s="1331"/>
      <c r="E5" s="1331"/>
    </row>
    <row r="6" spans="1:8" ht="12.75" x14ac:dyDescent="0.2">
      <c r="B6" s="1332" t="s">
        <v>302</v>
      </c>
      <c r="C6" s="1333"/>
      <c r="D6" s="1333"/>
      <c r="E6" s="1333"/>
    </row>
    <row r="7" spans="1:8" ht="24" customHeight="1" x14ac:dyDescent="0.2">
      <c r="A7" s="1334" t="s">
        <v>76</v>
      </c>
      <c r="B7" s="1328" t="s">
        <v>85</v>
      </c>
      <c r="C7" s="1330" t="s">
        <v>1144</v>
      </c>
      <c r="D7" s="1330"/>
      <c r="E7" s="1330"/>
    </row>
    <row r="8" spans="1:8" ht="21" x14ac:dyDescent="0.2">
      <c r="A8" s="1334"/>
      <c r="B8" s="1329"/>
      <c r="C8" s="832" t="s">
        <v>62</v>
      </c>
      <c r="D8" s="832" t="s">
        <v>63</v>
      </c>
      <c r="E8" s="832" t="s">
        <v>64</v>
      </c>
      <c r="F8" s="578"/>
    </row>
    <row r="9" spans="1:8" x14ac:dyDescent="0.2">
      <c r="A9" s="760" t="s">
        <v>479</v>
      </c>
      <c r="B9" s="835" t="s">
        <v>86</v>
      </c>
      <c r="C9" s="166"/>
      <c r="D9" s="166"/>
      <c r="E9" s="833"/>
      <c r="F9" s="830"/>
    </row>
    <row r="10" spans="1:8" ht="12" thickBot="1" x14ac:dyDescent="0.25">
      <c r="A10" s="760" t="s">
        <v>487</v>
      </c>
      <c r="B10" s="195" t="s">
        <v>87</v>
      </c>
      <c r="C10" s="286"/>
      <c r="D10" s="166"/>
      <c r="E10" s="434">
        <f>SUM(C10:D10)</f>
        <v>0</v>
      </c>
      <c r="F10" s="830"/>
    </row>
    <row r="11" spans="1:8" s="9" customFormat="1" ht="12" thickBot="1" x14ac:dyDescent="0.25">
      <c r="A11" s="905" t="s">
        <v>488</v>
      </c>
      <c r="B11" s="1020" t="s">
        <v>163</v>
      </c>
      <c r="C11" s="1021">
        <f>C12+C13+C14+C15</f>
        <v>809771</v>
      </c>
      <c r="D11" s="1021">
        <f t="shared" ref="D11:E11" si="0">D12+D13+D14+D15</f>
        <v>127978</v>
      </c>
      <c r="E11" s="543">
        <f t="shared" si="0"/>
        <v>937749</v>
      </c>
      <c r="F11" s="752"/>
      <c r="G11" s="752"/>
    </row>
    <row r="12" spans="1:8" s="9" customFormat="1" x14ac:dyDescent="0.2">
      <c r="A12" s="760" t="s">
        <v>489</v>
      </c>
      <c r="B12" s="197" t="s">
        <v>160</v>
      </c>
      <c r="C12" s="716">
        <v>608538</v>
      </c>
      <c r="D12" s="716"/>
      <c r="E12" s="1208">
        <f t="shared" ref="E12:E15" si="1">C12+D12</f>
        <v>608538</v>
      </c>
      <c r="F12" s="752"/>
    </row>
    <row r="13" spans="1:8" s="9" customFormat="1" x14ac:dyDescent="0.2">
      <c r="A13" s="760" t="s">
        <v>490</v>
      </c>
      <c r="B13" s="197" t="s">
        <v>161</v>
      </c>
      <c r="C13" s="716">
        <v>88677</v>
      </c>
      <c r="D13" s="716"/>
      <c r="E13" s="834">
        <f t="shared" si="1"/>
        <v>88677</v>
      </c>
      <c r="F13" s="752"/>
    </row>
    <row r="14" spans="1:8" s="9" customFormat="1" x14ac:dyDescent="0.2">
      <c r="A14" s="760" t="s">
        <v>491</v>
      </c>
      <c r="B14" s="197" t="s">
        <v>162</v>
      </c>
      <c r="C14" s="716">
        <v>101686</v>
      </c>
      <c r="D14" s="716">
        <v>127978</v>
      </c>
      <c r="E14" s="834">
        <f t="shared" si="1"/>
        <v>229664</v>
      </c>
      <c r="F14" s="752"/>
      <c r="G14" s="752"/>
    </row>
    <row r="15" spans="1:8" s="9" customFormat="1" x14ac:dyDescent="0.2">
      <c r="A15" s="760" t="s">
        <v>492</v>
      </c>
      <c r="B15" s="197" t="s">
        <v>179</v>
      </c>
      <c r="C15" s="166">
        <v>10870</v>
      </c>
      <c r="D15" s="166"/>
      <c r="E15" s="434">
        <f t="shared" si="1"/>
        <v>10870</v>
      </c>
      <c r="F15" s="752"/>
    </row>
    <row r="16" spans="1:8" s="9" customFormat="1" ht="12" thickBot="1" x14ac:dyDescent="0.25">
      <c r="A16" s="1172" t="s">
        <v>493</v>
      </c>
      <c r="B16" s="1023" t="s">
        <v>164</v>
      </c>
      <c r="C16" s="1024">
        <v>0</v>
      </c>
      <c r="D16" s="1024"/>
      <c r="E16" s="1026">
        <v>0</v>
      </c>
      <c r="F16" s="752"/>
      <c r="H16" s="752"/>
    </row>
    <row r="17" spans="1:7" s="9" customFormat="1" ht="12" thickBot="1" x14ac:dyDescent="0.25">
      <c r="A17" s="1173" t="s">
        <v>494</v>
      </c>
      <c r="B17" s="1020" t="s">
        <v>187</v>
      </c>
      <c r="C17" s="908">
        <v>2272</v>
      </c>
      <c r="D17" s="908"/>
      <c r="E17" s="909">
        <f>C17+D17</f>
        <v>2272</v>
      </c>
      <c r="F17" s="1025"/>
      <c r="G17" s="752"/>
    </row>
    <row r="18" spans="1:7" s="9" customFormat="1" ht="12" thickBot="1" x14ac:dyDescent="0.25">
      <c r="A18" s="760" t="s">
        <v>530</v>
      </c>
      <c r="B18" s="1020" t="s">
        <v>282</v>
      </c>
      <c r="C18" s="908">
        <v>152</v>
      </c>
      <c r="D18" s="908">
        <v>1496</v>
      </c>
      <c r="E18" s="909">
        <f>C18+D18</f>
        <v>1648</v>
      </c>
      <c r="F18" s="752"/>
      <c r="G18" s="752"/>
    </row>
    <row r="19" spans="1:7" x14ac:dyDescent="0.2">
      <c r="A19" s="1174" t="s">
        <v>531</v>
      </c>
      <c r="B19" s="196"/>
      <c r="C19" s="166"/>
      <c r="D19" s="166"/>
      <c r="E19" s="434"/>
      <c r="F19" s="830"/>
    </row>
    <row r="20" spans="1:7" x14ac:dyDescent="0.2">
      <c r="A20" s="760" t="s">
        <v>532</v>
      </c>
      <c r="B20" s="195" t="s">
        <v>17</v>
      </c>
      <c r="C20" s="170"/>
      <c r="D20" s="170"/>
      <c r="E20" s="437"/>
      <c r="F20" s="830"/>
    </row>
    <row r="21" spans="1:7" x14ac:dyDescent="0.2">
      <c r="A21" s="760" t="s">
        <v>533</v>
      </c>
      <c r="B21" s="1171" t="s">
        <v>963</v>
      </c>
      <c r="C21" s="349">
        <f>C22</f>
        <v>0</v>
      </c>
      <c r="D21" s="349">
        <f t="shared" ref="D21" si="2">D22</f>
        <v>275</v>
      </c>
      <c r="E21" s="349">
        <f t="shared" ref="E21" si="3">E22</f>
        <v>275</v>
      </c>
      <c r="F21" s="578"/>
    </row>
    <row r="22" spans="1:7" x14ac:dyDescent="0.2">
      <c r="A22" s="760" t="s">
        <v>534</v>
      </c>
      <c r="B22" s="177" t="s">
        <v>1271</v>
      </c>
      <c r="C22" s="286"/>
      <c r="D22" s="286">
        <v>275</v>
      </c>
      <c r="E22" s="458">
        <f>SUM(C22:D22)</f>
        <v>275</v>
      </c>
      <c r="F22" s="830"/>
    </row>
    <row r="23" spans="1:7" x14ac:dyDescent="0.2">
      <c r="A23" s="760" t="s">
        <v>535</v>
      </c>
      <c r="B23" s="1171" t="s">
        <v>1272</v>
      </c>
      <c r="C23" s="349">
        <f>C24</f>
        <v>0</v>
      </c>
      <c r="D23" s="349">
        <f t="shared" ref="D23" si="4">D24</f>
        <v>0</v>
      </c>
      <c r="E23" s="349">
        <f t="shared" ref="E23" si="5">E24</f>
        <v>0</v>
      </c>
      <c r="F23" s="578"/>
    </row>
    <row r="24" spans="1:7" x14ac:dyDescent="0.2">
      <c r="A24" s="760" t="s">
        <v>536</v>
      </c>
      <c r="B24" s="177" t="s">
        <v>157</v>
      </c>
      <c r="C24" s="286">
        <v>0</v>
      </c>
      <c r="D24" s="286"/>
      <c r="E24" s="458">
        <f>SUM(C24:D24)</f>
        <v>0</v>
      </c>
      <c r="F24" s="830"/>
    </row>
    <row r="25" spans="1:7" x14ac:dyDescent="0.2">
      <c r="A25" s="760" t="s">
        <v>537</v>
      </c>
      <c r="B25" s="197" t="s">
        <v>1277</v>
      </c>
      <c r="C25" s="170">
        <f>SUM(C26:C34)</f>
        <v>52144</v>
      </c>
      <c r="D25" s="170">
        <f t="shared" ref="D25:E25" si="6">SUM(D26:D34)</f>
        <v>33</v>
      </c>
      <c r="E25" s="170">
        <f t="shared" si="6"/>
        <v>52177</v>
      </c>
      <c r="F25" s="578"/>
      <c r="G25" s="830"/>
    </row>
    <row r="26" spans="1:7" x14ac:dyDescent="0.2">
      <c r="A26" s="760" t="s">
        <v>539</v>
      </c>
      <c r="B26" s="196" t="s">
        <v>1162</v>
      </c>
      <c r="C26" s="166">
        <v>0</v>
      </c>
      <c r="D26" s="166"/>
      <c r="E26" s="434">
        <f>C26+D26</f>
        <v>0</v>
      </c>
      <c r="F26" s="830"/>
    </row>
    <row r="27" spans="1:7" x14ac:dyDescent="0.2">
      <c r="A27" s="760" t="s">
        <v>540</v>
      </c>
      <c r="B27" s="196" t="s">
        <v>1161</v>
      </c>
      <c r="C27" s="286">
        <v>0</v>
      </c>
      <c r="D27" s="286"/>
      <c r="E27" s="458">
        <f>C27+D27</f>
        <v>0</v>
      </c>
      <c r="F27" s="830"/>
    </row>
    <row r="28" spans="1:7" x14ac:dyDescent="0.2">
      <c r="A28" s="760" t="s">
        <v>541</v>
      </c>
      <c r="B28" s="196" t="s">
        <v>548</v>
      </c>
      <c r="C28" s="166">
        <v>0</v>
      </c>
      <c r="D28" s="166"/>
      <c r="E28" s="434">
        <f t="shared" ref="E28:E30" si="7">SUM(C28:D28)</f>
        <v>0</v>
      </c>
      <c r="F28" s="830"/>
    </row>
    <row r="29" spans="1:7" x14ac:dyDescent="0.2">
      <c r="A29" s="760" t="s">
        <v>542</v>
      </c>
      <c r="B29" s="196" t="s">
        <v>157</v>
      </c>
      <c r="C29" s="286">
        <v>0</v>
      </c>
      <c r="D29" s="286"/>
      <c r="E29" s="458">
        <f t="shared" si="7"/>
        <v>0</v>
      </c>
      <c r="F29" s="830"/>
    </row>
    <row r="30" spans="1:7" s="1147" customFormat="1" ht="22.5" x14ac:dyDescent="0.2">
      <c r="A30" s="760" t="s">
        <v>543</v>
      </c>
      <c r="B30" s="935" t="s">
        <v>1206</v>
      </c>
      <c r="C30" s="1148"/>
      <c r="D30" s="1148">
        <v>0</v>
      </c>
      <c r="E30" s="1149">
        <f t="shared" si="7"/>
        <v>0</v>
      </c>
      <c r="F30" s="1146"/>
    </row>
    <row r="31" spans="1:7" ht="23.25" customHeight="1" x14ac:dyDescent="0.2">
      <c r="A31" s="760" t="s">
        <v>545</v>
      </c>
      <c r="B31" s="935" t="s">
        <v>1248</v>
      </c>
      <c r="C31" s="166"/>
      <c r="D31" s="166">
        <v>0</v>
      </c>
      <c r="E31" s="434">
        <f>D31+C31</f>
        <v>0</v>
      </c>
      <c r="F31" s="830"/>
    </row>
    <row r="32" spans="1:7" ht="23.25" customHeight="1" x14ac:dyDescent="0.2">
      <c r="A32" s="760" t="s">
        <v>546</v>
      </c>
      <c r="B32" s="935" t="s">
        <v>1346</v>
      </c>
      <c r="C32" s="166">
        <v>13007</v>
      </c>
      <c r="D32" s="166"/>
      <c r="E32" s="434">
        <f t="shared" ref="E32:E34" si="8">D32+C32</f>
        <v>13007</v>
      </c>
      <c r="F32" s="830"/>
    </row>
    <row r="33" spans="1:7" ht="11.25" customHeight="1" x14ac:dyDescent="0.2">
      <c r="A33" s="760" t="s">
        <v>564</v>
      </c>
      <c r="B33" s="935" t="s">
        <v>1347</v>
      </c>
      <c r="C33" s="166">
        <v>39137</v>
      </c>
      <c r="D33" s="166"/>
      <c r="E33" s="434">
        <f t="shared" si="8"/>
        <v>39137</v>
      </c>
      <c r="F33" s="830"/>
    </row>
    <row r="34" spans="1:7" ht="11.25" customHeight="1" x14ac:dyDescent="0.2">
      <c r="A34" s="760" t="s">
        <v>565</v>
      </c>
      <c r="B34" s="935" t="s">
        <v>1385</v>
      </c>
      <c r="C34" s="166"/>
      <c r="D34" s="166">
        <v>33</v>
      </c>
      <c r="E34" s="434">
        <f t="shared" si="8"/>
        <v>33</v>
      </c>
      <c r="F34" s="830"/>
    </row>
    <row r="35" spans="1:7" ht="11.25" customHeight="1" x14ac:dyDescent="0.2">
      <c r="A35" s="760" t="s">
        <v>566</v>
      </c>
      <c r="B35" s="1171" t="s">
        <v>1273</v>
      </c>
      <c r="C35" s="349">
        <f>C36</f>
        <v>0</v>
      </c>
      <c r="D35" s="349">
        <f t="shared" ref="D35" si="9">D36</f>
        <v>2468</v>
      </c>
      <c r="E35" s="349">
        <f t="shared" ref="E35" si="10">E36</f>
        <v>2468</v>
      </c>
      <c r="F35" s="578"/>
    </row>
    <row r="36" spans="1:7" ht="11.25" customHeight="1" x14ac:dyDescent="0.2">
      <c r="A36" s="760" t="s">
        <v>567</v>
      </c>
      <c r="B36" s="206" t="s">
        <v>1100</v>
      </c>
      <c r="C36" s="166"/>
      <c r="D36" s="166">
        <v>2468</v>
      </c>
      <c r="E36" s="434">
        <f>SUM(C36:D36)</f>
        <v>2468</v>
      </c>
      <c r="F36" s="830"/>
    </row>
    <row r="37" spans="1:7" x14ac:dyDescent="0.2">
      <c r="A37" s="760" t="s">
        <v>568</v>
      </c>
      <c r="B37" s="197" t="s">
        <v>71</v>
      </c>
      <c r="C37" s="349">
        <f>SUM(C38:C38)</f>
        <v>4485</v>
      </c>
      <c r="D37" s="349">
        <f>SUM(D38:D38)</f>
        <v>0</v>
      </c>
      <c r="E37" s="435">
        <f>SUM(E38:E38)</f>
        <v>4485</v>
      </c>
      <c r="F37" s="830"/>
    </row>
    <row r="38" spans="1:7" ht="10.5" customHeight="1" thickBot="1" x14ac:dyDescent="0.25">
      <c r="A38" s="760" t="s">
        <v>569</v>
      </c>
      <c r="B38" s="177" t="s">
        <v>1349</v>
      </c>
      <c r="C38" s="286">
        <v>4485</v>
      </c>
      <c r="D38" s="286"/>
      <c r="E38" s="458">
        <f t="shared" ref="E38" si="11">C38+D38</f>
        <v>4485</v>
      </c>
      <c r="F38" s="830"/>
    </row>
    <row r="39" spans="1:7" ht="12" thickBot="1" x14ac:dyDescent="0.25">
      <c r="A39" s="1173" t="s">
        <v>570</v>
      </c>
      <c r="B39" s="488" t="s">
        <v>158</v>
      </c>
      <c r="C39" s="299">
        <f>C25+C37+C21+C23+C35</f>
        <v>56629</v>
      </c>
      <c r="D39" s="299">
        <f>D25+D37+D21+D23+D35</f>
        <v>2776</v>
      </c>
      <c r="E39" s="902">
        <f>E25+E37+E21+E23+E35</f>
        <v>59405</v>
      </c>
      <c r="F39" s="830"/>
      <c r="G39" s="830"/>
    </row>
    <row r="40" spans="1:7" x14ac:dyDescent="0.2">
      <c r="A40" s="760" t="s">
        <v>571</v>
      </c>
      <c r="B40" s="175"/>
      <c r="C40" s="170"/>
      <c r="D40" s="170"/>
      <c r="E40" s="437"/>
      <c r="F40" s="830"/>
    </row>
    <row r="41" spans="1:7" x14ac:dyDescent="0.2">
      <c r="A41" s="760" t="s">
        <v>572</v>
      </c>
      <c r="B41" s="177" t="s">
        <v>964</v>
      </c>
      <c r="C41" s="170"/>
      <c r="D41" s="170"/>
      <c r="E41" s="437"/>
      <c r="F41" s="830"/>
    </row>
    <row r="42" spans="1:7" ht="12" thickBot="1" x14ac:dyDescent="0.25">
      <c r="A42" s="1172" t="s">
        <v>624</v>
      </c>
      <c r="B42" s="177" t="s">
        <v>1348</v>
      </c>
      <c r="C42" s="170"/>
      <c r="D42" s="166">
        <v>19610</v>
      </c>
      <c r="E42" s="434">
        <f>C42+D42</f>
        <v>19610</v>
      </c>
      <c r="F42" s="830"/>
    </row>
    <row r="43" spans="1:7" ht="12" thickBot="1" x14ac:dyDescent="0.25">
      <c r="A43" s="760" t="s">
        <v>625</v>
      </c>
      <c r="B43" s="488" t="s">
        <v>964</v>
      </c>
      <c r="C43" s="299">
        <f>SUM(C42:C42)</f>
        <v>0</v>
      </c>
      <c r="D43" s="299">
        <f>SUM(D42:D42)</f>
        <v>19610</v>
      </c>
      <c r="E43" s="902">
        <f>SUM(E42:E42)</f>
        <v>19610</v>
      </c>
      <c r="F43" s="830"/>
      <c r="G43" s="830"/>
    </row>
    <row r="44" spans="1:7" ht="12" thickBot="1" x14ac:dyDescent="0.25">
      <c r="A44" s="1173" t="s">
        <v>626</v>
      </c>
      <c r="B44" s="175"/>
      <c r="C44" s="170"/>
      <c r="D44" s="170"/>
      <c r="E44" s="437"/>
      <c r="F44" s="830"/>
    </row>
    <row r="45" spans="1:7" ht="12" thickBot="1" x14ac:dyDescent="0.25">
      <c r="A45" s="760" t="s">
        <v>627</v>
      </c>
      <c r="B45" s="488" t="s">
        <v>91</v>
      </c>
      <c r="C45" s="299">
        <f>C11+C16+IC17+C18+C25+C37+C43+C17+C23+C35+C21</f>
        <v>868824</v>
      </c>
      <c r="D45" s="299">
        <f>D11+D16+ID17+D18+D25+D37+D43+D17+D23+D35+D21</f>
        <v>151860</v>
      </c>
      <c r="E45" s="902">
        <f>E11+E16+IE17+E18+E25+E37+E43+E17+E23+E35+E21</f>
        <v>1020684</v>
      </c>
      <c r="F45" s="830"/>
    </row>
    <row r="46" spans="1:7" x14ac:dyDescent="0.2">
      <c r="A46" s="1174" t="s">
        <v>115</v>
      </c>
      <c r="B46" s="175"/>
      <c r="C46" s="170"/>
      <c r="D46" s="170"/>
      <c r="E46" s="437"/>
      <c r="F46" s="830"/>
    </row>
    <row r="47" spans="1:7" x14ac:dyDescent="0.2">
      <c r="A47" s="760" t="s">
        <v>652</v>
      </c>
      <c r="B47" s="831" t="s">
        <v>327</v>
      </c>
      <c r="C47" s="170"/>
      <c r="D47" s="170"/>
      <c r="E47" s="437"/>
      <c r="F47" s="830"/>
    </row>
    <row r="48" spans="1:7" x14ac:dyDescent="0.2">
      <c r="A48" s="760" t="s">
        <v>653</v>
      </c>
      <c r="B48" s="177" t="s">
        <v>1078</v>
      </c>
      <c r="C48" s="166">
        <v>2847</v>
      </c>
      <c r="D48" s="166"/>
      <c r="E48" s="434">
        <f>SUM(C48:D48)</f>
        <v>2847</v>
      </c>
      <c r="F48" s="830"/>
    </row>
    <row r="49" spans="1:6" ht="12" thickBot="1" x14ac:dyDescent="0.25">
      <c r="A49" s="1172" t="s">
        <v>118</v>
      </c>
      <c r="B49" s="175" t="s">
        <v>19</v>
      </c>
      <c r="C49" s="170">
        <f>SUM(C48)</f>
        <v>2847</v>
      </c>
      <c r="D49" s="170">
        <f t="shared" ref="D49:E49" si="12">SUM(D48)</f>
        <v>0</v>
      </c>
      <c r="E49" s="437">
        <f t="shared" si="12"/>
        <v>2847</v>
      </c>
      <c r="F49" s="830"/>
    </row>
    <row r="50" spans="1:6" ht="12" thickBot="1" x14ac:dyDescent="0.25">
      <c r="A50" s="1173" t="s">
        <v>119</v>
      </c>
      <c r="B50" s="488" t="s">
        <v>666</v>
      </c>
      <c r="C50" s="299">
        <f>SUM(C49)</f>
        <v>2847</v>
      </c>
      <c r="D50" s="299">
        <f>SUM(D49)</f>
        <v>0</v>
      </c>
      <c r="E50" s="902">
        <f>SUM(C50:D50)</f>
        <v>2847</v>
      </c>
      <c r="F50" s="830"/>
    </row>
    <row r="51" spans="1:6" x14ac:dyDescent="0.2">
      <c r="A51" s="760" t="s">
        <v>120</v>
      </c>
      <c r="B51" s="175"/>
      <c r="C51" s="170"/>
      <c r="D51" s="170"/>
      <c r="E51" s="437"/>
      <c r="F51" s="830"/>
    </row>
    <row r="52" spans="1:6" x14ac:dyDescent="0.2">
      <c r="A52" s="760" t="s">
        <v>123</v>
      </c>
      <c r="B52" s="831" t="s">
        <v>667</v>
      </c>
      <c r="C52" s="170"/>
      <c r="D52" s="170"/>
      <c r="E52" s="437"/>
      <c r="F52" s="830"/>
    </row>
    <row r="53" spans="1:6" x14ac:dyDescent="0.2">
      <c r="A53" s="760" t="s">
        <v>126</v>
      </c>
      <c r="B53" s="177" t="s">
        <v>165</v>
      </c>
      <c r="C53" s="166"/>
      <c r="D53" s="166">
        <v>2005</v>
      </c>
      <c r="E53" s="434">
        <f>SUM(C53:D53)</f>
        <v>2005</v>
      </c>
      <c r="F53" s="830"/>
    </row>
    <row r="54" spans="1:6" x14ac:dyDescent="0.2">
      <c r="A54" s="760" t="s">
        <v>127</v>
      </c>
      <c r="B54" s="177" t="s">
        <v>166</v>
      </c>
      <c r="C54" s="166"/>
      <c r="D54" s="166"/>
      <c r="E54" s="434"/>
      <c r="F54" s="830"/>
    </row>
    <row r="55" spans="1:6" ht="12" thickBot="1" x14ac:dyDescent="0.25">
      <c r="A55" s="760" t="s">
        <v>128</v>
      </c>
      <c r="B55" s="175" t="s">
        <v>19</v>
      </c>
      <c r="C55" s="170">
        <f>SUM(C53:C54)</f>
        <v>0</v>
      </c>
      <c r="D55" s="170">
        <f>SUM(D53:D54)</f>
        <v>2005</v>
      </c>
      <c r="E55" s="437">
        <f>SUM(E53:E54)</f>
        <v>2005</v>
      </c>
      <c r="F55" s="830"/>
    </row>
    <row r="56" spans="1:6" ht="12" thickBot="1" x14ac:dyDescent="0.25">
      <c r="A56" s="1174" t="s">
        <v>129</v>
      </c>
      <c r="B56" s="488" t="s">
        <v>167</v>
      </c>
      <c r="C56" s="299">
        <f>C55</f>
        <v>0</v>
      </c>
      <c r="D56" s="299">
        <f>D55</f>
        <v>2005</v>
      </c>
      <c r="E56" s="902">
        <f>E55</f>
        <v>2005</v>
      </c>
      <c r="F56" s="830"/>
    </row>
    <row r="57" spans="1:6" x14ac:dyDescent="0.2">
      <c r="A57" s="1174" t="s">
        <v>132</v>
      </c>
      <c r="B57" s="175"/>
      <c r="C57" s="170"/>
      <c r="D57" s="170"/>
      <c r="E57" s="437"/>
      <c r="F57" s="830"/>
    </row>
    <row r="58" spans="1:6" x14ac:dyDescent="0.2">
      <c r="A58" s="760" t="s">
        <v>135</v>
      </c>
      <c r="B58" s="831" t="s">
        <v>1120</v>
      </c>
      <c r="C58" s="170"/>
      <c r="D58" s="170"/>
      <c r="E58" s="437"/>
      <c r="F58" s="830"/>
    </row>
    <row r="59" spans="1:6" x14ac:dyDescent="0.2">
      <c r="A59" s="760" t="s">
        <v>138</v>
      </c>
      <c r="B59" s="177" t="s">
        <v>165</v>
      </c>
      <c r="C59" s="166">
        <v>0</v>
      </c>
      <c r="D59" s="166">
        <v>140</v>
      </c>
      <c r="E59" s="458">
        <f>C59+D59</f>
        <v>140</v>
      </c>
      <c r="F59" s="1175"/>
    </row>
    <row r="60" spans="1:6" x14ac:dyDescent="0.2">
      <c r="A60" s="760" t="s">
        <v>139</v>
      </c>
      <c r="B60" s="175" t="s">
        <v>19</v>
      </c>
      <c r="C60" s="170">
        <f>C59</f>
        <v>0</v>
      </c>
      <c r="D60" s="170">
        <f t="shared" ref="D60:E60" si="13">D59</f>
        <v>140</v>
      </c>
      <c r="E60" s="435">
        <f t="shared" si="13"/>
        <v>140</v>
      </c>
      <c r="F60" s="830"/>
    </row>
    <row r="61" spans="1:6" x14ac:dyDescent="0.2">
      <c r="A61" s="760" t="s">
        <v>142</v>
      </c>
      <c r="B61" s="177" t="s">
        <v>1121</v>
      </c>
      <c r="C61" s="170"/>
      <c r="D61" s="166">
        <v>588</v>
      </c>
      <c r="E61" s="434">
        <f>C61+D61</f>
        <v>588</v>
      </c>
      <c r="F61" s="830"/>
    </row>
    <row r="62" spans="1:6" ht="12" thickBot="1" x14ac:dyDescent="0.25">
      <c r="A62" s="760" t="s">
        <v>143</v>
      </c>
      <c r="B62" s="175" t="s">
        <v>964</v>
      </c>
      <c r="C62" s="170">
        <f>C61</f>
        <v>0</v>
      </c>
      <c r="D62" s="170">
        <f t="shared" ref="D62:E62" si="14">D61</f>
        <v>588</v>
      </c>
      <c r="E62" s="437">
        <f t="shared" si="14"/>
        <v>588</v>
      </c>
      <c r="F62" s="830"/>
    </row>
    <row r="63" spans="1:6" ht="12" thickBot="1" x14ac:dyDescent="0.25">
      <c r="A63" s="1174" t="s">
        <v>144</v>
      </c>
      <c r="B63" s="488" t="s">
        <v>1122</v>
      </c>
      <c r="C63" s="299">
        <f>C60+C62</f>
        <v>0</v>
      </c>
      <c r="D63" s="299">
        <f t="shared" ref="D63:E63" si="15">D60+D62</f>
        <v>728</v>
      </c>
      <c r="E63" s="902">
        <f t="shared" si="15"/>
        <v>728</v>
      </c>
      <c r="F63" s="830"/>
    </row>
    <row r="64" spans="1:6" x14ac:dyDescent="0.2">
      <c r="A64" s="1174" t="s">
        <v>145</v>
      </c>
      <c r="B64" s="175"/>
      <c r="C64" s="166"/>
      <c r="D64" s="166"/>
      <c r="E64" s="434"/>
      <c r="F64" s="830"/>
    </row>
    <row r="65" spans="1:9" x14ac:dyDescent="0.2">
      <c r="A65" s="760" t="s">
        <v>146</v>
      </c>
      <c r="B65" s="831" t="s">
        <v>93</v>
      </c>
      <c r="C65" s="286"/>
      <c r="D65" s="286"/>
      <c r="E65" s="458"/>
      <c r="F65" s="830"/>
      <c r="G65" s="830"/>
    </row>
    <row r="66" spans="1:9" x14ac:dyDescent="0.2">
      <c r="A66" s="760" t="s">
        <v>148</v>
      </c>
      <c r="B66" s="175" t="s">
        <v>17</v>
      </c>
      <c r="C66" s="286"/>
      <c r="D66" s="286"/>
      <c r="E66" s="458"/>
      <c r="F66" s="830"/>
    </row>
    <row r="67" spans="1:9" x14ac:dyDescent="0.2">
      <c r="A67" s="760" t="s">
        <v>151</v>
      </c>
      <c r="B67" s="177" t="s">
        <v>92</v>
      </c>
      <c r="C67" s="286">
        <v>10396</v>
      </c>
      <c r="D67" s="286"/>
      <c r="E67" s="458">
        <f>SUM(C67:D67)</f>
        <v>10396</v>
      </c>
      <c r="F67" s="830"/>
    </row>
    <row r="68" spans="1:9" x14ac:dyDescent="0.2">
      <c r="A68" s="760" t="s">
        <v>153</v>
      </c>
      <c r="B68" s="177" t="s">
        <v>299</v>
      </c>
      <c r="C68" s="286">
        <v>10040</v>
      </c>
      <c r="D68" s="286"/>
      <c r="E68" s="458">
        <f>SUM(C68:D68)</f>
        <v>10040</v>
      </c>
      <c r="F68" s="830"/>
    </row>
    <row r="69" spans="1:9" x14ac:dyDescent="0.2">
      <c r="A69" s="760" t="s">
        <v>154</v>
      </c>
      <c r="B69" s="177" t="s">
        <v>300</v>
      </c>
      <c r="C69" s="286">
        <v>429</v>
      </c>
      <c r="D69" s="286"/>
      <c r="E69" s="458">
        <f>SUM(C69:D69)</f>
        <v>429</v>
      </c>
      <c r="F69" s="830"/>
    </row>
    <row r="70" spans="1:9" x14ac:dyDescent="0.2">
      <c r="A70" s="760" t="s">
        <v>155</v>
      </c>
      <c r="B70" s="177" t="s">
        <v>166</v>
      </c>
      <c r="C70" s="286"/>
      <c r="D70" s="286"/>
      <c r="E70" s="458"/>
      <c r="F70" s="830"/>
    </row>
    <row r="71" spans="1:9" x14ac:dyDescent="0.2">
      <c r="A71" s="760" t="s">
        <v>1079</v>
      </c>
      <c r="B71" s="177" t="s">
        <v>165</v>
      </c>
      <c r="C71" s="286"/>
      <c r="D71" s="286">
        <v>1421</v>
      </c>
      <c r="E71" s="458">
        <f>SUM(C71:D71)</f>
        <v>1421</v>
      </c>
      <c r="F71" s="830"/>
    </row>
    <row r="72" spans="1:9" ht="12" thickBot="1" x14ac:dyDescent="0.25">
      <c r="A72" s="1172" t="s">
        <v>1080</v>
      </c>
      <c r="B72" s="175" t="s">
        <v>19</v>
      </c>
      <c r="C72" s="349">
        <f>SUM(C67:C71)</f>
        <v>20865</v>
      </c>
      <c r="D72" s="349">
        <f>SUM(D67:D71)</f>
        <v>1421</v>
      </c>
      <c r="E72" s="435">
        <f>SUM(E67:E71)</f>
        <v>22286</v>
      </c>
      <c r="F72" s="830"/>
    </row>
    <row r="73" spans="1:9" ht="12" thickBot="1" x14ac:dyDescent="0.25">
      <c r="A73" s="1173" t="s">
        <v>1274</v>
      </c>
      <c r="B73" s="1022" t="s">
        <v>94</v>
      </c>
      <c r="C73" s="908">
        <f>C72</f>
        <v>20865</v>
      </c>
      <c r="D73" s="908">
        <f>D72</f>
        <v>1421</v>
      </c>
      <c r="E73" s="909">
        <f>E72</f>
        <v>22286</v>
      </c>
      <c r="F73" s="830"/>
    </row>
    <row r="74" spans="1:9" s="9" customFormat="1" x14ac:dyDescent="0.2">
      <c r="A74" s="760" t="s">
        <v>1275</v>
      </c>
      <c r="B74" s="175"/>
      <c r="C74" s="349"/>
      <c r="D74" s="349"/>
      <c r="E74" s="435"/>
      <c r="F74" s="752"/>
    </row>
    <row r="75" spans="1:9" s="9" customFormat="1" x14ac:dyDescent="0.2">
      <c r="A75" s="760" t="s">
        <v>1276</v>
      </c>
      <c r="B75" s="175" t="s">
        <v>18</v>
      </c>
      <c r="C75" s="349">
        <f>C39+C55+C72+C49+C60</f>
        <v>80341</v>
      </c>
      <c r="D75" s="349">
        <f>D39+D55+D72+D49+D60</f>
        <v>6342</v>
      </c>
      <c r="E75" s="349">
        <f>E39+E55+E72+E49+E60</f>
        <v>86683</v>
      </c>
      <c r="F75" s="1089"/>
      <c r="G75" s="752"/>
    </row>
    <row r="76" spans="1:9" x14ac:dyDescent="0.2">
      <c r="A76" s="760" t="s">
        <v>1350</v>
      </c>
      <c r="B76" s="175" t="s">
        <v>95</v>
      </c>
      <c r="C76" s="170">
        <f>C43+C62</f>
        <v>0</v>
      </c>
      <c r="D76" s="170">
        <f>D43+D62</f>
        <v>20198</v>
      </c>
      <c r="E76" s="170">
        <f>E43+E62</f>
        <v>20198</v>
      </c>
      <c r="F76" s="578"/>
    </row>
    <row r="77" spans="1:9" ht="12" thickBot="1" x14ac:dyDescent="0.25">
      <c r="A77" s="1172" t="s">
        <v>1351</v>
      </c>
      <c r="B77" s="180"/>
      <c r="E77" s="434"/>
      <c r="F77" s="830"/>
      <c r="G77" s="830"/>
    </row>
    <row r="78" spans="1:9" s="10" customFormat="1" ht="12" thickBot="1" x14ac:dyDescent="0.25">
      <c r="A78" s="760" t="s">
        <v>1357</v>
      </c>
      <c r="B78" s="488" t="s">
        <v>96</v>
      </c>
      <c r="C78" s="299">
        <f>C45+C73+C56+C50+C63</f>
        <v>892536</v>
      </c>
      <c r="D78" s="299">
        <f>D45+D73+D56+D50+D63</f>
        <v>156014</v>
      </c>
      <c r="E78" s="902">
        <f>E45+E73+E56+E50+E63</f>
        <v>1048550</v>
      </c>
      <c r="F78" s="1027"/>
      <c r="G78" s="285"/>
      <c r="H78" s="285"/>
    </row>
    <row r="79" spans="1:9" s="10" customFormat="1" x14ac:dyDescent="0.2">
      <c r="A79" s="1174"/>
      <c r="B79" s="154"/>
      <c r="C79" s="155"/>
      <c r="D79" s="544"/>
      <c r="E79" s="544"/>
      <c r="I79" s="285"/>
    </row>
    <row r="80" spans="1:9" x14ac:dyDescent="0.2">
      <c r="B80" s="154"/>
    </row>
    <row r="81" spans="2:7" x14ac:dyDescent="0.2">
      <c r="B81" s="154"/>
      <c r="G81" s="830"/>
    </row>
    <row r="82" spans="2:7" x14ac:dyDescent="0.2">
      <c r="B82" s="180"/>
      <c r="G82" s="830"/>
    </row>
    <row r="83" spans="2:7" x14ac:dyDescent="0.2">
      <c r="B83" s="180"/>
    </row>
    <row r="85" spans="2:7" x14ac:dyDescent="0.2">
      <c r="B85" s="180"/>
    </row>
    <row r="86" spans="2:7" x14ac:dyDescent="0.2">
      <c r="B86" s="180"/>
    </row>
    <row r="87" spans="2:7" x14ac:dyDescent="0.2">
      <c r="B87" s="180"/>
    </row>
    <row r="88" spans="2:7" x14ac:dyDescent="0.2">
      <c r="B88" s="180"/>
    </row>
    <row r="89" spans="2:7" x14ac:dyDescent="0.2">
      <c r="B89" s="180"/>
    </row>
    <row r="90" spans="2:7" x14ac:dyDescent="0.2">
      <c r="B90" s="154"/>
    </row>
    <row r="91" spans="2:7" x14ac:dyDescent="0.2">
      <c r="B91" s="180"/>
    </row>
    <row r="92" spans="2:7" x14ac:dyDescent="0.2">
      <c r="B92" s="180"/>
    </row>
    <row r="93" spans="2:7" x14ac:dyDescent="0.2">
      <c r="B93" s="180"/>
    </row>
    <row r="94" spans="2:7" x14ac:dyDescent="0.2">
      <c r="B94" s="180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3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88" customWidth="1"/>
    <col min="2" max="2" width="9.85546875" style="188" hidden="1" customWidth="1"/>
    <col min="3" max="3" width="11.7109375" style="188" hidden="1" customWidth="1"/>
    <col min="4" max="4" width="9.85546875" style="188" hidden="1" customWidth="1"/>
    <col min="5" max="5" width="15.85546875" style="19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311" t="s">
        <v>293</v>
      </c>
      <c r="B1" s="1311"/>
      <c r="C1" s="1311"/>
      <c r="D1" s="1311"/>
      <c r="E1" s="1311"/>
      <c r="F1" s="1311"/>
      <c r="G1" s="1311"/>
      <c r="H1" s="1311"/>
      <c r="I1" s="1311"/>
    </row>
    <row r="2" spans="1:256" x14ac:dyDescent="0.2">
      <c r="F2" s="1337"/>
      <c r="G2" s="1337"/>
      <c r="H2" s="1337"/>
      <c r="I2" s="1337"/>
    </row>
    <row r="4" spans="1:256" ht="30" customHeight="1" x14ac:dyDescent="0.2">
      <c r="A4" s="1312" t="s">
        <v>77</v>
      </c>
      <c r="B4" s="1312"/>
      <c r="C4" s="1312"/>
      <c r="D4" s="1312"/>
      <c r="E4" s="1312"/>
      <c r="F4" s="1313"/>
      <c r="G4" s="1313"/>
      <c r="H4" s="1313"/>
      <c r="I4" s="1313"/>
    </row>
    <row r="5" spans="1:256" ht="33" customHeight="1" x14ac:dyDescent="0.2">
      <c r="A5" s="1312" t="s">
        <v>1032</v>
      </c>
      <c r="B5" s="1312"/>
      <c r="C5" s="1312"/>
      <c r="D5" s="1312"/>
      <c r="E5" s="1312"/>
      <c r="F5" s="1313"/>
      <c r="G5" s="1313"/>
      <c r="H5" s="1313"/>
      <c r="I5" s="1313"/>
    </row>
    <row r="7" spans="1:256" ht="13.5" thickBot="1" x14ac:dyDescent="0.25">
      <c r="E7" s="528" t="s">
        <v>20</v>
      </c>
      <c r="F7" s="914"/>
    </row>
    <row r="8" spans="1:256" ht="30.75" customHeight="1" thickBot="1" x14ac:dyDescent="0.25">
      <c r="A8" s="1314" t="s">
        <v>78</v>
      </c>
      <c r="B8" s="1316" t="s">
        <v>106</v>
      </c>
      <c r="C8" s="1317"/>
      <c r="D8" s="1317"/>
      <c r="E8" s="1317"/>
      <c r="F8" s="1338" t="s">
        <v>1001</v>
      </c>
      <c r="G8" s="1339"/>
      <c r="H8" s="1339"/>
      <c r="I8" s="1340"/>
    </row>
    <row r="9" spans="1:256" ht="36.75" thickBot="1" x14ac:dyDescent="0.25">
      <c r="A9" s="1315"/>
      <c r="B9" s="280" t="s">
        <v>79</v>
      </c>
      <c r="C9" s="189" t="s">
        <v>80</v>
      </c>
      <c r="D9" s="189" t="s">
        <v>679</v>
      </c>
      <c r="E9" s="281" t="s">
        <v>81</v>
      </c>
      <c r="F9" s="280" t="s">
        <v>79</v>
      </c>
      <c r="G9" s="189" t="s">
        <v>80</v>
      </c>
      <c r="H9" s="189" t="s">
        <v>679</v>
      </c>
      <c r="I9" s="281" t="s">
        <v>81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40" t="s">
        <v>82</v>
      </c>
      <c r="B10" s="541"/>
      <c r="C10" s="541"/>
      <c r="D10" s="541"/>
      <c r="E10" s="541"/>
      <c r="F10" s="542"/>
      <c r="G10" s="542"/>
      <c r="H10" s="542"/>
      <c r="I10" s="542"/>
      <c r="J10" s="571"/>
    </row>
    <row r="11" spans="1:256" ht="12.75" x14ac:dyDescent="0.2">
      <c r="A11" s="535" t="s">
        <v>817</v>
      </c>
      <c r="B11" s="665"/>
      <c r="C11" s="665"/>
      <c r="D11" s="665"/>
      <c r="E11" s="665"/>
      <c r="F11" s="729"/>
      <c r="G11" s="729"/>
      <c r="H11" s="729"/>
      <c r="I11" s="729"/>
      <c r="J11" s="571"/>
    </row>
    <row r="12" spans="1:256" ht="36" x14ac:dyDescent="0.2">
      <c r="A12" s="662" t="s">
        <v>818</v>
      </c>
      <c r="B12" s="665">
        <v>4865</v>
      </c>
      <c r="C12" s="730">
        <v>18.690000000000001</v>
      </c>
      <c r="D12" s="665">
        <v>4580000</v>
      </c>
      <c r="E12" s="665">
        <f>C12*D12</f>
        <v>85600200</v>
      </c>
      <c r="F12" s="777" t="s">
        <v>1002</v>
      </c>
      <c r="G12" s="530">
        <v>18.32</v>
      </c>
      <c r="H12" s="530">
        <v>4580000</v>
      </c>
      <c r="I12" s="531">
        <f>G12*H12</f>
        <v>83905600</v>
      </c>
      <c r="J12" s="571"/>
    </row>
    <row r="13" spans="1:256" ht="12.75" x14ac:dyDescent="0.2">
      <c r="A13" s="535" t="s">
        <v>819</v>
      </c>
      <c r="B13" s="665"/>
      <c r="C13" s="665"/>
      <c r="D13" s="665"/>
      <c r="E13" s="665"/>
      <c r="F13" s="621"/>
      <c r="G13" s="670"/>
      <c r="H13" s="670"/>
      <c r="I13" s="621"/>
      <c r="J13" s="571"/>
    </row>
    <row r="14" spans="1:256" ht="12.75" x14ac:dyDescent="0.2">
      <c r="A14" s="662" t="s">
        <v>820</v>
      </c>
      <c r="B14" s="665"/>
      <c r="C14" s="674"/>
      <c r="D14" s="665" t="s">
        <v>294</v>
      </c>
      <c r="E14" s="665">
        <v>8328800</v>
      </c>
      <c r="F14" s="621"/>
      <c r="G14" s="670"/>
      <c r="H14" s="530" t="s">
        <v>294</v>
      </c>
      <c r="I14" s="531">
        <v>8329050</v>
      </c>
      <c r="J14" s="571"/>
    </row>
    <row r="15" spans="1:256" ht="12.75" x14ac:dyDescent="0.2">
      <c r="A15" s="662" t="s">
        <v>821</v>
      </c>
      <c r="B15" s="532"/>
      <c r="C15" s="533"/>
      <c r="D15" s="532"/>
      <c r="E15" s="532"/>
      <c r="F15" s="531"/>
      <c r="G15" s="530"/>
      <c r="H15" s="530"/>
      <c r="I15" s="531">
        <v>-8329050</v>
      </c>
      <c r="J15" s="571"/>
    </row>
    <row r="16" spans="1:256" ht="24" x14ac:dyDescent="0.2">
      <c r="A16" s="662" t="s">
        <v>822</v>
      </c>
      <c r="B16" s="532"/>
      <c r="C16" s="533"/>
      <c r="D16" s="532"/>
      <c r="E16" s="532"/>
      <c r="F16" s="531"/>
      <c r="G16" s="530"/>
      <c r="H16" s="530"/>
      <c r="I16" s="531">
        <f>I14+I15</f>
        <v>0</v>
      </c>
      <c r="J16" s="571"/>
    </row>
    <row r="17" spans="1:10" ht="12.75" x14ac:dyDescent="0.2">
      <c r="A17" s="535" t="s">
        <v>823</v>
      </c>
      <c r="B17" s="665"/>
      <c r="C17" s="665"/>
      <c r="D17" s="733" t="s">
        <v>295</v>
      </c>
      <c r="E17" s="665">
        <v>18272000</v>
      </c>
      <c r="F17" s="621"/>
      <c r="G17" s="670"/>
      <c r="H17" s="530" t="s">
        <v>296</v>
      </c>
      <c r="I17" s="531">
        <v>18304000</v>
      </c>
      <c r="J17" s="571"/>
    </row>
    <row r="18" spans="1:10" ht="12.75" x14ac:dyDescent="0.2">
      <c r="A18" s="535" t="s">
        <v>821</v>
      </c>
      <c r="B18" s="532"/>
      <c r="C18" s="532"/>
      <c r="D18" s="664"/>
      <c r="E18" s="532"/>
      <c r="F18" s="531"/>
      <c r="G18" s="530"/>
      <c r="H18" s="530"/>
      <c r="I18" s="531">
        <v>-18304000</v>
      </c>
      <c r="J18" s="571"/>
    </row>
    <row r="19" spans="1:10" ht="12.75" x14ac:dyDescent="0.2">
      <c r="A19" s="535" t="s">
        <v>824</v>
      </c>
      <c r="B19" s="532"/>
      <c r="C19" s="532"/>
      <c r="D19" s="664"/>
      <c r="E19" s="532"/>
      <c r="F19" s="531"/>
      <c r="G19" s="530"/>
      <c r="H19" s="530"/>
      <c r="I19" s="531">
        <f>I17+I18</f>
        <v>0</v>
      </c>
      <c r="J19" s="571"/>
    </row>
    <row r="20" spans="1:10" ht="12.75" x14ac:dyDescent="0.2">
      <c r="A20" s="535" t="s">
        <v>825</v>
      </c>
      <c r="B20" s="665"/>
      <c r="C20" s="665" t="s">
        <v>826</v>
      </c>
      <c r="D20" s="666" t="s">
        <v>680</v>
      </c>
      <c r="E20" s="665">
        <v>1355022</v>
      </c>
      <c r="F20" s="621"/>
      <c r="G20" s="665"/>
      <c r="H20" s="667" t="s">
        <v>680</v>
      </c>
      <c r="I20" s="531">
        <v>1355022</v>
      </c>
      <c r="J20" s="571"/>
    </row>
    <row r="21" spans="1:10" ht="12.75" x14ac:dyDescent="0.2">
      <c r="A21" s="535" t="s">
        <v>827</v>
      </c>
      <c r="B21" s="532"/>
      <c r="C21" s="532"/>
      <c r="D21" s="667"/>
      <c r="E21" s="532"/>
      <c r="F21" s="531"/>
      <c r="G21" s="532"/>
      <c r="H21" s="667"/>
      <c r="I21" s="531">
        <v>-1355022</v>
      </c>
      <c r="J21" s="571"/>
    </row>
    <row r="22" spans="1:10" ht="12.75" x14ac:dyDescent="0.2">
      <c r="A22" s="535" t="s">
        <v>828</v>
      </c>
      <c r="B22" s="532"/>
      <c r="C22" s="532"/>
      <c r="D22" s="667"/>
      <c r="E22" s="532"/>
      <c r="F22" s="531"/>
      <c r="G22" s="532"/>
      <c r="H22" s="667"/>
      <c r="I22" s="531">
        <f>I20+I21</f>
        <v>0</v>
      </c>
      <c r="J22" s="571"/>
    </row>
    <row r="23" spans="1:10" ht="12.75" x14ac:dyDescent="0.2">
      <c r="A23" s="535" t="s">
        <v>829</v>
      </c>
      <c r="B23" s="665"/>
      <c r="C23" s="674"/>
      <c r="D23" s="733" t="s">
        <v>681</v>
      </c>
      <c r="E23" s="665">
        <v>6369620</v>
      </c>
      <c r="F23" s="621"/>
      <c r="G23" s="670"/>
      <c r="H23" s="664" t="s">
        <v>681</v>
      </c>
      <c r="I23" s="531">
        <v>6369620</v>
      </c>
      <c r="J23" s="571"/>
    </row>
    <row r="24" spans="1:10" ht="12.75" x14ac:dyDescent="0.2">
      <c r="A24" s="535" t="s">
        <v>827</v>
      </c>
      <c r="B24" s="532"/>
      <c r="C24" s="533"/>
      <c r="D24" s="664"/>
      <c r="E24" s="532"/>
      <c r="F24" s="531"/>
      <c r="G24" s="530"/>
      <c r="H24" s="664"/>
      <c r="I24" s="531">
        <v>-6369620</v>
      </c>
      <c r="J24" s="571"/>
    </row>
    <row r="25" spans="1:10" ht="12.75" x14ac:dyDescent="0.2">
      <c r="A25" s="535" t="s">
        <v>830</v>
      </c>
      <c r="B25" s="532"/>
      <c r="C25" s="533"/>
      <c r="D25" s="664"/>
      <c r="E25" s="532"/>
      <c r="F25" s="531"/>
      <c r="G25" s="530"/>
      <c r="H25" s="664"/>
      <c r="I25" s="531">
        <f>I23+I24</f>
        <v>0</v>
      </c>
      <c r="J25" s="571"/>
    </row>
    <row r="26" spans="1:10" ht="12.75" x14ac:dyDescent="0.2">
      <c r="A26" s="535" t="s">
        <v>831</v>
      </c>
      <c r="B26" s="665">
        <v>4865</v>
      </c>
      <c r="C26" s="665"/>
      <c r="D26" s="665">
        <v>2700</v>
      </c>
      <c r="E26" s="665">
        <f>B26*D26</f>
        <v>13135500</v>
      </c>
      <c r="F26" s="531">
        <v>4705</v>
      </c>
      <c r="G26" s="670"/>
      <c r="H26" s="532">
        <v>2700</v>
      </c>
      <c r="I26" s="531">
        <f>F26*H26</f>
        <v>12703500</v>
      </c>
      <c r="J26" s="571"/>
    </row>
    <row r="27" spans="1:10" ht="12.75" x14ac:dyDescent="0.2">
      <c r="A27" s="535" t="s">
        <v>832</v>
      </c>
      <c r="B27" s="532"/>
      <c r="C27" s="532"/>
      <c r="D27" s="532"/>
      <c r="E27" s="532">
        <v>-13135500</v>
      </c>
      <c r="F27" s="531"/>
      <c r="G27" s="530"/>
      <c r="H27" s="530"/>
      <c r="I27" s="531">
        <v>-12703500</v>
      </c>
      <c r="J27" s="571"/>
    </row>
    <row r="28" spans="1:10" ht="12.75" x14ac:dyDescent="0.2">
      <c r="A28" s="535" t="s">
        <v>833</v>
      </c>
      <c r="B28" s="532"/>
      <c r="C28" s="532"/>
      <c r="D28" s="532"/>
      <c r="E28" s="532">
        <f>E26+E27</f>
        <v>0</v>
      </c>
      <c r="F28" s="531"/>
      <c r="G28" s="530"/>
      <c r="H28" s="530"/>
      <c r="I28" s="531">
        <f>I26+I27</f>
        <v>0</v>
      </c>
      <c r="J28" s="571"/>
    </row>
    <row r="29" spans="1:10" ht="12.75" x14ac:dyDescent="0.2">
      <c r="A29" s="535" t="s">
        <v>834</v>
      </c>
      <c r="B29" s="665">
        <v>10</v>
      </c>
      <c r="C29" s="665"/>
      <c r="D29" s="665" t="s">
        <v>297</v>
      </c>
      <c r="E29" s="668">
        <v>25500</v>
      </c>
      <c r="F29" s="915">
        <v>21</v>
      </c>
      <c r="G29" s="670"/>
      <c r="H29" s="532" t="s">
        <v>297</v>
      </c>
      <c r="I29" s="915">
        <v>53550</v>
      </c>
      <c r="J29" s="571"/>
    </row>
    <row r="30" spans="1:10" ht="12.75" x14ac:dyDescent="0.2">
      <c r="A30" s="535" t="s">
        <v>835</v>
      </c>
      <c r="B30" s="532"/>
      <c r="C30" s="532"/>
      <c r="D30" s="532"/>
      <c r="E30" s="532">
        <v>-25500</v>
      </c>
      <c r="F30" s="531"/>
      <c r="G30" s="530"/>
      <c r="H30" s="530"/>
      <c r="I30" s="915">
        <v>-53550</v>
      </c>
      <c r="J30" s="571"/>
    </row>
    <row r="31" spans="1:10" ht="12.75" x14ac:dyDescent="0.2">
      <c r="A31" s="535" t="s">
        <v>836</v>
      </c>
      <c r="B31" s="665"/>
      <c r="C31" s="665"/>
      <c r="D31" s="665"/>
      <c r="E31" s="668">
        <v>0</v>
      </c>
      <c r="F31" s="621"/>
      <c r="G31" s="670"/>
      <c r="H31" s="670"/>
      <c r="I31" s="915">
        <f>I29+I30</f>
        <v>0</v>
      </c>
      <c r="J31" s="571"/>
    </row>
    <row r="32" spans="1:10" ht="12.75" x14ac:dyDescent="0.2">
      <c r="A32" s="732" t="s">
        <v>939</v>
      </c>
      <c r="B32" s="665"/>
      <c r="C32" s="665">
        <v>487729000</v>
      </c>
      <c r="D32" s="674">
        <v>1.55</v>
      </c>
      <c r="E32" s="665">
        <f>C32*D32</f>
        <v>755979950</v>
      </c>
      <c r="F32" s="621"/>
      <c r="G32" s="531">
        <v>540752027</v>
      </c>
      <c r="H32" s="533">
        <v>1</v>
      </c>
      <c r="I32" s="531">
        <f>G32*H32</f>
        <v>540752027</v>
      </c>
      <c r="J32" s="571"/>
    </row>
    <row r="33" spans="1:18" ht="12.75" x14ac:dyDescent="0.2">
      <c r="A33" s="535" t="s">
        <v>832</v>
      </c>
      <c r="B33" s="532"/>
      <c r="C33" s="532"/>
      <c r="D33" s="536"/>
      <c r="E33" s="532">
        <v>-98054262</v>
      </c>
      <c r="F33" s="531"/>
      <c r="G33" s="530"/>
      <c r="H33" s="530"/>
      <c r="I33" s="915">
        <v>-76318159</v>
      </c>
      <c r="J33" s="571"/>
    </row>
    <row r="34" spans="1:18" ht="12.75" x14ac:dyDescent="0.2">
      <c r="A34" s="535" t="s">
        <v>838</v>
      </c>
      <c r="B34" s="665"/>
      <c r="C34" s="665"/>
      <c r="D34" s="679"/>
      <c r="E34" s="665">
        <f>E32+E33</f>
        <v>657925688</v>
      </c>
      <c r="F34" s="621"/>
      <c r="G34" s="670"/>
      <c r="H34" s="670"/>
      <c r="I34" s="915">
        <f>I32+I33</f>
        <v>464433868</v>
      </c>
      <c r="J34" s="571"/>
    </row>
    <row r="35" spans="1:18" ht="12.75" x14ac:dyDescent="0.2">
      <c r="A35" s="669" t="s">
        <v>1003</v>
      </c>
      <c r="B35" s="665"/>
      <c r="C35" s="665"/>
      <c r="D35" s="665"/>
      <c r="E35" s="665">
        <v>0</v>
      </c>
      <c r="F35" s="621"/>
      <c r="G35" s="670"/>
      <c r="H35" s="670"/>
      <c r="I35" s="531">
        <v>0</v>
      </c>
      <c r="J35" s="571"/>
      <c r="K35" s="916">
        <f>I12+I16+I19+I25+I28+I31+I34+I35</f>
        <v>548339468</v>
      </c>
      <c r="L35" s="6" t="s">
        <v>910</v>
      </c>
    </row>
    <row r="36" spans="1:18" ht="24" x14ac:dyDescent="0.2">
      <c r="A36" s="662" t="s">
        <v>1004</v>
      </c>
      <c r="B36" s="665"/>
      <c r="C36" s="665"/>
      <c r="D36" s="665"/>
      <c r="E36" s="665"/>
      <c r="F36" s="621"/>
      <c r="G36" s="670"/>
      <c r="H36" s="670"/>
      <c r="I36" s="531">
        <v>0</v>
      </c>
      <c r="J36" s="571"/>
      <c r="K36" s="671"/>
    </row>
    <row r="37" spans="1:18" ht="12.75" x14ac:dyDescent="0.2">
      <c r="A37" s="669"/>
      <c r="B37" s="665"/>
      <c r="C37" s="665"/>
      <c r="D37" s="665"/>
      <c r="E37" s="665"/>
      <c r="F37" s="621"/>
      <c r="G37" s="670"/>
      <c r="H37" s="670"/>
      <c r="I37" s="621"/>
      <c r="J37" s="571"/>
      <c r="K37" s="671"/>
    </row>
    <row r="38" spans="1:18" ht="12.75" x14ac:dyDescent="0.2">
      <c r="A38" s="672" t="s">
        <v>83</v>
      </c>
      <c r="B38" s="665"/>
      <c r="C38" s="665"/>
      <c r="D38" s="665"/>
      <c r="E38" s="665"/>
      <c r="F38" s="621"/>
      <c r="G38" s="670"/>
      <c r="H38" s="670"/>
      <c r="I38" s="621"/>
      <c r="J38" s="571"/>
    </row>
    <row r="39" spans="1:18" ht="24" x14ac:dyDescent="0.2">
      <c r="A39" s="662" t="s">
        <v>840</v>
      </c>
      <c r="B39" s="665"/>
      <c r="C39" s="665"/>
      <c r="D39" s="665"/>
      <c r="E39" s="665"/>
      <c r="F39" s="621"/>
      <c r="G39" s="670"/>
      <c r="H39" s="670"/>
      <c r="I39" s="621"/>
      <c r="J39" s="571"/>
    </row>
    <row r="40" spans="1:18" ht="12.75" x14ac:dyDescent="0.2">
      <c r="A40" s="662" t="s">
        <v>841</v>
      </c>
      <c r="B40" s="665"/>
      <c r="C40" s="674">
        <v>13.1</v>
      </c>
      <c r="D40" s="665">
        <v>4152000</v>
      </c>
      <c r="E40" s="665">
        <f>C40*D40*8/12</f>
        <v>36260800</v>
      </c>
      <c r="F40" s="917" t="s">
        <v>1033</v>
      </c>
      <c r="G40" s="918">
        <v>12.5</v>
      </c>
      <c r="H40" s="910">
        <v>4419000</v>
      </c>
      <c r="I40" s="915">
        <f>G40*8/12*4419000</f>
        <v>36825000</v>
      </c>
      <c r="J40" s="571"/>
    </row>
    <row r="41" spans="1:18" ht="12.75" x14ac:dyDescent="0.2">
      <c r="A41" s="662" t="s">
        <v>842</v>
      </c>
      <c r="B41" s="665"/>
      <c r="C41" s="674">
        <v>13.1</v>
      </c>
      <c r="D41" s="675">
        <v>4152000</v>
      </c>
      <c r="E41" s="665">
        <f>C41*D41*4/12</f>
        <v>18130400</v>
      </c>
      <c r="F41" s="917" t="s">
        <v>1033</v>
      </c>
      <c r="G41" s="919">
        <v>12.5</v>
      </c>
      <c r="H41" s="910">
        <v>4419000</v>
      </c>
      <c r="I41" s="915">
        <f>G41*4/12*H41</f>
        <v>18412500</v>
      </c>
      <c r="J41" s="571"/>
    </row>
    <row r="42" spans="1:18" ht="24" x14ac:dyDescent="0.2">
      <c r="A42" s="662" t="s">
        <v>843</v>
      </c>
      <c r="B42" s="665"/>
      <c r="C42" s="665">
        <v>10</v>
      </c>
      <c r="D42" s="665">
        <v>1800000</v>
      </c>
      <c r="E42" s="668">
        <f>C42*D42*8/12</f>
        <v>12000000</v>
      </c>
      <c r="F42" s="731"/>
      <c r="G42" s="673">
        <v>9</v>
      </c>
      <c r="H42" s="910">
        <v>2205000</v>
      </c>
      <c r="I42" s="531">
        <f>G42*H42*8/12</f>
        <v>13230000</v>
      </c>
      <c r="J42" s="571"/>
    </row>
    <row r="43" spans="1:18" ht="24" x14ac:dyDescent="0.2">
      <c r="A43" s="662" t="s">
        <v>940</v>
      </c>
      <c r="B43" s="665"/>
      <c r="C43" s="665"/>
      <c r="D43" s="665"/>
      <c r="E43" s="668"/>
      <c r="F43" s="621"/>
      <c r="G43" s="673">
        <v>0</v>
      </c>
      <c r="H43" s="910">
        <v>4419000</v>
      </c>
      <c r="I43" s="531">
        <f>G43*H43*8/12</f>
        <v>0</v>
      </c>
      <c r="J43" s="571"/>
    </row>
    <row r="44" spans="1:18" ht="24" x14ac:dyDescent="0.2">
      <c r="A44" s="662" t="s">
        <v>845</v>
      </c>
      <c r="B44" s="665"/>
      <c r="C44" s="665">
        <v>10</v>
      </c>
      <c r="D44" s="665">
        <v>1800000</v>
      </c>
      <c r="E44" s="665">
        <f>C44*D44*4/12</f>
        <v>6000000</v>
      </c>
      <c r="F44" s="621"/>
      <c r="G44" s="673">
        <v>9</v>
      </c>
      <c r="H44" s="910">
        <v>2205000</v>
      </c>
      <c r="I44" s="531">
        <f>G44*H44*4/12</f>
        <v>6615000</v>
      </c>
      <c r="J44" s="572"/>
    </row>
    <row r="45" spans="1:18" ht="39" x14ac:dyDescent="0.2">
      <c r="A45" s="662" t="s">
        <v>941</v>
      </c>
      <c r="B45" s="665"/>
      <c r="C45" s="665"/>
      <c r="D45" s="665"/>
      <c r="E45" s="665"/>
      <c r="F45" s="621"/>
      <c r="G45" s="673">
        <v>0</v>
      </c>
      <c r="H45" s="910">
        <v>4419000</v>
      </c>
      <c r="I45" s="531">
        <f>G45*H45*4/12</f>
        <v>0</v>
      </c>
      <c r="J45" s="572"/>
      <c r="K45" s="836" t="s">
        <v>911</v>
      </c>
      <c r="L45" s="671">
        <f>I12+I14+I17+I20+I23+I26+I29+I32</f>
        <v>671772369</v>
      </c>
      <c r="N45" s="837" t="s">
        <v>1034</v>
      </c>
      <c r="O45" s="671">
        <v>123432901</v>
      </c>
      <c r="P45" s="671">
        <f>I15+I18+I21+I24+I27+I30</f>
        <v>-47114742</v>
      </c>
      <c r="Q45" s="671">
        <f>O45+P45</f>
        <v>76318159</v>
      </c>
      <c r="R45" s="837" t="s">
        <v>912</v>
      </c>
    </row>
    <row r="46" spans="1:18" ht="12.75" x14ac:dyDescent="0.2">
      <c r="A46" s="535" t="s">
        <v>848</v>
      </c>
      <c r="B46" s="665"/>
      <c r="C46" s="665"/>
      <c r="D46" s="665"/>
      <c r="E46" s="665"/>
      <c r="F46" s="621"/>
      <c r="G46" s="670"/>
      <c r="H46" s="670"/>
      <c r="I46" s="621"/>
      <c r="J46" s="571"/>
    </row>
    <row r="47" spans="1:18" ht="24" x14ac:dyDescent="0.2">
      <c r="A47" s="662" t="s">
        <v>942</v>
      </c>
      <c r="B47" s="665"/>
      <c r="C47" s="665">
        <v>142</v>
      </c>
      <c r="D47" s="665">
        <v>70000</v>
      </c>
      <c r="E47" s="665">
        <f>C47*D47*8/12</f>
        <v>6626666.666666667</v>
      </c>
      <c r="F47" s="777"/>
      <c r="G47" s="915">
        <v>138</v>
      </c>
      <c r="H47" s="532">
        <v>81700</v>
      </c>
      <c r="I47" s="915">
        <f>G47*H47*8/12</f>
        <v>7516400</v>
      </c>
      <c r="J47" s="571"/>
    </row>
    <row r="48" spans="1:18" ht="24" x14ac:dyDescent="0.2">
      <c r="A48" s="662" t="s">
        <v>943</v>
      </c>
      <c r="B48" s="665"/>
      <c r="C48" s="665"/>
      <c r="D48" s="665"/>
      <c r="E48" s="665"/>
      <c r="F48" s="777"/>
      <c r="G48" s="531">
        <v>0</v>
      </c>
      <c r="H48" s="532">
        <v>80000</v>
      </c>
      <c r="I48" s="531">
        <v>0</v>
      </c>
      <c r="J48" s="571"/>
    </row>
    <row r="49" spans="1:12" ht="24" x14ac:dyDescent="0.2">
      <c r="A49" s="662" t="s">
        <v>897</v>
      </c>
      <c r="B49" s="665"/>
      <c r="C49" s="665">
        <v>142</v>
      </c>
      <c r="D49" s="665">
        <v>70000</v>
      </c>
      <c r="E49" s="665">
        <f>C49*D49*4/12</f>
        <v>3313333.3333333335</v>
      </c>
      <c r="F49" s="731"/>
      <c r="G49" s="531">
        <v>138</v>
      </c>
      <c r="H49" s="532">
        <v>81700</v>
      </c>
      <c r="I49" s="915">
        <f>G49*H49*4/12</f>
        <v>3758200</v>
      </c>
      <c r="J49" s="571"/>
    </row>
    <row r="50" spans="1:12" ht="24" x14ac:dyDescent="0.2">
      <c r="A50" s="662" t="s">
        <v>944</v>
      </c>
      <c r="B50" s="665"/>
      <c r="C50" s="665"/>
      <c r="D50" s="665"/>
      <c r="E50" s="665"/>
      <c r="F50" s="731"/>
      <c r="G50" s="531">
        <v>0</v>
      </c>
      <c r="H50" s="532">
        <v>80000</v>
      </c>
      <c r="I50" s="531">
        <v>0</v>
      </c>
      <c r="J50" s="571"/>
    </row>
    <row r="51" spans="1:12" ht="12.75" x14ac:dyDescent="0.2">
      <c r="A51" s="535" t="s">
        <v>898</v>
      </c>
      <c r="B51" s="665"/>
      <c r="C51" s="665"/>
      <c r="D51" s="665"/>
      <c r="E51" s="665"/>
      <c r="F51" s="621"/>
      <c r="G51" s="670"/>
      <c r="H51" s="670"/>
      <c r="I51" s="621"/>
      <c r="J51" s="571"/>
    </row>
    <row r="52" spans="1:12" ht="48" x14ac:dyDescent="0.2">
      <c r="A52" s="662" t="s">
        <v>1005</v>
      </c>
      <c r="B52" s="665"/>
      <c r="C52" s="665">
        <v>5</v>
      </c>
      <c r="D52" s="735" t="s">
        <v>298</v>
      </c>
      <c r="E52" s="665">
        <v>1760000</v>
      </c>
      <c r="F52" s="621"/>
      <c r="G52" s="920">
        <v>4</v>
      </c>
      <c r="H52" s="531">
        <v>401000</v>
      </c>
      <c r="I52" s="915">
        <f>G52*H52</f>
        <v>1604000</v>
      </c>
      <c r="J52" s="571"/>
    </row>
    <row r="53" spans="1:12" ht="48" x14ac:dyDescent="0.2">
      <c r="A53" s="662" t="s">
        <v>1006</v>
      </c>
      <c r="B53" s="665"/>
      <c r="C53" s="665"/>
      <c r="D53" s="665"/>
      <c r="E53" s="665"/>
      <c r="F53" s="621"/>
      <c r="G53" s="530">
        <v>0</v>
      </c>
      <c r="H53" s="531">
        <v>367583</v>
      </c>
      <c r="I53" s="531">
        <f>G53*H53</f>
        <v>0</v>
      </c>
      <c r="J53" s="571"/>
      <c r="K53" s="916">
        <f>SUM(I40:I53)</f>
        <v>87961100</v>
      </c>
      <c r="L53" s="6" t="s">
        <v>913</v>
      </c>
    </row>
    <row r="54" spans="1:12" ht="12.75" x14ac:dyDescent="0.2">
      <c r="A54" s="662"/>
      <c r="B54" s="665"/>
      <c r="C54" s="665"/>
      <c r="D54" s="665"/>
      <c r="E54" s="665"/>
      <c r="F54" s="621"/>
      <c r="G54" s="670"/>
      <c r="H54" s="670"/>
      <c r="I54" s="621"/>
      <c r="J54" s="571"/>
      <c r="K54" s="671"/>
    </row>
    <row r="55" spans="1:12" ht="12.75" x14ac:dyDescent="0.2">
      <c r="A55" s="672" t="s">
        <v>84</v>
      </c>
      <c r="B55" s="665"/>
      <c r="C55" s="665"/>
      <c r="D55" s="665"/>
      <c r="E55" s="665"/>
      <c r="F55" s="621"/>
      <c r="G55" s="670"/>
      <c r="H55" s="670"/>
      <c r="I55" s="621"/>
      <c r="J55" s="571"/>
    </row>
    <row r="56" spans="1:12" ht="12.75" x14ac:dyDescent="0.2">
      <c r="A56" s="669" t="s">
        <v>1007</v>
      </c>
      <c r="B56" s="665"/>
      <c r="C56" s="665"/>
      <c r="D56" s="665"/>
      <c r="E56" s="665">
        <v>0</v>
      </c>
      <c r="F56" s="621"/>
      <c r="G56" s="670"/>
      <c r="H56" s="670"/>
      <c r="I56" s="531">
        <v>0</v>
      </c>
      <c r="J56" s="573"/>
    </row>
    <row r="57" spans="1:12" ht="24" x14ac:dyDescent="0.2">
      <c r="A57" s="662" t="s">
        <v>858</v>
      </c>
      <c r="B57" s="665"/>
      <c r="C57" s="665"/>
      <c r="D57" s="665"/>
      <c r="E57" s="668">
        <v>0</v>
      </c>
      <c r="F57" s="621"/>
      <c r="G57" s="670"/>
      <c r="H57" s="670"/>
      <c r="I57" s="531">
        <v>0</v>
      </c>
      <c r="J57" s="571"/>
    </row>
    <row r="58" spans="1:12" ht="12.75" x14ac:dyDescent="0.2">
      <c r="A58" s="535" t="s">
        <v>859</v>
      </c>
      <c r="B58" s="665"/>
      <c r="C58" s="665"/>
      <c r="D58" s="665"/>
      <c r="E58" s="665"/>
      <c r="F58" s="621"/>
      <c r="G58" s="670"/>
      <c r="H58" s="670"/>
      <c r="I58" s="621"/>
      <c r="J58" s="571"/>
    </row>
    <row r="59" spans="1:12" ht="12.75" x14ac:dyDescent="0.2">
      <c r="A59" s="535" t="s">
        <v>860</v>
      </c>
      <c r="B59" s="665"/>
      <c r="C59" s="665"/>
      <c r="D59" s="665"/>
      <c r="E59" s="665"/>
      <c r="F59" s="621"/>
      <c r="G59" s="670"/>
      <c r="H59" s="670"/>
      <c r="I59" s="621"/>
      <c r="J59" s="571"/>
    </row>
    <row r="60" spans="1:12" ht="12.75" x14ac:dyDescent="0.2">
      <c r="A60" s="535" t="s">
        <v>861</v>
      </c>
      <c r="B60" s="665"/>
      <c r="C60" s="665"/>
      <c r="D60" s="665"/>
      <c r="E60" s="665"/>
      <c r="F60" s="621"/>
      <c r="G60" s="670"/>
      <c r="H60" s="670"/>
      <c r="I60" s="621"/>
      <c r="J60" s="571"/>
    </row>
    <row r="61" spans="1:12" ht="36" x14ac:dyDescent="0.2">
      <c r="A61" s="676" t="s">
        <v>1008</v>
      </c>
      <c r="B61" s="669"/>
      <c r="C61" s="678"/>
      <c r="D61" s="665"/>
      <c r="E61" s="665">
        <f>C61*D61/2</f>
        <v>0</v>
      </c>
      <c r="F61" s="532">
        <v>7822</v>
      </c>
      <c r="G61" s="679"/>
      <c r="H61" s="670"/>
      <c r="I61" s="621"/>
      <c r="J61" s="573"/>
    </row>
    <row r="62" spans="1:12" ht="24" x14ac:dyDescent="0.2">
      <c r="A62" s="662" t="s">
        <v>899</v>
      </c>
      <c r="B62" s="665"/>
      <c r="C62" s="669"/>
      <c r="D62" s="665"/>
      <c r="E62" s="665"/>
      <c r="F62" s="621"/>
      <c r="G62" s="537">
        <v>0</v>
      </c>
      <c r="H62" s="670"/>
      <c r="I62" s="621"/>
      <c r="J62" s="573"/>
    </row>
    <row r="63" spans="1:12" ht="12.75" x14ac:dyDescent="0.2">
      <c r="A63" s="535" t="s">
        <v>900</v>
      </c>
      <c r="B63" s="665"/>
      <c r="C63" s="669"/>
      <c r="D63" s="665"/>
      <c r="E63" s="665"/>
      <c r="F63" s="621"/>
      <c r="G63" s="536">
        <v>1</v>
      </c>
      <c r="H63" s="670"/>
      <c r="I63" s="621"/>
      <c r="J63" s="571"/>
    </row>
    <row r="64" spans="1:12" ht="12.75" x14ac:dyDescent="0.2">
      <c r="A64" s="535" t="s">
        <v>865</v>
      </c>
      <c r="B64" s="665"/>
      <c r="C64" s="680">
        <v>0.97299999999999998</v>
      </c>
      <c r="D64" s="665">
        <v>3000000</v>
      </c>
      <c r="E64" s="665"/>
      <c r="F64" s="621"/>
      <c r="G64" s="536">
        <v>2</v>
      </c>
      <c r="H64" s="532">
        <v>3000000</v>
      </c>
      <c r="I64" s="531">
        <f>(2*1+0)*3000000</f>
        <v>6000000</v>
      </c>
      <c r="J64" s="571"/>
    </row>
    <row r="65" spans="1:12" ht="12.75" x14ac:dyDescent="0.2">
      <c r="A65" s="535" t="s">
        <v>866</v>
      </c>
      <c r="B65" s="681"/>
      <c r="C65" s="665">
        <v>80</v>
      </c>
      <c r="D65" s="665">
        <v>55360</v>
      </c>
      <c r="E65" s="665">
        <f>C65*D65</f>
        <v>4428800</v>
      </c>
      <c r="F65" s="731"/>
      <c r="G65" s="532">
        <v>80</v>
      </c>
      <c r="H65" s="532">
        <v>55360</v>
      </c>
      <c r="I65" s="532">
        <f>G65*H65</f>
        <v>4428800</v>
      </c>
      <c r="J65" s="571"/>
    </row>
    <row r="66" spans="1:12" ht="12.75" x14ac:dyDescent="0.2">
      <c r="A66" s="535" t="s">
        <v>867</v>
      </c>
      <c r="B66" s="681"/>
      <c r="C66" s="665">
        <v>55</v>
      </c>
      <c r="D66" s="665">
        <v>145000</v>
      </c>
      <c r="E66" s="665">
        <f>C66*D66</f>
        <v>7975000</v>
      </c>
      <c r="F66" s="621"/>
      <c r="G66" s="665"/>
      <c r="H66" s="665"/>
      <c r="I66" s="665"/>
      <c r="J66" s="571"/>
    </row>
    <row r="67" spans="1:12" ht="12.75" x14ac:dyDescent="0.2">
      <c r="A67" s="535" t="s">
        <v>901</v>
      </c>
      <c r="B67" s="681"/>
      <c r="C67" s="665"/>
      <c r="D67" s="665"/>
      <c r="E67" s="665"/>
      <c r="F67" s="731"/>
      <c r="G67" s="921">
        <v>5</v>
      </c>
      <c r="H67" s="532">
        <v>25000</v>
      </c>
      <c r="I67" s="921">
        <f>G67*H67</f>
        <v>125000</v>
      </c>
      <c r="J67" s="571"/>
    </row>
    <row r="68" spans="1:12" ht="12.75" x14ac:dyDescent="0.2">
      <c r="A68" s="535" t="s">
        <v>902</v>
      </c>
      <c r="B68" s="681"/>
      <c r="C68" s="665"/>
      <c r="D68" s="665"/>
      <c r="E68" s="665"/>
      <c r="F68" s="731"/>
      <c r="G68" s="921">
        <v>49</v>
      </c>
      <c r="H68" s="532">
        <v>210000</v>
      </c>
      <c r="I68" s="921">
        <f>G68*H68</f>
        <v>10290000</v>
      </c>
      <c r="J68" s="571"/>
    </row>
    <row r="69" spans="1:12" ht="12.75" x14ac:dyDescent="0.2">
      <c r="A69" s="662" t="s">
        <v>903</v>
      </c>
      <c r="B69" s="736"/>
      <c r="C69" s="532">
        <v>23</v>
      </c>
      <c r="D69" s="532">
        <v>109000</v>
      </c>
      <c r="E69" s="532">
        <f>C69*D69</f>
        <v>2507000</v>
      </c>
      <c r="F69" s="531"/>
      <c r="G69" s="921">
        <v>25</v>
      </c>
      <c r="H69" s="532">
        <v>109000</v>
      </c>
      <c r="I69" s="921">
        <f>G69*H69</f>
        <v>2725000</v>
      </c>
      <c r="J69" s="571"/>
    </row>
    <row r="70" spans="1:12" ht="12.75" x14ac:dyDescent="0.2">
      <c r="A70" s="662" t="s">
        <v>869</v>
      </c>
      <c r="B70" s="736"/>
      <c r="C70" s="532"/>
      <c r="D70" s="532"/>
      <c r="E70" s="532"/>
      <c r="F70" s="531"/>
      <c r="G70" s="530"/>
      <c r="H70" s="530"/>
      <c r="I70" s="531"/>
      <c r="J70" s="571"/>
    </row>
    <row r="71" spans="1:12" ht="24" x14ac:dyDescent="0.2">
      <c r="A71" s="662" t="s">
        <v>1009</v>
      </c>
      <c r="B71" s="681"/>
      <c r="C71" s="665"/>
      <c r="D71" s="665"/>
      <c r="E71" s="665"/>
      <c r="F71" s="621"/>
      <c r="G71" s="670"/>
      <c r="H71" s="670"/>
      <c r="I71" s="621"/>
      <c r="J71" s="571"/>
    </row>
    <row r="72" spans="1:12" ht="24" x14ac:dyDescent="0.2">
      <c r="A72" s="676" t="s">
        <v>914</v>
      </c>
      <c r="B72" s="681"/>
      <c r="C72" s="665">
        <v>15</v>
      </c>
      <c r="D72" s="665">
        <v>2606040</v>
      </c>
      <c r="E72" s="665">
        <f>C72*D72</f>
        <v>39090600</v>
      </c>
      <c r="F72" s="731"/>
      <c r="G72" s="532">
        <v>15</v>
      </c>
      <c r="H72" s="532">
        <v>2606040</v>
      </c>
      <c r="I72" s="532">
        <f>G72*H72</f>
        <v>39090600</v>
      </c>
      <c r="J72" s="571"/>
    </row>
    <row r="73" spans="1:12" ht="36" x14ac:dyDescent="0.2">
      <c r="A73" s="535" t="s">
        <v>874</v>
      </c>
      <c r="B73" s="681"/>
      <c r="C73" s="665"/>
      <c r="D73" s="665"/>
      <c r="E73" s="668">
        <v>37834000</v>
      </c>
      <c r="F73" s="731" t="s">
        <v>1010</v>
      </c>
      <c r="G73" s="670"/>
      <c r="H73" s="670"/>
      <c r="I73" s="621">
        <v>30040000</v>
      </c>
      <c r="J73" s="575"/>
    </row>
    <row r="74" spans="1:12" ht="12.75" x14ac:dyDescent="0.2">
      <c r="A74" s="535" t="s">
        <v>1011</v>
      </c>
      <c r="B74" s="681"/>
      <c r="C74" s="665"/>
      <c r="D74" s="665"/>
      <c r="E74" s="665"/>
      <c r="F74" s="621"/>
      <c r="G74" s="670"/>
      <c r="H74" s="670"/>
      <c r="I74" s="621"/>
      <c r="J74" s="571"/>
    </row>
    <row r="75" spans="1:12" ht="12.75" x14ac:dyDescent="0.2">
      <c r="A75" s="535" t="s">
        <v>1012</v>
      </c>
      <c r="B75" s="665"/>
      <c r="C75" s="674">
        <v>12.33</v>
      </c>
      <c r="D75" s="665">
        <v>1632000</v>
      </c>
      <c r="E75" s="665">
        <f>C75*D75</f>
        <v>20122560</v>
      </c>
      <c r="F75" s="922" t="s">
        <v>1035</v>
      </c>
      <c r="G75" s="533">
        <v>14.4</v>
      </c>
      <c r="H75" s="911">
        <v>1900000</v>
      </c>
      <c r="I75" s="532">
        <f>G75*H75</f>
        <v>27360000</v>
      </c>
      <c r="J75" s="576"/>
    </row>
    <row r="76" spans="1:12" ht="36" x14ac:dyDescent="0.2">
      <c r="A76" s="535" t="s">
        <v>1013</v>
      </c>
      <c r="B76" s="665"/>
      <c r="C76" s="665"/>
      <c r="D76" s="665"/>
      <c r="E76" s="668">
        <v>7038795</v>
      </c>
      <c r="F76" s="731" t="s">
        <v>1010</v>
      </c>
      <c r="G76" s="670"/>
      <c r="H76" s="670"/>
      <c r="I76" s="621">
        <v>13278900</v>
      </c>
      <c r="J76" s="577"/>
    </row>
    <row r="77" spans="1:12" ht="24" x14ac:dyDescent="0.2">
      <c r="A77" s="662" t="s">
        <v>1014</v>
      </c>
      <c r="B77" s="665"/>
      <c r="C77" s="665"/>
      <c r="D77" s="665"/>
      <c r="E77" s="668"/>
      <c r="F77" s="731"/>
      <c r="G77" s="915">
        <v>0</v>
      </c>
      <c r="H77" s="531">
        <v>285</v>
      </c>
      <c r="I77" s="915">
        <f>G77*H77</f>
        <v>0</v>
      </c>
      <c r="J77" s="571"/>
    </row>
    <row r="78" spans="1:12" ht="12.75" x14ac:dyDescent="0.2">
      <c r="A78" s="662" t="s">
        <v>1015</v>
      </c>
      <c r="B78" s="665"/>
      <c r="C78" s="665"/>
      <c r="D78" s="665"/>
      <c r="E78" s="684"/>
      <c r="F78" s="731"/>
      <c r="G78" s="734"/>
      <c r="H78" s="531"/>
      <c r="I78" s="531"/>
      <c r="J78" s="571"/>
      <c r="K78" s="671">
        <f>SUM(I56:I82)</f>
        <v>147563700</v>
      </c>
      <c r="L78" s="6" t="s">
        <v>915</v>
      </c>
    </row>
    <row r="79" spans="1:12" ht="12.75" x14ac:dyDescent="0.2">
      <c r="A79" s="662" t="s">
        <v>1016</v>
      </c>
      <c r="B79" s="665"/>
      <c r="C79" s="665"/>
      <c r="D79" s="665"/>
      <c r="E79" s="684"/>
      <c r="F79" s="731"/>
      <c r="G79" s="734"/>
      <c r="H79" s="531"/>
      <c r="I79" s="531"/>
      <c r="J79" s="571"/>
      <c r="K79" s="671"/>
    </row>
    <row r="80" spans="1:12" ht="36" x14ac:dyDescent="0.2">
      <c r="A80" s="662" t="s">
        <v>1017</v>
      </c>
      <c r="B80" s="665"/>
      <c r="C80" s="665"/>
      <c r="D80" s="665"/>
      <c r="E80" s="684"/>
      <c r="F80" s="777" t="s">
        <v>1018</v>
      </c>
      <c r="G80" s="734">
        <v>1.8</v>
      </c>
      <c r="H80" s="531">
        <v>2993000</v>
      </c>
      <c r="I80" s="531">
        <f>G80*H80</f>
        <v>5387400</v>
      </c>
      <c r="J80" s="571"/>
      <c r="K80" s="671"/>
    </row>
    <row r="81" spans="1:14" ht="36" x14ac:dyDescent="0.2">
      <c r="A81" s="662" t="s">
        <v>1019</v>
      </c>
      <c r="B81" s="665"/>
      <c r="C81" s="665"/>
      <c r="D81" s="665"/>
      <c r="E81" s="684"/>
      <c r="F81" s="777" t="s">
        <v>1020</v>
      </c>
      <c r="G81" s="734">
        <v>2</v>
      </c>
      <c r="H81" s="531">
        <v>4419000</v>
      </c>
      <c r="I81" s="531">
        <f>G81*H81</f>
        <v>8838000</v>
      </c>
      <c r="J81" s="571"/>
      <c r="K81" s="671"/>
    </row>
    <row r="82" spans="1:14" ht="24" x14ac:dyDescent="0.2">
      <c r="A82" s="662" t="s">
        <v>1021</v>
      </c>
      <c r="B82" s="665"/>
      <c r="C82" s="665"/>
      <c r="D82" s="665"/>
      <c r="E82" s="684"/>
      <c r="F82" s="731"/>
      <c r="G82" s="734"/>
      <c r="H82" s="531">
        <v>0</v>
      </c>
      <c r="I82" s="531">
        <v>0</v>
      </c>
      <c r="J82" s="571"/>
      <c r="K82" s="671"/>
    </row>
    <row r="83" spans="1:14" ht="12.75" x14ac:dyDescent="0.2">
      <c r="A83" s="662"/>
      <c r="B83" s="665"/>
      <c r="C83" s="665"/>
      <c r="D83" s="665"/>
      <c r="E83" s="684"/>
      <c r="F83" s="731"/>
      <c r="G83" s="734"/>
      <c r="H83" s="531"/>
      <c r="I83" s="531"/>
      <c r="J83" s="571"/>
      <c r="K83" s="671"/>
    </row>
    <row r="84" spans="1:14" ht="12.75" x14ac:dyDescent="0.2">
      <c r="A84" s="535" t="s">
        <v>880</v>
      </c>
      <c r="B84" s="665"/>
      <c r="C84" s="665"/>
      <c r="D84" s="665"/>
      <c r="E84" s="684"/>
      <c r="F84" s="621"/>
      <c r="G84" s="670"/>
      <c r="H84" s="670"/>
      <c r="I84" s="621"/>
      <c r="J84" s="571"/>
    </row>
    <row r="85" spans="1:14" ht="12.75" x14ac:dyDescent="0.2">
      <c r="A85" s="535" t="s">
        <v>881</v>
      </c>
      <c r="B85" s="665"/>
      <c r="C85" s="665"/>
      <c r="D85" s="665"/>
      <c r="E85" s="684"/>
      <c r="F85" s="621"/>
      <c r="G85" s="670"/>
      <c r="H85" s="670"/>
      <c r="I85" s="621"/>
      <c r="J85" s="571"/>
    </row>
    <row r="86" spans="1:14" ht="12.75" x14ac:dyDescent="0.2">
      <c r="A86" s="535" t="s">
        <v>882</v>
      </c>
      <c r="B86" s="665"/>
      <c r="C86" s="665">
        <v>4865</v>
      </c>
      <c r="D86" s="665">
        <v>1140</v>
      </c>
      <c r="E86" s="685"/>
      <c r="F86" s="621"/>
      <c r="G86" s="532">
        <v>4705</v>
      </c>
      <c r="H86" s="911">
        <v>1210</v>
      </c>
      <c r="I86" s="283">
        <f>G86*H86</f>
        <v>5693050</v>
      </c>
      <c r="J86" s="571"/>
    </row>
    <row r="87" spans="1:14" ht="48" x14ac:dyDescent="0.2">
      <c r="A87" s="662" t="s">
        <v>883</v>
      </c>
      <c r="B87" s="665"/>
      <c r="C87" s="665"/>
      <c r="D87" s="665"/>
      <c r="E87" s="685"/>
      <c r="F87" s="777" t="s">
        <v>1022</v>
      </c>
      <c r="G87" s="665"/>
      <c r="H87" s="665"/>
      <c r="I87" s="283">
        <v>0</v>
      </c>
      <c r="J87" s="571"/>
    </row>
    <row r="88" spans="1:14" ht="48" x14ac:dyDescent="0.2">
      <c r="A88" s="662" t="s">
        <v>1023</v>
      </c>
      <c r="B88" s="665"/>
      <c r="C88" s="665"/>
      <c r="D88" s="665"/>
      <c r="E88" s="685"/>
      <c r="F88" s="777" t="s">
        <v>1024</v>
      </c>
      <c r="G88" s="665"/>
      <c r="H88" s="665"/>
      <c r="I88" s="283">
        <v>0</v>
      </c>
      <c r="J88" s="571"/>
    </row>
    <row r="89" spans="1:14" ht="12.75" x14ac:dyDescent="0.2">
      <c r="A89" s="676" t="s">
        <v>1025</v>
      </c>
      <c r="B89" s="681"/>
      <c r="C89" s="665"/>
      <c r="D89" s="679"/>
      <c r="E89" s="665"/>
      <c r="F89" s="621"/>
      <c r="G89" s="670"/>
      <c r="H89" s="670"/>
      <c r="I89" s="621"/>
      <c r="J89" s="571"/>
      <c r="K89" s="671">
        <f>SUM(I86+I87)</f>
        <v>5693050</v>
      </c>
      <c r="L89" s="6" t="s">
        <v>916</v>
      </c>
    </row>
    <row r="90" spans="1:14" ht="24" x14ac:dyDescent="0.2">
      <c r="A90" s="686" t="s">
        <v>1026</v>
      </c>
      <c r="B90" s="737"/>
      <c r="C90" s="738"/>
      <c r="D90" s="532"/>
      <c r="E90" s="532"/>
      <c r="F90" s="739"/>
      <c r="G90" s="530"/>
      <c r="H90" s="530"/>
      <c r="I90" s="621"/>
      <c r="J90" s="571"/>
      <c r="K90" s="671"/>
      <c r="L90" s="671">
        <f>I15+I18+I21+I24+I27+I30+I33</f>
        <v>-123432901</v>
      </c>
      <c r="M90" s="740" t="s">
        <v>917</v>
      </c>
      <c r="N90" s="282"/>
    </row>
    <row r="91" spans="1:14" ht="12.75" x14ac:dyDescent="0.2">
      <c r="A91" s="711" t="s">
        <v>1027</v>
      </c>
      <c r="B91" s="741"/>
      <c r="C91" s="742"/>
      <c r="D91" s="743"/>
      <c r="E91" s="743"/>
      <c r="F91" s="744"/>
      <c r="G91" s="745"/>
      <c r="H91" s="745"/>
      <c r="I91" s="746">
        <v>0</v>
      </c>
      <c r="J91" s="571"/>
      <c r="K91" s="671"/>
      <c r="L91" s="671"/>
      <c r="M91" s="740"/>
      <c r="N91" s="282"/>
    </row>
    <row r="92" spans="1:14" ht="12.75" x14ac:dyDescent="0.2">
      <c r="A92" s="711"/>
      <c r="B92" s="741"/>
      <c r="C92" s="742"/>
      <c r="D92" s="743"/>
      <c r="E92" s="743"/>
      <c r="F92" s="741"/>
      <c r="G92" s="745"/>
      <c r="H92" s="745"/>
      <c r="I92" s="692"/>
      <c r="J92" s="571"/>
      <c r="K92" s="671"/>
      <c r="L92" s="671"/>
      <c r="N92" s="282"/>
    </row>
    <row r="93" spans="1:14" ht="12.75" x14ac:dyDescent="0.2">
      <c r="A93" s="711" t="s">
        <v>904</v>
      </c>
      <c r="B93" s="741"/>
      <c r="C93" s="742"/>
      <c r="D93" s="743"/>
      <c r="E93" s="743"/>
      <c r="F93" s="741"/>
      <c r="G93" s="745"/>
      <c r="H93" s="745"/>
      <c r="I93" s="692"/>
      <c r="J93" s="571"/>
      <c r="K93" s="671"/>
      <c r="L93" s="671"/>
      <c r="N93" s="282"/>
    </row>
    <row r="94" spans="1:14" ht="12.75" x14ac:dyDescent="0.2">
      <c r="A94" s="711" t="s">
        <v>905</v>
      </c>
      <c r="B94" s="741"/>
      <c r="C94" s="742"/>
      <c r="D94" s="743"/>
      <c r="E94" s="743"/>
      <c r="F94" s="741"/>
      <c r="G94" s="745"/>
      <c r="H94" s="745"/>
      <c r="I94" s="746">
        <v>0</v>
      </c>
      <c r="J94" s="571"/>
      <c r="K94" s="671"/>
      <c r="L94" s="671"/>
      <c r="N94" s="282"/>
    </row>
    <row r="95" spans="1:14" ht="12.75" x14ac:dyDescent="0.2">
      <c r="A95" s="712" t="s">
        <v>906</v>
      </c>
      <c r="B95" s="741"/>
      <c r="C95" s="742"/>
      <c r="D95" s="743"/>
      <c r="E95" s="743"/>
      <c r="F95" s="741"/>
      <c r="G95" s="745"/>
      <c r="H95" s="745"/>
      <c r="I95" s="746">
        <v>0</v>
      </c>
      <c r="J95" s="571"/>
      <c r="K95" s="671">
        <f>I94+I95</f>
        <v>0</v>
      </c>
      <c r="L95" s="671" t="s">
        <v>918</v>
      </c>
      <c r="N95" s="282"/>
    </row>
    <row r="96" spans="1:14" ht="13.5" thickBot="1" x14ac:dyDescent="0.25">
      <c r="A96" s="688"/>
      <c r="B96" s="689"/>
      <c r="C96" s="690"/>
      <c r="D96" s="691"/>
      <c r="E96" s="690"/>
      <c r="F96" s="692"/>
      <c r="G96" s="693"/>
      <c r="H96" s="693"/>
      <c r="I96" s="692"/>
      <c r="J96" s="571"/>
    </row>
    <row r="97" spans="1:256" ht="12.75" thickBot="1" x14ac:dyDescent="0.25">
      <c r="A97" s="694" t="s">
        <v>885</v>
      </c>
      <c r="B97" s="695"/>
      <c r="C97" s="695"/>
      <c r="D97" s="696"/>
      <c r="E97" s="697" t="e">
        <f>E12+E14+E17+E20+E23+E28+E31+E34+E40+E41+#REF!+E42+E44+E47+E49+E52+E56+E57+E61+E62+E65+E66+E69+#REF!+E72+E73+E75+E76</f>
        <v>#REF!</v>
      </c>
      <c r="F97" s="1335">
        <f>I12+I16+I19+I22+I25+I28+I31+I34+I35+I36+I40+I41+I42+I43+I44+I45+I47+I48+I49+I50+I52+I53+I56+I57+I64+I65+I67+I68+I69+I72+I73+I75+I76+I77+I80+I81+I82+I86+I87+I88+I94+I95+I91</f>
        <v>789557318</v>
      </c>
      <c r="G97" s="1335"/>
      <c r="H97" s="1335"/>
      <c r="I97" s="1336"/>
      <c r="J97" s="7"/>
      <c r="K97" s="698">
        <f>K78+K53+K35+K89</f>
        <v>789557318</v>
      </c>
      <c r="L97" s="747" t="s">
        <v>919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48"/>
      <c r="B99" s="749"/>
      <c r="C99" s="749"/>
      <c r="D99" s="749"/>
      <c r="E99" s="750"/>
      <c r="F99" s="751"/>
      <c r="G99" s="751"/>
      <c r="H99" s="751"/>
      <c r="I99" s="751"/>
    </row>
    <row r="100" spans="1:256" ht="12.75" x14ac:dyDescent="0.2">
      <c r="A100" s="912" t="s">
        <v>1028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M54"/>
  <sheetViews>
    <sheetView workbookViewId="0">
      <pane ySplit="7" topLeftCell="A35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21" customWidth="1"/>
    <col min="3" max="3" width="50.42578125" style="14" customWidth="1"/>
    <col min="4" max="4" width="11.85546875" style="154" customWidth="1"/>
    <col min="5" max="5" width="12.7109375" style="154" customWidth="1"/>
    <col min="6" max="6" width="13.5703125" style="154" customWidth="1"/>
    <col min="7" max="9" width="0" style="155" hidden="1" customWidth="1"/>
    <col min="10" max="16384" width="9.140625" style="10"/>
  </cols>
  <sheetData>
    <row r="1" spans="1:13" ht="14.45" customHeight="1" x14ac:dyDescent="0.2">
      <c r="C1" s="1327" t="s">
        <v>1400</v>
      </c>
      <c r="D1" s="1327"/>
      <c r="E1" s="1327"/>
      <c r="F1" s="1327"/>
      <c r="G1" s="1327"/>
      <c r="H1" s="1327"/>
      <c r="I1" s="1327"/>
    </row>
    <row r="2" spans="1:13" ht="14.45" customHeight="1" x14ac:dyDescent="0.2">
      <c r="C2" s="1327"/>
      <c r="D2" s="1327"/>
      <c r="E2" s="1327"/>
      <c r="F2" s="1327"/>
      <c r="G2" s="1327"/>
      <c r="H2" s="1327"/>
      <c r="I2" s="1327"/>
    </row>
    <row r="3" spans="1:13" ht="14.45" customHeight="1" x14ac:dyDescent="0.2">
      <c r="B3" s="1331" t="s">
        <v>54</v>
      </c>
      <c r="C3" s="1323"/>
      <c r="D3" s="1323"/>
      <c r="E3" s="1323"/>
      <c r="F3" s="1323"/>
      <c r="G3" s="1323"/>
      <c r="H3" s="1323"/>
      <c r="I3" s="1323"/>
    </row>
    <row r="4" spans="1:13" s="11" customFormat="1" ht="14.45" customHeight="1" x14ac:dyDescent="0.2">
      <c r="B4" s="1341" t="s">
        <v>1145</v>
      </c>
      <c r="C4" s="1323"/>
      <c r="D4" s="1323"/>
      <c r="E4" s="1323"/>
      <c r="F4" s="1323"/>
      <c r="G4" s="1323"/>
      <c r="H4" s="1323"/>
      <c r="I4" s="1323"/>
    </row>
    <row r="5" spans="1:13" s="11" customFormat="1" ht="14.45" customHeight="1" x14ac:dyDescent="0.15">
      <c r="B5" s="180"/>
    </row>
    <row r="6" spans="1:13" ht="14.45" customHeight="1" thickBot="1" x14ac:dyDescent="0.25">
      <c r="B6" s="1348" t="s">
        <v>434</v>
      </c>
      <c r="C6" s="1323"/>
      <c r="D6" s="1323"/>
      <c r="E6" s="1323"/>
      <c r="F6" s="1323"/>
      <c r="G6" s="1323"/>
      <c r="H6" s="1323"/>
      <c r="I6" s="1323"/>
    </row>
    <row r="7" spans="1:13" s="12" customFormat="1" ht="36.75" customHeight="1" x14ac:dyDescent="0.2">
      <c r="B7" s="1342" t="s">
        <v>56</v>
      </c>
      <c r="C7" s="1344" t="s">
        <v>85</v>
      </c>
      <c r="D7" s="1346" t="s">
        <v>1144</v>
      </c>
      <c r="E7" s="1346"/>
      <c r="F7" s="1347"/>
      <c r="G7" s="171"/>
    </row>
    <row r="8" spans="1:13" s="12" customFormat="1" ht="40.9" customHeight="1" thickBot="1" x14ac:dyDescent="0.25">
      <c r="B8" s="1343"/>
      <c r="C8" s="1345"/>
      <c r="D8" s="1214" t="s">
        <v>62</v>
      </c>
      <c r="E8" s="1214" t="s">
        <v>63</v>
      </c>
      <c r="F8" s="1215" t="s">
        <v>64</v>
      </c>
      <c r="G8" s="171"/>
      <c r="J8" s="523"/>
    </row>
    <row r="9" spans="1:13" s="12" customFormat="1" ht="10.5" customHeight="1" x14ac:dyDescent="0.2">
      <c r="A9" s="1212"/>
      <c r="B9" s="1230"/>
      <c r="C9" s="198"/>
      <c r="D9" s="199"/>
      <c r="E9" s="199"/>
      <c r="F9" s="433"/>
      <c r="G9" s="171"/>
      <c r="J9" s="523"/>
    </row>
    <row r="10" spans="1:13" s="12" customFormat="1" ht="14.45" customHeight="1" x14ac:dyDescent="0.2">
      <c r="A10" s="1212"/>
      <c r="B10" s="1231" t="s">
        <v>479</v>
      </c>
      <c r="C10" s="200" t="s">
        <v>86</v>
      </c>
      <c r="D10" s="199"/>
      <c r="E10" s="199"/>
      <c r="F10" s="433"/>
      <c r="G10" s="171"/>
      <c r="J10" s="523"/>
    </row>
    <row r="11" spans="1:13" s="12" customFormat="1" ht="14.45" customHeight="1" x14ac:dyDescent="0.2">
      <c r="A11" s="1212"/>
      <c r="B11" s="1231" t="s">
        <v>487</v>
      </c>
      <c r="C11" s="201" t="s">
        <v>1103</v>
      </c>
      <c r="D11" s="199"/>
      <c r="E11" s="199"/>
      <c r="F11" s="433"/>
      <c r="G11" s="171"/>
      <c r="J11" s="523"/>
    </row>
    <row r="12" spans="1:13" s="12" customFormat="1" ht="14.45" customHeight="1" x14ac:dyDescent="0.2">
      <c r="A12" s="1212"/>
      <c r="B12" s="1231" t="s">
        <v>488</v>
      </c>
      <c r="C12" s="202" t="s">
        <v>97</v>
      </c>
      <c r="D12" s="155">
        <v>19447</v>
      </c>
      <c r="E12" s="155">
        <v>40800</v>
      </c>
      <c r="F12" s="434">
        <f>SUM(D12:E12)</f>
        <v>60247</v>
      </c>
      <c r="G12" s="171"/>
      <c r="J12" s="523"/>
    </row>
    <row r="13" spans="1:13" s="12" customFormat="1" ht="14.45" customHeight="1" x14ac:dyDescent="0.2">
      <c r="A13" s="1212"/>
      <c r="B13" s="1231" t="s">
        <v>489</v>
      </c>
      <c r="C13" s="202" t="s">
        <v>283</v>
      </c>
      <c r="D13" s="155"/>
      <c r="E13" s="155">
        <v>24</v>
      </c>
      <c r="F13" s="434">
        <f>SUM(D13:E13)</f>
        <v>24</v>
      </c>
      <c r="G13" s="171"/>
      <c r="J13" s="523"/>
    </row>
    <row r="14" spans="1:13" s="12" customFormat="1" ht="14.45" customHeight="1" x14ac:dyDescent="0.2">
      <c r="A14" s="1212"/>
      <c r="B14" s="1231" t="s">
        <v>490</v>
      </c>
      <c r="C14" s="14" t="s">
        <v>98</v>
      </c>
      <c r="D14" s="155"/>
      <c r="E14" s="155">
        <v>0</v>
      </c>
      <c r="F14" s="434">
        <f>SUM(D14:E14)</f>
        <v>0</v>
      </c>
      <c r="G14" s="171"/>
      <c r="J14" s="523"/>
    </row>
    <row r="15" spans="1:13" s="12" customFormat="1" ht="14.45" customHeight="1" thickBot="1" x14ac:dyDescent="0.25">
      <c r="A15" s="1212"/>
      <c r="B15" s="1231" t="s">
        <v>491</v>
      </c>
      <c r="C15" s="14" t="s">
        <v>99</v>
      </c>
      <c r="D15" s="155"/>
      <c r="E15" s="155"/>
      <c r="F15" s="434"/>
      <c r="G15" s="171"/>
      <c r="J15" s="523"/>
      <c r="M15" s="10"/>
    </row>
    <row r="16" spans="1:13" s="12" customFormat="1" ht="14.45" customHeight="1" thickBot="1" x14ac:dyDescent="0.25">
      <c r="B16" s="1232" t="s">
        <v>492</v>
      </c>
      <c r="C16" s="443" t="s">
        <v>1106</v>
      </c>
      <c r="D16" s="299">
        <f>SUM(D12:D15)</f>
        <v>19447</v>
      </c>
      <c r="E16" s="299">
        <f>SUM(E12:E15)</f>
        <v>40824</v>
      </c>
      <c r="F16" s="902">
        <f>SUM(F12:F15)</f>
        <v>60271</v>
      </c>
      <c r="G16" s="171"/>
      <c r="J16" s="523"/>
    </row>
    <row r="17" spans="1:10" s="12" customFormat="1" ht="14.45" customHeight="1" x14ac:dyDescent="0.2">
      <c r="A17" s="1212"/>
      <c r="B17" s="1231" t="s">
        <v>493</v>
      </c>
      <c r="C17" s="203"/>
      <c r="D17" s="179"/>
      <c r="E17" s="179"/>
      <c r="F17" s="437"/>
      <c r="G17" s="171"/>
      <c r="J17" s="523"/>
    </row>
    <row r="18" spans="1:10" s="12" customFormat="1" ht="14.45" customHeight="1" x14ac:dyDescent="0.2">
      <c r="A18" s="1212"/>
      <c r="B18" s="1231" t="s">
        <v>494</v>
      </c>
      <c r="C18" s="522" t="s">
        <v>284</v>
      </c>
      <c r="D18" s="179"/>
      <c r="E18" s="179"/>
      <c r="F18" s="437"/>
      <c r="G18" s="171"/>
      <c r="J18" s="523"/>
    </row>
    <row r="19" spans="1:10" s="12" customFormat="1" ht="14.45" customHeight="1" x14ac:dyDescent="0.2">
      <c r="A19" s="1212"/>
      <c r="B19" s="1231" t="s">
        <v>530</v>
      </c>
      <c r="C19" s="14" t="s">
        <v>1123</v>
      </c>
      <c r="D19" s="179"/>
      <c r="E19" s="155">
        <v>180</v>
      </c>
      <c r="F19" s="434">
        <f>D19+E19</f>
        <v>180</v>
      </c>
      <c r="G19" s="171"/>
      <c r="J19" s="523"/>
    </row>
    <row r="20" spans="1:10" s="12" customFormat="1" ht="14.45" customHeight="1" thickBot="1" x14ac:dyDescent="0.25">
      <c r="A20" s="1212"/>
      <c r="B20" s="1231" t="s">
        <v>531</v>
      </c>
      <c r="C20" s="14" t="s">
        <v>1352</v>
      </c>
      <c r="D20" s="179"/>
      <c r="E20" s="155">
        <v>0</v>
      </c>
      <c r="F20" s="434">
        <f>D20+E20</f>
        <v>0</v>
      </c>
      <c r="G20" s="171"/>
      <c r="J20" s="523"/>
    </row>
    <row r="21" spans="1:10" s="12" customFormat="1" ht="14.45" customHeight="1" thickBot="1" x14ac:dyDescent="0.25">
      <c r="B21" s="1232" t="s">
        <v>532</v>
      </c>
      <c r="C21" s="443" t="s">
        <v>285</v>
      </c>
      <c r="D21" s="299">
        <f>D19</f>
        <v>0</v>
      </c>
      <c r="E21" s="299">
        <f>E19+E20</f>
        <v>180</v>
      </c>
      <c r="F21" s="902">
        <f t="shared" ref="F21:I21" si="0">F19+F20</f>
        <v>180</v>
      </c>
      <c r="G21" s="299">
        <f t="shared" si="0"/>
        <v>0</v>
      </c>
      <c r="H21" s="299">
        <f t="shared" si="0"/>
        <v>0</v>
      </c>
      <c r="I21" s="299">
        <f t="shared" si="0"/>
        <v>0</v>
      </c>
      <c r="J21" s="523"/>
    </row>
    <row r="22" spans="1:10" s="12" customFormat="1" ht="14.45" customHeight="1" x14ac:dyDescent="0.2">
      <c r="A22" s="1212"/>
      <c r="B22" s="1231" t="s">
        <v>533</v>
      </c>
      <c r="C22" s="203"/>
      <c r="D22" s="179"/>
      <c r="E22" s="179"/>
      <c r="F22" s="179"/>
      <c r="G22" s="171"/>
      <c r="J22" s="523"/>
    </row>
    <row r="23" spans="1:10" s="12" customFormat="1" ht="14.45" customHeight="1" thickBot="1" x14ac:dyDescent="0.25">
      <c r="A23" s="1212"/>
      <c r="B23" s="1231" t="s">
        <v>534</v>
      </c>
      <c r="C23" s="205" t="s">
        <v>1104</v>
      </c>
      <c r="D23" s="179"/>
      <c r="E23" s="179"/>
      <c r="F23" s="179"/>
      <c r="G23" s="171"/>
      <c r="J23" s="523"/>
    </row>
    <row r="24" spans="1:10" s="12" customFormat="1" ht="14.45" customHeight="1" thickBot="1" x14ac:dyDescent="0.25">
      <c r="B24" s="1232" t="s">
        <v>535</v>
      </c>
      <c r="C24" s="443" t="s">
        <v>1105</v>
      </c>
      <c r="D24" s="299">
        <f>SUM(D23:D23)</f>
        <v>0</v>
      </c>
      <c r="E24" s="299">
        <f t="shared" ref="E24:F24" si="1">SUM(E23:E23)</f>
        <v>0</v>
      </c>
      <c r="F24" s="902">
        <f t="shared" si="1"/>
        <v>0</v>
      </c>
      <c r="G24" s="171"/>
      <c r="J24" s="523"/>
    </row>
    <row r="25" spans="1:10" s="12" customFormat="1" ht="12" customHeight="1" x14ac:dyDescent="0.2">
      <c r="A25" s="1212"/>
      <c r="B25" s="1231" t="s">
        <v>536</v>
      </c>
      <c r="C25" s="204"/>
      <c r="D25" s="199"/>
      <c r="E25" s="199"/>
      <c r="F25" s="433"/>
      <c r="G25" s="171"/>
      <c r="J25" s="523"/>
    </row>
    <row r="26" spans="1:10" s="11" customFormat="1" ht="14.45" customHeight="1" x14ac:dyDescent="0.2">
      <c r="A26" s="461"/>
      <c r="B26" s="1231" t="s">
        <v>537</v>
      </c>
      <c r="C26" s="527" t="s">
        <v>965</v>
      </c>
      <c r="D26" s="179"/>
      <c r="E26" s="179"/>
      <c r="F26" s="437"/>
      <c r="G26" s="180"/>
      <c r="J26" s="494"/>
    </row>
    <row r="27" spans="1:10" s="11" customFormat="1" ht="26.25" customHeight="1" x14ac:dyDescent="0.2">
      <c r="A27" s="461"/>
      <c r="B27" s="1231" t="s">
        <v>539</v>
      </c>
      <c r="C27" s="1028" t="s">
        <v>1354</v>
      </c>
      <c r="D27" s="179"/>
      <c r="E27" s="155">
        <v>14540</v>
      </c>
      <c r="F27" s="434">
        <f>SUM(D27:E27)</f>
        <v>14540</v>
      </c>
      <c r="G27" s="180"/>
      <c r="J27" s="494"/>
    </row>
    <row r="28" spans="1:10" s="11" customFormat="1" ht="26.25" customHeight="1" thickBot="1" x14ac:dyDescent="0.25">
      <c r="A28" s="461"/>
      <c r="B28" s="1231" t="s">
        <v>540</v>
      </c>
      <c r="C28" s="1028" t="s">
        <v>1353</v>
      </c>
      <c r="D28" s="155">
        <v>621278</v>
      </c>
      <c r="E28" s="155"/>
      <c r="F28" s="434">
        <f>SUM(D28:E28)</f>
        <v>621278</v>
      </c>
      <c r="G28" s="180"/>
      <c r="J28" s="494"/>
    </row>
    <row r="29" spans="1:10" ht="14.45" customHeight="1" thickBot="1" x14ac:dyDescent="0.25">
      <c r="B29" s="1232" t="s">
        <v>541</v>
      </c>
      <c r="C29" s="443" t="s">
        <v>1101</v>
      </c>
      <c r="D29" s="299">
        <f>SUM(D27:D28)</f>
        <v>621278</v>
      </c>
      <c r="E29" s="299">
        <f t="shared" ref="E29:F29" si="2">SUM(E27:E28)</f>
        <v>14540</v>
      </c>
      <c r="F29" s="902">
        <f t="shared" si="2"/>
        <v>635818</v>
      </c>
      <c r="G29" s="154"/>
      <c r="H29" s="10"/>
      <c r="I29" s="10"/>
      <c r="J29" s="187"/>
    </row>
    <row r="30" spans="1:10" ht="14.45" customHeight="1" x14ac:dyDescent="0.2">
      <c r="A30" s="1213"/>
      <c r="B30" s="1231" t="s">
        <v>542</v>
      </c>
      <c r="C30" s="203"/>
      <c r="D30" s="179"/>
      <c r="E30" s="179"/>
      <c r="F30" s="437"/>
      <c r="G30" s="154"/>
      <c r="H30" s="10"/>
      <c r="I30" s="10"/>
      <c r="J30" s="187"/>
    </row>
    <row r="31" spans="1:10" ht="14.45" customHeight="1" x14ac:dyDescent="0.2">
      <c r="A31" s="1213"/>
      <c r="B31" s="1231" t="s">
        <v>543</v>
      </c>
      <c r="C31" s="205" t="s">
        <v>168</v>
      </c>
      <c r="D31" s="179"/>
      <c r="E31" s="155"/>
      <c r="F31" s="434"/>
      <c r="G31" s="154"/>
      <c r="H31" s="10"/>
      <c r="I31" s="10"/>
      <c r="J31" s="187"/>
    </row>
    <row r="32" spans="1:10" ht="28.5" customHeight="1" x14ac:dyDescent="0.2">
      <c r="A32" s="1213"/>
      <c r="B32" s="1231" t="s">
        <v>544</v>
      </c>
      <c r="C32" s="14" t="s">
        <v>1355</v>
      </c>
      <c r="D32" s="1210"/>
      <c r="E32" s="1209">
        <v>1261</v>
      </c>
      <c r="F32" s="1211">
        <f>D32+E32</f>
        <v>1261</v>
      </c>
      <c r="G32" s="154"/>
      <c r="H32" s="10"/>
      <c r="I32" s="10"/>
      <c r="J32" s="187"/>
    </row>
    <row r="33" spans="1:12" ht="17.25" customHeight="1" thickBot="1" x14ac:dyDescent="0.25">
      <c r="A33" s="1213"/>
      <c r="B33" s="1231" t="s">
        <v>545</v>
      </c>
      <c r="C33" s="14" t="s">
        <v>1356</v>
      </c>
      <c r="D33" s="1209">
        <v>9900</v>
      </c>
      <c r="E33" s="1209"/>
      <c r="F33" s="1211">
        <f>D33+E33</f>
        <v>9900</v>
      </c>
      <c r="G33" s="154"/>
      <c r="H33" s="10"/>
      <c r="I33" s="10"/>
      <c r="J33" s="187"/>
    </row>
    <row r="34" spans="1:12" ht="14.45" customHeight="1" thickBot="1" x14ac:dyDescent="0.25">
      <c r="B34" s="1232" t="s">
        <v>546</v>
      </c>
      <c r="C34" s="443" t="s">
        <v>1102</v>
      </c>
      <c r="D34" s="299">
        <f>SUM(D32:D33)</f>
        <v>9900</v>
      </c>
      <c r="E34" s="299">
        <f>SUM(E32:E33)</f>
        <v>1261</v>
      </c>
      <c r="F34" s="902">
        <f>SUM(F32:F33)</f>
        <v>11161</v>
      </c>
      <c r="G34" s="154"/>
      <c r="H34" s="10"/>
      <c r="I34" s="10"/>
      <c r="J34" s="187"/>
    </row>
    <row r="35" spans="1:12" ht="14.45" customHeight="1" x14ac:dyDescent="0.2">
      <c r="A35" s="1213"/>
      <c r="B35" s="1231" t="s">
        <v>564</v>
      </c>
      <c r="C35" s="203"/>
      <c r="D35" s="179"/>
      <c r="E35" s="179"/>
      <c r="F35" s="179"/>
      <c r="G35" s="154"/>
      <c r="H35" s="10"/>
      <c r="I35" s="10"/>
      <c r="J35" s="187"/>
    </row>
    <row r="36" spans="1:12" s="12" customFormat="1" ht="14.45" customHeight="1" x14ac:dyDescent="0.2">
      <c r="A36" s="1212"/>
      <c r="B36" s="1231" t="s">
        <v>565</v>
      </c>
      <c r="C36" s="205" t="s">
        <v>100</v>
      </c>
      <c r="D36" s="171"/>
      <c r="E36" s="171"/>
      <c r="F36" s="442"/>
      <c r="G36" s="171"/>
      <c r="J36" s="523"/>
    </row>
    <row r="37" spans="1:12" s="12" customFormat="1" ht="14.45" customHeight="1" thickBot="1" x14ac:dyDescent="0.25">
      <c r="A37" s="1212"/>
      <c r="B37" s="1231" t="s">
        <v>566</v>
      </c>
      <c r="C37" s="14" t="s">
        <v>101</v>
      </c>
      <c r="D37" s="171"/>
      <c r="E37" s="155">
        <v>2971</v>
      </c>
      <c r="F37" s="434">
        <f>SUM(E37)</f>
        <v>2971</v>
      </c>
      <c r="G37" s="171"/>
      <c r="J37" s="523"/>
    </row>
    <row r="38" spans="1:12" s="12" customFormat="1" ht="14.45" customHeight="1" thickBot="1" x14ac:dyDescent="0.25">
      <c r="A38" s="1212"/>
      <c r="B38" s="1233" t="s">
        <v>567</v>
      </c>
      <c r="C38" s="443" t="s">
        <v>102</v>
      </c>
      <c r="D38" s="299">
        <f>SUM(D37:D37)</f>
        <v>0</v>
      </c>
      <c r="E38" s="299">
        <f>SUM(E37:E37)</f>
        <v>2971</v>
      </c>
      <c r="F38" s="902">
        <f>SUM(F37:F37)</f>
        <v>2971</v>
      </c>
      <c r="G38" s="199"/>
      <c r="J38" s="523"/>
    </row>
    <row r="39" spans="1:12" s="12" customFormat="1" ht="15.75" customHeight="1" thickBot="1" x14ac:dyDescent="0.25">
      <c r="B39" s="1234" t="s">
        <v>568</v>
      </c>
      <c r="C39" s="203"/>
      <c r="D39" s="171"/>
      <c r="E39" s="171"/>
      <c r="F39" s="442"/>
      <c r="G39" s="171"/>
      <c r="J39" s="523"/>
    </row>
    <row r="40" spans="1:12" s="12" customFormat="1" ht="14.45" customHeight="1" thickBot="1" x14ac:dyDescent="0.25">
      <c r="B40" s="1235" t="s">
        <v>569</v>
      </c>
      <c r="C40" s="443" t="s">
        <v>103</v>
      </c>
      <c r="D40" s="299">
        <f t="shared" ref="D40:I40" si="3">D16+D29+D34+D38+D24+D21</f>
        <v>650625</v>
      </c>
      <c r="E40" s="299">
        <f t="shared" si="3"/>
        <v>59776</v>
      </c>
      <c r="F40" s="902">
        <f t="shared" si="3"/>
        <v>710401</v>
      </c>
      <c r="G40" s="299">
        <f t="shared" si="3"/>
        <v>0</v>
      </c>
      <c r="H40" s="299">
        <f t="shared" si="3"/>
        <v>0</v>
      </c>
      <c r="I40" s="299">
        <f t="shared" si="3"/>
        <v>0</v>
      </c>
      <c r="J40" s="523"/>
    </row>
    <row r="41" spans="1:12" s="12" customFormat="1" ht="14.45" customHeight="1" x14ac:dyDescent="0.2">
      <c r="A41" s="1212"/>
      <c r="B41" s="1264" t="s">
        <v>570</v>
      </c>
      <c r="C41" s="759"/>
      <c r="D41" s="170"/>
      <c r="E41" s="170"/>
      <c r="F41" s="170"/>
      <c r="G41" s="170"/>
      <c r="H41" s="170"/>
      <c r="I41" s="170"/>
      <c r="J41" s="523"/>
    </row>
    <row r="42" spans="1:12" s="12" customFormat="1" ht="14.45" customHeight="1" x14ac:dyDescent="0.2">
      <c r="A42" s="1212"/>
      <c r="B42" s="1264" t="s">
        <v>571</v>
      </c>
      <c r="C42" s="759" t="s">
        <v>327</v>
      </c>
      <c r="D42" s="170"/>
      <c r="E42" s="170"/>
      <c r="F42" s="170"/>
      <c r="G42" s="170"/>
      <c r="H42" s="170"/>
      <c r="I42" s="170"/>
      <c r="J42" s="523"/>
    </row>
    <row r="43" spans="1:12" s="12" customFormat="1" ht="14.45" customHeight="1" x14ac:dyDescent="0.2">
      <c r="A43" s="1212"/>
      <c r="B43" s="1264" t="s">
        <v>572</v>
      </c>
      <c r="C43" s="1265" t="s">
        <v>1103</v>
      </c>
      <c r="D43" s="170"/>
      <c r="E43" s="170"/>
      <c r="F43" s="170"/>
      <c r="G43" s="170"/>
      <c r="H43" s="170"/>
      <c r="I43" s="170"/>
      <c r="J43" s="523"/>
    </row>
    <row r="44" spans="1:12" s="12" customFormat="1" ht="14.45" customHeight="1" x14ac:dyDescent="0.2">
      <c r="A44" s="1212"/>
      <c r="B44" s="1264" t="s">
        <v>624</v>
      </c>
      <c r="C44" s="206" t="s">
        <v>283</v>
      </c>
      <c r="D44" s="170"/>
      <c r="E44" s="166">
        <v>53</v>
      </c>
      <c r="F44" s="166">
        <f>D44+E44</f>
        <v>53</v>
      </c>
      <c r="G44" s="170"/>
      <c r="H44" s="170"/>
      <c r="I44" s="170"/>
      <c r="J44" s="523"/>
    </row>
    <row r="45" spans="1:12" s="12" customFormat="1" ht="14.45" customHeight="1" thickBot="1" x14ac:dyDescent="0.25">
      <c r="A45" s="1212"/>
      <c r="B45" s="1264" t="s">
        <v>625</v>
      </c>
      <c r="C45" s="759" t="s">
        <v>1386</v>
      </c>
      <c r="D45" s="170"/>
      <c r="E45" s="170">
        <f>SUM(E44)</f>
        <v>53</v>
      </c>
      <c r="F45" s="170">
        <f>SUM(F44)</f>
        <v>53</v>
      </c>
      <c r="G45" s="170"/>
      <c r="H45" s="170"/>
      <c r="I45" s="170"/>
      <c r="J45" s="523"/>
    </row>
    <row r="46" spans="1:12" s="12" customFormat="1" ht="14.45" customHeight="1" thickBot="1" x14ac:dyDescent="0.25">
      <c r="B46" s="1235" t="s">
        <v>626</v>
      </c>
      <c r="C46" s="443" t="s">
        <v>1387</v>
      </c>
      <c r="D46" s="299"/>
      <c r="E46" s="299">
        <f>SUM(E45)</f>
        <v>53</v>
      </c>
      <c r="F46" s="902">
        <f>SUM(F45)</f>
        <v>53</v>
      </c>
      <c r="G46" s="170"/>
      <c r="H46" s="170"/>
      <c r="I46" s="170"/>
      <c r="J46" s="523"/>
    </row>
    <row r="47" spans="1:12" s="12" customFormat="1" ht="14.45" customHeight="1" x14ac:dyDescent="0.2">
      <c r="A47" s="1212"/>
      <c r="B47" s="1231" t="s">
        <v>627</v>
      </c>
      <c r="C47" s="759"/>
      <c r="D47" s="170"/>
      <c r="E47" s="170"/>
      <c r="F47" s="170"/>
      <c r="G47" s="170"/>
      <c r="H47" s="170"/>
      <c r="I47" s="170"/>
      <c r="J47" s="523"/>
    </row>
    <row r="48" spans="1:12" s="12" customFormat="1" ht="14.45" customHeight="1" x14ac:dyDescent="0.2">
      <c r="A48" s="1212"/>
      <c r="B48" s="1231" t="s">
        <v>115</v>
      </c>
      <c r="C48" s="759" t="s">
        <v>667</v>
      </c>
      <c r="D48" s="170"/>
      <c r="E48" s="170"/>
      <c r="F48" s="170"/>
      <c r="G48" s="170"/>
      <c r="H48" s="170"/>
      <c r="I48" s="170"/>
      <c r="J48" s="523"/>
      <c r="L48" s="1266"/>
    </row>
    <row r="49" spans="1:12" s="12" customFormat="1" ht="14.45" customHeight="1" x14ac:dyDescent="0.2">
      <c r="A49" s="1212"/>
      <c r="B49" s="1231" t="s">
        <v>652</v>
      </c>
      <c r="C49" s="201" t="s">
        <v>1103</v>
      </c>
      <c r="D49" s="170"/>
      <c r="E49" s="170"/>
      <c r="F49" s="170"/>
      <c r="G49" s="170"/>
      <c r="H49" s="170"/>
      <c r="I49" s="170"/>
      <c r="J49" s="523"/>
      <c r="L49" s="1266"/>
    </row>
    <row r="50" spans="1:12" ht="14.45" customHeight="1" x14ac:dyDescent="0.2">
      <c r="A50" s="1213"/>
      <c r="B50" s="1231" t="s">
        <v>653</v>
      </c>
      <c r="C50" s="206" t="s">
        <v>1297</v>
      </c>
      <c r="D50" s="154">
        <v>1285</v>
      </c>
      <c r="E50" s="154">
        <v>0</v>
      </c>
      <c r="F50" s="154">
        <f>D50+E50</f>
        <v>1285</v>
      </c>
      <c r="J50" s="187"/>
    </row>
    <row r="51" spans="1:12" ht="14.45" customHeight="1" thickBot="1" x14ac:dyDescent="0.25">
      <c r="A51" s="1213"/>
      <c r="B51" s="1231" t="s">
        <v>118</v>
      </c>
      <c r="C51" s="759" t="s">
        <v>1106</v>
      </c>
      <c r="D51" s="175">
        <f t="shared" ref="D51:F52" si="4">SUM(D50)</f>
        <v>1285</v>
      </c>
      <c r="E51" s="175">
        <f t="shared" si="4"/>
        <v>0</v>
      </c>
      <c r="F51" s="175">
        <f t="shared" si="4"/>
        <v>1285</v>
      </c>
      <c r="J51" s="187"/>
    </row>
    <row r="52" spans="1:12" ht="14.45" customHeight="1" thickBot="1" x14ac:dyDescent="0.25">
      <c r="B52" s="1232" t="s">
        <v>119</v>
      </c>
      <c r="C52" s="443" t="s">
        <v>672</v>
      </c>
      <c r="D52" s="488">
        <f t="shared" si="4"/>
        <v>1285</v>
      </c>
      <c r="E52" s="488">
        <f t="shared" si="4"/>
        <v>0</v>
      </c>
      <c r="F52" s="1065">
        <f t="shared" si="4"/>
        <v>1285</v>
      </c>
      <c r="J52" s="187"/>
    </row>
    <row r="53" spans="1:12" ht="14.45" customHeight="1" thickBot="1" x14ac:dyDescent="0.25">
      <c r="A53" s="1213"/>
      <c r="B53" s="1231" t="s">
        <v>120</v>
      </c>
      <c r="C53" s="206"/>
      <c r="J53" s="187"/>
    </row>
    <row r="54" spans="1:12" ht="14.45" customHeight="1" thickBot="1" x14ac:dyDescent="0.25">
      <c r="B54" s="1232" t="s">
        <v>123</v>
      </c>
      <c r="C54" s="443" t="s">
        <v>995</v>
      </c>
      <c r="D54" s="299">
        <f>D40+D46+D52</f>
        <v>651910</v>
      </c>
      <c r="E54" s="299">
        <f>E40+E46+E52</f>
        <v>59829</v>
      </c>
      <c r="F54" s="299">
        <f t="shared" ref="F54:I54" si="5">F40+F46+F52</f>
        <v>711739</v>
      </c>
      <c r="G54" s="299">
        <f t="shared" si="5"/>
        <v>0</v>
      </c>
      <c r="H54" s="299">
        <f t="shared" si="5"/>
        <v>0</v>
      </c>
      <c r="I54" s="299">
        <f t="shared" si="5"/>
        <v>0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9</vt:i4>
      </vt:variant>
    </vt:vector>
  </HeadingPairs>
  <TitlesOfParts>
    <vt:vector size="43" baseType="lpstr">
      <vt:lpstr>Össz.önkor.mérleg.</vt:lpstr>
      <vt:lpstr>működ. mérleg </vt:lpstr>
      <vt:lpstr>felhalm. mérleg</vt:lpstr>
      <vt:lpstr>2019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Munka4</vt:lpstr>
      <vt:lpstr>Munka3</vt:lpstr>
      <vt:lpstr>Munka6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2020-02-21T08:34:41Z</cp:lastPrinted>
  <dcterms:created xsi:type="dcterms:W3CDTF">2013-12-16T15:47:29Z</dcterms:created>
  <dcterms:modified xsi:type="dcterms:W3CDTF">2020-03-03T11:44:38Z</dcterms:modified>
</cp:coreProperties>
</file>