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73" firstSheet="24" activeTab="30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9.2.sz.mell" sheetId="19" r:id="rId19"/>
    <sheet name="KV_9.2.1.sz.mell" sheetId="20" r:id="rId20"/>
    <sheet name="KV_9.3.sz.mell" sheetId="21" r:id="rId21"/>
    <sheet name="KV_9.3.1.sz.mell" sheetId="22" r:id="rId22"/>
    <sheet name="KV_9.3.2.sz.mell" sheetId="23" r:id="rId23"/>
    <sheet name="KV_10.sz.mell" sheetId="24" r:id="rId24"/>
    <sheet name="KV_1.sz.tájékoztató_t." sheetId="25" r:id="rId25"/>
    <sheet name="KV_2.sz.tájékoztató_t." sheetId="26" r:id="rId26"/>
    <sheet name="KV_3.sz.tájékoztató_t." sheetId="27" r:id="rId27"/>
    <sheet name="KV_4.sz.tájékoztató_t." sheetId="28" r:id="rId28"/>
    <sheet name="KV_5.sz.tájékoztató_t" sheetId="29" r:id="rId29"/>
    <sheet name="KV_6.sz.tájékoztató_t." sheetId="30" r:id="rId30"/>
    <sheet name="KV_7.sz.tájékoztató_t." sheetId="31" r:id="rId31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18">'KV_9.2.sz.mell'!$1:$6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4">'KV_1.sz.tájékoztató_t.'!$A$1:$E$157</definedName>
    <definedName name="_xlnm.Print_Area" localSheetId="30">'KV_7.sz.tájékoztató_t.'!$A$1:$E$40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<sst xmlns="http://schemas.openxmlformats.org/spreadsheetml/2006/main" count="3452" uniqueCount="769">
  <si>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</si>
  <si>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</si>
  <si>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</si>
  <si>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</si>
  <si>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</si>
  <si>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</si>
  <si>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</si>
  <si>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</si>
  <si>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</si>
  <si>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</si>
  <si>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</si>
  <si>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</si>
  <si>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</si>
  <si>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</si>
  <si>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</si>
  <si>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</si>
  <si>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</si>
  <si>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</si>
  <si>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</si>
  <si>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</si>
  <si>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</si>
  <si>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</si>
  <si>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</si>
  <si>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</si>
  <si>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</si>
  <si>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</si>
  <si>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</si>
  <si>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</si>
  <si>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</si>
  <si>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</si>
  <si>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</si>
  <si>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</si>
  <si>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</si>
  <si>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</si>
  <si>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</si>
  <si>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</si>
  <si>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</si>
  <si>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</si>
  <si>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</si>
  <si>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</si>
  <si>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</si>
  <si>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</si>
  <si>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</si>
  <si>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</si>
  <si>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</si>
  <si>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</si>
  <si>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</si>
  <si>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</si>
  <si>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</si>
  <si>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</si>
  <si>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</si>
  <si>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</si>
  <si>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</si>
  <si>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</si>
  <si>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</si>
  <si>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</si>
  <si>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</si>
  <si>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</si>
  <si>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</si>
  <si>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</si>
  <si>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</si>
  <si>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</si>
  <si>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</si>
  <si>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</si>
  <si>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</si>
  <si>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</si>
  <si>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</si>
  <si>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</si>
  <si>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</si>
  <si>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</si>
  <si>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</si>
  <si>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</si>
  <si>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</si>
  <si>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</si>
  <si>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</si>
  <si>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</si>
  <si>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</si>
  <si>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</si>
  <si>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</si>
  <si>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</si>
  <si>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</si>
  <si>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</si>
  <si>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</si>
  <si>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</si>
  <si>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</si>
  <si>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</si>
  <si>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</si>
  <si>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</si>
  <si>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</si>
  <si>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</si>
  <si>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</si>
  <si>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</si>
  <si>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</si>
  <si>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</si>
  <si>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</si>
  <si>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</si>
  <si>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</si>
  <si>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</si>
  <si>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</si>
  <si>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</si>
  <si>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</si>
  <si>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</si>
  <si>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</si>
  <si>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</si>
  <si>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</si>
  <si>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</si>
  <si>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</si>
  <si>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</si>
  <si>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</si>
  <si>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</si>
  <si>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</si>
  <si>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</si>
  <si>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</si>
  <si>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</si>
  <si>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</si>
  <si>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</si>
  <si>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</si>
  <si>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</si>
  <si>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</si>
  <si>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</si>
  <si>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</si>
  <si>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</si>
  <si>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</si>
  <si>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</si>
  <si>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</si>
  <si>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</si>
  <si>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</si>
  <si>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</si>
  <si>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</si>
  <si>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</si>
  <si>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</si>
  <si>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</si>
  <si>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</si>
  <si>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</si>
  <si>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</si>
  <si>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</si>
  <si>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</si>
  <si>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</si>
  <si>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</si>
  <si>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</si>
  <si>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</si>
  <si>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</si>
  <si>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</si>
  <si>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</si>
  <si>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</si>
  <si>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</si>
  <si>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</si>
  <si>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</si>
  <si>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</si>
  <si>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</si>
  <si>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</si>
  <si>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</si>
  <si>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Magánszemélyek kommunális adója 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</si>
  <si>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</si>
  <si>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</si>
  <si>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</si>
  <si>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</si>
  <si>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</si>
  <si>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</si>
  <si>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</si>
  <si>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</si>
  <si>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</si>
  <si>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</si>
  <si>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</si>
  <si>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</si>
  <si>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</si>
  <si>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</si>
  <si>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</si>
  <si>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</si>
  <si>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</si>
  <si>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</si>
  <si>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</si>
  <si>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</si>
  <si>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</si>
  <si>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</si>
  <si>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</si>
  <si>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</si>
  <si>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</si>
  <si>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</si>
  <si>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</si>
  <si>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</si>
  <si>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</si>
  <si>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</si>
  <si>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</si>
  <si>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</si>
  <si>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</si>
  <si>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</si>
  <si>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</si>
  <si>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</si>
  <si>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</si>
  <si>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</si>
  <si>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</si>
  <si>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</si>
  <si>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</si>
  <si>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</si>
  <si>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</si>
  <si>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</si>
  <si>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</si>
  <si>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</si>
  <si>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</si>
  <si>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</si>
  <si>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</si>
  <si>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</si>
  <si>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</si>
  <si>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</si>
  <si>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</si>
  <si>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</si>
  <si>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</si>
  <si>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</si>
  <si>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</si>
  <si>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</si>
  <si>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</si>
  <si>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</si>
  <si>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</si>
  <si>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</si>
  <si>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</si>
  <si>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</si>
  <si>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</si>
  <si>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</si>
  <si>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</si>
  <si>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</si>
  <si>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</si>
  <si>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</si>
  <si>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</si>
  <si>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</si>
  <si>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</si>
  <si>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</si>
  <si>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</si>
  <si>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</si>
  <si>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</si>
  <si>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</si>
  <si>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</si>
  <si>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</si>
  <si>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</si>
  <si>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</si>
  <si>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</si>
  <si>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</si>
  <si>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</si>
  <si>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</si>
  <si>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</si>
  <si>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</si>
  <si>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</si>
  <si>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</si>
  <si>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</si>
  <si>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</si>
  <si>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</si>
  <si>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</si>
  <si>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</si>
  <si>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</si>
  <si>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</si>
  <si>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</si>
  <si>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</si>
  <si>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</si>
  <si>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</si>
  <si>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</si>
  <si>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</si>
  <si>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</si>
  <si>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</si>
  <si>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</si>
  <si>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</si>
  <si>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</si>
  <si>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</si>
  <si>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</si>
  <si>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</si>
  <si>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</si>
  <si>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</si>
  <si>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</si>
  <si>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</si>
  <si>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</si>
  <si>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</si>
  <si>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</si>
  <si>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</si>
  <si>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</si>
  <si>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</si>
  <si>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</si>
  <si>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</si>
  <si>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</si>
  <si>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</si>
  <si>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</si>
  <si>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</si>
  <si>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</si>
  <si>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</si>
  <si>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</si>
  <si>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</si>
  <si>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</si>
  <si>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</si>
  <si>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</si>
  <si>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</si>
  <si>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</si>
  <si>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</si>
  <si>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</si>
  <si>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</si>
  <si>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</si>
  <si>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</si>
  <si>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</si>
  <si>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</si>
  <si>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</si>
  <si>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</si>
  <si>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</si>
  <si>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</si>
  <si>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</si>
  <si>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</si>
  <si>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</si>
  <si>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</si>
  <si>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</si>
  <si>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</si>
  <si>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</si>
  <si>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</si>
  <si>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</si>
  <si>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</si>
  <si>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</si>
  <si>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</si>
  <si>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</si>
  <si>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</si>
  <si>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</si>
  <si>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</si>
  <si>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</si>
  <si>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</si>
  <si>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</si>
  <si>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</si>
  <si>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</si>
  <si>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</si>
  <si>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</si>
  <si>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</si>
  <si>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</si>
  <si>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</si>
  <si>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</si>
  <si>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</si>
  <si>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</si>
  <si>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</si>
  <si>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</si>
  <si>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</si>
  <si>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</si>
  <si>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</si>
  <si>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</si>
  <si>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</si>
  <si>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</si>
  <si>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</si>
  <si>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</si>
  <si>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</si>
  <si>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</si>
  <si>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</si>
  <si>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</si>
  <si>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</si>
  <si>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</si>
  <si>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</si>
  <si>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</si>
  <si>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</si>
  <si>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</si>
  <si>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</si>
  <si>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</si>
  <si>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</si>
  <si>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</si>
  <si>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</si>
  <si>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</si>
  <si>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</si>
  <si>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</si>
  <si>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</si>
  <si>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</si>
  <si>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</si>
  <si>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</si>
  <si>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</si>
  <si>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</si>
  <si>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</si>
  <si>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</si>
  <si>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</si>
  <si>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</si>
  <si>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</si>
  <si>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</si>
  <si>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</si>
  <si>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</si>
  <si>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</si>
  <si>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</si>
  <si>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</si>
  <si>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</si>
  <si>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</si>
  <si>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</si>
  <si>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</si>
  <si>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</si>
  <si>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</si>
  <si>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</si>
  <si>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</si>
  <si>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</si>
  <si>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</si>
  <si>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</si>
  <si>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</si>
  <si>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</si>
  <si>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</si>
  <si>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</si>
  <si>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</si>
  <si>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</si>
  <si>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</si>
  <si>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</si>
  <si>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</si>
  <si>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</si>
  <si>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</si>
  <si>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</si>
  <si>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</si>
  <si>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</si>
  <si>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</si>
  <si>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</si>
  <si>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</si>
  <si>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</si>
  <si>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</si>
  <si>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</si>
  <si>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</si>
  <si>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</si>
  <si>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</si>
  <si>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</si>
  <si>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</si>
  <si>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</si>
  <si>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</si>
  <si>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</si>
  <si>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</si>
  <si>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</si>
  <si>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</si>
  <si>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</si>
  <si>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</si>
  <si>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</si>
  <si>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</si>
  <si>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</si>
  <si>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</si>
  <si>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</si>
  <si>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</si>
  <si>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</si>
  <si>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</si>
  <si>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</si>
  <si>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</si>
  <si>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</si>
  <si>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</si>
  <si>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</si>
  <si>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</si>
  <si>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</si>
  <si>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</si>
  <si>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</si>
  <si>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</si>
  <si>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</si>
  <si>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</si>
  <si>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</si>
  <si>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</si>
  <si>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</si>
  <si>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</si>
  <si>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</si>
  <si>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</si>
  <si>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</si>
  <si>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</si>
  <si>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</si>
  <si>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</si>
  <si>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</si>
  <si>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</si>
  <si>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</si>
  <si>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</si>
  <si>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</si>
  <si>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</si>
  <si>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</si>
  <si>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</si>
  <si>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</si>
  <si>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</si>
  <si>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</si>
  <si>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</si>
  <si>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</si>
  <si>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</si>
  <si>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</si>
  <si>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</si>
  <si>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</si>
  <si>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</si>
  <si>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</si>
  <si>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</si>
  <si>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</si>
  <si>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</si>
  <si>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</si>
  <si>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</si>
  <si>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</si>
  <si>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</si>
  <si>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</si>
  <si>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</si>
  <si>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</si>
  <si>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</si>
  <si>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</si>
  <si>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</si>
  <si>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</si>
  <si>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</si>
  <si>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</si>
  <si>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</si>
  <si>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</si>
  <si>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</si>
  <si>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</si>
  <si>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</si>
  <si>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</si>
  <si>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</si>
  <si>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</si>
  <si>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</si>
  <si>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</si>
  <si>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</si>
  <si>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</si>
  <si>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</si>
  <si>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</si>
  <si>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</si>
  <si>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</si>
  <si>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</si>
  <si>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</si>
  <si>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</si>
  <si>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</si>
  <si>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</si>
  <si>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</si>
  <si>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</si>
  <si>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</si>
  <si>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</si>
  <si>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</si>
  <si>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</si>
  <si>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</si>
  <si>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</si>
  <si>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</si>
  <si>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</si>
  <si>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</si>
  <si>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</si>
  <si>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</si>
  <si>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</si>
  <si>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</si>
  <si>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</si>
  <si>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</si>
  <si>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</si>
  <si>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</si>
  <si>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</si>
  <si>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</si>
  <si>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</si>
  <si>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</si>
  <si>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</si>
  <si>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</si>
  <si>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</si>
  <si>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</si>
  <si>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</si>
  <si>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</si>
  <si>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</si>
  <si>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</si>
  <si>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</si>
  <si>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</si>
  <si>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</si>
  <si>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</si>
  <si>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</si>
  <si>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</si>
  <si>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</si>
  <si>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</si>
  <si>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</si>
  <si>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</si>
  <si>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</si>
  <si>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</si>
  <si>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</si>
  <si>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</si>
  <si>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</si>
  <si>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</si>
  <si>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</si>
  <si>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</si>
  <si>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</si>
  <si>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</si>
  <si>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</si>
  <si>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</si>
  <si>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</si>
  <si>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</si>
  <si>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</si>
  <si>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</si>
  <si>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</si>
  <si>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</si>
  <si>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</si>
  <si>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</si>
  <si>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</si>
  <si>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</si>
  <si>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</si>
  <si>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</si>
  <si>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</si>
  <si>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</si>
  <si>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</si>
  <si>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</si>
  <si>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</si>
  <si>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</si>
  <si>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</si>
  <si>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</si>
  <si>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</si>
  <si>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</si>
  <si>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</si>
  <si>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</si>
  <si>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</si>
  <si>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</si>
  <si>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</si>
  <si>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</si>
  <si>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</si>
  <si>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</si>
  <si>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</si>
  <si>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</si>
  <si>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</si>
  <si>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</si>
  <si>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</si>
  <si>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</si>
  <si>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</si>
  <si>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</si>
  <si>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</si>
  <si>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</si>
  <si>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</si>
  <si>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</si>
  <si>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</si>
  <si>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</si>
  <si>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</si>
  <si>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</si>
  <si>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</si>
  <si>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</si>
  <si>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</si>
  <si>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</si>
  <si>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</si>
  <si>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</si>
  <si>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</si>
  <si>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</si>
  <si>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</si>
  <si>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</si>
  <si>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</si>
  <si>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</si>
  <si>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</si>
  <si>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</si>
  <si>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</si>
  <si>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</si>
  <si>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</si>
  <si>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</si>
  <si>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</si>
  <si>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</si>
  <si>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</si>
  <si>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</si>
  <si>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</si>
  <si>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</si>
  <si>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</si>
  <si>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</si>
  <si>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</si>
  <si>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</si>
  <si>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</si>
  <si>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</si>
  <si>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</si>
  <si>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</si>
  <si>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</si>
  <si>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</si>
  <si>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</si>
  <si>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</si>
  <si>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</si>
  <si>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</si>
  <si>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</si>
  <si>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</si>
  <si>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</si>
  <si>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</si>
  <si>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</si>
  <si>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</si>
  <si>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</si>
  <si>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</si>
  <si>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</si>
  <si>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</si>
  <si>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Kommunális adó</t>
  </si>
  <si>
    <t>Mellékletben külön?</t>
  </si>
  <si>
    <t>.</t>
  </si>
  <si>
    <t>2019. évi LXXI.
törvény 2.  melléklete száma*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</si>
  <si>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</si>
  <si>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</si>
  <si>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</si>
  <si>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</si>
  <si>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</si>
  <si>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</si>
  <si>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</si>
  <si>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</si>
  <si>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</si>
  <si>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</si>
  <si>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</si>
  <si>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</si>
  <si>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</si>
  <si>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</si>
  <si>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Murakeresztúri Közös Önkormányzati Hivatal</t>
  </si>
  <si>
    <t>Murakeresztúri Óvoda</t>
  </si>
  <si>
    <t>Magánszemélyek kommunális adója</t>
  </si>
  <si>
    <t>Egyéb közhatalmi bevételek</t>
  </si>
  <si>
    <t>MURAKERESZTÚR KÖZSÉG ÖNKORMÁNYZATA</t>
  </si>
  <si>
    <t>2019-2020</t>
  </si>
  <si>
    <t>Közösségi közlekedés projekt beruházás része</t>
  </si>
  <si>
    <t>Dacia gépkocsi vásárlás</t>
  </si>
  <si>
    <t>2020000</t>
  </si>
  <si>
    <t>Kis értékű tárgyi eszköz beszerzések (Önkormányzat)</t>
  </si>
  <si>
    <t>2020</t>
  </si>
  <si>
    <t>Kis értékű tárgyi eszköz beszerzések (Óvoda)</t>
  </si>
  <si>
    <t>Közösségi közlekedés projekt felújítás része</t>
  </si>
  <si>
    <t>Hivatal tetőfelújítás</t>
  </si>
  <si>
    <t>Hivatal felújítás (Magyar Falu Program)</t>
  </si>
  <si>
    <t>Zrínyi M. utcai épület felújítása</t>
  </si>
  <si>
    <t xml:space="preserve">TOP-3.1.1-15-ZA1-2016-00010 "Fenntartható, biztonságos közösségi közlekedés Murakeresztúron"       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</si>
  <si>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</si>
  <si>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</si>
  <si>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</si>
  <si>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</si>
  <si>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Városkörnyéki Ügyeleti Társulás</t>
  </si>
  <si>
    <t>működési támogatás (háziorvosi ügyelet működtetéséhez)</t>
  </si>
  <si>
    <t>Emberi Erőforrás Támogatáskezelő</t>
  </si>
  <si>
    <t>Bursa Hungarica támogatás</t>
  </si>
  <si>
    <t>Térségi Közterület-felügyeleti és Mezőri Társulás</t>
  </si>
  <si>
    <t>Műk.tám.államháztartáson belülre összesen:</t>
  </si>
  <si>
    <t>Egyéb működési támogatások államháztartáson kívülre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</si>
  <si>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</si>
  <si>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</si>
  <si>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</si>
  <si>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</si>
  <si>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</si>
  <si>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56-os Emlékműért Polgári Egyesület</t>
  </si>
  <si>
    <t>Összefogás a Mura Régióért Egyesület</t>
  </si>
  <si>
    <t>COR 98 Bt.</t>
  </si>
  <si>
    <t>iskolaeü.támogatás átadása</t>
  </si>
  <si>
    <t>fogorvosi OEP támogatás átadása</t>
  </si>
  <si>
    <t>Műk.tám.államháztartáson kívülre összesen:</t>
  </si>
  <si>
    <t>Horvát Nemz.Önk.Murakersztúr</t>
  </si>
  <si>
    <t>Lajkó Dentál Eü. Kft.</t>
  </si>
  <si>
    <t>I.</t>
  </si>
  <si>
    <t>Általános működési támogatások</t>
  </si>
  <si>
    <t>1.a)</t>
  </si>
  <si>
    <t>Önkormányzati hivatal működésének támogatása</t>
  </si>
  <si>
    <t>1.ba)</t>
  </si>
  <si>
    <t>Zöldterület kezelés támogatása</t>
  </si>
  <si>
    <t>1.bb)</t>
  </si>
  <si>
    <t>Közvilágítás támogatása</t>
  </si>
  <si>
    <t>1.bc)</t>
  </si>
  <si>
    <t>Köztemető fenntartás, működtetés támogatása</t>
  </si>
  <si>
    <t>1.bd)</t>
  </si>
  <si>
    <t>Közutak fenntartása támogatása</t>
  </si>
  <si>
    <t>1.c)</t>
  </si>
  <si>
    <t>Egyéb önkormányzati feladatok támogatása</t>
  </si>
  <si>
    <t>1.d)</t>
  </si>
  <si>
    <t>Lakott külterülettel kapcsolatos feladatok támogatása</t>
  </si>
  <si>
    <t>Településüzemeltetéshez kapcsolódó kiegészítés</t>
  </si>
  <si>
    <t>Általános működési támogatások összesen:</t>
  </si>
  <si>
    <t>II.</t>
  </si>
  <si>
    <t>Egyes köznevelési  feladatok támogatásai</t>
  </si>
  <si>
    <t>Óvodapedagógusok bértámogtása</t>
  </si>
  <si>
    <t>Óvodapedagógusok munkáját segítők bértámogatása</t>
  </si>
  <si>
    <t>Kiegészítő támogatás óvodapedagógusok minnősítéséből adódó többletkiadásokhoz</t>
  </si>
  <si>
    <t>Óvodaműködtetési támogatás</t>
  </si>
  <si>
    <t>Nemzetiségi pótlék támogatása</t>
  </si>
  <si>
    <t>Egyes köznevelési  feladatok támogatásai összesen:</t>
  </si>
  <si>
    <t>III.</t>
  </si>
  <si>
    <t>Szociális, gyermekjóléti és gyermekétkeztetési feldatok támogatásai</t>
  </si>
  <si>
    <t>Szociális feladatok egyéb támogatása</t>
  </si>
  <si>
    <t>Család-és gyermekjóléti szolgálat támogatása</t>
  </si>
  <si>
    <t>Szociális étkeztetés támogatása</t>
  </si>
  <si>
    <t>Házi segítségnyújtás támogatása</t>
  </si>
  <si>
    <t>5.aa)</t>
  </si>
  <si>
    <t>Gyermekétkeztetés  bértámogatása</t>
  </si>
  <si>
    <t>5.ab)</t>
  </si>
  <si>
    <t>Gyermekétkeztetés  működési támogatása</t>
  </si>
  <si>
    <t>5.b)</t>
  </si>
  <si>
    <t>Rászoruló gyermekek intézményen kívüli szünidei étkeztetésének támogatása</t>
  </si>
  <si>
    <t>Szociális, gyermekjóléti és gyermekétkeztetési feldatok támogatásai összesen:</t>
  </si>
  <si>
    <t>IV.</t>
  </si>
  <si>
    <t>Kulturális feladatok támogatása</t>
  </si>
  <si>
    <t>Könyvtári, közművelődési feladatok támogatása</t>
  </si>
  <si>
    <t>Kulturális feladatok támogatása összesen:</t>
  </si>
  <si>
    <t>1.f)</t>
  </si>
  <si>
    <t>Polgármesteri illetmény támogatása</t>
  </si>
  <si>
    <t>1.(2)</t>
  </si>
  <si>
    <t>1.(1)</t>
  </si>
  <si>
    <t>2. (1)</t>
  </si>
  <si>
    <t>4.a (1)</t>
  </si>
  <si>
    <t>5. (1)</t>
  </si>
  <si>
    <t>2.a</t>
  </si>
  <si>
    <t>2.c (1)</t>
  </si>
  <si>
    <t>2.da-db</t>
  </si>
  <si>
    <t>b</t>
  </si>
  <si>
    <t>TOP-3.1.1-15-ZA1-2016-00010 "Fenntartható, biztonságos közösségi közlekedés Murakeresztúron"</t>
  </si>
  <si>
    <t>Működési bevételekből biztosított kedvezmény összesen</t>
  </si>
  <si>
    <t>Szolgáltatások bevételeli</t>
  </si>
  <si>
    <t>Az önkormányzat és intézményei nyugdíjas dolgozóinak étkezési térítési díj kedvezménye</t>
  </si>
  <si>
    <t>II.25.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</si>
</sst>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2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9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9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1" xfId="0" applyNumberFormat="1" applyFont="1" applyFill="1" applyBorder="1" applyAlignment="1" applyProtection="1">
      <alignment vertical="center" wrapText="1"/>
      <protection/>
    </xf>
    <xf numFmtId="172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7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72" fontId="17" fillId="0" borderId="38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72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72" fontId="17" fillId="0" borderId="34" xfId="61" applyNumberFormat="1" applyFont="1" applyFill="1" applyBorder="1" applyAlignment="1" applyProtection="1">
      <alignment vertical="center"/>
      <protection/>
    </xf>
    <xf numFmtId="172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72" fontId="16" fillId="0" borderId="39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5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74" fontId="15" fillId="0" borderId="26" xfId="40" applyNumberFormat="1" applyFont="1" applyFill="1" applyBorder="1" applyAlignment="1" applyProtection="1">
      <alignment/>
      <protection/>
    </xf>
    <xf numFmtId="174" fontId="17" fillId="0" borderId="41" xfId="40" applyNumberFormat="1" applyFont="1" applyFill="1" applyBorder="1" applyAlignment="1" applyProtection="1">
      <alignment/>
      <protection locked="0"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2" fontId="15" fillId="0" borderId="28" xfId="0" applyNumberFormat="1" applyFont="1" applyFill="1" applyBorder="1" applyAlignment="1" applyProtection="1">
      <alignment vertical="center" wrapText="1"/>
      <protection/>
    </xf>
    <xf numFmtId="172" fontId="15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72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6" xfId="0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2" xfId="0" applyNumberFormat="1" applyFont="1" applyFill="1" applyBorder="1" applyAlignment="1" applyProtection="1">
      <alignment horizontal="center" vertical="center"/>
      <protection/>
    </xf>
    <xf numFmtId="172" fontId="7" fillId="0" borderId="36" xfId="0" applyNumberFormat="1" applyFont="1" applyFill="1" applyBorder="1" applyAlignment="1" applyProtection="1">
      <alignment horizontal="center" vertical="center" wrapText="1"/>
      <protection/>
    </xf>
    <xf numFmtId="172" fontId="15" fillId="0" borderId="47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5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54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2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55" xfId="0" applyNumberFormat="1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54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72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5" fillId="0" borderId="37" xfId="6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58" xfId="40" applyNumberFormat="1" applyFont="1" applyFill="1" applyBorder="1" applyAlignment="1" applyProtection="1">
      <alignment/>
      <protection locked="0"/>
    </xf>
    <xf numFmtId="174" fontId="17" fillId="0" borderId="50" xfId="40" applyNumberFormat="1" applyFont="1" applyFill="1" applyBorder="1" applyAlignment="1" applyProtection="1">
      <alignment/>
      <protection locked="0"/>
    </xf>
    <xf numFmtId="174" fontId="17" fillId="0" borderId="45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72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vertical="center" wrapText="1"/>
      <protection/>
    </xf>
    <xf numFmtId="172" fontId="6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0" xfId="60" applyFont="1" applyFill="1" applyBorder="1" applyAlignment="1" applyProtection="1">
      <alignment horizontal="right" vertical="center" wrapText="1" indent="1"/>
      <protection locked="0"/>
    </xf>
    <xf numFmtId="172" fontId="17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4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5" fillId="0" borderId="40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0" xfId="6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80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72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60" applyFont="1" applyFill="1" applyBorder="1" applyAlignment="1" applyProtection="1">
      <alignment horizontal="left" vertical="center" wrapText="1" indent="7"/>
      <protection/>
    </xf>
    <xf numFmtId="172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72" fontId="15" fillId="0" borderId="64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21" fillId="0" borderId="40" xfId="0" applyNumberFormat="1" applyFont="1" applyBorder="1" applyAlignment="1" applyProtection="1">
      <alignment horizontal="right" vertical="center" wrapText="1" indent="1"/>
      <protection/>
    </xf>
    <xf numFmtId="172" fontId="21" fillId="0" borderId="40" xfId="0" applyNumberFormat="1" applyFont="1" applyBorder="1" applyAlignment="1" applyProtection="1">
      <alignment horizontal="right" vertical="center" wrapText="1" indent="1"/>
      <protection locked="0"/>
    </xf>
    <xf numFmtId="172" fontId="19" fillId="0" borderId="40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21" fillId="0" borderId="23" xfId="0" applyNumberFormat="1" applyFont="1" applyBorder="1" applyAlignment="1" applyProtection="1">
      <alignment horizontal="right" vertical="center" wrapText="1" indent="1"/>
      <protection/>
    </xf>
    <xf numFmtId="172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4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0" fontId="17" fillId="0" borderId="60" xfId="60" applyFont="1" applyFill="1" applyBorder="1" applyAlignment="1" applyProtection="1">
      <alignment horizontal="right" vertical="center" wrapText="1" indent="1"/>
      <protection/>
    </xf>
    <xf numFmtId="172" fontId="17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72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19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4" fontId="29" fillId="0" borderId="12" xfId="40" applyNumberFormat="1" applyFont="1" applyFill="1" applyBorder="1" applyAlignment="1" applyProtection="1">
      <alignment/>
      <protection locked="0"/>
    </xf>
    <xf numFmtId="174" fontId="29" fillId="0" borderId="34" xfId="40" applyNumberFormat="1" applyFont="1" applyFill="1" applyBorder="1" applyAlignment="1">
      <alignment/>
    </xf>
    <xf numFmtId="174" fontId="29" fillId="0" borderId="11" xfId="40" applyNumberFormat="1" applyFont="1" applyFill="1" applyBorder="1" applyAlignment="1" applyProtection="1">
      <alignment/>
      <protection locked="0"/>
    </xf>
    <xf numFmtId="174" fontId="29" fillId="0" borderId="29" xfId="40" applyNumberFormat="1" applyFont="1" applyFill="1" applyBorder="1" applyAlignment="1">
      <alignment/>
    </xf>
    <xf numFmtId="174" fontId="29" fillId="0" borderId="15" xfId="40" applyNumberFormat="1" applyFont="1" applyFill="1" applyBorder="1" applyAlignment="1" applyProtection="1">
      <alignment/>
      <protection locked="0"/>
    </xf>
    <xf numFmtId="174" fontId="30" fillId="0" borderId="23" xfId="60" applyNumberFormat="1" applyFont="1" applyFill="1" applyBorder="1">
      <alignment/>
      <protection/>
    </xf>
    <xf numFmtId="174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1" xfId="0" applyNumberFormat="1" applyFont="1" applyFill="1" applyBorder="1" applyAlignment="1" applyProtection="1">
      <alignment vertical="center" wrapText="1"/>
      <protection/>
    </xf>
    <xf numFmtId="172" fontId="29" fillId="0" borderId="22" xfId="0" applyNumberFormat="1" applyFont="1" applyFill="1" applyBorder="1" applyAlignment="1" applyProtection="1">
      <alignment vertical="center" wrapText="1"/>
      <protection/>
    </xf>
    <xf numFmtId="172" fontId="29" fillId="0" borderId="23" xfId="0" applyNumberFormat="1" applyFont="1" applyFill="1" applyBorder="1" applyAlignment="1" applyProtection="1">
      <alignment vertical="center" wrapText="1"/>
      <protection/>
    </xf>
    <xf numFmtId="172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2" xfId="0" applyNumberFormat="1" applyFont="1" applyFill="1" applyBorder="1" applyAlignment="1" applyProtection="1">
      <alignment vertical="center" wrapText="1"/>
      <protection locked="0"/>
    </xf>
    <xf numFmtId="172" fontId="29" fillId="0" borderId="17" xfId="0" applyNumberFormat="1" applyFont="1" applyFill="1" applyBorder="1" applyAlignment="1" applyProtection="1">
      <alignment vertical="center" wrapText="1"/>
      <protection locked="0"/>
    </xf>
    <xf numFmtId="172" fontId="29" fillId="0" borderId="11" xfId="0" applyNumberFormat="1" applyFont="1" applyFill="1" applyBorder="1" applyAlignment="1" applyProtection="1">
      <alignment vertical="center" wrapText="1"/>
      <protection locked="0"/>
    </xf>
    <xf numFmtId="172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55" xfId="0" applyNumberFormat="1" applyFont="1" applyFill="1" applyBorder="1" applyAlignment="1" applyProtection="1">
      <alignment vertical="center" wrapText="1"/>
      <protection locked="0"/>
    </xf>
    <xf numFmtId="172" fontId="29" fillId="0" borderId="19" xfId="0" applyNumberFormat="1" applyFont="1" applyFill="1" applyBorder="1" applyAlignment="1" applyProtection="1">
      <alignment vertical="center" wrapText="1"/>
      <protection locked="0"/>
    </xf>
    <xf numFmtId="172" fontId="29" fillId="0" borderId="15" xfId="0" applyNumberFormat="1" applyFont="1" applyFill="1" applyBorder="1" applyAlignment="1" applyProtection="1">
      <alignment vertical="center" wrapText="1"/>
      <protection locked="0"/>
    </xf>
    <xf numFmtId="172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1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54" xfId="0" applyNumberFormat="1" applyFont="1" applyFill="1" applyBorder="1" applyAlignment="1" applyProtection="1">
      <alignment vertical="center" wrapText="1"/>
      <protection locked="0"/>
    </xf>
    <xf numFmtId="172" fontId="29" fillId="0" borderId="16" xfId="0" applyNumberFormat="1" applyFont="1" applyFill="1" applyBorder="1" applyAlignment="1" applyProtection="1">
      <alignment vertical="center" wrapText="1"/>
      <protection locked="0"/>
    </xf>
    <xf numFmtId="172" fontId="29" fillId="0" borderId="10" xfId="0" applyNumberFormat="1" applyFont="1" applyFill="1" applyBorder="1" applyAlignment="1" applyProtection="1">
      <alignment vertical="center" wrapText="1"/>
      <protection locked="0"/>
    </xf>
    <xf numFmtId="172" fontId="29" fillId="0" borderId="38" xfId="0" applyNumberFormat="1" applyFont="1" applyFill="1" applyBorder="1" applyAlignment="1" applyProtection="1">
      <alignment vertical="center" wrapText="1"/>
      <protection locked="0"/>
    </xf>
    <xf numFmtId="172" fontId="29" fillId="33" borderId="53" xfId="0" applyNumberFormat="1" applyFont="1" applyFill="1" applyBorder="1" applyAlignment="1" applyProtection="1">
      <alignment horizontal="left" vertical="center" wrapText="1" indent="2"/>
      <protection/>
    </xf>
    <xf numFmtId="172" fontId="32" fillId="0" borderId="23" xfId="61" applyNumberFormat="1" applyFont="1" applyFill="1" applyBorder="1" applyAlignment="1" applyProtection="1">
      <alignment vertical="center"/>
      <protection/>
    </xf>
    <xf numFmtId="3" fontId="29" fillId="0" borderId="41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72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72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7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72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 applyProtection="1">
      <alignment horizontal="left" vertical="center" wrapText="1" indent="1"/>
      <protection/>
    </xf>
    <xf numFmtId="172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72" fontId="17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39" xfId="0" applyFont="1" applyFill="1" applyBorder="1" applyAlignment="1" applyProtection="1">
      <alignment horizontal="right" vertical="center"/>
      <protection locked="0"/>
    </xf>
    <xf numFmtId="0" fontId="16" fillId="0" borderId="39" xfId="0" applyFont="1" applyFill="1" applyBorder="1" applyAlignment="1" applyProtection="1">
      <alignment horizontal="right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172" fontId="16" fillId="0" borderId="0" xfId="0" applyNumberFormat="1" applyFont="1" applyFill="1" applyAlignment="1" applyProtection="1">
      <alignment horizontal="right" vertical="center"/>
      <protection locked="0"/>
    </xf>
    <xf numFmtId="172" fontId="16" fillId="0" borderId="0" xfId="0" applyNumberFormat="1" applyFont="1" applyFill="1" applyAlignment="1" applyProtection="1">
      <alignment horizontal="right" vertical="center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5" borderId="0" xfId="0" applyFont="1" applyFill="1" applyAlignment="1">
      <alignment horizontal="center" vertical="center"/>
    </xf>
    <xf numFmtId="0" fontId="90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 quotePrefix="1">
      <alignment horizontal="right" vertical="center" indent="1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72" fontId="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72" fontId="91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49" fontId="7" fillId="0" borderId="59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9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72" fontId="92" fillId="0" borderId="0" xfId="60" applyNumberFormat="1" applyFont="1" applyFill="1" applyAlignment="1" applyProtection="1">
      <alignment horizontal="right" vertical="center" indent="1"/>
      <protection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17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79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72" fontId="93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172" fontId="93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72" fontId="16" fillId="0" borderId="39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72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1" xfId="60" applyFont="1" applyFill="1" applyBorder="1" applyAlignment="1" applyProtection="1">
      <alignment horizontal="center" vertical="center" wrapText="1"/>
      <protection locked="0"/>
    </xf>
    <xf numFmtId="172" fontId="91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0" borderId="46" xfId="60" applyFont="1" applyFill="1" applyBorder="1" applyAlignment="1" applyProtection="1">
      <alignment horizontal="center" vertical="center" wrapText="1"/>
      <protection locked="0"/>
    </xf>
    <xf numFmtId="0" fontId="7" fillId="0" borderId="40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72" fontId="9" fillId="0" borderId="0" xfId="59" applyNumberFormat="1" applyFont="1" applyFill="1" applyAlignment="1" applyProtection="1">
      <alignment vertical="center" wrapText="1"/>
      <protection locked="0"/>
    </xf>
    <xf numFmtId="172" fontId="15" fillId="0" borderId="66" xfId="59" applyNumberFormat="1" applyFont="1" applyFill="1" applyBorder="1" applyAlignment="1">
      <alignment horizontal="center" vertical="center"/>
      <protection/>
    </xf>
    <xf numFmtId="172" fontId="15" fillId="0" borderId="31" xfId="59" applyNumberFormat="1" applyFont="1" applyFill="1" applyBorder="1" applyAlignment="1">
      <alignment horizontal="center" vertical="center"/>
      <protection/>
    </xf>
    <xf numFmtId="172" fontId="15" fillId="0" borderId="67" xfId="59" applyNumberFormat="1" applyFont="1" applyFill="1" applyBorder="1" applyAlignment="1">
      <alignment horizontal="center" vertical="center"/>
      <protection/>
    </xf>
    <xf numFmtId="172" fontId="15" fillId="0" borderId="31" xfId="59" applyNumberFormat="1" applyFont="1" applyFill="1" applyBorder="1" applyAlignment="1">
      <alignment horizontal="center" vertical="center" wrapText="1"/>
      <protection/>
    </xf>
    <xf numFmtId="172" fontId="15" fillId="0" borderId="67" xfId="59" applyNumberFormat="1" applyFont="1" applyFill="1" applyBorder="1" applyAlignment="1">
      <alignment horizontal="center" vertical="center" wrapText="1"/>
      <protection/>
    </xf>
    <xf numFmtId="49" fontId="14" fillId="0" borderId="62" xfId="59" applyNumberFormat="1" applyFont="1" applyFill="1" applyBorder="1" applyAlignment="1">
      <alignment horizontal="left" vertical="center"/>
      <protection/>
    </xf>
    <xf numFmtId="49" fontId="38" fillId="0" borderId="68" xfId="59" applyNumberFormat="1" applyFont="1" applyFill="1" applyBorder="1" applyAlignment="1" quotePrefix="1">
      <alignment horizontal="left" vertical="center"/>
      <protection/>
    </xf>
    <xf numFmtId="49" fontId="14" fillId="0" borderId="68" xfId="59" applyNumberFormat="1" applyFont="1" applyFill="1" applyBorder="1" applyAlignment="1">
      <alignment horizontal="left" vertical="center"/>
      <protection/>
    </xf>
    <xf numFmtId="49" fontId="7" fillId="0" borderId="47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81" fontId="7" fillId="0" borderId="31" xfId="59" applyNumberFormat="1" applyFont="1" applyFill="1" applyBorder="1" applyAlignment="1">
      <alignment horizontal="left" vertical="center" wrapText="1"/>
      <protection/>
    </xf>
    <xf numFmtId="172" fontId="0" fillId="0" borderId="0" xfId="59" applyNumberFormat="1" applyFill="1" applyAlignment="1">
      <alignment vertical="center" wrapText="1"/>
      <protection/>
    </xf>
    <xf numFmtId="172" fontId="5" fillId="0" borderId="39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72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59" applyNumberFormat="1" applyFont="1" applyFill="1" applyBorder="1" applyAlignment="1" applyProtection="1">
      <alignment horizontal="right" vertical="center" wrapText="1"/>
      <protection locked="0"/>
    </xf>
    <xf numFmtId="172" fontId="3" fillId="0" borderId="31" xfId="59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/>
    </xf>
    <xf numFmtId="172" fontId="14" fillId="0" borderId="69" xfId="59" applyNumberFormat="1" applyFont="1" applyFill="1" applyBorder="1" applyAlignment="1" applyProtection="1">
      <alignment horizontal="right" vertical="center" indent="2"/>
      <protection/>
    </xf>
    <xf numFmtId="172" fontId="14" fillId="0" borderId="69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70" xfId="59" applyNumberFormat="1" applyFont="1" applyFill="1" applyBorder="1" applyAlignment="1" applyProtection="1">
      <alignment horizontal="right" vertical="center" wrapText="1" indent="2"/>
      <protection locked="0"/>
    </xf>
    <xf numFmtId="172" fontId="38" fillId="0" borderId="32" xfId="59" applyNumberFormat="1" applyFont="1" applyFill="1" applyBorder="1" applyAlignment="1" applyProtection="1">
      <alignment horizontal="right" vertical="center" indent="2"/>
      <protection/>
    </xf>
    <xf numFmtId="172" fontId="38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32" xfId="59" applyNumberFormat="1" applyFont="1" applyFill="1" applyBorder="1" applyAlignment="1" applyProtection="1">
      <alignment horizontal="right" vertical="center" indent="2"/>
      <protection/>
    </xf>
    <xf numFmtId="172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72" fontId="7" fillId="0" borderId="31" xfId="59" applyNumberFormat="1" applyFont="1" applyFill="1" applyBorder="1" applyAlignment="1" applyProtection="1">
      <alignment horizontal="right" vertical="center" indent="2"/>
      <protection/>
    </xf>
    <xf numFmtId="172" fontId="7" fillId="0" borderId="31" xfId="59" applyNumberFormat="1" applyFont="1" applyFill="1" applyBorder="1" applyAlignment="1">
      <alignment horizontal="right" vertical="center" indent="2"/>
      <protection/>
    </xf>
    <xf numFmtId="172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72" fontId="14" fillId="0" borderId="55" xfId="59" applyNumberFormat="1" applyFont="1" applyFill="1" applyBorder="1" applyAlignment="1" applyProtection="1">
      <alignment horizontal="right" vertical="center" indent="2"/>
      <protection/>
    </xf>
    <xf numFmtId="172" fontId="14" fillId="0" borderId="55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35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172" fontId="15" fillId="0" borderId="23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40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60" applyNumberFormat="1" applyFont="1" applyBorder="1" applyAlignment="1">
      <alignment horizontal="right" vertical="center" wrapText="1" indent="1"/>
      <protection/>
    </xf>
    <xf numFmtId="172" fontId="15" fillId="0" borderId="40" xfId="60" applyNumberFormat="1" applyFont="1" applyBorder="1" applyAlignment="1">
      <alignment horizontal="right" vertical="center" wrapText="1" indent="1"/>
      <protection/>
    </xf>
    <xf numFmtId="172" fontId="17" fillId="0" borderId="12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51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1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50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45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Border="1" applyAlignment="1">
      <alignment horizontal="right" vertical="center" wrapText="1" indent="1"/>
      <protection/>
    </xf>
    <xf numFmtId="172" fontId="15" fillId="0" borderId="23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40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Border="1" applyAlignment="1" applyProtection="1">
      <alignment horizontal="right" vertical="center" wrapText="1" indent="1"/>
      <protection locked="0"/>
    </xf>
    <xf numFmtId="172" fontId="15" fillId="0" borderId="28" xfId="60" applyNumberFormat="1" applyFont="1" applyBorder="1" applyAlignment="1">
      <alignment horizontal="right" vertical="center" wrapText="1" indent="1"/>
      <protection/>
    </xf>
    <xf numFmtId="172" fontId="15" fillId="0" borderId="59" xfId="60" applyNumberFormat="1" applyFont="1" applyBorder="1" applyAlignment="1">
      <alignment horizontal="right" vertical="center" wrapText="1" indent="1"/>
      <protection/>
    </xf>
    <xf numFmtId="172" fontId="15" fillId="0" borderId="23" xfId="60" applyNumberFormat="1" applyFont="1" applyBorder="1" applyAlignment="1">
      <alignment horizontal="right" vertical="center" wrapText="1" indent="1"/>
      <protection/>
    </xf>
    <xf numFmtId="172" fontId="15" fillId="0" borderId="40" xfId="60" applyNumberFormat="1" applyFont="1" applyBorder="1" applyAlignment="1">
      <alignment horizontal="right" vertical="center" wrapText="1" indent="1"/>
      <protection/>
    </xf>
    <xf numFmtId="172" fontId="19" fillId="0" borderId="23" xfId="0" applyNumberFormat="1" applyFont="1" applyBorder="1" applyAlignment="1" quotePrefix="1">
      <alignment horizontal="right" vertical="center" wrapText="1" indent="1"/>
    </xf>
    <xf numFmtId="172" fontId="19" fillId="0" borderId="40" xfId="0" applyNumberFormat="1" applyFont="1" applyBorder="1" applyAlignment="1" quotePrefix="1">
      <alignment horizontal="right" vertical="center" wrapText="1" indent="1"/>
    </xf>
    <xf numFmtId="0" fontId="0" fillId="0" borderId="69" xfId="0" applyBorder="1" applyAlignment="1">
      <alignment/>
    </xf>
    <xf numFmtId="0" fontId="19" fillId="0" borderId="20" xfId="0" applyFont="1" applyBorder="1" applyAlignment="1">
      <alignment horizontal="left" vertical="center" wrapText="1"/>
    </xf>
    <xf numFmtId="172" fontId="25" fillId="0" borderId="73" xfId="0" applyNumberFormat="1" applyFont="1" applyBorder="1" applyAlignment="1" applyProtection="1">
      <alignment horizontal="right" vertical="center" wrapText="1"/>
      <protection locked="0"/>
    </xf>
    <xf numFmtId="0" fontId="0" fillId="0" borderId="74" xfId="0" applyBorder="1" applyAlignment="1">
      <alignment/>
    </xf>
    <xf numFmtId="0" fontId="25" fillId="0" borderId="75" xfId="0" applyFont="1" applyBorder="1" applyAlignment="1" applyProtection="1">
      <alignment horizontal="left" vertical="center" wrapText="1"/>
      <protection locked="0"/>
    </xf>
    <xf numFmtId="0" fontId="25" fillId="0" borderId="76" xfId="0" applyFont="1" applyBorder="1" applyAlignment="1" applyProtection="1">
      <alignment horizontal="left" vertical="center" wrapText="1"/>
      <protection locked="0"/>
    </xf>
    <xf numFmtId="0" fontId="19" fillId="0" borderId="76" xfId="0" applyFont="1" applyBorder="1" applyAlignment="1" applyProtection="1">
      <alignment horizontal="left" vertical="center" wrapText="1"/>
      <protection locked="0"/>
    </xf>
    <xf numFmtId="172" fontId="19" fillId="0" borderId="73" xfId="0" applyNumberFormat="1" applyFont="1" applyBorder="1" applyAlignment="1" applyProtection="1">
      <alignment horizontal="right" vertical="center" wrapText="1"/>
      <protection locked="0"/>
    </xf>
    <xf numFmtId="0" fontId="25" fillId="0" borderId="77" xfId="0" applyFont="1" applyBorder="1" applyAlignment="1" applyProtection="1">
      <alignment horizontal="left" vertical="center" wrapText="1"/>
      <protection locked="0"/>
    </xf>
    <xf numFmtId="0" fontId="0" fillId="0" borderId="78" xfId="0" applyBorder="1" applyAlignment="1">
      <alignment/>
    </xf>
    <xf numFmtId="0" fontId="19" fillId="0" borderId="77" xfId="0" applyFont="1" applyBorder="1" applyAlignment="1" applyProtection="1">
      <alignment horizontal="left" vertical="center" wrapText="1"/>
      <protection locked="0"/>
    </xf>
    <xf numFmtId="172" fontId="31" fillId="0" borderId="10" xfId="61" applyNumberFormat="1" applyFont="1" applyBorder="1" applyAlignment="1" applyProtection="1">
      <alignment vertical="center"/>
      <protection locked="0"/>
    </xf>
    <xf numFmtId="172" fontId="31" fillId="0" borderId="11" xfId="61" applyNumberFormat="1" applyFont="1" applyBorder="1" applyAlignment="1" applyProtection="1">
      <alignment vertical="center"/>
      <protection locked="0"/>
    </xf>
    <xf numFmtId="172" fontId="31" fillId="0" borderId="12" xfId="61" applyNumberFormat="1" applyFont="1" applyBorder="1" applyAlignment="1" applyProtection="1">
      <alignment vertical="center"/>
      <protection locked="0"/>
    </xf>
    <xf numFmtId="172" fontId="17" fillId="0" borderId="34" xfId="61" applyNumberFormat="1" applyFont="1" applyBorder="1" applyAlignment="1">
      <alignment vertical="center"/>
      <protection/>
    </xf>
    <xf numFmtId="172" fontId="17" fillId="0" borderId="29" xfId="61" applyNumberFormat="1" applyFont="1" applyBorder="1" applyAlignment="1">
      <alignment vertical="center"/>
      <protection/>
    </xf>
    <xf numFmtId="172" fontId="31" fillId="0" borderId="15" xfId="61" applyNumberFormat="1" applyFont="1" applyBorder="1" applyAlignment="1" applyProtection="1">
      <alignment vertical="center"/>
      <protection locked="0"/>
    </xf>
    <xf numFmtId="172" fontId="17" fillId="0" borderId="30" xfId="61" applyNumberFormat="1" applyFont="1" applyBorder="1" applyAlignment="1">
      <alignment vertical="center"/>
      <protection/>
    </xf>
    <xf numFmtId="172" fontId="32" fillId="0" borderId="23" xfId="61" applyNumberFormat="1" applyFont="1" applyBorder="1">
      <alignment/>
      <protection/>
    </xf>
    <xf numFmtId="0" fontId="17" fillId="0" borderId="10" xfId="61" applyFont="1" applyFill="1" applyBorder="1" applyAlignment="1" applyProtection="1">
      <alignment horizontal="left" vertical="center" indent="1"/>
      <protection/>
    </xf>
    <xf numFmtId="172" fontId="31" fillId="0" borderId="35" xfId="61" applyNumberFormat="1" applyFont="1" applyBorder="1" applyAlignment="1" applyProtection="1">
      <alignment vertical="center"/>
      <protection locked="0"/>
    </xf>
    <xf numFmtId="172" fontId="15" fillId="0" borderId="26" xfId="61" applyNumberFormat="1" applyFont="1" applyBorder="1" applyAlignment="1">
      <alignment vertical="center"/>
      <protection/>
    </xf>
    <xf numFmtId="0" fontId="17" fillId="0" borderId="0" xfId="0" applyFont="1" applyAlignment="1" applyProtection="1">
      <alignment horizontal="left" wrapText="1"/>
      <protection locked="0"/>
    </xf>
    <xf numFmtId="172" fontId="29" fillId="0" borderId="11" xfId="0" applyNumberFormat="1" applyFont="1" applyBorder="1" applyAlignment="1" applyProtection="1">
      <alignment vertical="center" wrapText="1"/>
      <protection locked="0"/>
    </xf>
    <xf numFmtId="172" fontId="29" fillId="0" borderId="29" xfId="0" applyNumberFormat="1" applyFont="1" applyBorder="1" applyAlignment="1" applyProtection="1">
      <alignment vertical="center" wrapText="1"/>
      <protection locked="0"/>
    </xf>
    <xf numFmtId="0" fontId="17" fillId="0" borderId="31" xfId="0" applyFont="1" applyBorder="1" applyAlignment="1" applyProtection="1">
      <alignment horizontal="left" wrapText="1"/>
      <protection locked="0"/>
    </xf>
    <xf numFmtId="181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>
      <alignment horizontal="left" vertical="center" wrapText="1" indent="1"/>
    </xf>
    <xf numFmtId="172" fontId="15" fillId="0" borderId="79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4" xfId="0" applyNumberFormat="1" applyFont="1" applyBorder="1" applyAlignment="1" applyProtection="1">
      <alignment horizontal="right" vertical="center" wrapText="1" indent="1"/>
      <protection locked="0"/>
    </xf>
    <xf numFmtId="0" fontId="20" fillId="0" borderId="14" xfId="0" applyFont="1" applyBorder="1" applyAlignment="1">
      <alignment horizontal="left" vertical="center" wrapText="1" indent="8"/>
    </xf>
    <xf numFmtId="172" fontId="17" fillId="0" borderId="14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14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9" xfId="0" applyNumberFormat="1" applyFont="1" applyBorder="1" applyAlignment="1" applyProtection="1">
      <alignment horizontal="right" vertical="center" wrapText="1" indent="1"/>
      <protection locked="0"/>
    </xf>
    <xf numFmtId="0" fontId="20" fillId="0" borderId="14" xfId="0" applyFont="1" applyBorder="1" applyAlignment="1">
      <alignment horizontal="left" vertical="center" wrapText="1" indent="1"/>
    </xf>
    <xf numFmtId="0" fontId="9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/>
      <protection locked="0"/>
    </xf>
    <xf numFmtId="172" fontId="16" fillId="0" borderId="39" xfId="60" applyNumberFormat="1" applyFont="1" applyFill="1" applyBorder="1" applyAlignment="1" applyProtection="1">
      <alignment horizontal="left" vertical="center"/>
      <protection locked="0"/>
    </xf>
    <xf numFmtId="172" fontId="16" fillId="0" borderId="39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72" fontId="16" fillId="0" borderId="39" xfId="60" applyNumberFormat="1" applyFont="1" applyFill="1" applyBorder="1" applyAlignment="1" applyProtection="1">
      <alignment horizontal="left" vertical="center"/>
      <protection/>
    </xf>
    <xf numFmtId="172" fontId="6" fillId="0" borderId="0" xfId="6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97" fillId="0" borderId="60" xfId="0" applyNumberFormat="1" applyFont="1" applyFill="1" applyBorder="1" applyAlignment="1" applyProtection="1">
      <alignment horizontal="left" vertical="top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1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0" xfId="60" applyFont="1" applyFill="1" applyBorder="1" applyAlignment="1">
      <alignment horizontal="justify" vertical="center" wrapText="1"/>
      <protection/>
    </xf>
    <xf numFmtId="0" fontId="0" fillId="0" borderId="60" xfId="60" applyFont="1" applyBorder="1" applyAlignment="1">
      <alignment horizontal="left" vertical="top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2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2" fontId="3" fillId="0" borderId="47" xfId="59" applyNumberFormat="1" applyFont="1" applyFill="1" applyBorder="1" applyAlignment="1">
      <alignment horizontal="center" vertical="center" wrapText="1"/>
      <protection/>
    </xf>
    <xf numFmtId="172" fontId="3" fillId="0" borderId="48" xfId="59" applyNumberFormat="1" applyFont="1" applyFill="1" applyBorder="1" applyAlignment="1">
      <alignment horizontal="center" vertical="center" wrapText="1"/>
      <protection/>
    </xf>
    <xf numFmtId="172" fontId="0" fillId="0" borderId="62" xfId="59" applyNumberFormat="1" applyFont="1" applyFill="1" applyBorder="1" applyAlignment="1" applyProtection="1">
      <alignment horizontal="left" vertical="center" wrapText="1"/>
      <protection locked="0"/>
    </xf>
    <xf numFmtId="172" fontId="0" fillId="0" borderId="80" xfId="59" applyNumberFormat="1" applyFill="1" applyBorder="1" applyAlignment="1" applyProtection="1">
      <alignment horizontal="left" vertical="center" wrapText="1"/>
      <protection locked="0"/>
    </xf>
    <xf numFmtId="172" fontId="0" fillId="0" borderId="63" xfId="59" applyNumberFormat="1" applyFill="1" applyBorder="1" applyAlignment="1" applyProtection="1">
      <alignment horizontal="left" vertical="center" wrapText="1"/>
      <protection locked="0"/>
    </xf>
    <xf numFmtId="172" fontId="0" fillId="0" borderId="81" xfId="59" applyNumberFormat="1" applyFill="1" applyBorder="1" applyAlignment="1" applyProtection="1">
      <alignment horizontal="left" vertical="center" wrapText="1"/>
      <protection locked="0"/>
    </xf>
    <xf numFmtId="172" fontId="3" fillId="0" borderId="47" xfId="59" applyNumberFormat="1" applyFont="1" applyFill="1" applyBorder="1" applyAlignment="1">
      <alignment horizontal="left" vertical="center" wrapText="1"/>
      <protection/>
    </xf>
    <xf numFmtId="172" fontId="3" fillId="0" borderId="48" xfId="59" applyNumberFormat="1" applyFont="1" applyFill="1" applyBorder="1" applyAlignment="1">
      <alignment horizontal="left" vertical="center" wrapText="1"/>
      <protection/>
    </xf>
    <xf numFmtId="181" fontId="39" fillId="0" borderId="60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72" fontId="4" fillId="0" borderId="0" xfId="59" applyNumberFormat="1" applyFont="1" applyFill="1" applyAlignment="1" applyProtection="1">
      <alignment horizontal="left" vertical="center" wrapText="1"/>
      <protection locked="0"/>
    </xf>
    <xf numFmtId="172" fontId="5" fillId="0" borderId="0" xfId="59" applyNumberFormat="1" applyFont="1" applyFill="1" applyAlignment="1" applyProtection="1">
      <alignment horizontal="right" vertical="center" wrapText="1"/>
      <protection locked="0"/>
    </xf>
    <xf numFmtId="172" fontId="3" fillId="0" borderId="82" xfId="59" applyNumberFormat="1" applyFont="1" applyFill="1" applyBorder="1" applyAlignment="1">
      <alignment horizontal="center" vertical="center"/>
      <protection/>
    </xf>
    <xf numFmtId="172" fontId="3" fillId="0" borderId="57" xfId="59" applyNumberFormat="1" applyFont="1" applyFill="1" applyBorder="1" applyAlignment="1">
      <alignment horizontal="center" vertical="center"/>
      <protection/>
    </xf>
    <xf numFmtId="172" fontId="3" fillId="0" borderId="66" xfId="59" applyNumberFormat="1" applyFont="1" applyFill="1" applyBorder="1" applyAlignment="1">
      <alignment horizontal="center" vertical="center"/>
      <protection/>
    </xf>
    <xf numFmtId="0" fontId="40" fillId="0" borderId="0" xfId="59" applyFont="1" applyFill="1" applyAlignment="1">
      <alignment horizontal="center" vertical="top" textRotation="180"/>
      <protection/>
    </xf>
    <xf numFmtId="172" fontId="3" fillId="0" borderId="82" xfId="59" applyNumberFormat="1" applyFont="1" applyFill="1" applyBorder="1" applyAlignment="1">
      <alignment horizontal="center" vertical="center" wrapText="1"/>
      <protection/>
    </xf>
    <xf numFmtId="172" fontId="3" fillId="0" borderId="60" xfId="59" applyNumberFormat="1" applyFont="1" applyFill="1" applyBorder="1" applyAlignment="1">
      <alignment horizontal="center" vertical="center" wrapText="1"/>
      <protection/>
    </xf>
    <xf numFmtId="0" fontId="0" fillId="0" borderId="64" xfId="59" applyFont="1" applyBorder="1" applyAlignment="1">
      <alignment horizontal="center" vertical="center" wrapText="1"/>
      <protection/>
    </xf>
    <xf numFmtId="172" fontId="3" fillId="0" borderId="69" xfId="59" applyNumberFormat="1" applyFont="1" applyFill="1" applyBorder="1" applyAlignment="1">
      <alignment horizontal="center" vertical="center" wrapText="1"/>
      <protection/>
    </xf>
    <xf numFmtId="172" fontId="3" fillId="0" borderId="54" xfId="59" applyNumberFormat="1" applyFont="1" applyFill="1" applyBorder="1" applyAlignment="1">
      <alignment horizontal="center" vertical="center"/>
      <protection/>
    </xf>
    <xf numFmtId="0" fontId="98" fillId="0" borderId="67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72" fontId="3" fillId="0" borderId="47" xfId="59" applyNumberFormat="1" applyFont="1" applyFill="1" applyBorder="1" applyAlignment="1">
      <alignment horizontal="center" vertical="center" wrapText="1"/>
      <protection/>
    </xf>
    <xf numFmtId="0" fontId="0" fillId="0" borderId="48" xfId="59" applyFont="1" applyBorder="1" applyAlignment="1">
      <alignment horizontal="center" vertical="center" wrapText="1"/>
      <protection/>
    </xf>
    <xf numFmtId="0" fontId="0" fillId="0" borderId="40" xfId="59" applyFont="1" applyBorder="1" applyAlignment="1">
      <alignment horizontal="center" vertical="center" wrapText="1"/>
      <protection/>
    </xf>
    <xf numFmtId="0" fontId="98" fillId="0" borderId="6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181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horizontal="right" textRotation="180" wrapText="1"/>
      <protection/>
    </xf>
    <xf numFmtId="172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9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62" xfId="0" applyNumberFormat="1" applyFont="1" applyFill="1" applyBorder="1" applyAlignment="1" applyProtection="1">
      <alignment horizontal="center" vertical="center"/>
      <protection/>
    </xf>
    <xf numFmtId="172" fontId="7" fillId="0" borderId="80" xfId="0" applyNumberFormat="1" applyFont="1" applyFill="1" applyBorder="1" applyAlignment="1" applyProtection="1">
      <alignment horizontal="center" vertical="center"/>
      <protection/>
    </xf>
    <xf numFmtId="172" fontId="7" fillId="0" borderId="58" xfId="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3" xfId="61" applyFont="1" applyFill="1" applyBorder="1" applyAlignment="1" applyProtection="1">
      <alignment horizontal="left" vertical="center" indent="1"/>
      <protection/>
    </xf>
    <xf numFmtId="0" fontId="16" fillId="0" borderId="48" xfId="61" applyFont="1" applyFill="1" applyBorder="1" applyAlignment="1" applyProtection="1">
      <alignment horizontal="left" vertical="center" indent="1"/>
      <protection/>
    </xf>
    <xf numFmtId="0" fontId="16" fillId="0" borderId="40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0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I26" sqref="I26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73">
        <v>2020</v>
      </c>
    </row>
    <row r="2" spans="1:3" ht="18.75" customHeight="1">
      <c r="A2" s="754" t="s">
        <v>558</v>
      </c>
      <c r="B2" s="754"/>
      <c r="C2" s="754"/>
    </row>
    <row r="3" spans="1:3" ht="15">
      <c r="A3" s="553"/>
      <c r="B3" s="554"/>
      <c r="C3" s="553"/>
    </row>
    <row r="4" spans="1:3" ht="14.25">
      <c r="A4" s="555" t="s">
        <v>581</v>
      </c>
      <c r="B4" s="556" t="s">
        <v>580</v>
      </c>
      <c r="C4" s="555" t="s">
        <v>559</v>
      </c>
    </row>
    <row r="5" spans="1:3" ht="12.75">
      <c r="A5" s="557"/>
      <c r="B5" s="557"/>
      <c r="C5" s="557"/>
    </row>
    <row r="6" spans="1:3" ht="18.75">
      <c r="A6" s="755" t="s">
        <v>561</v>
      </c>
      <c r="B6" s="755"/>
      <c r="C6" s="755"/>
    </row>
    <row r="7" spans="1:3" ht="12.75">
      <c r="A7" s="557" t="s">
        <v>582</v>
      </c>
      <c r="B7" s="557" t="s">
        <v>583</v>
      </c>
      <c r="C7" s="61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7" t="s">
        <v>584</v>
      </c>
      <c r="B8" s="557" t="s">
        <v>663</v>
      </c>
      <c r="C8" s="61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7" t="s">
        <v>585</v>
      </c>
      <c r="B9" s="557" t="s">
        <v>586</v>
      </c>
      <c r="C9" s="61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7" t="s">
        <v>587</v>
      </c>
      <c r="B10" s="557" t="s">
        <v>589</v>
      </c>
      <c r="C10" s="61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7" t="s">
        <v>588</v>
      </c>
      <c r="B11" s="557" t="s">
        <v>590</v>
      </c>
      <c r="C11" s="61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7" t="s">
        <v>591</v>
      </c>
      <c r="B12" s="557" t="s">
        <v>592</v>
      </c>
      <c r="C12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57" t="s">
        <v>593</v>
      </c>
      <c r="B13" s="557" t="s">
        <v>594</v>
      </c>
      <c r="C13" s="61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7" t="s">
        <v>595</v>
      </c>
      <c r="B14" s="557" t="s">
        <v>596</v>
      </c>
      <c r="C14" s="61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7" t="s">
        <v>597</v>
      </c>
      <c r="B15" s="557" t="s">
        <v>598</v>
      </c>
      <c r="C15" s="61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7" t="s">
        <v>599</v>
      </c>
      <c r="B16" s="557" t="s">
        <v>664</v>
      </c>
      <c r="C16" s="61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7" t="s">
        <v>600</v>
      </c>
      <c r="B17" s="557" t="s">
        <v>601</v>
      </c>
      <c r="C17" s="61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7" t="s">
        <v>603</v>
      </c>
      <c r="B18" s="557" t="s">
        <v>602</v>
      </c>
      <c r="C18" s="61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7" t="s">
        <v>604</v>
      </c>
      <c r="B19" s="557" t="s">
        <v>605</v>
      </c>
      <c r="C19" s="61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7" t="s">
        <v>606</v>
      </c>
      <c r="B20" s="557" t="s">
        <v>607</v>
      </c>
      <c r="C20" s="61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7" t="s">
        <v>608</v>
      </c>
      <c r="B21" s="557" t="s">
        <v>609</v>
      </c>
      <c r="C21" s="61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62" t="s">
        <v>610</v>
      </c>
      <c r="B22" s="557" t="s">
        <v>611</v>
      </c>
      <c r="C22" s="61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63" t="s">
        <v>612</v>
      </c>
      <c r="B23" s="557" t="s">
        <v>613</v>
      </c>
      <c r="C23" s="61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7" t="s">
        <v>614</v>
      </c>
      <c r="B24" s="557" t="s">
        <v>615</v>
      </c>
      <c r="C24" s="61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7" t="s">
        <v>616</v>
      </c>
      <c r="B25" s="557" t="s">
        <v>617</v>
      </c>
      <c r="C25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57" t="s">
        <v>618</v>
      </c>
      <c r="B26" s="557" t="s">
        <v>619</v>
      </c>
      <c r="C26" s="61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57" t="s">
        <v>620</v>
      </c>
      <c r="B27" s="557" t="str">
        <f>CONCATENATE(ALAPADATOK!B13)</f>
        <v>Murakeresztúri Óvoda</v>
      </c>
      <c r="C27" s="61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7" t="s">
        <v>621</v>
      </c>
      <c r="B28" s="557" t="str">
        <f>CONCATENATE(ALAPADATOK!B15)</f>
        <v>2 kvi név</v>
      </c>
      <c r="C28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57" t="s">
        <v>627</v>
      </c>
      <c r="B29" s="557" t="str">
        <f>CONCATENATE(ALAPADATOK!B17)</f>
        <v>3 kvi név  </v>
      </c>
      <c r="C29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57" t="s">
        <v>628</v>
      </c>
      <c r="B30" s="557" t="str">
        <f>CONCATENATE(ALAPADATOK!B19)</f>
        <v>4 kvi név</v>
      </c>
      <c r="C30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57" t="s">
        <v>629</v>
      </c>
      <c r="B31" s="557" t="str">
        <f>CONCATENATE(ALAPADATOK!B21)</f>
        <v>5 kvi név</v>
      </c>
      <c r="C31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57" t="s">
        <v>630</v>
      </c>
      <c r="B32" s="557" t="str">
        <f>CONCATENATE(ALAPADATOK!B23)</f>
        <v>6 kvi név</v>
      </c>
      <c r="C32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57" t="s">
        <v>631</v>
      </c>
      <c r="B33" s="557" t="str">
        <f>CONCATENATE(ALAPADATOK!B25)</f>
        <v>7 kvi név</v>
      </c>
      <c r="C33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7" t="s">
        <v>632</v>
      </c>
      <c r="B34" s="557" t="str">
        <f>CONCATENATE(ALAPADATOK!B27)</f>
        <v>8 kvi név</v>
      </c>
      <c r="C34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7" t="s">
        <v>633</v>
      </c>
      <c r="B35" s="557" t="str">
        <f>CONCATENATE(ALAPADATOK!B29)</f>
        <v>9 kvi név</v>
      </c>
      <c r="C35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7" t="s">
        <v>634</v>
      </c>
      <c r="B36" s="557" t="str">
        <f>CONCATENATE(ALAPADATOK!B31)</f>
        <v>10 kvi név</v>
      </c>
      <c r="C36" s="61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7" t="s">
        <v>635</v>
      </c>
      <c r="B37" s="557" t="s">
        <v>643</v>
      </c>
      <c r="C37" s="61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57" t="s">
        <v>636</v>
      </c>
      <c r="B38" s="557" t="str">
        <f>'KV_1.sz.tájékoztató_t.'!A3</f>
        <v>Tájékoztató a 2018. évi tény, 2019. évi várható és 2020. évi terv adatokról</v>
      </c>
      <c r="C38" s="61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57" t="s">
        <v>637</v>
      </c>
      <c r="B39" s="617" t="s">
        <v>4</v>
      </c>
      <c r="C39" s="61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7" t="s">
        <v>638</v>
      </c>
      <c r="B40" s="557" t="s">
        <v>644</v>
      </c>
      <c r="C40" s="61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7" t="s">
        <v>639</v>
      </c>
      <c r="B41" s="557" t="str">
        <f>'KV_4.sz.tájékoztató_t.'!A2</f>
        <v>Előirányzat-felhasználási terv
2020. évre</v>
      </c>
      <c r="C41" s="61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7" t="s">
        <v>640</v>
      </c>
      <c r="B42" s="557" t="str">
        <f>'KV_5.sz.tájékoztató_t'!B1</f>
        <v>A 2020. évi általános működés és ágazati feladatok támogatásának alakulása jogcímenként</v>
      </c>
      <c r="C42" s="61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7" t="s">
        <v>641</v>
      </c>
      <c r="B43" s="557" t="str">
        <f>'KV_6.sz.tájékoztató_t.'!A2</f>
        <v>K I M U T A T Á S
a 2020. évben céljelleggel juttatott támogatásokról</v>
      </c>
      <c r="C43" s="616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7" t="s">
        <v>642</v>
      </c>
      <c r="B44" s="557" t="str">
        <f>LOWER('KV_7.sz.tájékoztató_t.'!A3)</f>
        <v>2020. évi költségvetési évet követő 3 év tervezett</v>
      </c>
      <c r="C44" s="61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7"/>
      <c r="B45" s="557"/>
      <c r="C45" s="616"/>
    </row>
    <row r="46" spans="1:3" ht="18.75">
      <c r="A46" s="755"/>
      <c r="B46" s="755"/>
      <c r="C46" s="755"/>
    </row>
    <row r="47" spans="1:3" ht="12.75">
      <c r="A47" s="557"/>
      <c r="B47" s="557"/>
      <c r="C47" s="557"/>
    </row>
    <row r="48" spans="1:3" ht="12.75">
      <c r="A48" s="557"/>
      <c r="B48" s="557"/>
      <c r="C48" s="557"/>
    </row>
    <row r="49" spans="1:3" ht="12.75">
      <c r="A49" s="557"/>
      <c r="B49" s="557"/>
      <c r="C49" s="557"/>
    </row>
    <row r="50" spans="1:3" ht="12.75">
      <c r="A50" s="557"/>
      <c r="B50" s="557"/>
      <c r="C50" s="557"/>
    </row>
    <row r="51" spans="1:3" ht="12.75">
      <c r="A51" s="557"/>
      <c r="B51" s="557"/>
      <c r="C51" s="557"/>
    </row>
    <row r="52" spans="1:3" ht="12.75">
      <c r="A52" s="557"/>
      <c r="B52" s="557"/>
      <c r="C52" s="557"/>
    </row>
    <row r="53" spans="1:3" ht="12.75">
      <c r="A53" s="557"/>
      <c r="B53" s="557"/>
      <c r="C53" s="557"/>
    </row>
    <row r="54" spans="1:3" ht="12.75">
      <c r="A54" s="557"/>
      <c r="B54" s="557"/>
      <c r="C54" s="557"/>
    </row>
    <row r="55" spans="1:3" ht="12.75">
      <c r="A55" s="557"/>
      <c r="B55" s="557"/>
      <c r="C55" s="557"/>
    </row>
    <row r="56" spans="1:3" ht="12.75">
      <c r="A56" s="557"/>
      <c r="B56" s="557"/>
      <c r="C56" s="557"/>
    </row>
    <row r="57" spans="1:3" ht="12.75">
      <c r="A57" s="557"/>
      <c r="B57" s="557"/>
      <c r="C57" s="557"/>
    </row>
    <row r="58" spans="1:3" ht="12.75">
      <c r="A58" s="557"/>
      <c r="B58" s="557"/>
      <c r="C58" s="557"/>
    </row>
    <row r="59" spans="1:3" ht="12.75">
      <c r="A59" s="557"/>
      <c r="B59" s="557"/>
      <c r="C59" s="557"/>
    </row>
    <row r="60" spans="1:3" ht="12.75">
      <c r="A60" s="557"/>
      <c r="B60" s="557"/>
      <c r="C60" s="557"/>
    </row>
    <row r="61" spans="1:3" ht="33.75" customHeight="1">
      <c r="A61" s="756"/>
      <c r="B61" s="757"/>
      <c r="C61" s="757"/>
    </row>
    <row r="62" spans="1:3" ht="12.75">
      <c r="A62" s="557"/>
      <c r="B62" s="557"/>
      <c r="C62" s="557"/>
    </row>
    <row r="63" spans="1:3" ht="12.75">
      <c r="A63" s="557"/>
      <c r="B63" s="557"/>
      <c r="C63" s="557"/>
    </row>
    <row r="64" spans="1:3" ht="12.75">
      <c r="A64" s="557"/>
      <c r="B64" s="557"/>
      <c r="C64" s="557"/>
    </row>
    <row r="65" spans="1:3" ht="12.75">
      <c r="A65" s="557"/>
      <c r="B65" s="557"/>
      <c r="C65" s="557"/>
    </row>
    <row r="66" spans="1:3" ht="12.75">
      <c r="A66" s="557"/>
      <c r="B66" s="557"/>
      <c r="C66" s="557"/>
    </row>
    <row r="67" spans="1:3" ht="12.75">
      <c r="A67" s="557"/>
      <c r="B67" s="557"/>
      <c r="C67" s="557"/>
    </row>
    <row r="68" spans="1:3" ht="12.75">
      <c r="A68" s="557"/>
      <c r="B68" s="557"/>
      <c r="C68" s="557"/>
    </row>
    <row r="69" spans="1:3" ht="12.75">
      <c r="A69" s="557"/>
      <c r="B69" s="557"/>
      <c r="C69" s="557"/>
    </row>
    <row r="70" spans="1:3" ht="12.75">
      <c r="A70" s="557"/>
      <c r="B70" s="557"/>
      <c r="C70" s="557"/>
    </row>
    <row r="71" spans="1:3" ht="12.75">
      <c r="A71" s="557"/>
      <c r="B71" s="557"/>
      <c r="C71" s="557"/>
    </row>
    <row r="72" spans="1:3" ht="12.75">
      <c r="A72" s="557"/>
      <c r="B72" s="557"/>
      <c r="C72" s="557"/>
    </row>
    <row r="73" spans="1:3" ht="12.75">
      <c r="A73" s="557"/>
      <c r="B73" s="557"/>
      <c r="C73" s="557"/>
    </row>
    <row r="74" spans="1:3" ht="12.75">
      <c r="A74" s="557"/>
      <c r="B74" s="557"/>
      <c r="C74" s="557"/>
    </row>
    <row r="75" spans="1:3" ht="12.75">
      <c r="A75" s="557"/>
      <c r="B75" s="557"/>
      <c r="C75" s="557"/>
    </row>
    <row r="76" spans="1:3" ht="12.75">
      <c r="A76" s="557"/>
      <c r="B76" s="557"/>
      <c r="C76" s="557"/>
    </row>
    <row r="77" spans="1:3" ht="12.75">
      <c r="A77" s="557"/>
      <c r="B77" s="557"/>
      <c r="C77" s="557"/>
    </row>
    <row r="78" spans="1:3" ht="12.75">
      <c r="A78" s="557"/>
      <c r="B78" s="557"/>
      <c r="C78" s="557"/>
    </row>
    <row r="79" spans="1:3" ht="12.75">
      <c r="A79" s="557"/>
      <c r="B79" s="557"/>
      <c r="C79" s="557"/>
    </row>
    <row r="81" spans="1:3" ht="18.75">
      <c r="A81" s="755"/>
      <c r="B81" s="755"/>
      <c r="C81" s="755"/>
    </row>
    <row r="103" spans="1:3" ht="18.75">
      <c r="A103" s="755"/>
      <c r="B103" s="755"/>
      <c r="C103" s="75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40" customWidth="1"/>
    <col min="2" max="2" width="35.625" style="140" customWidth="1"/>
    <col min="3" max="6" width="14.00390625" style="140" customWidth="1"/>
    <col min="7" max="16384" width="9.375" style="140" customWidth="1"/>
  </cols>
  <sheetData>
    <row r="1" spans="1:6" ht="15">
      <c r="A1" s="628"/>
      <c r="B1" s="628"/>
      <c r="C1" s="628"/>
      <c r="D1" s="628"/>
      <c r="E1" s="628"/>
      <c r="F1" s="628"/>
    </row>
    <row r="2" spans="1:6" ht="15">
      <c r="A2" s="628"/>
      <c r="B2" s="764" t="str">
        <f>CONCATENATE("3. melléklet ",ALAPADATOK!A7," ",ALAPADATOK!B7," ",ALAPADATOK!C7," ",ALAPADATOK!D7," ",ALAPADATOK!E7," ",ALAPADATOK!F7," ",ALAPADATOK!G7," ",ALAPADATOK!H7)</f>
        <v>3. melléklet a 4 / 2020 ( II.25. ) önkormányzati rendelethez</v>
      </c>
      <c r="C2" s="764"/>
      <c r="D2" s="764"/>
      <c r="E2" s="764"/>
      <c r="F2" s="764"/>
    </row>
    <row r="3" spans="1:6" ht="15">
      <c r="A3" s="628"/>
      <c r="B3" s="628"/>
      <c r="C3" s="628"/>
      <c r="D3" s="628"/>
      <c r="E3" s="628"/>
      <c r="F3" s="628"/>
    </row>
    <row r="4" spans="1:6" ht="33" customHeight="1">
      <c r="A4" s="778" t="str">
        <f>CONCATENATE(PROPER(ALAPADATOK!A3)," adósságot keletkeztető ügyletekből és kezességvállalásokból fennálló kötelezettségei")</f>
        <v>Murakeresztúr Község Önkormányzata adósságot keletkeztető ügyletekből és kezességvállalásokból fennálló kötelezettségei</v>
      </c>
      <c r="B4" s="778"/>
      <c r="C4" s="778"/>
      <c r="D4" s="778"/>
      <c r="E4" s="778"/>
      <c r="F4" s="778"/>
    </row>
    <row r="5" spans="1:7" ht="15.75" customHeight="1" thickBot="1">
      <c r="A5" s="629"/>
      <c r="B5" s="629"/>
      <c r="C5" s="779"/>
      <c r="D5" s="779"/>
      <c r="E5" s="786" t="str">
        <f>'KV_2.2.sz.mell.'!E2</f>
        <v>Forintban!</v>
      </c>
      <c r="F5" s="786"/>
      <c r="G5" s="146"/>
    </row>
    <row r="6" spans="1:6" ht="63" customHeight="1">
      <c r="A6" s="782" t="s">
        <v>14</v>
      </c>
      <c r="B6" s="784" t="s">
        <v>181</v>
      </c>
      <c r="C6" s="784" t="s">
        <v>234</v>
      </c>
      <c r="D6" s="784"/>
      <c r="E6" s="784"/>
      <c r="F6" s="780" t="s">
        <v>482</v>
      </c>
    </row>
    <row r="7" spans="1:6" ht="15.75" thickBot="1">
      <c r="A7" s="783"/>
      <c r="B7" s="785"/>
      <c r="C7" s="456">
        <f>+LEFT(KV_ÖSSZEFÜGGÉSEK!A5,4)+1</f>
        <v>2021</v>
      </c>
      <c r="D7" s="456">
        <f>+C7+1</f>
        <v>2022</v>
      </c>
      <c r="E7" s="456">
        <f>+D7+1</f>
        <v>2023</v>
      </c>
      <c r="F7" s="781"/>
    </row>
    <row r="8" spans="1:6" ht="15.75" thickBot="1">
      <c r="A8" s="143"/>
      <c r="B8" s="144" t="s">
        <v>473</v>
      </c>
      <c r="C8" s="144" t="s">
        <v>474</v>
      </c>
      <c r="D8" s="144" t="s">
        <v>475</v>
      </c>
      <c r="E8" s="144" t="s">
        <v>477</v>
      </c>
      <c r="F8" s="145" t="s">
        <v>476</v>
      </c>
    </row>
    <row r="9" spans="1:6" ht="15">
      <c r="A9" s="142" t="s">
        <v>16</v>
      </c>
      <c r="B9" s="159"/>
      <c r="C9" s="490"/>
      <c r="D9" s="490"/>
      <c r="E9" s="490"/>
      <c r="F9" s="491">
        <f>SUM(C9:E9)</f>
        <v>0</v>
      </c>
    </row>
    <row r="10" spans="1:6" ht="15">
      <c r="A10" s="141" t="s">
        <v>17</v>
      </c>
      <c r="B10" s="160"/>
      <c r="C10" s="492"/>
      <c r="D10" s="492"/>
      <c r="E10" s="492"/>
      <c r="F10" s="493">
        <f>SUM(C10:E10)</f>
        <v>0</v>
      </c>
    </row>
    <row r="11" spans="1:6" ht="15">
      <c r="A11" s="141" t="s">
        <v>18</v>
      </c>
      <c r="B11" s="160"/>
      <c r="C11" s="492"/>
      <c r="D11" s="492"/>
      <c r="E11" s="492"/>
      <c r="F11" s="493">
        <f>SUM(C11:E11)</f>
        <v>0</v>
      </c>
    </row>
    <row r="12" spans="1:6" ht="15">
      <c r="A12" s="141" t="s">
        <v>19</v>
      </c>
      <c r="B12" s="160"/>
      <c r="C12" s="492"/>
      <c r="D12" s="492"/>
      <c r="E12" s="492"/>
      <c r="F12" s="493">
        <f>SUM(C12:E12)</f>
        <v>0</v>
      </c>
    </row>
    <row r="13" spans="1:6" ht="15.75" thickBot="1">
      <c r="A13" s="147" t="s">
        <v>20</v>
      </c>
      <c r="B13" s="161"/>
      <c r="C13" s="494"/>
      <c r="D13" s="494"/>
      <c r="E13" s="494"/>
      <c r="F13" s="493">
        <f>SUM(C13:E13)</f>
        <v>0</v>
      </c>
    </row>
    <row r="14" spans="1:6" s="443" customFormat="1" ht="15" thickBot="1">
      <c r="A14" s="442" t="s">
        <v>21</v>
      </c>
      <c r="B14" s="148" t="s">
        <v>182</v>
      </c>
      <c r="C14" s="495">
        <f>SUM(C9:C13)</f>
        <v>0</v>
      </c>
      <c r="D14" s="495">
        <f>SUM(D9:D13)</f>
        <v>0</v>
      </c>
      <c r="E14" s="495">
        <f>SUM(E9:E13)</f>
        <v>0</v>
      </c>
      <c r="F14" s="496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40" customWidth="1"/>
    <col min="2" max="2" width="68.625" style="140" customWidth="1"/>
    <col min="3" max="3" width="19.50390625" style="140" customWidth="1"/>
    <col min="4" max="16384" width="9.375" style="140" customWidth="1"/>
  </cols>
  <sheetData>
    <row r="1" spans="1:3" ht="15">
      <c r="A1" s="628"/>
      <c r="B1" s="628"/>
      <c r="C1" s="628"/>
    </row>
    <row r="2" spans="1:3" ht="15">
      <c r="A2" s="628"/>
      <c r="B2" s="764" t="str">
        <f>CONCATENATE("4. melléklet ",ALAPADATOK!A7," ",ALAPADATOK!B7," ",ALAPADATOK!C7," ",ALAPADATOK!D7," ",ALAPADATOK!E7," ",ALAPADATOK!F7," ",ALAPADATOK!G7," ",ALAPADATOK!H7)</f>
        <v>4. melléklet a 4 / 2020 ( II.25. ) önkormányzati rendelethez</v>
      </c>
      <c r="C2" s="764"/>
    </row>
    <row r="3" spans="1:3" ht="15">
      <c r="A3" s="628"/>
      <c r="B3" s="628"/>
      <c r="C3" s="628"/>
    </row>
    <row r="4" spans="1:3" ht="54" customHeight="1">
      <c r="A4" s="787" t="str">
        <f>CONCATENATE(PROPER(ALAPADATOK!A3)," saját bevételeinek részletezése az adósságot keletkeztető ügyletből származó tárgyévi fizetési kötelezettség megállapításához")</f>
        <v>Murakeresztúr Község Önkormányzata saját bevételeinek részletezése az adósságot keletkeztető ügyletből származó tárgyévi fizetési kötelezettség megállapításához</v>
      </c>
      <c r="B4" s="787"/>
      <c r="C4" s="787"/>
    </row>
    <row r="5" spans="1:4" ht="15.75" customHeight="1" thickBot="1">
      <c r="A5" s="629"/>
      <c r="B5" s="629"/>
      <c r="C5" s="630" t="str">
        <f>'KV_2.2.sz.mell.'!E2</f>
        <v>Forintban!</v>
      </c>
      <c r="D5" s="146"/>
    </row>
    <row r="6" spans="1:3" ht="26.25" customHeight="1" thickBot="1">
      <c r="A6" s="631" t="s">
        <v>14</v>
      </c>
      <c r="B6" s="632" t="s">
        <v>180</v>
      </c>
      <c r="C6" s="633" t="str">
        <f>+'KV_1.1.sz.mell.'!C8</f>
        <v>2020. évi előirányzat</v>
      </c>
    </row>
    <row r="7" spans="1:3" ht="15.75" thickBot="1">
      <c r="A7" s="162"/>
      <c r="B7" s="486" t="s">
        <v>473</v>
      </c>
      <c r="C7" s="487" t="s">
        <v>474</v>
      </c>
    </row>
    <row r="8" spans="1:3" ht="15">
      <c r="A8" s="163" t="s">
        <v>16</v>
      </c>
      <c r="B8" s="333" t="s">
        <v>483</v>
      </c>
      <c r="C8" s="330">
        <v>39600000</v>
      </c>
    </row>
    <row r="9" spans="1:3" ht="24.75">
      <c r="A9" s="164" t="s">
        <v>17</v>
      </c>
      <c r="B9" s="362" t="s">
        <v>231</v>
      </c>
      <c r="C9" s="331">
        <v>2615840</v>
      </c>
    </row>
    <row r="10" spans="1:3" ht="15">
      <c r="A10" s="164" t="s">
        <v>18</v>
      </c>
      <c r="B10" s="363" t="s">
        <v>484</v>
      </c>
      <c r="C10" s="331"/>
    </row>
    <row r="11" spans="1:3" ht="24.75">
      <c r="A11" s="164" t="s">
        <v>19</v>
      </c>
      <c r="B11" s="363" t="s">
        <v>233</v>
      </c>
      <c r="C11" s="331"/>
    </row>
    <row r="12" spans="1:3" ht="15">
      <c r="A12" s="165" t="s">
        <v>20</v>
      </c>
      <c r="B12" s="363" t="s">
        <v>232</v>
      </c>
      <c r="C12" s="332">
        <v>570000</v>
      </c>
    </row>
    <row r="13" spans="1:3" ht="15.75" thickBot="1">
      <c r="A13" s="164" t="s">
        <v>21</v>
      </c>
      <c r="B13" s="364" t="s">
        <v>485</v>
      </c>
      <c r="C13" s="331"/>
    </row>
    <row r="14" spans="1:3" ht="15.75" thickBot="1">
      <c r="A14" s="788" t="s">
        <v>183</v>
      </c>
      <c r="B14" s="789"/>
      <c r="C14" s="166">
        <f>SUM(C8:C13)</f>
        <v>42785840</v>
      </c>
    </row>
    <row r="15" spans="1:3" ht="23.25" customHeight="1">
      <c r="A15" s="790" t="s">
        <v>210</v>
      </c>
      <c r="B15" s="790"/>
      <c r="C15" s="79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F19" sqref="F19"/>
    </sheetView>
  </sheetViews>
  <sheetFormatPr defaultColWidth="9.00390625" defaultRowHeight="12.75"/>
  <cols>
    <col min="1" max="1" width="5.625" style="140" customWidth="1"/>
    <col min="2" max="2" width="66.875" style="140" customWidth="1"/>
    <col min="3" max="3" width="27.00390625" style="140" customWidth="1"/>
    <col min="4" max="16384" width="9.375" style="140" customWidth="1"/>
  </cols>
  <sheetData>
    <row r="1" spans="1:3" ht="15">
      <c r="A1" s="628"/>
      <c r="B1" s="628"/>
      <c r="C1" s="628"/>
    </row>
    <row r="2" spans="1:3" ht="15">
      <c r="A2" s="628"/>
      <c r="B2" s="764" t="str">
        <f>CONCATENATE("5. melléklet ",ALAPADATOK!A7," ",ALAPADATOK!B7," ",ALAPADATOK!C7," ",ALAPADATOK!D7," ",ALAPADATOK!E7," ",ALAPADATOK!F7," ",ALAPADATOK!G7," ",ALAPADATOK!H7)</f>
        <v>5. melléklet a 4 / 2020 ( II.25. ) önkormányzati rendelethez</v>
      </c>
      <c r="C2" s="764"/>
    </row>
    <row r="3" spans="1:3" ht="15">
      <c r="A3" s="628"/>
      <c r="B3" s="628"/>
      <c r="C3" s="628"/>
    </row>
    <row r="4" spans="1:3" ht="33" customHeight="1">
      <c r="A4" s="787" t="str">
        <f>CONCATENATE(PROPER(ALAPADATOK!A3)," ",ALAPADATOK!D7,". évi adósságot keletkeztető fejlesztési céljai")</f>
        <v>Murakeresztúr Község Önkormányzata 2020. évi adósságot keletkeztető fejlesztési céljai</v>
      </c>
      <c r="B4" s="787"/>
      <c r="C4" s="787"/>
    </row>
    <row r="5" spans="1:4" ht="15.75" customHeight="1" thickBot="1">
      <c r="A5" s="629"/>
      <c r="B5" s="629"/>
      <c r="C5" s="630" t="str">
        <f>'KV_4.sz.mell.'!C5</f>
        <v>Forintban!</v>
      </c>
      <c r="D5" s="146"/>
    </row>
    <row r="6" spans="1:3" ht="26.25" customHeight="1" thickBot="1">
      <c r="A6" s="631" t="s">
        <v>14</v>
      </c>
      <c r="B6" s="632" t="s">
        <v>184</v>
      </c>
      <c r="C6" s="633" t="s">
        <v>209</v>
      </c>
    </row>
    <row r="7" spans="1:3" ht="15.75" thickBot="1">
      <c r="A7" s="162"/>
      <c r="B7" s="486" t="s">
        <v>473</v>
      </c>
      <c r="C7" s="487" t="s">
        <v>474</v>
      </c>
    </row>
    <row r="8" spans="1:3" ht="15">
      <c r="A8" s="163" t="s">
        <v>16</v>
      </c>
      <c r="B8" s="170"/>
      <c r="C8" s="167"/>
    </row>
    <row r="9" spans="1:3" ht="15">
      <c r="A9" s="164" t="s">
        <v>17</v>
      </c>
      <c r="B9" s="171"/>
      <c r="C9" s="168"/>
    </row>
    <row r="10" spans="1:3" ht="15.75" thickBot="1">
      <c r="A10" s="165" t="s">
        <v>18</v>
      </c>
      <c r="B10" s="172"/>
      <c r="C10" s="169"/>
    </row>
    <row r="11" spans="1:3" s="443" customFormat="1" ht="17.25" customHeight="1" thickBot="1">
      <c r="A11" s="444" t="s">
        <v>19</v>
      </c>
      <c r="B11" s="123" t="s">
        <v>666</v>
      </c>
      <c r="C11" s="166">
        <f>SUM(C8:C10)</f>
        <v>0</v>
      </c>
    </row>
    <row r="12" spans="1:3" ht="24.75" customHeight="1">
      <c r="A12" s="791" t="s">
        <v>665</v>
      </c>
      <c r="B12" s="791"/>
      <c r="C12" s="791"/>
    </row>
    <row r="15" ht="15.75">
      <c r="B15" s="117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4">
      <selection activeCell="A16" sqref="A16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06"/>
      <c r="B1" s="593"/>
      <c r="C1" s="593"/>
      <c r="D1" s="593"/>
      <c r="E1" s="593"/>
      <c r="F1" s="593"/>
    </row>
    <row r="2" spans="1:6" ht="18" customHeight="1">
      <c r="A2" s="606"/>
      <c r="B2" s="793" t="str">
        <f>CONCATENATE("6. melléklet ",ALAPADATOK!A7," ",ALAPADATOK!B7," ",ALAPADATOK!C7," ",ALAPADATOK!D7," ",ALAPADATOK!E7," ",ALAPADATOK!F7," ",ALAPADATOK!G7," ",ALAPADATOK!H7)</f>
        <v>6. melléklet a 4 / 2020 ( II.25. ) önkormányzati rendelethez</v>
      </c>
      <c r="C2" s="794"/>
      <c r="D2" s="794"/>
      <c r="E2" s="794"/>
      <c r="F2" s="794"/>
    </row>
    <row r="3" spans="1:6" ht="12.75">
      <c r="A3" s="606"/>
      <c r="B3" s="593"/>
      <c r="C3" s="593"/>
      <c r="D3" s="593"/>
      <c r="E3" s="593"/>
      <c r="F3" s="593"/>
    </row>
    <row r="4" spans="1:6" ht="25.5" customHeight="1">
      <c r="A4" s="792" t="s">
        <v>0</v>
      </c>
      <c r="B4" s="792"/>
      <c r="C4" s="792"/>
      <c r="D4" s="792"/>
      <c r="E4" s="792"/>
      <c r="F4" s="792"/>
    </row>
    <row r="5" spans="1:6" ht="16.5" customHeight="1" thickBot="1">
      <c r="A5" s="606"/>
      <c r="B5" s="593"/>
      <c r="C5" s="593"/>
      <c r="D5" s="593"/>
      <c r="E5" s="593"/>
      <c r="F5" s="607" t="str">
        <f>'KV_5.sz.mell.'!C5</f>
        <v>Forintban!</v>
      </c>
    </row>
    <row r="6" spans="1:6" s="44" customFormat="1" ht="44.25" customHeight="1" thickBot="1">
      <c r="A6" s="608" t="s">
        <v>62</v>
      </c>
      <c r="B6" s="609" t="s">
        <v>63</v>
      </c>
      <c r="C6" s="609" t="s">
        <v>64</v>
      </c>
      <c r="D6" s="609" t="str">
        <f>+CONCATENATE("Felhasználás   ",LEFT(KV_ÖSSZEFÜGGÉSEK!A5,4)-1,". XII. 31-ig")</f>
        <v>Felhasználás   2019. XII. 31-ig</v>
      </c>
      <c r="E6" s="609" t="str">
        <f>+'KV_1.1.sz.mell.'!C8</f>
        <v>2020. évi előirányzat</v>
      </c>
      <c r="F6" s="610" t="str">
        <f>+CONCATENATE(LEFT(KV_ÖSSZEFÜGGÉSEK!A5,4),". utáni szükséglet")</f>
        <v>2020. utáni szükséglet</v>
      </c>
    </row>
    <row r="7" spans="1:6" s="54" customFormat="1" ht="12" customHeight="1" thickBot="1">
      <c r="A7" s="52" t="s">
        <v>473</v>
      </c>
      <c r="B7" s="53" t="s">
        <v>474</v>
      </c>
      <c r="C7" s="53" t="s">
        <v>475</v>
      </c>
      <c r="D7" s="53" t="s">
        <v>477</v>
      </c>
      <c r="E7" s="53" t="s">
        <v>476</v>
      </c>
      <c r="F7" s="488" t="s">
        <v>539</v>
      </c>
    </row>
    <row r="8" spans="1:6" ht="15.75" customHeight="1">
      <c r="A8" s="445" t="s">
        <v>675</v>
      </c>
      <c r="B8" s="25">
        <v>127593862</v>
      </c>
      <c r="C8" s="447" t="s">
        <v>674</v>
      </c>
      <c r="D8" s="25">
        <v>5588000</v>
      </c>
      <c r="E8" s="25">
        <v>122005862</v>
      </c>
      <c r="F8" s="55">
        <f aca="true" t="shared" si="0" ref="F8:F23">B8-D8-E8</f>
        <v>0</v>
      </c>
    </row>
    <row r="9" spans="1:6" ht="15.75" customHeight="1">
      <c r="A9" s="445" t="s">
        <v>676</v>
      </c>
      <c r="B9" s="25">
        <v>3465000</v>
      </c>
      <c r="C9" s="447" t="s">
        <v>677</v>
      </c>
      <c r="D9" s="25"/>
      <c r="E9" s="25">
        <v>3465000</v>
      </c>
      <c r="F9" s="55">
        <f t="shared" si="0"/>
        <v>0</v>
      </c>
    </row>
    <row r="10" spans="1:6" ht="15.75" customHeight="1">
      <c r="A10" s="445" t="s">
        <v>678</v>
      </c>
      <c r="B10" s="25">
        <v>508000</v>
      </c>
      <c r="C10" s="447" t="s">
        <v>679</v>
      </c>
      <c r="D10" s="25"/>
      <c r="E10" s="25">
        <v>508000</v>
      </c>
      <c r="F10" s="55">
        <f t="shared" si="0"/>
        <v>0</v>
      </c>
    </row>
    <row r="11" spans="1:6" ht="15.75" customHeight="1">
      <c r="A11" s="445" t="s">
        <v>680</v>
      </c>
      <c r="B11" s="25">
        <v>200000</v>
      </c>
      <c r="C11" s="447" t="s">
        <v>679</v>
      </c>
      <c r="D11" s="25"/>
      <c r="E11" s="25">
        <v>200000</v>
      </c>
      <c r="F11" s="55">
        <f t="shared" si="0"/>
        <v>0</v>
      </c>
    </row>
    <row r="12" spans="1:6" ht="15.75" customHeight="1">
      <c r="A12" s="445"/>
      <c r="B12" s="25"/>
      <c r="C12" s="447"/>
      <c r="D12" s="25"/>
      <c r="E12" s="25"/>
      <c r="F12" s="55">
        <f t="shared" si="0"/>
        <v>0</v>
      </c>
    </row>
    <row r="13" spans="1:6" ht="15.75" customHeight="1">
      <c r="A13" s="446"/>
      <c r="B13" s="25"/>
      <c r="C13" s="447"/>
      <c r="D13" s="25"/>
      <c r="E13" s="25"/>
      <c r="F13" s="55">
        <f t="shared" si="0"/>
        <v>0</v>
      </c>
    </row>
    <row r="14" spans="1:6" ht="15.75" customHeight="1">
      <c r="A14" s="445"/>
      <c r="B14" s="25"/>
      <c r="C14" s="447"/>
      <c r="D14" s="25"/>
      <c r="E14" s="25"/>
      <c r="F14" s="55">
        <f t="shared" si="0"/>
        <v>0</v>
      </c>
    </row>
    <row r="15" spans="1:6" ht="15.75" customHeight="1">
      <c r="A15" s="445"/>
      <c r="B15" s="25"/>
      <c r="C15" s="447"/>
      <c r="D15" s="25"/>
      <c r="E15" s="25"/>
      <c r="F15" s="55">
        <f t="shared" si="0"/>
        <v>0</v>
      </c>
    </row>
    <row r="16" spans="1:6" ht="15.75" customHeight="1">
      <c r="A16" s="445"/>
      <c r="B16" s="25"/>
      <c r="C16" s="447"/>
      <c r="D16" s="25"/>
      <c r="E16" s="25"/>
      <c r="F16" s="55">
        <f t="shared" si="0"/>
        <v>0</v>
      </c>
    </row>
    <row r="17" spans="1:6" ht="15.75" customHeight="1">
      <c r="A17" s="445"/>
      <c r="B17" s="25"/>
      <c r="C17" s="447"/>
      <c r="D17" s="25"/>
      <c r="E17" s="25"/>
      <c r="F17" s="55">
        <f t="shared" si="0"/>
        <v>0</v>
      </c>
    </row>
    <row r="18" spans="1:6" ht="15.75" customHeight="1">
      <c r="A18" s="445"/>
      <c r="B18" s="25"/>
      <c r="C18" s="447"/>
      <c r="D18" s="25"/>
      <c r="E18" s="25"/>
      <c r="F18" s="55">
        <f t="shared" si="0"/>
        <v>0</v>
      </c>
    </row>
    <row r="19" spans="1:6" ht="15.75" customHeight="1">
      <c r="A19" s="445"/>
      <c r="B19" s="25"/>
      <c r="C19" s="447"/>
      <c r="D19" s="25"/>
      <c r="E19" s="25"/>
      <c r="F19" s="55">
        <f t="shared" si="0"/>
        <v>0</v>
      </c>
    </row>
    <row r="20" spans="1:6" ht="15.75" customHeight="1">
      <c r="A20" s="445"/>
      <c r="B20" s="25"/>
      <c r="C20" s="447"/>
      <c r="D20" s="25"/>
      <c r="E20" s="25"/>
      <c r="F20" s="55">
        <f t="shared" si="0"/>
        <v>0</v>
      </c>
    </row>
    <row r="21" spans="1:6" ht="15.75" customHeight="1">
      <c r="A21" s="445"/>
      <c r="B21" s="25"/>
      <c r="C21" s="447"/>
      <c r="D21" s="25"/>
      <c r="E21" s="25"/>
      <c r="F21" s="55">
        <f t="shared" si="0"/>
        <v>0</v>
      </c>
    </row>
    <row r="22" spans="1:6" ht="15.75" customHeight="1">
      <c r="A22" s="445"/>
      <c r="B22" s="25"/>
      <c r="C22" s="447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48"/>
      <c r="D23" s="26"/>
      <c r="E23" s="26"/>
      <c r="F23" s="57">
        <f t="shared" si="0"/>
        <v>0</v>
      </c>
    </row>
    <row r="24" spans="1:6" s="60" customFormat="1" ht="18" customHeight="1" thickBot="1">
      <c r="A24" s="178" t="s">
        <v>61</v>
      </c>
      <c r="B24" s="58">
        <f>SUM(B8:B23)</f>
        <v>131766862</v>
      </c>
      <c r="C24" s="111"/>
      <c r="D24" s="58">
        <f>SUM(D8:D23)</f>
        <v>5588000</v>
      </c>
      <c r="E24" s="58">
        <f>SUM(E8:E23)</f>
        <v>126178862</v>
      </c>
      <c r="F24" s="5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7">
      <selection activeCell="D17" sqref="D17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06"/>
      <c r="B1" s="593"/>
      <c r="C1" s="593"/>
      <c r="D1" s="593"/>
      <c r="E1" s="593"/>
      <c r="F1" s="593"/>
    </row>
    <row r="2" spans="1:6" ht="21" customHeight="1">
      <c r="A2" s="606"/>
      <c r="B2" s="793" t="str">
        <f>CONCATENATE("7. melléklet ",ALAPADATOK!A7," ",ALAPADATOK!B7," ",ALAPADATOK!C7," ",ALAPADATOK!D7," ",ALAPADATOK!E7," ",ALAPADATOK!F7," ",ALAPADATOK!G7," ",ALAPADATOK!H7)</f>
        <v>7. melléklet a 4 / 2020 ( II.25. ) önkormányzati rendelethez</v>
      </c>
      <c r="C2" s="793"/>
      <c r="D2" s="793"/>
      <c r="E2" s="793"/>
      <c r="F2" s="793"/>
    </row>
    <row r="3" spans="1:6" ht="12.75">
      <c r="A3" s="606"/>
      <c r="B3" s="593"/>
      <c r="C3" s="593"/>
      <c r="D3" s="593"/>
      <c r="E3" s="593"/>
      <c r="F3" s="593"/>
    </row>
    <row r="4" spans="1:6" ht="24.75" customHeight="1">
      <c r="A4" s="792" t="s">
        <v>1</v>
      </c>
      <c r="B4" s="792"/>
      <c r="C4" s="792"/>
      <c r="D4" s="792"/>
      <c r="E4" s="792"/>
      <c r="F4" s="792"/>
    </row>
    <row r="5" spans="1:6" ht="23.25" customHeight="1" thickBot="1">
      <c r="A5" s="606"/>
      <c r="B5" s="593"/>
      <c r="C5" s="593"/>
      <c r="D5" s="593"/>
      <c r="E5" s="593"/>
      <c r="F5" s="607" t="str">
        <f>'KV_6.sz.mell.'!F5</f>
        <v>Forintban!</v>
      </c>
    </row>
    <row r="6" spans="1:6" s="44" customFormat="1" ht="48.75" customHeight="1" thickBot="1">
      <c r="A6" s="608" t="s">
        <v>65</v>
      </c>
      <c r="B6" s="609" t="s">
        <v>63</v>
      </c>
      <c r="C6" s="609" t="s">
        <v>64</v>
      </c>
      <c r="D6" s="609" t="str">
        <f>+'KV_6.sz.mell.'!D6</f>
        <v>Felhasználás   2019. XII. 31-ig</v>
      </c>
      <c r="E6" s="609" t="str">
        <f>+'KV_6.sz.mell.'!E6</f>
        <v>2020. évi előirányzat</v>
      </c>
      <c r="F6" s="611" t="str">
        <f>+CONCATENATE(LEFT(KV_ÖSSZEFÜGGÉSEK!A5,4),". utáni szükséglet ",CHAR(10),"")</f>
        <v>2020. utáni szükséglet 
</v>
      </c>
    </row>
    <row r="7" spans="1:6" s="54" customFormat="1" ht="15" customHeight="1" thickBot="1">
      <c r="A7" s="52" t="s">
        <v>473</v>
      </c>
      <c r="B7" s="53" t="s">
        <v>474</v>
      </c>
      <c r="C7" s="53" t="s">
        <v>475</v>
      </c>
      <c r="D7" s="53" t="s">
        <v>477</v>
      </c>
      <c r="E7" s="53" t="s">
        <v>476</v>
      </c>
      <c r="F7" s="489" t="s">
        <v>539</v>
      </c>
    </row>
    <row r="8" spans="1:6" ht="15.75" customHeight="1">
      <c r="A8" s="61" t="s">
        <v>681</v>
      </c>
      <c r="B8" s="62">
        <v>40510079</v>
      </c>
      <c r="C8" s="449" t="s">
        <v>674</v>
      </c>
      <c r="D8" s="62"/>
      <c r="E8" s="62">
        <v>40510079</v>
      </c>
      <c r="F8" s="63">
        <f aca="true" t="shared" si="0" ref="F8:F24">B8-D8-E8</f>
        <v>0</v>
      </c>
    </row>
    <row r="9" spans="1:6" ht="15.75" customHeight="1">
      <c r="A9" s="61" t="s">
        <v>682</v>
      </c>
      <c r="B9" s="62">
        <v>33284121</v>
      </c>
      <c r="C9" s="449" t="s">
        <v>674</v>
      </c>
      <c r="D9" s="62"/>
      <c r="E9" s="62">
        <v>33284121</v>
      </c>
      <c r="F9" s="63">
        <f t="shared" si="0"/>
        <v>0</v>
      </c>
    </row>
    <row r="10" spans="1:6" ht="15.75" customHeight="1">
      <c r="A10" s="61" t="s">
        <v>683</v>
      </c>
      <c r="B10" s="62">
        <v>7229668</v>
      </c>
      <c r="C10" s="449" t="s">
        <v>679</v>
      </c>
      <c r="D10" s="62"/>
      <c r="E10" s="62">
        <v>7229668</v>
      </c>
      <c r="F10" s="63">
        <f t="shared" si="0"/>
        <v>0</v>
      </c>
    </row>
    <row r="11" spans="1:6" ht="15.75" customHeight="1">
      <c r="A11" s="61" t="s">
        <v>684</v>
      </c>
      <c r="B11" s="62">
        <v>1270000</v>
      </c>
      <c r="C11" s="449" t="s">
        <v>679</v>
      </c>
      <c r="D11" s="62"/>
      <c r="E11" s="62">
        <v>1270000</v>
      </c>
      <c r="F11" s="63">
        <f t="shared" si="0"/>
        <v>0</v>
      </c>
    </row>
    <row r="12" spans="1:6" ht="15.75" customHeight="1">
      <c r="A12" s="61"/>
      <c r="B12" s="62"/>
      <c r="C12" s="449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49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49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49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49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49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49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49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49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49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49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49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50"/>
      <c r="D24" s="65"/>
      <c r="E24" s="65"/>
      <c r="F24" s="66">
        <f t="shared" si="0"/>
        <v>0</v>
      </c>
    </row>
    <row r="25" spans="1:6" s="60" customFormat="1" ht="18" customHeight="1" thickBot="1">
      <c r="A25" s="178" t="s">
        <v>61</v>
      </c>
      <c r="B25" s="179">
        <f>SUM(B8:B24)</f>
        <v>82293868</v>
      </c>
      <c r="C25" s="112"/>
      <c r="D25" s="179">
        <f>SUM(D8:D24)</f>
        <v>0</v>
      </c>
      <c r="E25" s="179">
        <f>SUM(E8:E24)</f>
        <v>82293868</v>
      </c>
      <c r="F25" s="6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20" zoomScaleNormal="120" workbookViewId="0" topLeftCell="A1">
      <selection activeCell="C11" sqref="C11:E11"/>
    </sheetView>
  </sheetViews>
  <sheetFormatPr defaultColWidth="9.00390625" defaultRowHeight="12.75"/>
  <cols>
    <col min="1" max="1" width="38.625" style="46" customWidth="1"/>
    <col min="2" max="4" width="24.875" style="46" customWidth="1"/>
    <col min="5" max="5" width="26.875" style="46" customWidth="1"/>
    <col min="6" max="6" width="5.00390625" style="46" bestFit="1" customWidth="1"/>
    <col min="7" max="16384" width="9.375" style="46" customWidth="1"/>
  </cols>
  <sheetData>
    <row r="1" ht="12.75">
      <c r="F1" s="810" t="str">
        <f>CONCATENATE("8. melléklet ",ALAPADATOK!A7," ",ALAPADATOK!B7," ",ALAPADATOK!C7," ",ALAPADATOK!D7," ",ALAPADATOK!E7," ",ALAPADATOK!F7," ",ALAPADATOK!G7," ",ALAPADATOK!H7)</f>
        <v>8. melléklet a 4 / 2020 ( II.25. ) önkormányzati rendelethez</v>
      </c>
    </row>
    <row r="2" spans="1:6" ht="15.75">
      <c r="A2" s="824" t="s">
        <v>658</v>
      </c>
      <c r="B2" s="824"/>
      <c r="C2" s="824"/>
      <c r="D2" s="824"/>
      <c r="E2" s="824"/>
      <c r="F2" s="810"/>
    </row>
    <row r="3" spans="1:6" ht="14.25" thickBot="1">
      <c r="A3" s="662"/>
      <c r="B3" s="662"/>
      <c r="C3" s="662"/>
      <c r="D3" s="662"/>
      <c r="E3" s="663" t="str">
        <f>'KV_7.sz.mell.'!F5</f>
        <v>Forintban!</v>
      </c>
      <c r="F3" s="810"/>
    </row>
    <row r="4" spans="1:6" ht="13.5" thickBot="1">
      <c r="A4" s="795" t="s">
        <v>130</v>
      </c>
      <c r="B4" s="796"/>
      <c r="C4" s="796"/>
      <c r="D4" s="796"/>
      <c r="E4" s="665" t="s">
        <v>53</v>
      </c>
      <c r="F4" s="810"/>
    </row>
    <row r="5" spans="1:6" ht="12.75">
      <c r="A5" s="797"/>
      <c r="B5" s="798"/>
      <c r="C5" s="798"/>
      <c r="D5" s="798"/>
      <c r="E5" s="666"/>
      <c r="F5" s="810"/>
    </row>
    <row r="6" spans="1:6" ht="13.5" thickBot="1">
      <c r="A6" s="799"/>
      <c r="B6" s="800"/>
      <c r="C6" s="800"/>
      <c r="D6" s="800"/>
      <c r="E6" s="667"/>
      <c r="F6" s="810"/>
    </row>
    <row r="7" spans="1:6" ht="13.5" customHeight="1" thickBot="1">
      <c r="A7" s="801" t="s">
        <v>659</v>
      </c>
      <c r="B7" s="802"/>
      <c r="C7" s="802"/>
      <c r="D7" s="802"/>
      <c r="E7" s="668">
        <f>SUM(E5:E6)</f>
        <v>0</v>
      </c>
      <c r="F7" s="810"/>
    </row>
    <row r="8" spans="1:6" ht="13.5" customHeight="1">
      <c r="A8" s="671"/>
      <c r="B8" s="671"/>
      <c r="C8" s="671"/>
      <c r="D8" s="671"/>
      <c r="E8" s="672"/>
      <c r="F8" s="810"/>
    </row>
    <row r="9" spans="1:6" ht="15.75">
      <c r="A9" s="804" t="s">
        <v>645</v>
      </c>
      <c r="B9" s="804"/>
      <c r="C9" s="804"/>
      <c r="D9" s="804"/>
      <c r="E9" s="804"/>
      <c r="F9" s="810"/>
    </row>
    <row r="10" spans="1:6" ht="15.75">
      <c r="A10" s="817" t="s">
        <v>667</v>
      </c>
      <c r="B10" s="818"/>
      <c r="C10" s="818"/>
      <c r="D10" s="818"/>
      <c r="E10" s="818"/>
      <c r="F10" s="810"/>
    </row>
    <row r="11" spans="1:6" ht="14.25" customHeight="1">
      <c r="A11" s="805" t="s">
        <v>660</v>
      </c>
      <c r="B11" s="805"/>
      <c r="C11" s="806" t="s">
        <v>541</v>
      </c>
      <c r="D11" s="806"/>
      <c r="E11" s="806"/>
      <c r="F11" s="810"/>
    </row>
    <row r="12" spans="1:6" ht="21" customHeight="1" thickBot="1">
      <c r="A12" s="648"/>
      <c r="B12" s="823" t="s">
        <v>685</v>
      </c>
      <c r="C12" s="823"/>
      <c r="D12" s="823"/>
      <c r="E12" s="823"/>
      <c r="F12" s="810"/>
    </row>
    <row r="13" spans="1:6" ht="13.5" customHeight="1" thickBot="1">
      <c r="A13" s="807" t="s">
        <v>124</v>
      </c>
      <c r="B13" s="811" t="s">
        <v>655</v>
      </c>
      <c r="C13" s="812"/>
      <c r="D13" s="812"/>
      <c r="E13" s="813"/>
      <c r="F13" s="810"/>
    </row>
    <row r="14" spans="1:6" ht="13.5" customHeight="1" thickBot="1">
      <c r="A14" s="808"/>
      <c r="B14" s="814" t="s">
        <v>668</v>
      </c>
      <c r="C14" s="819" t="s">
        <v>656</v>
      </c>
      <c r="D14" s="820"/>
      <c r="E14" s="821"/>
      <c r="F14" s="810"/>
    </row>
    <row r="15" spans="1:6" ht="12.75" customHeight="1">
      <c r="A15" s="808"/>
      <c r="B15" s="815"/>
      <c r="C15" s="814" t="str">
        <f>CONCATENATE(TARTALOMJEGYZÉK!$A$1,". előtti tervezett forrás, kiadás")</f>
        <v>2020. előtti tervezett forrás, kiadás</v>
      </c>
      <c r="D15" s="814" t="str">
        <f>CONCATENATE(TARTALOMJEGYZÉK!$A$1,". évi eredeti előirányzat")</f>
        <v>2020. évi eredeti előirányzat</v>
      </c>
      <c r="E15" s="814" t="str">
        <f>CONCATENATE(TARTALOMJEGYZÉK!$A$1,". év utáni tervezett forrás, kiadás")</f>
        <v>2020. év utáni tervezett forrás, kiadás</v>
      </c>
      <c r="F15" s="810"/>
    </row>
    <row r="16" spans="1:6" ht="13.5" thickBot="1">
      <c r="A16" s="809"/>
      <c r="B16" s="816"/>
      <c r="C16" s="822"/>
      <c r="D16" s="822"/>
      <c r="E16" s="816"/>
      <c r="F16" s="810"/>
    </row>
    <row r="17" spans="1:6" ht="13.5" thickBot="1">
      <c r="A17" s="649" t="s">
        <v>473</v>
      </c>
      <c r="B17" s="650" t="s">
        <v>657</v>
      </c>
      <c r="C17" s="651" t="s">
        <v>475</v>
      </c>
      <c r="D17" s="652" t="s">
        <v>477</v>
      </c>
      <c r="E17" s="653" t="s">
        <v>476</v>
      </c>
      <c r="F17" s="810"/>
    </row>
    <row r="18" spans="1:6" ht="12.75">
      <c r="A18" s="654" t="s">
        <v>125</v>
      </c>
      <c r="B18" s="674">
        <f>C18+D18+E18</f>
        <v>0</v>
      </c>
      <c r="C18" s="675"/>
      <c r="D18" s="675"/>
      <c r="E18" s="676"/>
      <c r="F18" s="810"/>
    </row>
    <row r="19" spans="1:6" ht="12.75">
      <c r="A19" s="655" t="s">
        <v>136</v>
      </c>
      <c r="B19" s="677">
        <f aca="true" t="shared" si="0" ref="B19:B29">C19+D19+E19</f>
        <v>0</v>
      </c>
      <c r="C19" s="678"/>
      <c r="D19" s="678"/>
      <c r="E19" s="678"/>
      <c r="F19" s="810"/>
    </row>
    <row r="20" spans="1:6" ht="12.75">
      <c r="A20" s="656" t="s">
        <v>126</v>
      </c>
      <c r="B20" s="679">
        <f t="shared" si="0"/>
        <v>179629826</v>
      </c>
      <c r="C20" s="680"/>
      <c r="D20" s="680">
        <v>179629826</v>
      </c>
      <c r="E20" s="680"/>
      <c r="F20" s="810"/>
    </row>
    <row r="21" spans="1:6" ht="12.75">
      <c r="A21" s="656" t="s">
        <v>138</v>
      </c>
      <c r="B21" s="679">
        <f t="shared" si="0"/>
        <v>0</v>
      </c>
      <c r="C21" s="680"/>
      <c r="D21" s="680"/>
      <c r="E21" s="680"/>
      <c r="F21" s="810"/>
    </row>
    <row r="22" spans="1:6" ht="12.75">
      <c r="A22" s="656" t="s">
        <v>127</v>
      </c>
      <c r="B22" s="679">
        <f t="shared" si="0"/>
        <v>0</v>
      </c>
      <c r="C22" s="680"/>
      <c r="D22" s="680"/>
      <c r="E22" s="680"/>
      <c r="F22" s="810"/>
    </row>
    <row r="23" spans="1:6" ht="13.5" thickBot="1">
      <c r="A23" s="656" t="s">
        <v>128</v>
      </c>
      <c r="B23" s="679">
        <f t="shared" si="0"/>
        <v>0</v>
      </c>
      <c r="C23" s="680"/>
      <c r="D23" s="680"/>
      <c r="E23" s="680"/>
      <c r="F23" s="810"/>
    </row>
    <row r="24" spans="1:6" ht="13.5" thickBot="1">
      <c r="A24" s="657" t="s">
        <v>129</v>
      </c>
      <c r="B24" s="681">
        <f>B18+SUM(B20:B23)</f>
        <v>179629826</v>
      </c>
      <c r="C24" s="682">
        <f>C18+SUM(C20:C23)</f>
        <v>0</v>
      </c>
      <c r="D24" s="682">
        <f>D18+SUM(D20:D23)</f>
        <v>179629826</v>
      </c>
      <c r="E24" s="683">
        <f>E18+SUM(E20:E23)</f>
        <v>0</v>
      </c>
      <c r="F24" s="810"/>
    </row>
    <row r="25" spans="1:6" ht="12.75">
      <c r="A25" s="658" t="s">
        <v>132</v>
      </c>
      <c r="B25" s="674">
        <f t="shared" si="0"/>
        <v>3080385</v>
      </c>
      <c r="C25" s="675"/>
      <c r="D25" s="675">
        <v>3080385</v>
      </c>
      <c r="E25" s="676"/>
      <c r="F25" s="810"/>
    </row>
    <row r="26" spans="1:6" ht="12.75">
      <c r="A26" s="659" t="s">
        <v>133</v>
      </c>
      <c r="B26" s="679">
        <f t="shared" si="0"/>
        <v>168103941</v>
      </c>
      <c r="C26" s="680">
        <v>5588000</v>
      </c>
      <c r="D26" s="680">
        <v>162515941</v>
      </c>
      <c r="E26" s="680"/>
      <c r="F26" s="810"/>
    </row>
    <row r="27" spans="1:6" ht="12.75">
      <c r="A27" s="659" t="s">
        <v>134</v>
      </c>
      <c r="B27" s="679">
        <f t="shared" si="0"/>
        <v>8445500</v>
      </c>
      <c r="C27" s="680"/>
      <c r="D27" s="680">
        <v>8445500</v>
      </c>
      <c r="E27" s="680"/>
      <c r="F27" s="810"/>
    </row>
    <row r="28" spans="1:6" ht="12.75">
      <c r="A28" s="659" t="s">
        <v>135</v>
      </c>
      <c r="B28" s="679">
        <f t="shared" si="0"/>
        <v>0</v>
      </c>
      <c r="C28" s="680"/>
      <c r="D28" s="680"/>
      <c r="E28" s="680"/>
      <c r="F28" s="810"/>
    </row>
    <row r="29" spans="1:6" ht="13.5" thickBot="1">
      <c r="A29" s="660"/>
      <c r="B29" s="684">
        <f t="shared" si="0"/>
        <v>0</v>
      </c>
      <c r="C29" s="685"/>
      <c r="D29" s="685"/>
      <c r="E29" s="686"/>
      <c r="F29" s="810"/>
    </row>
    <row r="30" spans="1:6" ht="13.5" thickBot="1">
      <c r="A30" s="661" t="s">
        <v>108</v>
      </c>
      <c r="B30" s="681">
        <f>SUM(B25:B29)</f>
        <v>179629826</v>
      </c>
      <c r="C30" s="682">
        <f>SUM(C25:C29)</f>
        <v>5588000</v>
      </c>
      <c r="D30" s="682">
        <f>SUM(D25:D29)</f>
        <v>174041826</v>
      </c>
      <c r="E30" s="683">
        <f>SUM(E25:E29)</f>
        <v>0</v>
      </c>
      <c r="F30" s="810"/>
    </row>
    <row r="31" spans="1:6" ht="12.75" customHeight="1">
      <c r="A31" s="803" t="s">
        <v>661</v>
      </c>
      <c r="B31" s="803"/>
      <c r="C31" s="803"/>
      <c r="D31" s="803"/>
      <c r="E31" s="803"/>
      <c r="F31" s="810"/>
    </row>
    <row r="32" spans="1:6" ht="12.75">
      <c r="A32" s="664"/>
      <c r="B32" s="664"/>
      <c r="C32" s="664"/>
      <c r="D32" s="664"/>
      <c r="E32" s="664"/>
      <c r="F32" s="669"/>
    </row>
  </sheetData>
  <sheetProtection/>
  <mergeCells count="19">
    <mergeCell ref="F1:F31"/>
    <mergeCell ref="B13:E13"/>
    <mergeCell ref="B14:B16"/>
    <mergeCell ref="A10:E10"/>
    <mergeCell ref="C14:E14"/>
    <mergeCell ref="C15:C16"/>
    <mergeCell ref="D15:D16"/>
    <mergeCell ref="E15:E16"/>
    <mergeCell ref="B12:E12"/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93" sqref="C93:C158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 melléklet ",ALAPADATOK!A7," ",ALAPADATOK!B7," ",ALAPADATOK!C7," ",ALAPADATOK!D7," ",ALAPADATOK!E7," ",ALAPADATOK!F7," ",ALAPADATOK!G7," ",ALAPADATOK!H7)</f>
        <v>9.1. melléklet a 4 / 2020 ( II.25. ) önkormányzati rendelethez</v>
      </c>
    </row>
    <row r="2" spans="1:3" s="87" customFormat="1" ht="21" customHeight="1">
      <c r="A2" s="566" t="s">
        <v>59</v>
      </c>
      <c r="B2" s="567" t="str">
        <f>CONCATENATE(ALAPADATOK!A3)</f>
        <v>MURAKERESZTÚR KÖZSÉG ÖNKORMÁNYZATA</v>
      </c>
      <c r="C2" s="568" t="s">
        <v>52</v>
      </c>
    </row>
    <row r="3" spans="1:3" s="87" customFormat="1" ht="16.5" thickBot="1">
      <c r="A3" s="569" t="s">
        <v>186</v>
      </c>
      <c r="B3" s="570" t="s">
        <v>379</v>
      </c>
      <c r="C3" s="571" t="s">
        <v>52</v>
      </c>
    </row>
    <row r="4" spans="1:3" s="88" customFormat="1" ht="22.5" customHeight="1" thickBot="1">
      <c r="A4" s="572"/>
      <c r="B4" s="572"/>
      <c r="C4" s="573" t="str">
        <f>'KV_7.sz.mell.'!F5</f>
        <v>Forintban!</v>
      </c>
    </row>
    <row r="5" spans="1:3" ht="13.5" thickBot="1">
      <c r="A5" s="574" t="s">
        <v>188</v>
      </c>
      <c r="B5" s="575" t="s">
        <v>540</v>
      </c>
      <c r="C5" s="576" t="s">
        <v>53</v>
      </c>
    </row>
    <row r="6" spans="1:3" s="68" customFormat="1" ht="12.75" customHeight="1" thickBot="1">
      <c r="A6" s="577"/>
      <c r="B6" s="578" t="s">
        <v>473</v>
      </c>
      <c r="C6" s="579" t="s">
        <v>474</v>
      </c>
    </row>
    <row r="7" spans="1:3" s="68" customFormat="1" ht="15.75" customHeight="1" thickBot="1">
      <c r="A7" s="580"/>
      <c r="B7" s="581" t="s">
        <v>54</v>
      </c>
      <c r="C7" s="582"/>
    </row>
    <row r="8" spans="1:3" s="68" customFormat="1" ht="12" customHeight="1" thickBot="1">
      <c r="A8" s="32" t="s">
        <v>16</v>
      </c>
      <c r="B8" s="21" t="s">
        <v>235</v>
      </c>
      <c r="C8" s="274">
        <f>+C9+C10+C11+C12+C13+C14</f>
        <v>164910297</v>
      </c>
    </row>
    <row r="9" spans="1:3" s="89" customFormat="1" ht="12" customHeight="1">
      <c r="A9" s="410" t="s">
        <v>96</v>
      </c>
      <c r="B9" s="391" t="s">
        <v>236</v>
      </c>
      <c r="C9" s="277">
        <v>93224874</v>
      </c>
    </row>
    <row r="10" spans="1:3" s="90" customFormat="1" ht="12" customHeight="1">
      <c r="A10" s="411" t="s">
        <v>97</v>
      </c>
      <c r="B10" s="392" t="s">
        <v>237</v>
      </c>
      <c r="C10" s="276">
        <v>28686330</v>
      </c>
    </row>
    <row r="11" spans="1:3" s="90" customFormat="1" ht="12" customHeight="1">
      <c r="A11" s="411" t="s">
        <v>98</v>
      </c>
      <c r="B11" s="392" t="s">
        <v>528</v>
      </c>
      <c r="C11" s="276">
        <v>40859883</v>
      </c>
    </row>
    <row r="12" spans="1:3" s="90" customFormat="1" ht="12" customHeight="1">
      <c r="A12" s="411" t="s">
        <v>99</v>
      </c>
      <c r="B12" s="392" t="s">
        <v>239</v>
      </c>
      <c r="C12" s="276">
        <v>2139210</v>
      </c>
    </row>
    <row r="13" spans="1:3" s="90" customFormat="1" ht="12" customHeight="1">
      <c r="A13" s="411" t="s">
        <v>139</v>
      </c>
      <c r="B13" s="392" t="s">
        <v>486</v>
      </c>
      <c r="C13" s="276"/>
    </row>
    <row r="14" spans="1:3" s="89" customFormat="1" ht="12" customHeight="1" thickBot="1">
      <c r="A14" s="412" t="s">
        <v>100</v>
      </c>
      <c r="B14" s="524" t="s">
        <v>552</v>
      </c>
      <c r="C14" s="276"/>
    </row>
    <row r="15" spans="1:3" s="89" customFormat="1" ht="12" customHeight="1" thickBot="1">
      <c r="A15" s="32" t="s">
        <v>17</v>
      </c>
      <c r="B15" s="269" t="s">
        <v>240</v>
      </c>
      <c r="C15" s="274">
        <f>+C16+C17+C18+C19+C20</f>
        <v>19574453</v>
      </c>
    </row>
    <row r="16" spans="1:3" s="89" customFormat="1" ht="12" customHeight="1">
      <c r="A16" s="410" t="s">
        <v>102</v>
      </c>
      <c r="B16" s="391" t="s">
        <v>241</v>
      </c>
      <c r="C16" s="277"/>
    </row>
    <row r="17" spans="1:3" s="89" customFormat="1" ht="12" customHeight="1">
      <c r="A17" s="411" t="s">
        <v>103</v>
      </c>
      <c r="B17" s="392" t="s">
        <v>242</v>
      </c>
      <c r="C17" s="276"/>
    </row>
    <row r="18" spans="1:3" s="89" customFormat="1" ht="12" customHeight="1">
      <c r="A18" s="411" t="s">
        <v>104</v>
      </c>
      <c r="B18" s="392" t="s">
        <v>403</v>
      </c>
      <c r="C18" s="276"/>
    </row>
    <row r="19" spans="1:3" s="89" customFormat="1" ht="12" customHeight="1">
      <c r="A19" s="411" t="s">
        <v>105</v>
      </c>
      <c r="B19" s="392" t="s">
        <v>404</v>
      </c>
      <c r="C19" s="276"/>
    </row>
    <row r="20" spans="1:3" s="89" customFormat="1" ht="12" customHeight="1">
      <c r="A20" s="411" t="s">
        <v>106</v>
      </c>
      <c r="B20" s="392" t="s">
        <v>243</v>
      </c>
      <c r="C20" s="276">
        <v>19574453</v>
      </c>
    </row>
    <row r="21" spans="1:3" s="90" customFormat="1" ht="12" customHeight="1" thickBot="1">
      <c r="A21" s="412" t="s">
        <v>115</v>
      </c>
      <c r="B21" s="524" t="s">
        <v>553</v>
      </c>
      <c r="C21" s="278"/>
    </row>
    <row r="22" spans="1:3" s="90" customFormat="1" ht="12" customHeight="1" thickBot="1">
      <c r="A22" s="32" t="s">
        <v>18</v>
      </c>
      <c r="B22" s="21" t="s">
        <v>245</v>
      </c>
      <c r="C22" s="274">
        <f>+C23+C24+C25+C26+C27</f>
        <v>179629826</v>
      </c>
    </row>
    <row r="23" spans="1:3" s="90" customFormat="1" ht="12" customHeight="1">
      <c r="A23" s="410" t="s">
        <v>85</v>
      </c>
      <c r="B23" s="391" t="s">
        <v>246</v>
      </c>
      <c r="C23" s="277"/>
    </row>
    <row r="24" spans="1:3" s="89" customFormat="1" ht="12" customHeight="1">
      <c r="A24" s="411" t="s">
        <v>86</v>
      </c>
      <c r="B24" s="392" t="s">
        <v>247</v>
      </c>
      <c r="C24" s="276"/>
    </row>
    <row r="25" spans="1:3" s="90" customFormat="1" ht="12" customHeight="1">
      <c r="A25" s="411" t="s">
        <v>87</v>
      </c>
      <c r="B25" s="392" t="s">
        <v>405</v>
      </c>
      <c r="C25" s="276"/>
    </row>
    <row r="26" spans="1:3" s="90" customFormat="1" ht="12" customHeight="1">
      <c r="A26" s="411" t="s">
        <v>88</v>
      </c>
      <c r="B26" s="392" t="s">
        <v>406</v>
      </c>
      <c r="C26" s="276"/>
    </row>
    <row r="27" spans="1:3" s="90" customFormat="1" ht="12" customHeight="1">
      <c r="A27" s="411" t="s">
        <v>155</v>
      </c>
      <c r="B27" s="392" t="s">
        <v>248</v>
      </c>
      <c r="C27" s="276">
        <v>179629826</v>
      </c>
    </row>
    <row r="28" spans="1:3" s="90" customFormat="1" ht="12" customHeight="1" thickBot="1">
      <c r="A28" s="412" t="s">
        <v>156</v>
      </c>
      <c r="B28" s="524" t="s">
        <v>545</v>
      </c>
      <c r="C28" s="525">
        <v>179629826</v>
      </c>
    </row>
    <row r="29" spans="1:3" s="90" customFormat="1" ht="12" customHeight="1" thickBot="1">
      <c r="A29" s="32" t="s">
        <v>157</v>
      </c>
      <c r="B29" s="21" t="s">
        <v>537</v>
      </c>
      <c r="C29" s="280">
        <f>C30+C31+C32+C33+C34+C35+C36</f>
        <v>40170000</v>
      </c>
    </row>
    <row r="30" spans="1:3" s="90" customFormat="1" ht="12" customHeight="1">
      <c r="A30" s="410" t="s">
        <v>251</v>
      </c>
      <c r="B30" s="391" t="s">
        <v>671</v>
      </c>
      <c r="C30" s="277">
        <v>8300000</v>
      </c>
    </row>
    <row r="31" spans="1:3" s="90" customFormat="1" ht="12" customHeight="1">
      <c r="A31" s="411" t="s">
        <v>252</v>
      </c>
      <c r="B31" s="391" t="str">
        <f>'KV_1.1.sz.mell.'!B33</f>
        <v>Idegenforgalmi adó</v>
      </c>
      <c r="C31" s="276"/>
    </row>
    <row r="32" spans="1:3" s="90" customFormat="1" ht="12" customHeight="1">
      <c r="A32" s="411" t="s">
        <v>253</v>
      </c>
      <c r="B32" s="391" t="str">
        <f>'KV_1.1.sz.mell.'!B34</f>
        <v>Iparűzési adó</v>
      </c>
      <c r="C32" s="276">
        <v>27000000</v>
      </c>
    </row>
    <row r="33" spans="1:3" s="90" customFormat="1" ht="12" customHeight="1">
      <c r="A33" s="411" t="s">
        <v>254</v>
      </c>
      <c r="B33" s="391" t="str">
        <f>'KV_1.1.sz.mell.'!B35</f>
        <v>Talajterhelési díj</v>
      </c>
      <c r="C33" s="276"/>
    </row>
    <row r="34" spans="1:3" s="90" customFormat="1" ht="12" customHeight="1">
      <c r="A34" s="411" t="s">
        <v>530</v>
      </c>
      <c r="B34" s="391" t="str">
        <f>'KV_1.1.sz.mell.'!B36</f>
        <v>Gépjárműadó</v>
      </c>
      <c r="C34" s="276">
        <v>4300000</v>
      </c>
    </row>
    <row r="35" spans="1:3" s="90" customFormat="1" ht="12" customHeight="1">
      <c r="A35" s="411" t="s">
        <v>531</v>
      </c>
      <c r="B35" s="391" t="str">
        <f>'KV_1.1.sz.mell.'!B37</f>
        <v>Telekadó</v>
      </c>
      <c r="C35" s="276"/>
    </row>
    <row r="36" spans="1:3" s="90" customFormat="1" ht="12" customHeight="1" thickBot="1">
      <c r="A36" s="412" t="s">
        <v>532</v>
      </c>
      <c r="B36" s="391" t="s">
        <v>672</v>
      </c>
      <c r="C36" s="278">
        <v>570000</v>
      </c>
    </row>
    <row r="37" spans="1:3" s="90" customFormat="1" ht="12" customHeight="1" thickBot="1">
      <c r="A37" s="32" t="s">
        <v>20</v>
      </c>
      <c r="B37" s="21" t="s">
        <v>414</v>
      </c>
      <c r="C37" s="274">
        <f>SUM(C38:C48)</f>
        <v>23394670</v>
      </c>
    </row>
    <row r="38" spans="1:3" s="90" customFormat="1" ht="12" customHeight="1">
      <c r="A38" s="410" t="s">
        <v>89</v>
      </c>
      <c r="B38" s="391" t="s">
        <v>258</v>
      </c>
      <c r="C38" s="277"/>
    </row>
    <row r="39" spans="1:3" s="90" customFormat="1" ht="12" customHeight="1">
      <c r="A39" s="411" t="s">
        <v>90</v>
      </c>
      <c r="B39" s="392" t="s">
        <v>259</v>
      </c>
      <c r="C39" s="276">
        <v>2560100</v>
      </c>
    </row>
    <row r="40" spans="1:3" s="90" customFormat="1" ht="12" customHeight="1">
      <c r="A40" s="411" t="s">
        <v>91</v>
      </c>
      <c r="B40" s="392" t="s">
        <v>260</v>
      </c>
      <c r="C40" s="276">
        <v>285000</v>
      </c>
    </row>
    <row r="41" spans="1:3" s="90" customFormat="1" ht="12" customHeight="1">
      <c r="A41" s="411" t="s">
        <v>159</v>
      </c>
      <c r="B41" s="392" t="s">
        <v>261</v>
      </c>
      <c r="C41" s="276">
        <v>2615840</v>
      </c>
    </row>
    <row r="42" spans="1:3" s="90" customFormat="1" ht="12" customHeight="1">
      <c r="A42" s="411" t="s">
        <v>160</v>
      </c>
      <c r="B42" s="392" t="s">
        <v>262</v>
      </c>
      <c r="C42" s="276">
        <v>8724960</v>
      </c>
    </row>
    <row r="43" spans="1:3" s="90" customFormat="1" ht="12" customHeight="1">
      <c r="A43" s="411" t="s">
        <v>161</v>
      </c>
      <c r="B43" s="392" t="s">
        <v>263</v>
      </c>
      <c r="C43" s="276">
        <v>3314466</v>
      </c>
    </row>
    <row r="44" spans="1:3" s="90" customFormat="1" ht="12" customHeight="1">
      <c r="A44" s="411" t="s">
        <v>162</v>
      </c>
      <c r="B44" s="392" t="s">
        <v>264</v>
      </c>
      <c r="C44" s="276">
        <v>736830</v>
      </c>
    </row>
    <row r="45" spans="1:3" s="90" customFormat="1" ht="12" customHeight="1">
      <c r="A45" s="411" t="s">
        <v>163</v>
      </c>
      <c r="B45" s="392" t="s">
        <v>536</v>
      </c>
      <c r="C45" s="276"/>
    </row>
    <row r="46" spans="1:3" s="90" customFormat="1" ht="12" customHeight="1">
      <c r="A46" s="411" t="s">
        <v>256</v>
      </c>
      <c r="B46" s="392" t="s">
        <v>266</v>
      </c>
      <c r="C46" s="279"/>
    </row>
    <row r="47" spans="1:3" s="90" customFormat="1" ht="12" customHeight="1">
      <c r="A47" s="412" t="s">
        <v>257</v>
      </c>
      <c r="B47" s="393" t="s">
        <v>416</v>
      </c>
      <c r="C47" s="380"/>
    </row>
    <row r="48" spans="1:3" s="90" customFormat="1" ht="12" customHeight="1" thickBot="1">
      <c r="A48" s="412" t="s">
        <v>415</v>
      </c>
      <c r="B48" s="524" t="s">
        <v>554</v>
      </c>
      <c r="C48" s="527">
        <v>5157474</v>
      </c>
    </row>
    <row r="49" spans="1:3" s="90" customFormat="1" ht="12" customHeight="1" thickBot="1">
      <c r="A49" s="32" t="s">
        <v>21</v>
      </c>
      <c r="B49" s="21" t="s">
        <v>268</v>
      </c>
      <c r="C49" s="274">
        <f>SUM(C50:C54)</f>
        <v>0</v>
      </c>
    </row>
    <row r="50" spans="1:3" s="90" customFormat="1" ht="12" customHeight="1">
      <c r="A50" s="410" t="s">
        <v>92</v>
      </c>
      <c r="B50" s="391" t="s">
        <v>272</v>
      </c>
      <c r="C50" s="435"/>
    </row>
    <row r="51" spans="1:3" s="90" customFormat="1" ht="12" customHeight="1">
      <c r="A51" s="411" t="s">
        <v>93</v>
      </c>
      <c r="B51" s="392" t="s">
        <v>273</v>
      </c>
      <c r="C51" s="279"/>
    </row>
    <row r="52" spans="1:3" s="90" customFormat="1" ht="12" customHeight="1">
      <c r="A52" s="411" t="s">
        <v>269</v>
      </c>
      <c r="B52" s="392" t="s">
        <v>274</v>
      </c>
      <c r="C52" s="279"/>
    </row>
    <row r="53" spans="1:3" s="90" customFormat="1" ht="12" customHeight="1">
      <c r="A53" s="411" t="s">
        <v>270</v>
      </c>
      <c r="B53" s="392" t="s">
        <v>275</v>
      </c>
      <c r="C53" s="279"/>
    </row>
    <row r="54" spans="1:3" s="90" customFormat="1" ht="12" customHeight="1" thickBot="1">
      <c r="A54" s="412" t="s">
        <v>271</v>
      </c>
      <c r="B54" s="393" t="s">
        <v>276</v>
      </c>
      <c r="C54" s="380"/>
    </row>
    <row r="55" spans="1:3" s="90" customFormat="1" ht="12" customHeight="1" thickBot="1">
      <c r="A55" s="32" t="s">
        <v>164</v>
      </c>
      <c r="B55" s="21" t="s">
        <v>277</v>
      </c>
      <c r="C55" s="274">
        <f>SUM(C56:C58)</f>
        <v>980000</v>
      </c>
    </row>
    <row r="56" spans="1:3" s="90" customFormat="1" ht="12" customHeight="1">
      <c r="A56" s="410" t="s">
        <v>94</v>
      </c>
      <c r="B56" s="391" t="s">
        <v>278</v>
      </c>
      <c r="C56" s="277"/>
    </row>
    <row r="57" spans="1:3" s="90" customFormat="1" ht="12" customHeight="1">
      <c r="A57" s="411" t="s">
        <v>95</v>
      </c>
      <c r="B57" s="392" t="s">
        <v>407</v>
      </c>
      <c r="C57" s="276"/>
    </row>
    <row r="58" spans="1:3" s="90" customFormat="1" ht="12" customHeight="1">
      <c r="A58" s="411" t="s">
        <v>281</v>
      </c>
      <c r="B58" s="392" t="s">
        <v>279</v>
      </c>
      <c r="C58" s="276">
        <v>980000</v>
      </c>
    </row>
    <row r="59" spans="1:3" s="90" customFormat="1" ht="12" customHeight="1" thickBot="1">
      <c r="A59" s="412" t="s">
        <v>282</v>
      </c>
      <c r="B59" s="393" t="s">
        <v>280</v>
      </c>
      <c r="C59" s="278"/>
    </row>
    <row r="60" spans="1:3" s="90" customFormat="1" ht="12" customHeight="1" thickBot="1">
      <c r="A60" s="32" t="s">
        <v>23</v>
      </c>
      <c r="B60" s="269" t="s">
        <v>283</v>
      </c>
      <c r="C60" s="274">
        <f>SUM(C61:C63)</f>
        <v>100000</v>
      </c>
    </row>
    <row r="61" spans="1:3" s="90" customFormat="1" ht="12" customHeight="1">
      <c r="A61" s="410" t="s">
        <v>165</v>
      </c>
      <c r="B61" s="391" t="s">
        <v>285</v>
      </c>
      <c r="C61" s="279"/>
    </row>
    <row r="62" spans="1:3" s="90" customFormat="1" ht="12" customHeight="1">
      <c r="A62" s="411" t="s">
        <v>166</v>
      </c>
      <c r="B62" s="392" t="s">
        <v>408</v>
      </c>
      <c r="C62" s="279">
        <v>100000</v>
      </c>
    </row>
    <row r="63" spans="1:3" s="90" customFormat="1" ht="12" customHeight="1">
      <c r="A63" s="411" t="s">
        <v>214</v>
      </c>
      <c r="B63" s="392" t="s">
        <v>286</v>
      </c>
      <c r="C63" s="279"/>
    </row>
    <row r="64" spans="1:3" s="90" customFormat="1" ht="12" customHeight="1" thickBot="1">
      <c r="A64" s="412" t="s">
        <v>284</v>
      </c>
      <c r="B64" s="393" t="s">
        <v>287</v>
      </c>
      <c r="C64" s="279"/>
    </row>
    <row r="65" spans="1:3" s="90" customFormat="1" ht="12" customHeight="1" thickBot="1">
      <c r="A65" s="32" t="s">
        <v>24</v>
      </c>
      <c r="B65" s="21" t="s">
        <v>288</v>
      </c>
      <c r="C65" s="280">
        <f>+C8+C15+C22+C29+C37+C49+C55+C60</f>
        <v>428759246</v>
      </c>
    </row>
    <row r="66" spans="1:3" s="90" customFormat="1" ht="12" customHeight="1" thickBot="1">
      <c r="A66" s="413" t="s">
        <v>375</v>
      </c>
      <c r="B66" s="269" t="s">
        <v>290</v>
      </c>
      <c r="C66" s="274">
        <f>SUM(C67:C69)</f>
        <v>0</v>
      </c>
    </row>
    <row r="67" spans="1:3" s="90" customFormat="1" ht="12" customHeight="1">
      <c r="A67" s="410" t="s">
        <v>318</v>
      </c>
      <c r="B67" s="391" t="s">
        <v>291</v>
      </c>
      <c r="C67" s="279"/>
    </row>
    <row r="68" spans="1:3" s="90" customFormat="1" ht="12" customHeight="1">
      <c r="A68" s="411" t="s">
        <v>327</v>
      </c>
      <c r="B68" s="392" t="s">
        <v>292</v>
      </c>
      <c r="C68" s="279"/>
    </row>
    <row r="69" spans="1:3" s="90" customFormat="1" ht="12" customHeight="1" thickBot="1">
      <c r="A69" s="412" t="s">
        <v>328</v>
      </c>
      <c r="B69" s="394" t="s">
        <v>441</v>
      </c>
      <c r="C69" s="279"/>
    </row>
    <row r="70" spans="1:3" s="90" customFormat="1" ht="12" customHeight="1" thickBot="1">
      <c r="A70" s="413" t="s">
        <v>294</v>
      </c>
      <c r="B70" s="269" t="s">
        <v>295</v>
      </c>
      <c r="C70" s="274">
        <f>SUM(C71:C74)</f>
        <v>0</v>
      </c>
    </row>
    <row r="71" spans="1:3" s="90" customFormat="1" ht="12" customHeight="1">
      <c r="A71" s="410" t="s">
        <v>140</v>
      </c>
      <c r="B71" s="391" t="s">
        <v>296</v>
      </c>
      <c r="C71" s="279"/>
    </row>
    <row r="72" spans="1:3" s="90" customFormat="1" ht="12" customHeight="1">
      <c r="A72" s="411" t="s">
        <v>141</v>
      </c>
      <c r="B72" s="392" t="s">
        <v>547</v>
      </c>
      <c r="C72" s="279"/>
    </row>
    <row r="73" spans="1:3" s="90" customFormat="1" ht="12" customHeight="1">
      <c r="A73" s="411" t="s">
        <v>319</v>
      </c>
      <c r="B73" s="392" t="s">
        <v>297</v>
      </c>
      <c r="C73" s="279"/>
    </row>
    <row r="74" spans="1:3" s="90" customFormat="1" ht="12" customHeight="1">
      <c r="A74" s="411" t="s">
        <v>320</v>
      </c>
      <c r="B74" s="270" t="s">
        <v>548</v>
      </c>
      <c r="C74" s="279"/>
    </row>
    <row r="75" spans="1:3" s="90" customFormat="1" ht="12" customHeight="1" thickBot="1">
      <c r="A75" s="417" t="s">
        <v>298</v>
      </c>
      <c r="B75" s="546" t="s">
        <v>299</v>
      </c>
      <c r="C75" s="460">
        <f>SUM(C76:C77)</f>
        <v>53457034</v>
      </c>
    </row>
    <row r="76" spans="1:3" s="90" customFormat="1" ht="12" customHeight="1">
      <c r="A76" s="410" t="s">
        <v>321</v>
      </c>
      <c r="B76" s="391" t="s">
        <v>300</v>
      </c>
      <c r="C76" s="279">
        <v>53457034</v>
      </c>
    </row>
    <row r="77" spans="1:3" s="90" customFormat="1" ht="12" customHeight="1" thickBot="1">
      <c r="A77" s="412" t="s">
        <v>322</v>
      </c>
      <c r="B77" s="393" t="s">
        <v>301</v>
      </c>
      <c r="C77" s="279"/>
    </row>
    <row r="78" spans="1:3" s="89" customFormat="1" ht="12" customHeight="1" thickBot="1">
      <c r="A78" s="413" t="s">
        <v>302</v>
      </c>
      <c r="B78" s="269" t="s">
        <v>303</v>
      </c>
      <c r="C78" s="274">
        <f>SUM(C79:C81)</f>
        <v>0</v>
      </c>
    </row>
    <row r="79" spans="1:3" s="90" customFormat="1" ht="12" customHeight="1">
      <c r="A79" s="410" t="s">
        <v>323</v>
      </c>
      <c r="B79" s="391" t="s">
        <v>304</v>
      </c>
      <c r="C79" s="279"/>
    </row>
    <row r="80" spans="1:3" s="90" customFormat="1" ht="12" customHeight="1">
      <c r="A80" s="411" t="s">
        <v>324</v>
      </c>
      <c r="B80" s="392" t="s">
        <v>305</v>
      </c>
      <c r="C80" s="279"/>
    </row>
    <row r="81" spans="1:3" s="90" customFormat="1" ht="12" customHeight="1" thickBot="1">
      <c r="A81" s="412" t="s">
        <v>325</v>
      </c>
      <c r="B81" s="393" t="s">
        <v>549</v>
      </c>
      <c r="C81" s="279"/>
    </row>
    <row r="82" spans="1:3" s="90" customFormat="1" ht="12" customHeight="1" thickBot="1">
      <c r="A82" s="413" t="s">
        <v>306</v>
      </c>
      <c r="B82" s="269" t="s">
        <v>326</v>
      </c>
      <c r="C82" s="274">
        <f>SUM(C83:C86)</f>
        <v>0</v>
      </c>
    </row>
    <row r="83" spans="1:3" s="90" customFormat="1" ht="12" customHeight="1">
      <c r="A83" s="414" t="s">
        <v>307</v>
      </c>
      <c r="B83" s="391" t="s">
        <v>308</v>
      </c>
      <c r="C83" s="279"/>
    </row>
    <row r="84" spans="1:3" s="90" customFormat="1" ht="12" customHeight="1">
      <c r="A84" s="415" t="s">
        <v>309</v>
      </c>
      <c r="B84" s="392" t="s">
        <v>310</v>
      </c>
      <c r="C84" s="279"/>
    </row>
    <row r="85" spans="1:3" s="90" customFormat="1" ht="12" customHeight="1">
      <c r="A85" s="415" t="s">
        <v>311</v>
      </c>
      <c r="B85" s="392" t="s">
        <v>312</v>
      </c>
      <c r="C85" s="279"/>
    </row>
    <row r="86" spans="1:3" s="89" customFormat="1" ht="12" customHeight="1" thickBot="1">
      <c r="A86" s="416" t="s">
        <v>313</v>
      </c>
      <c r="B86" s="393" t="s">
        <v>314</v>
      </c>
      <c r="C86" s="279"/>
    </row>
    <row r="87" spans="1:3" s="89" customFormat="1" ht="12" customHeight="1" thickBot="1">
      <c r="A87" s="413" t="s">
        <v>315</v>
      </c>
      <c r="B87" s="269" t="s">
        <v>455</v>
      </c>
      <c r="C87" s="436"/>
    </row>
    <row r="88" spans="1:3" s="89" customFormat="1" ht="12" customHeight="1" thickBot="1">
      <c r="A88" s="413" t="s">
        <v>487</v>
      </c>
      <c r="B88" s="269" t="s">
        <v>316</v>
      </c>
      <c r="C88" s="436"/>
    </row>
    <row r="89" spans="1:3" s="89" customFormat="1" ht="12" customHeight="1" thickBot="1">
      <c r="A89" s="413" t="s">
        <v>488</v>
      </c>
      <c r="B89" s="398" t="s">
        <v>458</v>
      </c>
      <c r="C89" s="280">
        <f>+C66+C70+C75+C78+C82+C88+C87</f>
        <v>53457034</v>
      </c>
    </row>
    <row r="90" spans="1:3" s="89" customFormat="1" ht="12" customHeight="1" thickBot="1">
      <c r="A90" s="417" t="s">
        <v>489</v>
      </c>
      <c r="B90" s="399" t="s">
        <v>490</v>
      </c>
      <c r="C90" s="280">
        <f>+C65+C89</f>
        <v>482216280</v>
      </c>
    </row>
    <row r="91" spans="1:3" s="90" customFormat="1" ht="6.75" customHeight="1" thickBot="1">
      <c r="A91" s="213"/>
      <c r="B91" s="214"/>
      <c r="C91" s="339"/>
    </row>
    <row r="92" spans="1:3" s="68" customFormat="1" ht="16.5" customHeight="1" thickBot="1">
      <c r="A92" s="217"/>
      <c r="B92" s="218" t="s">
        <v>55</v>
      </c>
      <c r="C92" s="341"/>
    </row>
    <row r="93" spans="1:3" s="91" customFormat="1" ht="12" customHeight="1" thickBot="1">
      <c r="A93" s="385" t="s">
        <v>16</v>
      </c>
      <c r="B93" s="28" t="s">
        <v>494</v>
      </c>
      <c r="C93" s="273">
        <f>+C94+C95+C96+C97+C98+C111</f>
        <v>146798528</v>
      </c>
    </row>
    <row r="94" spans="1:3" ht="12" customHeight="1">
      <c r="A94" s="418" t="s">
        <v>96</v>
      </c>
      <c r="B94" s="10" t="s">
        <v>47</v>
      </c>
      <c r="C94" s="275">
        <v>57140183</v>
      </c>
    </row>
    <row r="95" spans="1:3" ht="12" customHeight="1">
      <c r="A95" s="411" t="s">
        <v>97</v>
      </c>
      <c r="B95" s="8" t="s">
        <v>167</v>
      </c>
      <c r="C95" s="276">
        <v>9116123</v>
      </c>
    </row>
    <row r="96" spans="1:3" ht="12" customHeight="1">
      <c r="A96" s="411" t="s">
        <v>98</v>
      </c>
      <c r="B96" s="8" t="s">
        <v>131</v>
      </c>
      <c r="C96" s="278">
        <v>61245594</v>
      </c>
    </row>
    <row r="97" spans="1:3" ht="12" customHeight="1">
      <c r="A97" s="411" t="s">
        <v>99</v>
      </c>
      <c r="B97" s="11" t="s">
        <v>168</v>
      </c>
      <c r="C97" s="278">
        <v>1875000</v>
      </c>
    </row>
    <row r="98" spans="1:3" ht="12" customHeight="1">
      <c r="A98" s="411" t="s">
        <v>110</v>
      </c>
      <c r="B98" s="19" t="s">
        <v>169</v>
      </c>
      <c r="C98" s="278">
        <f>C101+C105+C110</f>
        <v>10721912</v>
      </c>
    </row>
    <row r="99" spans="1:3" ht="12" customHeight="1">
      <c r="A99" s="411" t="s">
        <v>100</v>
      </c>
      <c r="B99" s="8" t="s">
        <v>491</v>
      </c>
      <c r="C99" s="278"/>
    </row>
    <row r="100" spans="1:3" ht="12" customHeight="1">
      <c r="A100" s="411" t="s">
        <v>101</v>
      </c>
      <c r="B100" s="133" t="s">
        <v>421</v>
      </c>
      <c r="C100" s="278"/>
    </row>
    <row r="101" spans="1:3" ht="12" customHeight="1">
      <c r="A101" s="411" t="s">
        <v>111</v>
      </c>
      <c r="B101" s="133" t="s">
        <v>420</v>
      </c>
      <c r="C101" s="278"/>
    </row>
    <row r="102" spans="1:3" ht="12" customHeight="1">
      <c r="A102" s="411" t="s">
        <v>112</v>
      </c>
      <c r="B102" s="133" t="s">
        <v>332</v>
      </c>
      <c r="C102" s="278"/>
    </row>
    <row r="103" spans="1:3" ht="12" customHeight="1">
      <c r="A103" s="411" t="s">
        <v>113</v>
      </c>
      <c r="B103" s="134" t="s">
        <v>333</v>
      </c>
      <c r="C103" s="278"/>
    </row>
    <row r="104" spans="1:3" ht="12" customHeight="1">
      <c r="A104" s="411" t="s">
        <v>114</v>
      </c>
      <c r="B104" s="134" t="s">
        <v>334</v>
      </c>
      <c r="C104" s="278"/>
    </row>
    <row r="105" spans="1:3" ht="12" customHeight="1">
      <c r="A105" s="411" t="s">
        <v>116</v>
      </c>
      <c r="B105" s="133" t="s">
        <v>335</v>
      </c>
      <c r="C105" s="278">
        <v>4844612</v>
      </c>
    </row>
    <row r="106" spans="1:3" ht="12" customHeight="1">
      <c r="A106" s="411" t="s">
        <v>170</v>
      </c>
      <c r="B106" s="133" t="s">
        <v>336</v>
      </c>
      <c r="C106" s="278"/>
    </row>
    <row r="107" spans="1:3" ht="12" customHeight="1">
      <c r="A107" s="411" t="s">
        <v>330</v>
      </c>
      <c r="B107" s="134" t="s">
        <v>337</v>
      </c>
      <c r="C107" s="278"/>
    </row>
    <row r="108" spans="1:3" ht="12" customHeight="1">
      <c r="A108" s="419" t="s">
        <v>331</v>
      </c>
      <c r="B108" s="135" t="s">
        <v>338</v>
      </c>
      <c r="C108" s="278"/>
    </row>
    <row r="109" spans="1:3" ht="12" customHeight="1">
      <c r="A109" s="411" t="s">
        <v>418</v>
      </c>
      <c r="B109" s="135" t="s">
        <v>339</v>
      </c>
      <c r="C109" s="278"/>
    </row>
    <row r="110" spans="1:3" ht="12" customHeight="1">
      <c r="A110" s="411" t="s">
        <v>419</v>
      </c>
      <c r="B110" s="134" t="s">
        <v>340</v>
      </c>
      <c r="C110" s="276">
        <v>5877300</v>
      </c>
    </row>
    <row r="111" spans="1:3" ht="12" customHeight="1">
      <c r="A111" s="411" t="s">
        <v>423</v>
      </c>
      <c r="B111" s="11" t="s">
        <v>48</v>
      </c>
      <c r="C111" s="276">
        <f>C112+C113</f>
        <v>6699716</v>
      </c>
    </row>
    <row r="112" spans="1:3" ht="12" customHeight="1">
      <c r="A112" s="412" t="s">
        <v>424</v>
      </c>
      <c r="B112" s="8" t="s">
        <v>492</v>
      </c>
      <c r="C112" s="278">
        <v>1898823</v>
      </c>
    </row>
    <row r="113" spans="1:3" ht="12" customHeight="1" thickBot="1">
      <c r="A113" s="420" t="s">
        <v>425</v>
      </c>
      <c r="B113" s="136" t="s">
        <v>493</v>
      </c>
      <c r="C113" s="282">
        <v>4800893</v>
      </c>
    </row>
    <row r="114" spans="1:3" ht="12" customHeight="1" thickBot="1">
      <c r="A114" s="32" t="s">
        <v>17</v>
      </c>
      <c r="B114" s="27" t="s">
        <v>341</v>
      </c>
      <c r="C114" s="274">
        <f>+C115+C117+C119</f>
        <v>211822730</v>
      </c>
    </row>
    <row r="115" spans="1:3" ht="12" customHeight="1">
      <c r="A115" s="410" t="s">
        <v>102</v>
      </c>
      <c r="B115" s="8" t="s">
        <v>213</v>
      </c>
      <c r="C115" s="277">
        <v>125978862</v>
      </c>
    </row>
    <row r="116" spans="1:3" ht="12" customHeight="1">
      <c r="A116" s="410" t="s">
        <v>103</v>
      </c>
      <c r="B116" s="12" t="s">
        <v>345</v>
      </c>
      <c r="C116" s="277">
        <v>122005862</v>
      </c>
    </row>
    <row r="117" spans="1:3" ht="12" customHeight="1">
      <c r="A117" s="410" t="s">
        <v>104</v>
      </c>
      <c r="B117" s="12" t="s">
        <v>171</v>
      </c>
      <c r="C117" s="276">
        <v>82293868</v>
      </c>
    </row>
    <row r="118" spans="1:3" ht="12" customHeight="1">
      <c r="A118" s="410" t="s">
        <v>105</v>
      </c>
      <c r="B118" s="12" t="s">
        <v>346</v>
      </c>
      <c r="C118" s="241">
        <v>40510079</v>
      </c>
    </row>
    <row r="119" spans="1:3" ht="12" customHeight="1">
      <c r="A119" s="410" t="s">
        <v>106</v>
      </c>
      <c r="B119" s="271" t="s">
        <v>215</v>
      </c>
      <c r="C119" s="241">
        <f>C122+C127</f>
        <v>3550000</v>
      </c>
    </row>
    <row r="120" spans="1:3" ht="12" customHeight="1">
      <c r="A120" s="410" t="s">
        <v>115</v>
      </c>
      <c r="B120" s="270" t="s">
        <v>409</v>
      </c>
      <c r="C120" s="241"/>
    </row>
    <row r="121" spans="1:3" ht="12" customHeight="1">
      <c r="A121" s="410" t="s">
        <v>117</v>
      </c>
      <c r="B121" s="387" t="s">
        <v>351</v>
      </c>
      <c r="C121" s="241"/>
    </row>
    <row r="122" spans="1:3" ht="12" customHeight="1">
      <c r="A122" s="410" t="s">
        <v>172</v>
      </c>
      <c r="B122" s="134" t="s">
        <v>334</v>
      </c>
      <c r="C122" s="241">
        <v>50000</v>
      </c>
    </row>
    <row r="123" spans="1:3" ht="12" customHeight="1">
      <c r="A123" s="410" t="s">
        <v>173</v>
      </c>
      <c r="B123" s="134" t="s">
        <v>350</v>
      </c>
      <c r="C123" s="241"/>
    </row>
    <row r="124" spans="1:3" ht="12" customHeight="1">
      <c r="A124" s="410" t="s">
        <v>174</v>
      </c>
      <c r="B124" s="134" t="s">
        <v>349</v>
      </c>
      <c r="C124" s="241"/>
    </row>
    <row r="125" spans="1:3" ht="12" customHeight="1">
      <c r="A125" s="410" t="s">
        <v>342</v>
      </c>
      <c r="B125" s="134" t="s">
        <v>337</v>
      </c>
      <c r="C125" s="241"/>
    </row>
    <row r="126" spans="1:3" ht="12" customHeight="1">
      <c r="A126" s="410" t="s">
        <v>343</v>
      </c>
      <c r="B126" s="134" t="s">
        <v>348</v>
      </c>
      <c r="C126" s="241"/>
    </row>
    <row r="127" spans="1:3" ht="12" customHeight="1" thickBot="1">
      <c r="A127" s="419" t="s">
        <v>344</v>
      </c>
      <c r="B127" s="134" t="s">
        <v>347</v>
      </c>
      <c r="C127" s="243">
        <v>3500000</v>
      </c>
    </row>
    <row r="128" spans="1:3" ht="12" customHeight="1" thickBot="1">
      <c r="A128" s="32" t="s">
        <v>18</v>
      </c>
      <c r="B128" s="116" t="s">
        <v>428</v>
      </c>
      <c r="C128" s="274">
        <f>+C93+C114</f>
        <v>358621258</v>
      </c>
    </row>
    <row r="129" spans="1:3" ht="12" customHeight="1" thickBot="1">
      <c r="A129" s="32" t="s">
        <v>19</v>
      </c>
      <c r="B129" s="116" t="s">
        <v>429</v>
      </c>
      <c r="C129" s="274">
        <f>+C130+C131+C132</f>
        <v>0</v>
      </c>
    </row>
    <row r="130" spans="1:3" s="91" customFormat="1" ht="12" customHeight="1">
      <c r="A130" s="410" t="s">
        <v>251</v>
      </c>
      <c r="B130" s="9" t="s">
        <v>497</v>
      </c>
      <c r="C130" s="241"/>
    </row>
    <row r="131" spans="1:3" ht="12" customHeight="1">
      <c r="A131" s="410" t="s">
        <v>252</v>
      </c>
      <c r="B131" s="9" t="s">
        <v>437</v>
      </c>
      <c r="C131" s="241"/>
    </row>
    <row r="132" spans="1:3" ht="12" customHeight="1" thickBot="1">
      <c r="A132" s="419" t="s">
        <v>253</v>
      </c>
      <c r="B132" s="7" t="s">
        <v>496</v>
      </c>
      <c r="C132" s="241"/>
    </row>
    <row r="133" spans="1:3" ht="12" customHeight="1" thickBot="1">
      <c r="A133" s="32" t="s">
        <v>20</v>
      </c>
      <c r="B133" s="116" t="s">
        <v>430</v>
      </c>
      <c r="C133" s="274">
        <f>+C134+C135+C136+C137+C138+C139</f>
        <v>0</v>
      </c>
    </row>
    <row r="134" spans="1:3" ht="12" customHeight="1">
      <c r="A134" s="410" t="s">
        <v>89</v>
      </c>
      <c r="B134" s="9" t="s">
        <v>439</v>
      </c>
      <c r="C134" s="241"/>
    </row>
    <row r="135" spans="1:3" ht="12" customHeight="1">
      <c r="A135" s="410" t="s">
        <v>90</v>
      </c>
      <c r="B135" s="9" t="s">
        <v>431</v>
      </c>
      <c r="C135" s="241"/>
    </row>
    <row r="136" spans="1:3" ht="12" customHeight="1">
      <c r="A136" s="410" t="s">
        <v>91</v>
      </c>
      <c r="B136" s="9" t="s">
        <v>432</v>
      </c>
      <c r="C136" s="241"/>
    </row>
    <row r="137" spans="1:3" ht="12" customHeight="1">
      <c r="A137" s="410" t="s">
        <v>159</v>
      </c>
      <c r="B137" s="9" t="s">
        <v>495</v>
      </c>
      <c r="C137" s="241"/>
    </row>
    <row r="138" spans="1:3" ht="12" customHeight="1">
      <c r="A138" s="410" t="s">
        <v>160</v>
      </c>
      <c r="B138" s="9" t="s">
        <v>434</v>
      </c>
      <c r="C138" s="241"/>
    </row>
    <row r="139" spans="1:3" s="91" customFormat="1" ht="12" customHeight="1" thickBot="1">
      <c r="A139" s="419" t="s">
        <v>161</v>
      </c>
      <c r="B139" s="7" t="s">
        <v>435</v>
      </c>
      <c r="C139" s="241"/>
    </row>
    <row r="140" spans="1:11" ht="12" customHeight="1" thickBot="1">
      <c r="A140" s="32" t="s">
        <v>21</v>
      </c>
      <c r="B140" s="116" t="s">
        <v>519</v>
      </c>
      <c r="C140" s="280">
        <f>+C141+C142+C144+C145+C143</f>
        <v>123595022</v>
      </c>
      <c r="K140" s="224"/>
    </row>
    <row r="141" spans="1:3" ht="12.75">
      <c r="A141" s="410" t="s">
        <v>92</v>
      </c>
      <c r="B141" s="9" t="s">
        <v>352</v>
      </c>
      <c r="C141" s="241"/>
    </row>
    <row r="142" spans="1:3" ht="12" customHeight="1">
      <c r="A142" s="410" t="s">
        <v>93</v>
      </c>
      <c r="B142" s="9" t="s">
        <v>353</v>
      </c>
      <c r="C142" s="241">
        <v>5661116</v>
      </c>
    </row>
    <row r="143" spans="1:3" ht="12" customHeight="1">
      <c r="A143" s="410" t="s">
        <v>269</v>
      </c>
      <c r="B143" s="9" t="s">
        <v>518</v>
      </c>
      <c r="C143" s="241">
        <v>117933906</v>
      </c>
    </row>
    <row r="144" spans="1:3" s="91" customFormat="1" ht="12" customHeight="1">
      <c r="A144" s="410" t="s">
        <v>270</v>
      </c>
      <c r="B144" s="9" t="s">
        <v>444</v>
      </c>
      <c r="C144" s="241"/>
    </row>
    <row r="145" spans="1:3" s="91" customFormat="1" ht="12" customHeight="1" thickBot="1">
      <c r="A145" s="419" t="s">
        <v>271</v>
      </c>
      <c r="B145" s="7" t="s">
        <v>371</v>
      </c>
      <c r="C145" s="241"/>
    </row>
    <row r="146" spans="1:3" s="91" customFormat="1" ht="12" customHeight="1" thickBot="1">
      <c r="A146" s="32" t="s">
        <v>22</v>
      </c>
      <c r="B146" s="116" t="s">
        <v>445</v>
      </c>
      <c r="C146" s="283">
        <f>+C147+C148+C149+C150+C151</f>
        <v>0</v>
      </c>
    </row>
    <row r="147" spans="1:3" s="91" customFormat="1" ht="12" customHeight="1">
      <c r="A147" s="410" t="s">
        <v>94</v>
      </c>
      <c r="B147" s="9" t="s">
        <v>440</v>
      </c>
      <c r="C147" s="241"/>
    </row>
    <row r="148" spans="1:3" s="91" customFormat="1" ht="12" customHeight="1">
      <c r="A148" s="410" t="s">
        <v>95</v>
      </c>
      <c r="B148" s="9" t="s">
        <v>447</v>
      </c>
      <c r="C148" s="241"/>
    </row>
    <row r="149" spans="1:3" s="91" customFormat="1" ht="12" customHeight="1">
      <c r="A149" s="410" t="s">
        <v>281</v>
      </c>
      <c r="B149" s="9" t="s">
        <v>442</v>
      </c>
      <c r="C149" s="241"/>
    </row>
    <row r="150" spans="1:3" s="91" customFormat="1" ht="12" customHeight="1">
      <c r="A150" s="410" t="s">
        <v>282</v>
      </c>
      <c r="B150" s="9" t="s">
        <v>498</v>
      </c>
      <c r="C150" s="241"/>
    </row>
    <row r="151" spans="1:3" ht="12.75" customHeight="1" thickBot="1">
      <c r="A151" s="419" t="s">
        <v>446</v>
      </c>
      <c r="B151" s="7" t="s">
        <v>449</v>
      </c>
      <c r="C151" s="243"/>
    </row>
    <row r="152" spans="1:3" ht="12.75" customHeight="1" thickBot="1">
      <c r="A152" s="465" t="s">
        <v>23</v>
      </c>
      <c r="B152" s="116" t="s">
        <v>450</v>
      </c>
      <c r="C152" s="283"/>
    </row>
    <row r="153" spans="1:3" ht="12.75" customHeight="1" thickBot="1">
      <c r="A153" s="465" t="s">
        <v>24</v>
      </c>
      <c r="B153" s="116" t="s">
        <v>451</v>
      </c>
      <c r="C153" s="283"/>
    </row>
    <row r="154" spans="1:3" ht="12" customHeight="1" thickBot="1">
      <c r="A154" s="32" t="s">
        <v>25</v>
      </c>
      <c r="B154" s="116" t="s">
        <v>453</v>
      </c>
      <c r="C154" s="401">
        <f>+C129+C133+C140+C146+C152+C153</f>
        <v>123595022</v>
      </c>
    </row>
    <row r="155" spans="1:3" ht="15" customHeight="1" thickBot="1">
      <c r="A155" s="421" t="s">
        <v>26</v>
      </c>
      <c r="B155" s="357" t="s">
        <v>452</v>
      </c>
      <c r="C155" s="401">
        <f>+C128+C154</f>
        <v>482216280</v>
      </c>
    </row>
    <row r="156" spans="1:3" ht="13.5" thickBot="1">
      <c r="A156" s="365"/>
      <c r="B156" s="366"/>
      <c r="C156" s="586">
        <f>C90-C155</f>
        <v>0</v>
      </c>
    </row>
    <row r="157" spans="1:3" ht="15" customHeight="1" thickBot="1">
      <c r="A157" s="222" t="s">
        <v>499</v>
      </c>
      <c r="B157" s="223"/>
      <c r="C157" s="113">
        <v>12</v>
      </c>
    </row>
    <row r="158" spans="1:3" ht="14.25" customHeight="1" thickBot="1">
      <c r="A158" s="222" t="s">
        <v>189</v>
      </c>
      <c r="B158" s="223"/>
      <c r="C158" s="113">
        <v>10</v>
      </c>
    </row>
    <row r="159" spans="1:3" ht="12.75">
      <c r="A159" s="583"/>
      <c r="B159" s="584"/>
      <c r="C159" s="634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  <row r="179" spans="1:3" ht="12.75">
      <c r="A179" s="583"/>
      <c r="B179" s="584"/>
      <c r="C179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09">
      <selection activeCell="C43" sqref="C43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CONCATENATE("9.1.1. melléklet ",ALAPADATOK!A7," ",ALAPADATOK!B7," ",ALAPADATOK!C7," ",ALAPADATOK!D7," ",ALAPADATOK!E7," ",ALAPADATOK!F7," ",ALAPADATOK!G7," ",ALAPADATOK!H7)</f>
        <v>9.1.1. melléklet a 4 / 2020 ( II.25. ) önkormányzati rendelethez</v>
      </c>
    </row>
    <row r="2" spans="1:3" s="87" customFormat="1" ht="21" customHeight="1">
      <c r="A2" s="566" t="s">
        <v>59</v>
      </c>
      <c r="B2" s="567" t="str">
        <f>CONCATENATE(ALAPADATOK!A3)</f>
        <v>MURAKERESZTÚR KÖZSÉG ÖNKORMÁNYZATA</v>
      </c>
      <c r="C2" s="568" t="s">
        <v>52</v>
      </c>
    </row>
    <row r="3" spans="1:3" s="87" customFormat="1" ht="16.5" thickBot="1">
      <c r="A3" s="569" t="s">
        <v>186</v>
      </c>
      <c r="B3" s="570" t="s">
        <v>410</v>
      </c>
      <c r="C3" s="571" t="s">
        <v>57</v>
      </c>
    </row>
    <row r="4" spans="1:3" s="88" customFormat="1" ht="22.5" customHeight="1" thickBot="1">
      <c r="A4" s="572"/>
      <c r="B4" s="572"/>
      <c r="C4" s="573" t="str">
        <f>'KV_9.1.sz.mell'!C4</f>
        <v>Forintban!</v>
      </c>
    </row>
    <row r="5" spans="1:3" ht="13.5" thickBot="1">
      <c r="A5" s="574" t="s">
        <v>188</v>
      </c>
      <c r="B5" s="575" t="s">
        <v>540</v>
      </c>
      <c r="C5" s="576" t="s">
        <v>53</v>
      </c>
    </row>
    <row r="6" spans="1:3" s="68" customFormat="1" ht="12.75" customHeight="1" thickBot="1">
      <c r="A6" s="577"/>
      <c r="B6" s="578" t="s">
        <v>473</v>
      </c>
      <c r="C6" s="579" t="s">
        <v>474</v>
      </c>
    </row>
    <row r="7" spans="1:3" s="68" customFormat="1" ht="15.75" customHeight="1" thickBot="1">
      <c r="A7" s="207"/>
      <c r="B7" s="208" t="s">
        <v>54</v>
      </c>
      <c r="C7" s="334"/>
    </row>
    <row r="8" spans="1:3" s="68" customFormat="1" ht="12" customHeight="1" thickBot="1">
      <c r="A8" s="32" t="s">
        <v>16</v>
      </c>
      <c r="B8" s="21" t="s">
        <v>235</v>
      </c>
      <c r="C8" s="274">
        <f>+C9+C10+C11+C12+C13+C14</f>
        <v>164910297</v>
      </c>
    </row>
    <row r="9" spans="1:3" s="89" customFormat="1" ht="12" customHeight="1">
      <c r="A9" s="410" t="s">
        <v>96</v>
      </c>
      <c r="B9" s="391" t="s">
        <v>236</v>
      </c>
      <c r="C9" s="277">
        <v>93224874</v>
      </c>
    </row>
    <row r="10" spans="1:3" s="90" customFormat="1" ht="12" customHeight="1">
      <c r="A10" s="411" t="s">
        <v>97</v>
      </c>
      <c r="B10" s="392" t="s">
        <v>237</v>
      </c>
      <c r="C10" s="276">
        <v>28686330</v>
      </c>
    </row>
    <row r="11" spans="1:3" s="90" customFormat="1" ht="12" customHeight="1">
      <c r="A11" s="411" t="s">
        <v>98</v>
      </c>
      <c r="B11" s="392" t="s">
        <v>528</v>
      </c>
      <c r="C11" s="276">
        <v>40859883</v>
      </c>
    </row>
    <row r="12" spans="1:3" s="90" customFormat="1" ht="12" customHeight="1">
      <c r="A12" s="411" t="s">
        <v>99</v>
      </c>
      <c r="B12" s="392" t="s">
        <v>239</v>
      </c>
      <c r="C12" s="276">
        <v>2139210</v>
      </c>
    </row>
    <row r="13" spans="1:3" s="90" customFormat="1" ht="12" customHeight="1">
      <c r="A13" s="411" t="s">
        <v>139</v>
      </c>
      <c r="B13" s="392" t="s">
        <v>486</v>
      </c>
      <c r="C13" s="276"/>
    </row>
    <row r="14" spans="1:3" s="89" customFormat="1" ht="12" customHeight="1" thickBot="1">
      <c r="A14" s="412" t="s">
        <v>100</v>
      </c>
      <c r="B14" s="393" t="s">
        <v>413</v>
      </c>
      <c r="C14" s="276"/>
    </row>
    <row r="15" spans="1:3" s="89" customFormat="1" ht="12" customHeight="1" thickBot="1">
      <c r="A15" s="32" t="s">
        <v>17</v>
      </c>
      <c r="B15" s="269" t="s">
        <v>240</v>
      </c>
      <c r="C15" s="274">
        <f>+C16+C17+C18+C19+C20</f>
        <v>19574453</v>
      </c>
    </row>
    <row r="16" spans="1:3" s="89" customFormat="1" ht="12" customHeight="1">
      <c r="A16" s="410" t="s">
        <v>102</v>
      </c>
      <c r="B16" s="391" t="s">
        <v>241</v>
      </c>
      <c r="C16" s="277"/>
    </row>
    <row r="17" spans="1:3" s="89" customFormat="1" ht="12" customHeight="1">
      <c r="A17" s="411" t="s">
        <v>103</v>
      </c>
      <c r="B17" s="392" t="s">
        <v>242</v>
      </c>
      <c r="C17" s="276"/>
    </row>
    <row r="18" spans="1:3" s="89" customFormat="1" ht="12" customHeight="1">
      <c r="A18" s="411" t="s">
        <v>104</v>
      </c>
      <c r="B18" s="392" t="s">
        <v>403</v>
      </c>
      <c r="C18" s="276"/>
    </row>
    <row r="19" spans="1:3" s="89" customFormat="1" ht="12" customHeight="1">
      <c r="A19" s="411" t="s">
        <v>105</v>
      </c>
      <c r="B19" s="392" t="s">
        <v>404</v>
      </c>
      <c r="C19" s="276"/>
    </row>
    <row r="20" spans="1:3" s="89" customFormat="1" ht="12" customHeight="1">
      <c r="A20" s="411" t="s">
        <v>106</v>
      </c>
      <c r="B20" s="392" t="s">
        <v>243</v>
      </c>
      <c r="C20" s="276">
        <v>19574453</v>
      </c>
    </row>
    <row r="21" spans="1:3" s="90" customFormat="1" ht="12" customHeight="1" thickBot="1">
      <c r="A21" s="412" t="s">
        <v>115</v>
      </c>
      <c r="B21" s="393" t="s">
        <v>244</v>
      </c>
      <c r="C21" s="278"/>
    </row>
    <row r="22" spans="1:3" s="90" customFormat="1" ht="12" customHeight="1" thickBot="1">
      <c r="A22" s="32" t="s">
        <v>18</v>
      </c>
      <c r="B22" s="21" t="s">
        <v>245</v>
      </c>
      <c r="C22" s="274">
        <f>+C23+C24+C25+C26+C27</f>
        <v>179629826</v>
      </c>
    </row>
    <row r="23" spans="1:3" s="90" customFormat="1" ht="12" customHeight="1">
      <c r="A23" s="410" t="s">
        <v>85</v>
      </c>
      <c r="B23" s="391" t="s">
        <v>246</v>
      </c>
      <c r="C23" s="277"/>
    </row>
    <row r="24" spans="1:3" s="89" customFormat="1" ht="12" customHeight="1">
      <c r="A24" s="411" t="s">
        <v>86</v>
      </c>
      <c r="B24" s="392" t="s">
        <v>247</v>
      </c>
      <c r="C24" s="276"/>
    </row>
    <row r="25" spans="1:3" s="90" customFormat="1" ht="12" customHeight="1">
      <c r="A25" s="411" t="s">
        <v>87</v>
      </c>
      <c r="B25" s="392" t="s">
        <v>405</v>
      </c>
      <c r="C25" s="276"/>
    </row>
    <row r="26" spans="1:3" s="90" customFormat="1" ht="12" customHeight="1">
      <c r="A26" s="411" t="s">
        <v>88</v>
      </c>
      <c r="B26" s="392" t="s">
        <v>406</v>
      </c>
      <c r="C26" s="276"/>
    </row>
    <row r="27" spans="1:3" s="90" customFormat="1" ht="12" customHeight="1">
      <c r="A27" s="411" t="s">
        <v>155</v>
      </c>
      <c r="B27" s="392" t="s">
        <v>248</v>
      </c>
      <c r="C27" s="276">
        <v>179629826</v>
      </c>
    </row>
    <row r="28" spans="1:3" s="90" customFormat="1" ht="12" customHeight="1" thickBot="1">
      <c r="A28" s="412" t="s">
        <v>156</v>
      </c>
      <c r="B28" s="393" t="s">
        <v>249</v>
      </c>
      <c r="C28" s="525">
        <v>179629826</v>
      </c>
    </row>
    <row r="29" spans="1:3" s="90" customFormat="1" ht="12" customHeight="1" thickBot="1">
      <c r="A29" s="32" t="s">
        <v>157</v>
      </c>
      <c r="B29" s="21" t="s">
        <v>537</v>
      </c>
      <c r="C29" s="280">
        <f>C30+C31+C32+C33+C34+C35+C36</f>
        <v>31923508</v>
      </c>
    </row>
    <row r="30" spans="1:3" s="90" customFormat="1" ht="12" customHeight="1">
      <c r="A30" s="410" t="s">
        <v>251</v>
      </c>
      <c r="B30" s="391" t="str">
        <f>'KV_1.1.sz.mell.'!B32</f>
        <v>Magánszemélyek kommunális adója</v>
      </c>
      <c r="C30" s="277">
        <v>8300000</v>
      </c>
    </row>
    <row r="31" spans="1:3" s="90" customFormat="1" ht="12" customHeight="1">
      <c r="A31" s="411" t="s">
        <v>252</v>
      </c>
      <c r="B31" s="391" t="str">
        <f>'KV_1.1.sz.mell.'!B33</f>
        <v>Idegenforgalmi adó</v>
      </c>
      <c r="C31" s="276"/>
    </row>
    <row r="32" spans="1:3" s="90" customFormat="1" ht="12" customHeight="1">
      <c r="A32" s="411" t="s">
        <v>253</v>
      </c>
      <c r="B32" s="391" t="str">
        <f>'KV_1.1.sz.mell.'!B34</f>
        <v>Iparűzési adó</v>
      </c>
      <c r="C32" s="276">
        <v>18753508</v>
      </c>
    </row>
    <row r="33" spans="1:3" s="90" customFormat="1" ht="12" customHeight="1">
      <c r="A33" s="411" t="s">
        <v>254</v>
      </c>
      <c r="B33" s="391" t="str">
        <f>'KV_1.1.sz.mell.'!B35</f>
        <v>Talajterhelési díj</v>
      </c>
      <c r="C33" s="276"/>
    </row>
    <row r="34" spans="1:3" s="90" customFormat="1" ht="12" customHeight="1">
      <c r="A34" s="411" t="s">
        <v>530</v>
      </c>
      <c r="B34" s="391" t="str">
        <f>'KV_1.1.sz.mell.'!B36</f>
        <v>Gépjárműadó</v>
      </c>
      <c r="C34" s="276">
        <v>4300000</v>
      </c>
    </row>
    <row r="35" spans="1:3" s="90" customFormat="1" ht="12" customHeight="1">
      <c r="A35" s="411" t="s">
        <v>531</v>
      </c>
      <c r="B35" s="391" t="str">
        <f>'KV_1.1.sz.mell.'!B37</f>
        <v>Telekadó</v>
      </c>
      <c r="C35" s="276"/>
    </row>
    <row r="36" spans="1:3" s="90" customFormat="1" ht="12" customHeight="1" thickBot="1">
      <c r="A36" s="412" t="s">
        <v>532</v>
      </c>
      <c r="B36" s="391" t="s">
        <v>672</v>
      </c>
      <c r="C36" s="278">
        <v>570000</v>
      </c>
    </row>
    <row r="37" spans="1:3" s="90" customFormat="1" ht="12" customHeight="1" thickBot="1">
      <c r="A37" s="32" t="s">
        <v>20</v>
      </c>
      <c r="B37" s="21" t="s">
        <v>414</v>
      </c>
      <c r="C37" s="274">
        <f>SUM(C38:C48)</f>
        <v>23394670</v>
      </c>
    </row>
    <row r="38" spans="1:3" s="90" customFormat="1" ht="12" customHeight="1">
      <c r="A38" s="410" t="s">
        <v>89</v>
      </c>
      <c r="B38" s="391" t="s">
        <v>258</v>
      </c>
      <c r="C38" s="277"/>
    </row>
    <row r="39" spans="1:3" s="90" customFormat="1" ht="12" customHeight="1">
      <c r="A39" s="411" t="s">
        <v>90</v>
      </c>
      <c r="B39" s="392" t="s">
        <v>259</v>
      </c>
      <c r="C39" s="276">
        <v>2560100</v>
      </c>
    </row>
    <row r="40" spans="1:3" s="90" customFormat="1" ht="12" customHeight="1">
      <c r="A40" s="411" t="s">
        <v>91</v>
      </c>
      <c r="B40" s="392" t="s">
        <v>260</v>
      </c>
      <c r="C40" s="276">
        <v>285000</v>
      </c>
    </row>
    <row r="41" spans="1:3" s="90" customFormat="1" ht="12" customHeight="1">
      <c r="A41" s="411" t="s">
        <v>159</v>
      </c>
      <c r="B41" s="392" t="s">
        <v>261</v>
      </c>
      <c r="C41" s="276">
        <v>2615840</v>
      </c>
    </row>
    <row r="42" spans="1:3" s="90" customFormat="1" ht="12" customHeight="1">
      <c r="A42" s="411" t="s">
        <v>160</v>
      </c>
      <c r="B42" s="392" t="s">
        <v>262</v>
      </c>
      <c r="C42" s="276">
        <v>8724960</v>
      </c>
    </row>
    <row r="43" spans="1:3" s="90" customFormat="1" ht="12" customHeight="1">
      <c r="A43" s="411" t="s">
        <v>161</v>
      </c>
      <c r="B43" s="392" t="s">
        <v>263</v>
      </c>
      <c r="C43" s="276">
        <v>3314466</v>
      </c>
    </row>
    <row r="44" spans="1:3" s="90" customFormat="1" ht="12" customHeight="1">
      <c r="A44" s="411" t="s">
        <v>162</v>
      </c>
      <c r="B44" s="392" t="s">
        <v>264</v>
      </c>
      <c r="C44" s="276">
        <v>736830</v>
      </c>
    </row>
    <row r="45" spans="1:3" s="90" customFormat="1" ht="12" customHeight="1">
      <c r="A45" s="411" t="s">
        <v>163</v>
      </c>
      <c r="B45" s="392" t="s">
        <v>536</v>
      </c>
      <c r="C45" s="276"/>
    </row>
    <row r="46" spans="1:3" s="90" customFormat="1" ht="12" customHeight="1">
      <c r="A46" s="411" t="s">
        <v>256</v>
      </c>
      <c r="B46" s="392" t="s">
        <v>266</v>
      </c>
      <c r="C46" s="279"/>
    </row>
    <row r="47" spans="1:3" s="90" customFormat="1" ht="12" customHeight="1">
      <c r="A47" s="412" t="s">
        <v>257</v>
      </c>
      <c r="B47" s="393" t="s">
        <v>416</v>
      </c>
      <c r="C47" s="380"/>
    </row>
    <row r="48" spans="1:3" s="90" customFormat="1" ht="12" customHeight="1" thickBot="1">
      <c r="A48" s="412" t="s">
        <v>415</v>
      </c>
      <c r="B48" s="393" t="s">
        <v>267</v>
      </c>
      <c r="C48" s="527">
        <v>5157474</v>
      </c>
    </row>
    <row r="49" spans="1:3" s="90" customFormat="1" ht="12" customHeight="1" thickBot="1">
      <c r="A49" s="32" t="s">
        <v>21</v>
      </c>
      <c r="B49" s="21" t="s">
        <v>268</v>
      </c>
      <c r="C49" s="274">
        <f>SUM(C50:C54)</f>
        <v>0</v>
      </c>
    </row>
    <row r="50" spans="1:3" s="90" customFormat="1" ht="12" customHeight="1">
      <c r="A50" s="410" t="s">
        <v>92</v>
      </c>
      <c r="B50" s="391" t="s">
        <v>272</v>
      </c>
      <c r="C50" s="435"/>
    </row>
    <row r="51" spans="1:3" s="90" customFormat="1" ht="12" customHeight="1">
      <c r="A51" s="411" t="s">
        <v>93</v>
      </c>
      <c r="B51" s="392" t="s">
        <v>273</v>
      </c>
      <c r="C51" s="279"/>
    </row>
    <row r="52" spans="1:3" s="90" customFormat="1" ht="12" customHeight="1">
      <c r="A52" s="411" t="s">
        <v>269</v>
      </c>
      <c r="B52" s="392" t="s">
        <v>274</v>
      </c>
      <c r="C52" s="279"/>
    </row>
    <row r="53" spans="1:3" s="90" customFormat="1" ht="12" customHeight="1">
      <c r="A53" s="411" t="s">
        <v>270</v>
      </c>
      <c r="B53" s="392" t="s">
        <v>275</v>
      </c>
      <c r="C53" s="279"/>
    </row>
    <row r="54" spans="1:3" s="90" customFormat="1" ht="12" customHeight="1" thickBot="1">
      <c r="A54" s="412" t="s">
        <v>271</v>
      </c>
      <c r="B54" s="393" t="s">
        <v>276</v>
      </c>
      <c r="C54" s="380"/>
    </row>
    <row r="55" spans="1:3" s="90" customFormat="1" ht="12" customHeight="1" thickBot="1">
      <c r="A55" s="32" t="s">
        <v>164</v>
      </c>
      <c r="B55" s="21" t="s">
        <v>277</v>
      </c>
      <c r="C55" s="274">
        <f>SUM(C56:C58)</f>
        <v>980000</v>
      </c>
    </row>
    <row r="56" spans="1:3" s="90" customFormat="1" ht="12" customHeight="1">
      <c r="A56" s="410" t="s">
        <v>94</v>
      </c>
      <c r="B56" s="391" t="s">
        <v>278</v>
      </c>
      <c r="C56" s="277"/>
    </row>
    <row r="57" spans="1:3" s="90" customFormat="1" ht="12" customHeight="1">
      <c r="A57" s="411" t="s">
        <v>95</v>
      </c>
      <c r="B57" s="392" t="s">
        <v>407</v>
      </c>
      <c r="C57" s="276"/>
    </row>
    <row r="58" spans="1:3" s="90" customFormat="1" ht="12" customHeight="1">
      <c r="A58" s="411" t="s">
        <v>281</v>
      </c>
      <c r="B58" s="392" t="s">
        <v>279</v>
      </c>
      <c r="C58" s="276">
        <v>980000</v>
      </c>
    </row>
    <row r="59" spans="1:3" s="90" customFormat="1" ht="12" customHeight="1" thickBot="1">
      <c r="A59" s="412" t="s">
        <v>282</v>
      </c>
      <c r="B59" s="393" t="s">
        <v>280</v>
      </c>
      <c r="C59" s="278"/>
    </row>
    <row r="60" spans="1:3" s="90" customFormat="1" ht="12" customHeight="1" thickBot="1">
      <c r="A60" s="32" t="s">
        <v>23</v>
      </c>
      <c r="B60" s="269" t="s">
        <v>283</v>
      </c>
      <c r="C60" s="274">
        <f>SUM(C61:C63)</f>
        <v>100000</v>
      </c>
    </row>
    <row r="61" spans="1:3" s="90" customFormat="1" ht="12" customHeight="1">
      <c r="A61" s="410" t="s">
        <v>165</v>
      </c>
      <c r="B61" s="391" t="s">
        <v>285</v>
      </c>
      <c r="C61" s="279"/>
    </row>
    <row r="62" spans="1:3" s="90" customFormat="1" ht="12" customHeight="1">
      <c r="A62" s="411" t="s">
        <v>166</v>
      </c>
      <c r="B62" s="392" t="s">
        <v>408</v>
      </c>
      <c r="C62" s="279">
        <v>100000</v>
      </c>
    </row>
    <row r="63" spans="1:3" s="90" customFormat="1" ht="12" customHeight="1">
      <c r="A63" s="411" t="s">
        <v>214</v>
      </c>
      <c r="B63" s="392" t="s">
        <v>286</v>
      </c>
      <c r="C63" s="279"/>
    </row>
    <row r="64" spans="1:3" s="90" customFormat="1" ht="12" customHeight="1" thickBot="1">
      <c r="A64" s="412" t="s">
        <v>284</v>
      </c>
      <c r="B64" s="393" t="s">
        <v>287</v>
      </c>
      <c r="C64" s="279"/>
    </row>
    <row r="65" spans="1:3" s="90" customFormat="1" ht="12" customHeight="1" thickBot="1">
      <c r="A65" s="32" t="s">
        <v>24</v>
      </c>
      <c r="B65" s="21" t="s">
        <v>288</v>
      </c>
      <c r="C65" s="280">
        <f>+C8+C15+C22+C29+C37+C49+C55+C60</f>
        <v>420512754</v>
      </c>
    </row>
    <row r="66" spans="1:3" s="90" customFormat="1" ht="12" customHeight="1" thickBot="1">
      <c r="A66" s="413" t="s">
        <v>375</v>
      </c>
      <c r="B66" s="269" t="s">
        <v>290</v>
      </c>
      <c r="C66" s="274">
        <f>SUM(C67:C69)</f>
        <v>0</v>
      </c>
    </row>
    <row r="67" spans="1:3" s="90" customFormat="1" ht="12" customHeight="1">
      <c r="A67" s="410" t="s">
        <v>318</v>
      </c>
      <c r="B67" s="391" t="s">
        <v>291</v>
      </c>
      <c r="C67" s="279"/>
    </row>
    <row r="68" spans="1:3" s="90" customFormat="1" ht="12" customHeight="1">
      <c r="A68" s="411" t="s">
        <v>327</v>
      </c>
      <c r="B68" s="392" t="s">
        <v>292</v>
      </c>
      <c r="C68" s="279"/>
    </row>
    <row r="69" spans="1:3" s="90" customFormat="1" ht="12" customHeight="1" thickBot="1">
      <c r="A69" s="412" t="s">
        <v>328</v>
      </c>
      <c r="B69" s="394" t="s">
        <v>293</v>
      </c>
      <c r="C69" s="279"/>
    </row>
    <row r="70" spans="1:3" s="90" customFormat="1" ht="12" customHeight="1" thickBot="1">
      <c r="A70" s="413" t="s">
        <v>294</v>
      </c>
      <c r="B70" s="269" t="s">
        <v>295</v>
      </c>
      <c r="C70" s="274">
        <f>SUM(C71:C74)</f>
        <v>0</v>
      </c>
    </row>
    <row r="71" spans="1:3" s="90" customFormat="1" ht="12" customHeight="1">
      <c r="A71" s="410" t="s">
        <v>140</v>
      </c>
      <c r="B71" s="391" t="s">
        <v>296</v>
      </c>
      <c r="C71" s="279"/>
    </row>
    <row r="72" spans="1:3" s="90" customFormat="1" ht="12" customHeight="1">
      <c r="A72" s="411" t="s">
        <v>141</v>
      </c>
      <c r="B72" s="392" t="s">
        <v>547</v>
      </c>
      <c r="C72" s="279"/>
    </row>
    <row r="73" spans="1:3" s="90" customFormat="1" ht="12" customHeight="1">
      <c r="A73" s="411" t="s">
        <v>319</v>
      </c>
      <c r="B73" s="392" t="s">
        <v>297</v>
      </c>
      <c r="C73" s="279"/>
    </row>
    <row r="74" spans="1:3" s="90" customFormat="1" ht="12" customHeight="1">
      <c r="A74" s="411" t="s">
        <v>320</v>
      </c>
      <c r="B74" s="270" t="s">
        <v>548</v>
      </c>
      <c r="C74" s="279"/>
    </row>
    <row r="75" spans="1:3" s="90" customFormat="1" ht="12" customHeight="1" thickBot="1">
      <c r="A75" s="417" t="s">
        <v>298</v>
      </c>
      <c r="B75" s="546" t="s">
        <v>299</v>
      </c>
      <c r="C75" s="460">
        <f>SUM(C76:C77)</f>
        <v>53457034</v>
      </c>
    </row>
    <row r="76" spans="1:3" s="90" customFormat="1" ht="12" customHeight="1">
      <c r="A76" s="410" t="s">
        <v>321</v>
      </c>
      <c r="B76" s="391" t="s">
        <v>300</v>
      </c>
      <c r="C76" s="279">
        <v>53457034</v>
      </c>
    </row>
    <row r="77" spans="1:3" s="90" customFormat="1" ht="12" customHeight="1" thickBot="1">
      <c r="A77" s="412" t="s">
        <v>322</v>
      </c>
      <c r="B77" s="393" t="s">
        <v>301</v>
      </c>
      <c r="C77" s="279"/>
    </row>
    <row r="78" spans="1:3" s="89" customFormat="1" ht="12" customHeight="1" thickBot="1">
      <c r="A78" s="413" t="s">
        <v>302</v>
      </c>
      <c r="B78" s="269" t="s">
        <v>303</v>
      </c>
      <c r="C78" s="274">
        <f>SUM(C79:C81)</f>
        <v>0</v>
      </c>
    </row>
    <row r="79" spans="1:3" s="90" customFormat="1" ht="12" customHeight="1">
      <c r="A79" s="410" t="s">
        <v>323</v>
      </c>
      <c r="B79" s="391" t="s">
        <v>304</v>
      </c>
      <c r="C79" s="279"/>
    </row>
    <row r="80" spans="1:3" s="90" customFormat="1" ht="12" customHeight="1">
      <c r="A80" s="411" t="s">
        <v>324</v>
      </c>
      <c r="B80" s="392" t="s">
        <v>305</v>
      </c>
      <c r="C80" s="279"/>
    </row>
    <row r="81" spans="1:3" s="90" customFormat="1" ht="12" customHeight="1" thickBot="1">
      <c r="A81" s="412" t="s">
        <v>325</v>
      </c>
      <c r="B81" s="393" t="s">
        <v>549</v>
      </c>
      <c r="C81" s="279"/>
    </row>
    <row r="82" spans="1:3" s="90" customFormat="1" ht="12" customHeight="1" thickBot="1">
      <c r="A82" s="413" t="s">
        <v>306</v>
      </c>
      <c r="B82" s="269" t="s">
        <v>326</v>
      </c>
      <c r="C82" s="274">
        <f>SUM(C83:C86)</f>
        <v>0</v>
      </c>
    </row>
    <row r="83" spans="1:3" s="90" customFormat="1" ht="12" customHeight="1">
      <c r="A83" s="414" t="s">
        <v>307</v>
      </c>
      <c r="B83" s="391" t="s">
        <v>308</v>
      </c>
      <c r="C83" s="279"/>
    </row>
    <row r="84" spans="1:3" s="90" customFormat="1" ht="12" customHeight="1">
      <c r="A84" s="415" t="s">
        <v>309</v>
      </c>
      <c r="B84" s="392" t="s">
        <v>310</v>
      </c>
      <c r="C84" s="279"/>
    </row>
    <row r="85" spans="1:3" s="90" customFormat="1" ht="12" customHeight="1">
      <c r="A85" s="415" t="s">
        <v>311</v>
      </c>
      <c r="B85" s="392" t="s">
        <v>312</v>
      </c>
      <c r="C85" s="279"/>
    </row>
    <row r="86" spans="1:3" s="89" customFormat="1" ht="12" customHeight="1" thickBot="1">
      <c r="A86" s="416" t="s">
        <v>313</v>
      </c>
      <c r="B86" s="393" t="s">
        <v>314</v>
      </c>
      <c r="C86" s="279"/>
    </row>
    <row r="87" spans="1:3" s="89" customFormat="1" ht="12" customHeight="1" thickBot="1">
      <c r="A87" s="413" t="s">
        <v>315</v>
      </c>
      <c r="B87" s="269" t="s">
        <v>455</v>
      </c>
      <c r="C87" s="436"/>
    </row>
    <row r="88" spans="1:3" s="89" customFormat="1" ht="12" customHeight="1" thickBot="1">
      <c r="A88" s="413" t="s">
        <v>487</v>
      </c>
      <c r="B88" s="269" t="s">
        <v>316</v>
      </c>
      <c r="C88" s="436"/>
    </row>
    <row r="89" spans="1:3" s="89" customFormat="1" ht="12" customHeight="1" thickBot="1">
      <c r="A89" s="413" t="s">
        <v>488</v>
      </c>
      <c r="B89" s="398" t="s">
        <v>458</v>
      </c>
      <c r="C89" s="280">
        <f>+C66+C70+C75+C78+C82+C88+C87</f>
        <v>53457034</v>
      </c>
    </row>
    <row r="90" spans="1:3" s="89" customFormat="1" ht="12" customHeight="1" thickBot="1">
      <c r="A90" s="417" t="s">
        <v>489</v>
      </c>
      <c r="B90" s="399" t="s">
        <v>490</v>
      </c>
      <c r="C90" s="280">
        <f>+C65+C89</f>
        <v>473969788</v>
      </c>
    </row>
    <row r="91" spans="1:3" s="90" customFormat="1" ht="6.75" customHeight="1" thickBot="1">
      <c r="A91" s="213"/>
      <c r="B91" s="214"/>
      <c r="C91" s="339"/>
    </row>
    <row r="92" spans="1:3" s="68" customFormat="1" ht="16.5" customHeight="1" thickBot="1">
      <c r="A92" s="217"/>
      <c r="B92" s="218" t="s">
        <v>55</v>
      </c>
      <c r="C92" s="341"/>
    </row>
    <row r="93" spans="1:3" s="91" customFormat="1" ht="12" customHeight="1" thickBot="1">
      <c r="A93" s="385" t="s">
        <v>16</v>
      </c>
      <c r="B93" s="28" t="s">
        <v>494</v>
      </c>
      <c r="C93" s="273">
        <f>+C94+C95+C96+C97+C98+C111</f>
        <v>142052036</v>
      </c>
    </row>
    <row r="94" spans="1:3" ht="12" customHeight="1">
      <c r="A94" s="418" t="s">
        <v>96</v>
      </c>
      <c r="B94" s="10" t="s">
        <v>47</v>
      </c>
      <c r="C94" s="275">
        <v>57140183</v>
      </c>
    </row>
    <row r="95" spans="1:3" ht="12" customHeight="1">
      <c r="A95" s="411" t="s">
        <v>97</v>
      </c>
      <c r="B95" s="8" t="s">
        <v>167</v>
      </c>
      <c r="C95" s="276">
        <v>9116123</v>
      </c>
    </row>
    <row r="96" spans="1:3" ht="12" customHeight="1">
      <c r="A96" s="411" t="s">
        <v>98</v>
      </c>
      <c r="B96" s="8" t="s">
        <v>131</v>
      </c>
      <c r="C96" s="278">
        <v>61245594</v>
      </c>
    </row>
    <row r="97" spans="1:3" ht="12" customHeight="1">
      <c r="A97" s="411" t="s">
        <v>99</v>
      </c>
      <c r="B97" s="11" t="s">
        <v>168</v>
      </c>
      <c r="C97" s="278">
        <v>1875000</v>
      </c>
    </row>
    <row r="98" spans="1:3" ht="12" customHeight="1">
      <c r="A98" s="411" t="s">
        <v>110</v>
      </c>
      <c r="B98" s="19" t="s">
        <v>169</v>
      </c>
      <c r="C98" s="278">
        <f>C101+C105+C110</f>
        <v>5975420</v>
      </c>
    </row>
    <row r="99" spans="1:3" ht="12" customHeight="1">
      <c r="A99" s="411" t="s">
        <v>100</v>
      </c>
      <c r="B99" s="8" t="s">
        <v>491</v>
      </c>
      <c r="C99" s="278"/>
    </row>
    <row r="100" spans="1:3" ht="12" customHeight="1">
      <c r="A100" s="411" t="s">
        <v>101</v>
      </c>
      <c r="B100" s="133" t="s">
        <v>421</v>
      </c>
      <c r="C100" s="278"/>
    </row>
    <row r="101" spans="1:3" ht="12" customHeight="1">
      <c r="A101" s="411" t="s">
        <v>111</v>
      </c>
      <c r="B101" s="133" t="s">
        <v>420</v>
      </c>
      <c r="C101" s="278"/>
    </row>
    <row r="102" spans="1:3" ht="12" customHeight="1">
      <c r="A102" s="411" t="s">
        <v>112</v>
      </c>
      <c r="B102" s="133" t="s">
        <v>332</v>
      </c>
      <c r="C102" s="278"/>
    </row>
    <row r="103" spans="1:3" ht="12" customHeight="1">
      <c r="A103" s="411" t="s">
        <v>113</v>
      </c>
      <c r="B103" s="134" t="s">
        <v>333</v>
      </c>
      <c r="C103" s="278"/>
    </row>
    <row r="104" spans="1:3" ht="12" customHeight="1">
      <c r="A104" s="411" t="s">
        <v>114</v>
      </c>
      <c r="B104" s="134" t="s">
        <v>334</v>
      </c>
      <c r="C104" s="278"/>
    </row>
    <row r="105" spans="1:3" ht="12" customHeight="1">
      <c r="A105" s="411" t="s">
        <v>116</v>
      </c>
      <c r="B105" s="133" t="s">
        <v>335</v>
      </c>
      <c r="C105" s="278">
        <v>2498120</v>
      </c>
    </row>
    <row r="106" spans="1:3" ht="12" customHeight="1">
      <c r="A106" s="411" t="s">
        <v>170</v>
      </c>
      <c r="B106" s="133" t="s">
        <v>336</v>
      </c>
      <c r="C106" s="278"/>
    </row>
    <row r="107" spans="1:3" ht="12" customHeight="1">
      <c r="A107" s="411" t="s">
        <v>330</v>
      </c>
      <c r="B107" s="134" t="s">
        <v>337</v>
      </c>
      <c r="C107" s="278"/>
    </row>
    <row r="108" spans="1:3" ht="12" customHeight="1">
      <c r="A108" s="419" t="s">
        <v>331</v>
      </c>
      <c r="B108" s="135" t="s">
        <v>338</v>
      </c>
      <c r="C108" s="278"/>
    </row>
    <row r="109" spans="1:3" ht="12" customHeight="1">
      <c r="A109" s="411" t="s">
        <v>418</v>
      </c>
      <c r="B109" s="135" t="s">
        <v>339</v>
      </c>
      <c r="C109" s="278"/>
    </row>
    <row r="110" spans="1:3" ht="12" customHeight="1">
      <c r="A110" s="411" t="s">
        <v>419</v>
      </c>
      <c r="B110" s="134" t="s">
        <v>340</v>
      </c>
      <c r="C110" s="276">
        <v>3477300</v>
      </c>
    </row>
    <row r="111" spans="1:3" ht="12" customHeight="1">
      <c r="A111" s="411" t="s">
        <v>423</v>
      </c>
      <c r="B111" s="11" t="s">
        <v>48</v>
      </c>
      <c r="C111" s="276">
        <f>C112+C113</f>
        <v>6699716</v>
      </c>
    </row>
    <row r="112" spans="1:3" ht="12" customHeight="1">
      <c r="A112" s="412" t="s">
        <v>424</v>
      </c>
      <c r="B112" s="8" t="s">
        <v>492</v>
      </c>
      <c r="C112" s="278">
        <v>1898823</v>
      </c>
    </row>
    <row r="113" spans="1:3" ht="12" customHeight="1" thickBot="1">
      <c r="A113" s="420" t="s">
        <v>425</v>
      </c>
      <c r="B113" s="136" t="s">
        <v>493</v>
      </c>
      <c r="C113" s="282">
        <v>4800893</v>
      </c>
    </row>
    <row r="114" spans="1:3" ht="12" customHeight="1" thickBot="1">
      <c r="A114" s="32" t="s">
        <v>17</v>
      </c>
      <c r="B114" s="27" t="s">
        <v>341</v>
      </c>
      <c r="C114" s="274">
        <f>+C115+C117+C119</f>
        <v>208322730</v>
      </c>
    </row>
    <row r="115" spans="1:3" ht="12" customHeight="1">
      <c r="A115" s="410" t="s">
        <v>102</v>
      </c>
      <c r="B115" s="8" t="s">
        <v>213</v>
      </c>
      <c r="C115" s="277">
        <v>125978862</v>
      </c>
    </row>
    <row r="116" spans="1:3" ht="12" customHeight="1">
      <c r="A116" s="410" t="s">
        <v>103</v>
      </c>
      <c r="B116" s="12" t="s">
        <v>345</v>
      </c>
      <c r="C116" s="277">
        <v>122005862</v>
      </c>
    </row>
    <row r="117" spans="1:3" ht="12" customHeight="1">
      <c r="A117" s="410" t="s">
        <v>104</v>
      </c>
      <c r="B117" s="12" t="s">
        <v>171</v>
      </c>
      <c r="C117" s="276">
        <v>82293868</v>
      </c>
    </row>
    <row r="118" spans="1:3" ht="12" customHeight="1">
      <c r="A118" s="410" t="s">
        <v>105</v>
      </c>
      <c r="B118" s="12" t="s">
        <v>346</v>
      </c>
      <c r="C118" s="241">
        <v>40510079</v>
      </c>
    </row>
    <row r="119" spans="1:3" ht="12" customHeight="1">
      <c r="A119" s="410" t="s">
        <v>106</v>
      </c>
      <c r="B119" s="271" t="s">
        <v>215</v>
      </c>
      <c r="C119" s="241">
        <f>C122+C127</f>
        <v>50000</v>
      </c>
    </row>
    <row r="120" spans="1:3" ht="12" customHeight="1">
      <c r="A120" s="410" t="s">
        <v>115</v>
      </c>
      <c r="B120" s="270" t="s">
        <v>409</v>
      </c>
      <c r="C120" s="241"/>
    </row>
    <row r="121" spans="1:3" ht="12" customHeight="1">
      <c r="A121" s="410" t="s">
        <v>117</v>
      </c>
      <c r="B121" s="387" t="s">
        <v>351</v>
      </c>
      <c r="C121" s="241"/>
    </row>
    <row r="122" spans="1:3" ht="12" customHeight="1">
      <c r="A122" s="410" t="s">
        <v>172</v>
      </c>
      <c r="B122" s="134" t="s">
        <v>334</v>
      </c>
      <c r="C122" s="241">
        <v>50000</v>
      </c>
    </row>
    <row r="123" spans="1:3" ht="12" customHeight="1">
      <c r="A123" s="410" t="s">
        <v>173</v>
      </c>
      <c r="B123" s="134" t="s">
        <v>350</v>
      </c>
      <c r="C123" s="241"/>
    </row>
    <row r="124" spans="1:3" ht="12" customHeight="1">
      <c r="A124" s="410" t="s">
        <v>174</v>
      </c>
      <c r="B124" s="134" t="s">
        <v>349</v>
      </c>
      <c r="C124" s="241"/>
    </row>
    <row r="125" spans="1:3" ht="12" customHeight="1">
      <c r="A125" s="410" t="s">
        <v>342</v>
      </c>
      <c r="B125" s="134" t="s">
        <v>337</v>
      </c>
      <c r="C125" s="241"/>
    </row>
    <row r="126" spans="1:3" ht="12" customHeight="1">
      <c r="A126" s="410" t="s">
        <v>343</v>
      </c>
      <c r="B126" s="134" t="s">
        <v>348</v>
      </c>
      <c r="C126" s="241"/>
    </row>
    <row r="127" spans="1:3" ht="12" customHeight="1" thickBot="1">
      <c r="A127" s="419" t="s">
        <v>344</v>
      </c>
      <c r="B127" s="134" t="s">
        <v>347</v>
      </c>
      <c r="C127" s="243"/>
    </row>
    <row r="128" spans="1:3" ht="12" customHeight="1" thickBot="1">
      <c r="A128" s="32" t="s">
        <v>18</v>
      </c>
      <c r="B128" s="116" t="s">
        <v>428</v>
      </c>
      <c r="C128" s="274">
        <f>+C93+C114</f>
        <v>350374766</v>
      </c>
    </row>
    <row r="129" spans="1:3" ht="12" customHeight="1" thickBot="1">
      <c r="A129" s="32" t="s">
        <v>19</v>
      </c>
      <c r="B129" s="116" t="s">
        <v>429</v>
      </c>
      <c r="C129" s="274">
        <f>+C130+C131+C132</f>
        <v>0</v>
      </c>
    </row>
    <row r="130" spans="1:3" s="91" customFormat="1" ht="12" customHeight="1">
      <c r="A130" s="410" t="s">
        <v>251</v>
      </c>
      <c r="B130" s="9" t="s">
        <v>497</v>
      </c>
      <c r="C130" s="241"/>
    </row>
    <row r="131" spans="1:3" ht="12" customHeight="1">
      <c r="A131" s="410" t="s">
        <v>252</v>
      </c>
      <c r="B131" s="9" t="s">
        <v>437</v>
      </c>
      <c r="C131" s="241"/>
    </row>
    <row r="132" spans="1:3" ht="12" customHeight="1" thickBot="1">
      <c r="A132" s="419" t="s">
        <v>253</v>
      </c>
      <c r="B132" s="7" t="s">
        <v>496</v>
      </c>
      <c r="C132" s="241"/>
    </row>
    <row r="133" spans="1:3" ht="12" customHeight="1" thickBot="1">
      <c r="A133" s="32" t="s">
        <v>20</v>
      </c>
      <c r="B133" s="116" t="s">
        <v>430</v>
      </c>
      <c r="C133" s="274">
        <f>+C134+C135+C136+C137+C138+C139</f>
        <v>0</v>
      </c>
    </row>
    <row r="134" spans="1:3" ht="12" customHeight="1">
      <c r="A134" s="410" t="s">
        <v>89</v>
      </c>
      <c r="B134" s="9" t="s">
        <v>439</v>
      </c>
      <c r="C134" s="241"/>
    </row>
    <row r="135" spans="1:3" ht="12" customHeight="1">
      <c r="A135" s="410" t="s">
        <v>90</v>
      </c>
      <c r="B135" s="9" t="s">
        <v>431</v>
      </c>
      <c r="C135" s="241"/>
    </row>
    <row r="136" spans="1:3" ht="12" customHeight="1">
      <c r="A136" s="410" t="s">
        <v>91</v>
      </c>
      <c r="B136" s="9" t="s">
        <v>432</v>
      </c>
      <c r="C136" s="241"/>
    </row>
    <row r="137" spans="1:3" ht="12" customHeight="1">
      <c r="A137" s="410" t="s">
        <v>159</v>
      </c>
      <c r="B137" s="9" t="s">
        <v>495</v>
      </c>
      <c r="C137" s="241"/>
    </row>
    <row r="138" spans="1:3" ht="12" customHeight="1">
      <c r="A138" s="410" t="s">
        <v>160</v>
      </c>
      <c r="B138" s="9" t="s">
        <v>434</v>
      </c>
      <c r="C138" s="241"/>
    </row>
    <row r="139" spans="1:3" s="91" customFormat="1" ht="12" customHeight="1" thickBot="1">
      <c r="A139" s="419" t="s">
        <v>161</v>
      </c>
      <c r="B139" s="7" t="s">
        <v>435</v>
      </c>
      <c r="C139" s="241"/>
    </row>
    <row r="140" spans="1:11" ht="12" customHeight="1" thickBot="1">
      <c r="A140" s="32" t="s">
        <v>21</v>
      </c>
      <c r="B140" s="116" t="s">
        <v>519</v>
      </c>
      <c r="C140" s="280">
        <f>+C141+C142+C144+C145+C143</f>
        <v>123595022</v>
      </c>
      <c r="K140" s="224"/>
    </row>
    <row r="141" spans="1:3" ht="12.75">
      <c r="A141" s="410" t="s">
        <v>92</v>
      </c>
      <c r="B141" s="9" t="s">
        <v>352</v>
      </c>
      <c r="C141" s="241"/>
    </row>
    <row r="142" spans="1:3" ht="12" customHeight="1">
      <c r="A142" s="410" t="s">
        <v>93</v>
      </c>
      <c r="B142" s="9" t="s">
        <v>353</v>
      </c>
      <c r="C142" s="241">
        <v>5661116</v>
      </c>
    </row>
    <row r="143" spans="1:3" s="91" customFormat="1" ht="12" customHeight="1">
      <c r="A143" s="410" t="s">
        <v>269</v>
      </c>
      <c r="B143" s="9" t="s">
        <v>518</v>
      </c>
      <c r="C143" s="241">
        <v>117933906</v>
      </c>
    </row>
    <row r="144" spans="1:3" s="91" customFormat="1" ht="12" customHeight="1">
      <c r="A144" s="410" t="s">
        <v>270</v>
      </c>
      <c r="B144" s="9" t="s">
        <v>444</v>
      </c>
      <c r="C144" s="241"/>
    </row>
    <row r="145" spans="1:3" s="91" customFormat="1" ht="12" customHeight="1" thickBot="1">
      <c r="A145" s="419" t="s">
        <v>271</v>
      </c>
      <c r="B145" s="7" t="s">
        <v>371</v>
      </c>
      <c r="C145" s="241"/>
    </row>
    <row r="146" spans="1:3" s="91" customFormat="1" ht="12" customHeight="1" thickBot="1">
      <c r="A146" s="32" t="s">
        <v>22</v>
      </c>
      <c r="B146" s="116" t="s">
        <v>445</v>
      </c>
      <c r="C146" s="283">
        <f>+C147+C148+C149+C150+C151</f>
        <v>0</v>
      </c>
    </row>
    <row r="147" spans="1:3" s="91" customFormat="1" ht="12" customHeight="1">
      <c r="A147" s="410" t="s">
        <v>94</v>
      </c>
      <c r="B147" s="9" t="s">
        <v>440</v>
      </c>
      <c r="C147" s="241"/>
    </row>
    <row r="148" spans="1:3" s="91" customFormat="1" ht="12" customHeight="1">
      <c r="A148" s="410" t="s">
        <v>95</v>
      </c>
      <c r="B148" s="9" t="s">
        <v>447</v>
      </c>
      <c r="C148" s="241"/>
    </row>
    <row r="149" spans="1:3" s="91" customFormat="1" ht="12" customHeight="1">
      <c r="A149" s="410" t="s">
        <v>281</v>
      </c>
      <c r="B149" s="9" t="s">
        <v>442</v>
      </c>
      <c r="C149" s="241"/>
    </row>
    <row r="150" spans="1:3" ht="12.75" customHeight="1">
      <c r="A150" s="410" t="s">
        <v>282</v>
      </c>
      <c r="B150" s="9" t="s">
        <v>498</v>
      </c>
      <c r="C150" s="241"/>
    </row>
    <row r="151" spans="1:3" ht="12.75" customHeight="1" thickBot="1">
      <c r="A151" s="419" t="s">
        <v>446</v>
      </c>
      <c r="B151" s="7" t="s">
        <v>449</v>
      </c>
      <c r="C151" s="243"/>
    </row>
    <row r="152" spans="1:3" ht="12.75" customHeight="1" thickBot="1">
      <c r="A152" s="465" t="s">
        <v>23</v>
      </c>
      <c r="B152" s="116" t="s">
        <v>450</v>
      </c>
      <c r="C152" s="283"/>
    </row>
    <row r="153" spans="1:3" ht="12" customHeight="1" thickBot="1">
      <c r="A153" s="465" t="s">
        <v>24</v>
      </c>
      <c r="B153" s="116" t="s">
        <v>451</v>
      </c>
      <c r="C153" s="283"/>
    </row>
    <row r="154" spans="1:3" ht="15" customHeight="1" thickBot="1">
      <c r="A154" s="32" t="s">
        <v>25</v>
      </c>
      <c r="B154" s="116" t="s">
        <v>453</v>
      </c>
      <c r="C154" s="401">
        <f>+C129+C133+C140+C146+C152+C153</f>
        <v>123595022</v>
      </c>
    </row>
    <row r="155" spans="1:3" ht="13.5" thickBot="1">
      <c r="A155" s="421" t="s">
        <v>26</v>
      </c>
      <c r="B155" s="357" t="s">
        <v>452</v>
      </c>
      <c r="C155" s="401">
        <f>+C128+C154</f>
        <v>473969788</v>
      </c>
    </row>
    <row r="156" spans="1:3" ht="9" customHeight="1" thickBot="1">
      <c r="A156" s="365"/>
      <c r="B156" s="366"/>
      <c r="C156" s="586">
        <f>C90-C155</f>
        <v>0</v>
      </c>
    </row>
    <row r="157" spans="1:3" ht="14.25" customHeight="1" thickBot="1">
      <c r="A157" s="222" t="s">
        <v>499</v>
      </c>
      <c r="B157" s="223"/>
      <c r="C157" s="113">
        <v>12</v>
      </c>
    </row>
    <row r="158" spans="1:3" ht="13.5" thickBot="1">
      <c r="A158" s="222" t="s">
        <v>189</v>
      </c>
      <c r="B158" s="223"/>
      <c r="C158" s="113">
        <v>10</v>
      </c>
    </row>
    <row r="159" spans="1:3" ht="12.75">
      <c r="A159" s="583"/>
      <c r="B159" s="584"/>
      <c r="C159" s="585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30">
      <selection activeCell="C151" sqref="C151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CONCATENATE("9.1.2. melléklet ",ALAPADATOK!A7," ",ALAPADATOK!B7," ",ALAPADATOK!C7," ",ALAPADATOK!D7," ",ALAPADATOK!E7," ",ALAPADATOK!F7," ",ALAPADATOK!G7," ",ALAPADATOK!H7)</f>
        <v>9.1.2. melléklet a 4 / 2020 ( II.25. ) önkormányzati rendelethez</v>
      </c>
    </row>
    <row r="2" spans="1:3" s="87" customFormat="1" ht="21" customHeight="1">
      <c r="A2" s="566" t="s">
        <v>59</v>
      </c>
      <c r="B2" s="567" t="str">
        <f>CONCATENATE(ALAPADATOK!A3)</f>
        <v>MURAKERESZTÚR KÖZSÉG ÖNKORMÁNYZATA</v>
      </c>
      <c r="C2" s="568" t="s">
        <v>52</v>
      </c>
    </row>
    <row r="3" spans="1:3" s="87" customFormat="1" ht="16.5" thickBot="1">
      <c r="A3" s="569" t="s">
        <v>186</v>
      </c>
      <c r="B3" s="570" t="s">
        <v>411</v>
      </c>
      <c r="C3" s="571" t="s">
        <v>58</v>
      </c>
    </row>
    <row r="4" spans="1:3" s="88" customFormat="1" ht="22.5" customHeight="1" thickBot="1">
      <c r="A4" s="572"/>
      <c r="B4" s="572"/>
      <c r="C4" s="573" t="str">
        <f>'KV_9.1.1.sz.mell'!C4</f>
        <v>Forintban!</v>
      </c>
    </row>
    <row r="5" spans="1:3" ht="13.5" thickBot="1">
      <c r="A5" s="574" t="s">
        <v>188</v>
      </c>
      <c r="B5" s="575" t="s">
        <v>540</v>
      </c>
      <c r="C5" s="576" t="s">
        <v>53</v>
      </c>
    </row>
    <row r="6" spans="1:3" s="68" customFormat="1" ht="12.75" customHeight="1" thickBot="1">
      <c r="A6" s="577"/>
      <c r="B6" s="578" t="s">
        <v>473</v>
      </c>
      <c r="C6" s="579" t="s">
        <v>474</v>
      </c>
    </row>
    <row r="7" spans="1:3" s="68" customFormat="1" ht="15.75" customHeight="1" thickBot="1">
      <c r="A7" s="207"/>
      <c r="B7" s="208" t="s">
        <v>54</v>
      </c>
      <c r="C7" s="334"/>
    </row>
    <row r="8" spans="1:3" s="68" customFormat="1" ht="12" customHeight="1" thickBot="1">
      <c r="A8" s="32" t="s">
        <v>16</v>
      </c>
      <c r="B8" s="21" t="s">
        <v>235</v>
      </c>
      <c r="C8" s="274">
        <f>+C9+C10+C11+C12+C13+C14</f>
        <v>0</v>
      </c>
    </row>
    <row r="9" spans="1:3" s="89" customFormat="1" ht="12" customHeight="1">
      <c r="A9" s="410" t="s">
        <v>96</v>
      </c>
      <c r="B9" s="391" t="s">
        <v>236</v>
      </c>
      <c r="C9" s="277"/>
    </row>
    <row r="10" spans="1:3" s="90" customFormat="1" ht="12" customHeight="1">
      <c r="A10" s="411" t="s">
        <v>97</v>
      </c>
      <c r="B10" s="392" t="s">
        <v>237</v>
      </c>
      <c r="C10" s="276"/>
    </row>
    <row r="11" spans="1:3" s="90" customFormat="1" ht="12" customHeight="1">
      <c r="A11" s="411" t="s">
        <v>98</v>
      </c>
      <c r="B11" s="392" t="s">
        <v>528</v>
      </c>
      <c r="C11" s="276"/>
    </row>
    <row r="12" spans="1:3" s="90" customFormat="1" ht="12" customHeight="1">
      <c r="A12" s="411" t="s">
        <v>99</v>
      </c>
      <c r="B12" s="392" t="s">
        <v>239</v>
      </c>
      <c r="C12" s="276"/>
    </row>
    <row r="13" spans="1:3" s="90" customFormat="1" ht="12" customHeight="1">
      <c r="A13" s="411" t="s">
        <v>139</v>
      </c>
      <c r="B13" s="392" t="s">
        <v>486</v>
      </c>
      <c r="C13" s="276"/>
    </row>
    <row r="14" spans="1:3" s="89" customFormat="1" ht="12" customHeight="1" thickBot="1">
      <c r="A14" s="412" t="s">
        <v>100</v>
      </c>
      <c r="B14" s="393" t="s">
        <v>413</v>
      </c>
      <c r="C14" s="276"/>
    </row>
    <row r="15" spans="1:3" s="89" customFormat="1" ht="12" customHeight="1" thickBot="1">
      <c r="A15" s="32" t="s">
        <v>17</v>
      </c>
      <c r="B15" s="269" t="s">
        <v>240</v>
      </c>
      <c r="C15" s="274">
        <f>+C16+C17+C18+C19+C20</f>
        <v>0</v>
      </c>
    </row>
    <row r="16" spans="1:3" s="89" customFormat="1" ht="12" customHeight="1">
      <c r="A16" s="410" t="s">
        <v>102</v>
      </c>
      <c r="B16" s="391" t="s">
        <v>241</v>
      </c>
      <c r="C16" s="277"/>
    </row>
    <row r="17" spans="1:3" s="89" customFormat="1" ht="12" customHeight="1">
      <c r="A17" s="411" t="s">
        <v>103</v>
      </c>
      <c r="B17" s="392" t="s">
        <v>242</v>
      </c>
      <c r="C17" s="276"/>
    </row>
    <row r="18" spans="1:3" s="89" customFormat="1" ht="12" customHeight="1">
      <c r="A18" s="411" t="s">
        <v>104</v>
      </c>
      <c r="B18" s="392" t="s">
        <v>403</v>
      </c>
      <c r="C18" s="276"/>
    </row>
    <row r="19" spans="1:3" s="89" customFormat="1" ht="12" customHeight="1">
      <c r="A19" s="411" t="s">
        <v>105</v>
      </c>
      <c r="B19" s="392" t="s">
        <v>404</v>
      </c>
      <c r="C19" s="276"/>
    </row>
    <row r="20" spans="1:3" s="89" customFormat="1" ht="12" customHeight="1">
      <c r="A20" s="411" t="s">
        <v>106</v>
      </c>
      <c r="B20" s="392" t="s">
        <v>243</v>
      </c>
      <c r="C20" s="276"/>
    </row>
    <row r="21" spans="1:3" s="90" customFormat="1" ht="12" customHeight="1" thickBot="1">
      <c r="A21" s="412" t="s">
        <v>115</v>
      </c>
      <c r="B21" s="393" t="s">
        <v>244</v>
      </c>
      <c r="C21" s="278"/>
    </row>
    <row r="22" spans="1:3" s="90" customFormat="1" ht="12" customHeight="1" thickBot="1">
      <c r="A22" s="32" t="s">
        <v>18</v>
      </c>
      <c r="B22" s="21" t="s">
        <v>245</v>
      </c>
      <c r="C22" s="274">
        <f>+C23+C24+C25+C26+C27</f>
        <v>0</v>
      </c>
    </row>
    <row r="23" spans="1:3" s="90" customFormat="1" ht="12" customHeight="1">
      <c r="A23" s="410" t="s">
        <v>85</v>
      </c>
      <c r="B23" s="391" t="s">
        <v>246</v>
      </c>
      <c r="C23" s="277"/>
    </row>
    <row r="24" spans="1:3" s="89" customFormat="1" ht="12" customHeight="1">
      <c r="A24" s="411" t="s">
        <v>86</v>
      </c>
      <c r="B24" s="392" t="s">
        <v>247</v>
      </c>
      <c r="C24" s="276"/>
    </row>
    <row r="25" spans="1:3" s="90" customFormat="1" ht="12" customHeight="1">
      <c r="A25" s="411" t="s">
        <v>87</v>
      </c>
      <c r="B25" s="392" t="s">
        <v>405</v>
      </c>
      <c r="C25" s="276"/>
    </row>
    <row r="26" spans="1:3" s="90" customFormat="1" ht="12" customHeight="1">
      <c r="A26" s="411" t="s">
        <v>88</v>
      </c>
      <c r="B26" s="392" t="s">
        <v>406</v>
      </c>
      <c r="C26" s="276"/>
    </row>
    <row r="27" spans="1:3" s="90" customFormat="1" ht="12" customHeight="1">
      <c r="A27" s="411" t="s">
        <v>155</v>
      </c>
      <c r="B27" s="392" t="s">
        <v>248</v>
      </c>
      <c r="C27" s="276"/>
    </row>
    <row r="28" spans="1:3" s="90" customFormat="1" ht="12" customHeight="1" thickBot="1">
      <c r="A28" s="412" t="s">
        <v>156</v>
      </c>
      <c r="B28" s="393" t="s">
        <v>249</v>
      </c>
      <c r="C28" s="278"/>
    </row>
    <row r="29" spans="1:3" s="90" customFormat="1" ht="12" customHeight="1" thickBot="1">
      <c r="A29" s="32" t="s">
        <v>157</v>
      </c>
      <c r="B29" s="21" t="s">
        <v>250</v>
      </c>
      <c r="C29" s="280">
        <f>SUM(C30:C36)</f>
        <v>8246492</v>
      </c>
    </row>
    <row r="30" spans="1:3" s="90" customFormat="1" ht="12" customHeight="1">
      <c r="A30" s="410" t="s">
        <v>251</v>
      </c>
      <c r="B30" s="391" t="s">
        <v>671</v>
      </c>
      <c r="C30" s="277"/>
    </row>
    <row r="31" spans="1:3" s="90" customFormat="1" ht="12" customHeight="1">
      <c r="A31" s="411" t="s">
        <v>252</v>
      </c>
      <c r="B31" s="391" t="str">
        <f>'KV_1.1.sz.mell.'!B33</f>
        <v>Idegenforgalmi adó</v>
      </c>
      <c r="C31" s="276"/>
    </row>
    <row r="32" spans="1:3" s="90" customFormat="1" ht="12" customHeight="1">
      <c r="A32" s="411" t="s">
        <v>253</v>
      </c>
      <c r="B32" s="391" t="str">
        <f>'KV_1.1.sz.mell.'!B34</f>
        <v>Iparűzési adó</v>
      </c>
      <c r="C32" s="276">
        <v>8246492</v>
      </c>
    </row>
    <row r="33" spans="1:3" s="90" customFormat="1" ht="12" customHeight="1">
      <c r="A33" s="411" t="s">
        <v>254</v>
      </c>
      <c r="B33" s="391" t="str">
        <f>'KV_1.1.sz.mell.'!B35</f>
        <v>Talajterhelési díj</v>
      </c>
      <c r="C33" s="276"/>
    </row>
    <row r="34" spans="1:3" s="90" customFormat="1" ht="12" customHeight="1">
      <c r="A34" s="411" t="s">
        <v>530</v>
      </c>
      <c r="B34" s="391" t="str">
        <f>'KV_1.1.sz.mell.'!B36</f>
        <v>Gépjárműadó</v>
      </c>
      <c r="C34" s="276"/>
    </row>
    <row r="35" spans="1:3" s="90" customFormat="1" ht="12" customHeight="1">
      <c r="A35" s="411" t="s">
        <v>531</v>
      </c>
      <c r="B35" s="391" t="str">
        <f>'KV_1.1.sz.mell.'!B37</f>
        <v>Telekadó</v>
      </c>
      <c r="C35" s="276"/>
    </row>
    <row r="36" spans="1:3" s="90" customFormat="1" ht="12" customHeight="1" thickBot="1">
      <c r="A36" s="412" t="s">
        <v>532</v>
      </c>
      <c r="B36" s="391" t="str">
        <f>'KV_1.1.sz.mell.'!B38</f>
        <v>Kommunális adó</v>
      </c>
      <c r="C36" s="278"/>
    </row>
    <row r="37" spans="1:3" s="90" customFormat="1" ht="12" customHeight="1" thickBot="1">
      <c r="A37" s="32" t="s">
        <v>20</v>
      </c>
      <c r="B37" s="21" t="s">
        <v>414</v>
      </c>
      <c r="C37" s="274">
        <f>SUM(C38:C48)</f>
        <v>0</v>
      </c>
    </row>
    <row r="38" spans="1:3" s="90" customFormat="1" ht="12" customHeight="1">
      <c r="A38" s="410" t="s">
        <v>89</v>
      </c>
      <c r="B38" s="391" t="s">
        <v>258</v>
      </c>
      <c r="C38" s="277"/>
    </row>
    <row r="39" spans="1:3" s="90" customFormat="1" ht="12" customHeight="1">
      <c r="A39" s="411" t="s">
        <v>90</v>
      </c>
      <c r="B39" s="392" t="s">
        <v>259</v>
      </c>
      <c r="C39" s="276"/>
    </row>
    <row r="40" spans="1:3" s="90" customFormat="1" ht="12" customHeight="1">
      <c r="A40" s="411" t="s">
        <v>91</v>
      </c>
      <c r="B40" s="392" t="s">
        <v>260</v>
      </c>
      <c r="C40" s="276"/>
    </row>
    <row r="41" spans="1:3" s="90" customFormat="1" ht="12" customHeight="1">
      <c r="A41" s="411" t="s">
        <v>159</v>
      </c>
      <c r="B41" s="392" t="s">
        <v>261</v>
      </c>
      <c r="C41" s="276"/>
    </row>
    <row r="42" spans="1:3" s="90" customFormat="1" ht="12" customHeight="1">
      <c r="A42" s="411" t="s">
        <v>160</v>
      </c>
      <c r="B42" s="392" t="s">
        <v>262</v>
      </c>
      <c r="C42" s="276"/>
    </row>
    <row r="43" spans="1:3" s="90" customFormat="1" ht="12" customHeight="1">
      <c r="A43" s="411" t="s">
        <v>161</v>
      </c>
      <c r="B43" s="392" t="s">
        <v>263</v>
      </c>
      <c r="C43" s="276"/>
    </row>
    <row r="44" spans="1:3" s="90" customFormat="1" ht="12" customHeight="1">
      <c r="A44" s="411" t="s">
        <v>162</v>
      </c>
      <c r="B44" s="392" t="s">
        <v>264</v>
      </c>
      <c r="C44" s="276"/>
    </row>
    <row r="45" spans="1:3" s="90" customFormat="1" ht="12" customHeight="1">
      <c r="A45" s="411" t="s">
        <v>163</v>
      </c>
      <c r="B45" s="392" t="s">
        <v>538</v>
      </c>
      <c r="C45" s="276"/>
    </row>
    <row r="46" spans="1:3" s="90" customFormat="1" ht="12" customHeight="1">
      <c r="A46" s="411" t="s">
        <v>256</v>
      </c>
      <c r="B46" s="392" t="s">
        <v>266</v>
      </c>
      <c r="C46" s="279"/>
    </row>
    <row r="47" spans="1:3" s="90" customFormat="1" ht="12" customHeight="1">
      <c r="A47" s="412" t="s">
        <v>257</v>
      </c>
      <c r="B47" s="393" t="s">
        <v>416</v>
      </c>
      <c r="C47" s="380"/>
    </row>
    <row r="48" spans="1:3" s="90" customFormat="1" ht="12" customHeight="1" thickBot="1">
      <c r="A48" s="412" t="s">
        <v>415</v>
      </c>
      <c r="B48" s="393" t="s">
        <v>267</v>
      </c>
      <c r="C48" s="380"/>
    </row>
    <row r="49" spans="1:3" s="90" customFormat="1" ht="12" customHeight="1" thickBot="1">
      <c r="A49" s="32" t="s">
        <v>21</v>
      </c>
      <c r="B49" s="21" t="s">
        <v>268</v>
      </c>
      <c r="C49" s="274">
        <f>SUM(C50:C54)</f>
        <v>0</v>
      </c>
    </row>
    <row r="50" spans="1:3" s="90" customFormat="1" ht="12" customHeight="1">
      <c r="A50" s="410" t="s">
        <v>92</v>
      </c>
      <c r="B50" s="391" t="s">
        <v>272</v>
      </c>
      <c r="C50" s="435"/>
    </row>
    <row r="51" spans="1:3" s="90" customFormat="1" ht="12" customHeight="1">
      <c r="A51" s="411" t="s">
        <v>93</v>
      </c>
      <c r="B51" s="392" t="s">
        <v>273</v>
      </c>
      <c r="C51" s="279"/>
    </row>
    <row r="52" spans="1:3" s="90" customFormat="1" ht="12" customHeight="1">
      <c r="A52" s="411" t="s">
        <v>269</v>
      </c>
      <c r="B52" s="392" t="s">
        <v>274</v>
      </c>
      <c r="C52" s="279"/>
    </row>
    <row r="53" spans="1:3" s="90" customFormat="1" ht="12" customHeight="1">
      <c r="A53" s="411" t="s">
        <v>270</v>
      </c>
      <c r="B53" s="392" t="s">
        <v>275</v>
      </c>
      <c r="C53" s="279"/>
    </row>
    <row r="54" spans="1:3" s="90" customFormat="1" ht="12" customHeight="1" thickBot="1">
      <c r="A54" s="412" t="s">
        <v>271</v>
      </c>
      <c r="B54" s="393" t="s">
        <v>276</v>
      </c>
      <c r="C54" s="380"/>
    </row>
    <row r="55" spans="1:3" s="90" customFormat="1" ht="12" customHeight="1" thickBot="1">
      <c r="A55" s="32" t="s">
        <v>164</v>
      </c>
      <c r="B55" s="21" t="s">
        <v>277</v>
      </c>
      <c r="C55" s="274">
        <f>SUM(C56:C58)</f>
        <v>0</v>
      </c>
    </row>
    <row r="56" spans="1:3" s="90" customFormat="1" ht="12" customHeight="1">
      <c r="A56" s="410" t="s">
        <v>94</v>
      </c>
      <c r="B56" s="391" t="s">
        <v>278</v>
      </c>
      <c r="C56" s="277"/>
    </row>
    <row r="57" spans="1:3" s="90" customFormat="1" ht="12" customHeight="1">
      <c r="A57" s="411" t="s">
        <v>95</v>
      </c>
      <c r="B57" s="392" t="s">
        <v>407</v>
      </c>
      <c r="C57" s="276"/>
    </row>
    <row r="58" spans="1:3" s="90" customFormat="1" ht="12" customHeight="1">
      <c r="A58" s="411" t="s">
        <v>281</v>
      </c>
      <c r="B58" s="392" t="s">
        <v>279</v>
      </c>
      <c r="C58" s="276"/>
    </row>
    <row r="59" spans="1:3" s="90" customFormat="1" ht="12" customHeight="1" thickBot="1">
      <c r="A59" s="412" t="s">
        <v>282</v>
      </c>
      <c r="B59" s="393" t="s">
        <v>280</v>
      </c>
      <c r="C59" s="278"/>
    </row>
    <row r="60" spans="1:3" s="90" customFormat="1" ht="12" customHeight="1" thickBot="1">
      <c r="A60" s="32" t="s">
        <v>23</v>
      </c>
      <c r="B60" s="269" t="s">
        <v>283</v>
      </c>
      <c r="C60" s="274">
        <f>SUM(C61:C63)</f>
        <v>0</v>
      </c>
    </row>
    <row r="61" spans="1:3" s="90" customFormat="1" ht="12" customHeight="1">
      <c r="A61" s="410" t="s">
        <v>165</v>
      </c>
      <c r="B61" s="391" t="s">
        <v>285</v>
      </c>
      <c r="C61" s="279"/>
    </row>
    <row r="62" spans="1:3" s="90" customFormat="1" ht="12" customHeight="1">
      <c r="A62" s="411" t="s">
        <v>166</v>
      </c>
      <c r="B62" s="392" t="s">
        <v>408</v>
      </c>
      <c r="C62" s="279"/>
    </row>
    <row r="63" spans="1:3" s="90" customFormat="1" ht="12" customHeight="1">
      <c r="A63" s="411" t="s">
        <v>214</v>
      </c>
      <c r="B63" s="392" t="s">
        <v>286</v>
      </c>
      <c r="C63" s="279"/>
    </row>
    <row r="64" spans="1:3" s="90" customFormat="1" ht="12" customHeight="1" thickBot="1">
      <c r="A64" s="412" t="s">
        <v>284</v>
      </c>
      <c r="B64" s="393" t="s">
        <v>287</v>
      </c>
      <c r="C64" s="279"/>
    </row>
    <row r="65" spans="1:3" s="90" customFormat="1" ht="12" customHeight="1" thickBot="1">
      <c r="A65" s="32" t="s">
        <v>24</v>
      </c>
      <c r="B65" s="21" t="s">
        <v>288</v>
      </c>
      <c r="C65" s="280">
        <f>+C8+C15+C22+C29+C37+C49+C55+C60</f>
        <v>8246492</v>
      </c>
    </row>
    <row r="66" spans="1:3" s="90" customFormat="1" ht="12" customHeight="1" thickBot="1">
      <c r="A66" s="413" t="s">
        <v>375</v>
      </c>
      <c r="B66" s="269" t="s">
        <v>290</v>
      </c>
      <c r="C66" s="274">
        <f>SUM(C67:C69)</f>
        <v>0</v>
      </c>
    </row>
    <row r="67" spans="1:3" s="90" customFormat="1" ht="12" customHeight="1">
      <c r="A67" s="410" t="s">
        <v>318</v>
      </c>
      <c r="B67" s="391" t="s">
        <v>291</v>
      </c>
      <c r="C67" s="279"/>
    </row>
    <row r="68" spans="1:3" s="90" customFormat="1" ht="12" customHeight="1">
      <c r="A68" s="411" t="s">
        <v>327</v>
      </c>
      <c r="B68" s="392" t="s">
        <v>292</v>
      </c>
      <c r="C68" s="279"/>
    </row>
    <row r="69" spans="1:3" s="90" customFormat="1" ht="12" customHeight="1" thickBot="1">
      <c r="A69" s="412" t="s">
        <v>328</v>
      </c>
      <c r="B69" s="394" t="s">
        <v>293</v>
      </c>
      <c r="C69" s="279"/>
    </row>
    <row r="70" spans="1:3" s="90" customFormat="1" ht="12" customHeight="1" thickBot="1">
      <c r="A70" s="413" t="s">
        <v>294</v>
      </c>
      <c r="B70" s="269" t="s">
        <v>295</v>
      </c>
      <c r="C70" s="274">
        <f>SUM(C71:C74)</f>
        <v>0</v>
      </c>
    </row>
    <row r="71" spans="1:3" s="90" customFormat="1" ht="12" customHeight="1">
      <c r="A71" s="410" t="s">
        <v>140</v>
      </c>
      <c r="B71" s="391" t="s">
        <v>296</v>
      </c>
      <c r="C71" s="279"/>
    </row>
    <row r="72" spans="1:3" s="90" customFormat="1" ht="12" customHeight="1">
      <c r="A72" s="411" t="s">
        <v>141</v>
      </c>
      <c r="B72" s="392" t="s">
        <v>547</v>
      </c>
      <c r="C72" s="279"/>
    </row>
    <row r="73" spans="1:3" s="90" customFormat="1" ht="12" customHeight="1">
      <c r="A73" s="411" t="s">
        <v>319</v>
      </c>
      <c r="B73" s="392" t="s">
        <v>297</v>
      </c>
      <c r="C73" s="279"/>
    </row>
    <row r="74" spans="1:3" s="90" customFormat="1" ht="12" customHeight="1">
      <c r="A74" s="411" t="s">
        <v>320</v>
      </c>
      <c r="B74" s="270" t="s">
        <v>548</v>
      </c>
      <c r="C74" s="279"/>
    </row>
    <row r="75" spans="1:3" s="90" customFormat="1" ht="12" customHeight="1" thickBot="1">
      <c r="A75" s="417" t="s">
        <v>298</v>
      </c>
      <c r="B75" s="546" t="s">
        <v>299</v>
      </c>
      <c r="C75" s="460">
        <f>SUM(C76:C77)</f>
        <v>0</v>
      </c>
    </row>
    <row r="76" spans="1:3" s="90" customFormat="1" ht="12" customHeight="1">
      <c r="A76" s="410" t="s">
        <v>321</v>
      </c>
      <c r="B76" s="391" t="s">
        <v>300</v>
      </c>
      <c r="C76" s="279"/>
    </row>
    <row r="77" spans="1:3" s="90" customFormat="1" ht="12" customHeight="1" thickBot="1">
      <c r="A77" s="412" t="s">
        <v>322</v>
      </c>
      <c r="B77" s="393" t="s">
        <v>301</v>
      </c>
      <c r="C77" s="279"/>
    </row>
    <row r="78" spans="1:3" s="89" customFormat="1" ht="12" customHeight="1" thickBot="1">
      <c r="A78" s="413" t="s">
        <v>302</v>
      </c>
      <c r="B78" s="269" t="s">
        <v>303</v>
      </c>
      <c r="C78" s="274">
        <f>SUM(C79:C81)</f>
        <v>0</v>
      </c>
    </row>
    <row r="79" spans="1:3" s="90" customFormat="1" ht="12" customHeight="1">
      <c r="A79" s="410" t="s">
        <v>323</v>
      </c>
      <c r="B79" s="391" t="s">
        <v>304</v>
      </c>
      <c r="C79" s="279"/>
    </row>
    <row r="80" spans="1:3" s="90" customFormat="1" ht="12" customHeight="1">
      <c r="A80" s="411" t="s">
        <v>324</v>
      </c>
      <c r="B80" s="392" t="s">
        <v>305</v>
      </c>
      <c r="C80" s="279"/>
    </row>
    <row r="81" spans="1:3" s="90" customFormat="1" ht="12" customHeight="1" thickBot="1">
      <c r="A81" s="412" t="s">
        <v>325</v>
      </c>
      <c r="B81" s="393" t="s">
        <v>549</v>
      </c>
      <c r="C81" s="279"/>
    </row>
    <row r="82" spans="1:3" s="90" customFormat="1" ht="12" customHeight="1" thickBot="1">
      <c r="A82" s="413" t="s">
        <v>306</v>
      </c>
      <c r="B82" s="269" t="s">
        <v>326</v>
      </c>
      <c r="C82" s="274">
        <f>SUM(C83:C86)</f>
        <v>0</v>
      </c>
    </row>
    <row r="83" spans="1:3" s="90" customFormat="1" ht="12" customHeight="1">
      <c r="A83" s="414" t="s">
        <v>307</v>
      </c>
      <c r="B83" s="391" t="s">
        <v>308</v>
      </c>
      <c r="C83" s="279"/>
    </row>
    <row r="84" spans="1:3" s="90" customFormat="1" ht="12" customHeight="1">
      <c r="A84" s="415" t="s">
        <v>309</v>
      </c>
      <c r="B84" s="392" t="s">
        <v>310</v>
      </c>
      <c r="C84" s="279"/>
    </row>
    <row r="85" spans="1:3" s="90" customFormat="1" ht="12" customHeight="1">
      <c r="A85" s="415" t="s">
        <v>311</v>
      </c>
      <c r="B85" s="392" t="s">
        <v>312</v>
      </c>
      <c r="C85" s="279"/>
    </row>
    <row r="86" spans="1:3" s="89" customFormat="1" ht="12" customHeight="1" thickBot="1">
      <c r="A86" s="416" t="s">
        <v>313</v>
      </c>
      <c r="B86" s="393" t="s">
        <v>314</v>
      </c>
      <c r="C86" s="279"/>
    </row>
    <row r="87" spans="1:3" s="89" customFormat="1" ht="12" customHeight="1" thickBot="1">
      <c r="A87" s="413" t="s">
        <v>315</v>
      </c>
      <c r="B87" s="269" t="s">
        <v>455</v>
      </c>
      <c r="C87" s="436"/>
    </row>
    <row r="88" spans="1:3" s="89" customFormat="1" ht="12" customHeight="1" thickBot="1">
      <c r="A88" s="413" t="s">
        <v>487</v>
      </c>
      <c r="B88" s="269" t="s">
        <v>316</v>
      </c>
      <c r="C88" s="436"/>
    </row>
    <row r="89" spans="1:3" s="89" customFormat="1" ht="12" customHeight="1" thickBot="1">
      <c r="A89" s="413" t="s">
        <v>488</v>
      </c>
      <c r="B89" s="398" t="s">
        <v>458</v>
      </c>
      <c r="C89" s="280">
        <f>+C66+C70+C75+C78+C82+C88+C87</f>
        <v>0</v>
      </c>
    </row>
    <row r="90" spans="1:3" s="89" customFormat="1" ht="12" customHeight="1" thickBot="1">
      <c r="A90" s="417" t="s">
        <v>489</v>
      </c>
      <c r="B90" s="399" t="s">
        <v>490</v>
      </c>
      <c r="C90" s="280">
        <f>+C65+C89</f>
        <v>8246492</v>
      </c>
    </row>
    <row r="91" spans="1:3" s="90" customFormat="1" ht="6.75" customHeight="1" thickBot="1">
      <c r="A91" s="213"/>
      <c r="B91" s="214"/>
      <c r="C91" s="339"/>
    </row>
    <row r="92" spans="1:3" s="68" customFormat="1" ht="16.5" customHeight="1" thickBot="1">
      <c r="A92" s="217"/>
      <c r="B92" s="218" t="s">
        <v>55</v>
      </c>
      <c r="C92" s="341"/>
    </row>
    <row r="93" spans="1:3" s="91" customFormat="1" ht="12" customHeight="1" thickBot="1">
      <c r="A93" s="385" t="s">
        <v>16</v>
      </c>
      <c r="B93" s="28" t="s">
        <v>494</v>
      </c>
      <c r="C93" s="273">
        <f>+C94+C95+C96+C97+C98+C111</f>
        <v>4746492</v>
      </c>
    </row>
    <row r="94" spans="1:3" ht="12" customHeight="1">
      <c r="A94" s="418" t="s">
        <v>96</v>
      </c>
      <c r="B94" s="10" t="s">
        <v>47</v>
      </c>
      <c r="C94" s="275"/>
    </row>
    <row r="95" spans="1:3" ht="12" customHeight="1">
      <c r="A95" s="411" t="s">
        <v>97</v>
      </c>
      <c r="B95" s="8" t="s">
        <v>167</v>
      </c>
      <c r="C95" s="276"/>
    </row>
    <row r="96" spans="1:3" ht="12" customHeight="1">
      <c r="A96" s="411" t="s">
        <v>98</v>
      </c>
      <c r="B96" s="8" t="s">
        <v>131</v>
      </c>
      <c r="C96" s="278"/>
    </row>
    <row r="97" spans="1:3" ht="12" customHeight="1">
      <c r="A97" s="411" t="s">
        <v>99</v>
      </c>
      <c r="B97" s="11" t="s">
        <v>168</v>
      </c>
      <c r="C97" s="278"/>
    </row>
    <row r="98" spans="1:3" ht="12" customHeight="1">
      <c r="A98" s="411" t="s">
        <v>110</v>
      </c>
      <c r="B98" s="19" t="s">
        <v>169</v>
      </c>
      <c r="C98" s="278">
        <f>C105+C110</f>
        <v>4746492</v>
      </c>
    </row>
    <row r="99" spans="1:3" ht="12" customHeight="1">
      <c r="A99" s="411" t="s">
        <v>100</v>
      </c>
      <c r="B99" s="8" t="s">
        <v>491</v>
      </c>
      <c r="C99" s="278"/>
    </row>
    <row r="100" spans="1:3" ht="12" customHeight="1">
      <c r="A100" s="411" t="s">
        <v>101</v>
      </c>
      <c r="B100" s="133" t="s">
        <v>421</v>
      </c>
      <c r="C100" s="278"/>
    </row>
    <row r="101" spans="1:3" ht="12" customHeight="1">
      <c r="A101" s="411" t="s">
        <v>111</v>
      </c>
      <c r="B101" s="133" t="s">
        <v>420</v>
      </c>
      <c r="C101" s="278"/>
    </row>
    <row r="102" spans="1:3" ht="12" customHeight="1">
      <c r="A102" s="411" t="s">
        <v>112</v>
      </c>
      <c r="B102" s="133" t="s">
        <v>332</v>
      </c>
      <c r="C102" s="278"/>
    </row>
    <row r="103" spans="1:3" ht="12" customHeight="1">
      <c r="A103" s="411" t="s">
        <v>113</v>
      </c>
      <c r="B103" s="134" t="s">
        <v>333</v>
      </c>
      <c r="C103" s="278"/>
    </row>
    <row r="104" spans="1:3" ht="12" customHeight="1">
      <c r="A104" s="411" t="s">
        <v>114</v>
      </c>
      <c r="B104" s="134" t="s">
        <v>334</v>
      </c>
      <c r="C104" s="278"/>
    </row>
    <row r="105" spans="1:3" ht="12" customHeight="1">
      <c r="A105" s="411" t="s">
        <v>116</v>
      </c>
      <c r="B105" s="133" t="s">
        <v>335</v>
      </c>
      <c r="C105" s="278">
        <v>2346492</v>
      </c>
    </row>
    <row r="106" spans="1:3" ht="12" customHeight="1">
      <c r="A106" s="411" t="s">
        <v>170</v>
      </c>
      <c r="B106" s="133" t="s">
        <v>336</v>
      </c>
      <c r="C106" s="278"/>
    </row>
    <row r="107" spans="1:3" ht="12" customHeight="1">
      <c r="A107" s="411" t="s">
        <v>330</v>
      </c>
      <c r="B107" s="134" t="s">
        <v>337</v>
      </c>
      <c r="C107" s="278"/>
    </row>
    <row r="108" spans="1:3" ht="12" customHeight="1">
      <c r="A108" s="419" t="s">
        <v>331</v>
      </c>
      <c r="B108" s="135" t="s">
        <v>338</v>
      </c>
      <c r="C108" s="278"/>
    </row>
    <row r="109" spans="1:3" ht="12" customHeight="1">
      <c r="A109" s="411" t="s">
        <v>418</v>
      </c>
      <c r="B109" s="135" t="s">
        <v>339</v>
      </c>
      <c r="C109" s="278"/>
    </row>
    <row r="110" spans="1:3" ht="12" customHeight="1">
      <c r="A110" s="411" t="s">
        <v>419</v>
      </c>
      <c r="B110" s="134" t="s">
        <v>340</v>
      </c>
      <c r="C110" s="276">
        <v>2400000</v>
      </c>
    </row>
    <row r="111" spans="1:3" ht="12" customHeight="1">
      <c r="A111" s="411" t="s">
        <v>423</v>
      </c>
      <c r="B111" s="11" t="s">
        <v>48</v>
      </c>
      <c r="C111" s="276"/>
    </row>
    <row r="112" spans="1:3" ht="12" customHeight="1">
      <c r="A112" s="412" t="s">
        <v>424</v>
      </c>
      <c r="B112" s="8" t="s">
        <v>492</v>
      </c>
      <c r="C112" s="278"/>
    </row>
    <row r="113" spans="1:3" ht="12" customHeight="1" thickBot="1">
      <c r="A113" s="420" t="s">
        <v>425</v>
      </c>
      <c r="B113" s="136" t="s">
        <v>493</v>
      </c>
      <c r="C113" s="282"/>
    </row>
    <row r="114" spans="1:3" ht="12" customHeight="1" thickBot="1">
      <c r="A114" s="32" t="s">
        <v>17</v>
      </c>
      <c r="B114" s="27" t="s">
        <v>341</v>
      </c>
      <c r="C114" s="274">
        <f>+C115+C117+C119</f>
        <v>3500000</v>
      </c>
    </row>
    <row r="115" spans="1:3" ht="12" customHeight="1">
      <c r="A115" s="410" t="s">
        <v>102</v>
      </c>
      <c r="B115" s="8" t="s">
        <v>213</v>
      </c>
      <c r="C115" s="277"/>
    </row>
    <row r="116" spans="1:3" ht="12" customHeight="1">
      <c r="A116" s="410" t="s">
        <v>103</v>
      </c>
      <c r="B116" s="12" t="s">
        <v>345</v>
      </c>
      <c r="C116" s="277"/>
    </row>
    <row r="117" spans="1:3" ht="12" customHeight="1">
      <c r="A117" s="410" t="s">
        <v>104</v>
      </c>
      <c r="B117" s="12" t="s">
        <v>171</v>
      </c>
      <c r="C117" s="276"/>
    </row>
    <row r="118" spans="1:3" ht="12" customHeight="1">
      <c r="A118" s="410" t="s">
        <v>105</v>
      </c>
      <c r="B118" s="12" t="s">
        <v>346</v>
      </c>
      <c r="C118" s="241"/>
    </row>
    <row r="119" spans="1:3" ht="12" customHeight="1">
      <c r="A119" s="410" t="s">
        <v>106</v>
      </c>
      <c r="B119" s="271" t="s">
        <v>215</v>
      </c>
      <c r="C119" s="241">
        <f>C127</f>
        <v>3500000</v>
      </c>
    </row>
    <row r="120" spans="1:3" ht="12" customHeight="1">
      <c r="A120" s="410" t="s">
        <v>115</v>
      </c>
      <c r="B120" s="270" t="s">
        <v>409</v>
      </c>
      <c r="C120" s="241"/>
    </row>
    <row r="121" spans="1:3" ht="12" customHeight="1">
      <c r="A121" s="410" t="s">
        <v>117</v>
      </c>
      <c r="B121" s="387" t="s">
        <v>351</v>
      </c>
      <c r="C121" s="241"/>
    </row>
    <row r="122" spans="1:3" ht="12" customHeight="1">
      <c r="A122" s="410" t="s">
        <v>172</v>
      </c>
      <c r="B122" s="134" t="s">
        <v>334</v>
      </c>
      <c r="C122" s="241"/>
    </row>
    <row r="123" spans="1:3" ht="12" customHeight="1">
      <c r="A123" s="410" t="s">
        <v>173</v>
      </c>
      <c r="B123" s="134" t="s">
        <v>350</v>
      </c>
      <c r="C123" s="241"/>
    </row>
    <row r="124" spans="1:3" ht="12" customHeight="1">
      <c r="A124" s="410" t="s">
        <v>174</v>
      </c>
      <c r="B124" s="134" t="s">
        <v>349</v>
      </c>
      <c r="C124" s="241"/>
    </row>
    <row r="125" spans="1:3" ht="12" customHeight="1">
      <c r="A125" s="410" t="s">
        <v>342</v>
      </c>
      <c r="B125" s="134" t="s">
        <v>337</v>
      </c>
      <c r="C125" s="241"/>
    </row>
    <row r="126" spans="1:3" ht="12" customHeight="1">
      <c r="A126" s="410" t="s">
        <v>343</v>
      </c>
      <c r="B126" s="134" t="s">
        <v>348</v>
      </c>
      <c r="C126" s="241"/>
    </row>
    <row r="127" spans="1:3" ht="12" customHeight="1" thickBot="1">
      <c r="A127" s="419" t="s">
        <v>344</v>
      </c>
      <c r="B127" s="134" t="s">
        <v>347</v>
      </c>
      <c r="C127" s="243">
        <v>3500000</v>
      </c>
    </row>
    <row r="128" spans="1:3" ht="12" customHeight="1" thickBot="1">
      <c r="A128" s="32" t="s">
        <v>18</v>
      </c>
      <c r="B128" s="116" t="s">
        <v>428</v>
      </c>
      <c r="C128" s="274">
        <f>+C93+C114</f>
        <v>8246492</v>
      </c>
    </row>
    <row r="129" spans="1:3" ht="12" customHeight="1" thickBot="1">
      <c r="A129" s="32" t="s">
        <v>19</v>
      </c>
      <c r="B129" s="116" t="s">
        <v>429</v>
      </c>
      <c r="C129" s="274">
        <f>+C130+C131+C132</f>
        <v>0</v>
      </c>
    </row>
    <row r="130" spans="1:3" s="91" customFormat="1" ht="12" customHeight="1">
      <c r="A130" s="410" t="s">
        <v>251</v>
      </c>
      <c r="B130" s="9" t="s">
        <v>497</v>
      </c>
      <c r="C130" s="241"/>
    </row>
    <row r="131" spans="1:3" ht="12" customHeight="1">
      <c r="A131" s="410" t="s">
        <v>252</v>
      </c>
      <c r="B131" s="9" t="s">
        <v>437</v>
      </c>
      <c r="C131" s="241"/>
    </row>
    <row r="132" spans="1:3" ht="12" customHeight="1" thickBot="1">
      <c r="A132" s="419" t="s">
        <v>253</v>
      </c>
      <c r="B132" s="7" t="s">
        <v>496</v>
      </c>
      <c r="C132" s="241"/>
    </row>
    <row r="133" spans="1:3" ht="12" customHeight="1" thickBot="1">
      <c r="A133" s="32" t="s">
        <v>20</v>
      </c>
      <c r="B133" s="116" t="s">
        <v>430</v>
      </c>
      <c r="C133" s="274">
        <f>+C134+C135+C136+C137+C138+C139</f>
        <v>0</v>
      </c>
    </row>
    <row r="134" spans="1:3" ht="12" customHeight="1">
      <c r="A134" s="410" t="s">
        <v>89</v>
      </c>
      <c r="B134" s="9" t="s">
        <v>439</v>
      </c>
      <c r="C134" s="241"/>
    </row>
    <row r="135" spans="1:3" ht="12" customHeight="1">
      <c r="A135" s="410" t="s">
        <v>90</v>
      </c>
      <c r="B135" s="9" t="s">
        <v>431</v>
      </c>
      <c r="C135" s="241"/>
    </row>
    <row r="136" spans="1:3" ht="12" customHeight="1">
      <c r="A136" s="410" t="s">
        <v>91</v>
      </c>
      <c r="B136" s="9" t="s">
        <v>432</v>
      </c>
      <c r="C136" s="241"/>
    </row>
    <row r="137" spans="1:3" ht="12" customHeight="1">
      <c r="A137" s="410" t="s">
        <v>159</v>
      </c>
      <c r="B137" s="9" t="s">
        <v>495</v>
      </c>
      <c r="C137" s="241"/>
    </row>
    <row r="138" spans="1:3" ht="12" customHeight="1">
      <c r="A138" s="410" t="s">
        <v>160</v>
      </c>
      <c r="B138" s="9" t="s">
        <v>434</v>
      </c>
      <c r="C138" s="241"/>
    </row>
    <row r="139" spans="1:3" s="91" customFormat="1" ht="12" customHeight="1" thickBot="1">
      <c r="A139" s="419" t="s">
        <v>161</v>
      </c>
      <c r="B139" s="7" t="s">
        <v>435</v>
      </c>
      <c r="C139" s="241"/>
    </row>
    <row r="140" spans="1:11" ht="12" customHeight="1" thickBot="1">
      <c r="A140" s="32" t="s">
        <v>21</v>
      </c>
      <c r="B140" s="116" t="s">
        <v>519</v>
      </c>
      <c r="C140" s="280">
        <f>+C141+C142+C144+C145+C143</f>
        <v>0</v>
      </c>
      <c r="K140" s="224"/>
    </row>
    <row r="141" spans="1:3" ht="12.75">
      <c r="A141" s="410" t="s">
        <v>92</v>
      </c>
      <c r="B141" s="9" t="s">
        <v>352</v>
      </c>
      <c r="C141" s="241"/>
    </row>
    <row r="142" spans="1:3" ht="12" customHeight="1">
      <c r="A142" s="410" t="s">
        <v>93</v>
      </c>
      <c r="B142" s="9" t="s">
        <v>353</v>
      </c>
      <c r="C142" s="241"/>
    </row>
    <row r="143" spans="1:3" s="91" customFormat="1" ht="12" customHeight="1">
      <c r="A143" s="410" t="s">
        <v>269</v>
      </c>
      <c r="B143" s="9" t="s">
        <v>518</v>
      </c>
      <c r="C143" s="241"/>
    </row>
    <row r="144" spans="1:3" s="91" customFormat="1" ht="12" customHeight="1">
      <c r="A144" s="410" t="s">
        <v>270</v>
      </c>
      <c r="B144" s="9" t="s">
        <v>444</v>
      </c>
      <c r="C144" s="241"/>
    </row>
    <row r="145" spans="1:3" s="91" customFormat="1" ht="12" customHeight="1" thickBot="1">
      <c r="A145" s="419" t="s">
        <v>271</v>
      </c>
      <c r="B145" s="7" t="s">
        <v>371</v>
      </c>
      <c r="C145" s="241"/>
    </row>
    <row r="146" spans="1:3" s="91" customFormat="1" ht="12" customHeight="1" thickBot="1">
      <c r="A146" s="32" t="s">
        <v>22</v>
      </c>
      <c r="B146" s="116" t="s">
        <v>445</v>
      </c>
      <c r="C146" s="283">
        <f>+C147+C148+C149+C150+C151</f>
        <v>0</v>
      </c>
    </row>
    <row r="147" spans="1:3" s="91" customFormat="1" ht="12" customHeight="1">
      <c r="A147" s="410" t="s">
        <v>94</v>
      </c>
      <c r="B147" s="9" t="s">
        <v>440</v>
      </c>
      <c r="C147" s="241"/>
    </row>
    <row r="148" spans="1:3" s="91" customFormat="1" ht="12" customHeight="1">
      <c r="A148" s="410" t="s">
        <v>95</v>
      </c>
      <c r="B148" s="9" t="s">
        <v>447</v>
      </c>
      <c r="C148" s="241"/>
    </row>
    <row r="149" spans="1:3" s="91" customFormat="1" ht="12" customHeight="1">
      <c r="A149" s="410" t="s">
        <v>281</v>
      </c>
      <c r="B149" s="9" t="s">
        <v>442</v>
      </c>
      <c r="C149" s="241"/>
    </row>
    <row r="150" spans="1:3" ht="12.75" customHeight="1">
      <c r="A150" s="410" t="s">
        <v>282</v>
      </c>
      <c r="B150" s="9" t="s">
        <v>498</v>
      </c>
      <c r="C150" s="241"/>
    </row>
    <row r="151" spans="1:3" ht="12.75" customHeight="1" thickBot="1">
      <c r="A151" s="419" t="s">
        <v>446</v>
      </c>
      <c r="B151" s="7" t="s">
        <v>449</v>
      </c>
      <c r="C151" s="243"/>
    </row>
    <row r="152" spans="1:3" ht="12.75" customHeight="1" thickBot="1">
      <c r="A152" s="465" t="s">
        <v>23</v>
      </c>
      <c r="B152" s="116" t="s">
        <v>450</v>
      </c>
      <c r="C152" s="283"/>
    </row>
    <row r="153" spans="1:3" ht="12" customHeight="1" thickBot="1">
      <c r="A153" s="465" t="s">
        <v>24</v>
      </c>
      <c r="B153" s="116" t="s">
        <v>451</v>
      </c>
      <c r="C153" s="283"/>
    </row>
    <row r="154" spans="1:3" ht="15" customHeight="1" thickBot="1">
      <c r="A154" s="32" t="s">
        <v>25</v>
      </c>
      <c r="B154" s="116" t="s">
        <v>453</v>
      </c>
      <c r="C154" s="401">
        <f>+C129+C133+C140+C146+C152+C153</f>
        <v>0</v>
      </c>
    </row>
    <row r="155" spans="1:3" ht="13.5" thickBot="1">
      <c r="A155" s="421" t="s">
        <v>26</v>
      </c>
      <c r="B155" s="357" t="s">
        <v>452</v>
      </c>
      <c r="C155" s="401">
        <f>+C128+C154</f>
        <v>8246492</v>
      </c>
    </row>
    <row r="156" spans="1:3" ht="7.5" customHeight="1" thickBot="1">
      <c r="A156" s="365"/>
      <c r="B156" s="366"/>
      <c r="C156" s="586">
        <f>C90-C155</f>
        <v>0</v>
      </c>
    </row>
    <row r="157" spans="1:3" ht="14.25" customHeight="1" thickBot="1">
      <c r="A157" s="222" t="s">
        <v>499</v>
      </c>
      <c r="B157" s="223"/>
      <c r="C157" s="113">
        <v>0</v>
      </c>
    </row>
    <row r="158" spans="1:3" ht="13.5" thickBot="1">
      <c r="A158" s="222" t="s">
        <v>189</v>
      </c>
      <c r="B158" s="223"/>
      <c r="C158" s="113">
        <v>0</v>
      </c>
    </row>
    <row r="159" spans="1:3" ht="12.75">
      <c r="A159" s="583"/>
      <c r="B159" s="584"/>
      <c r="C159" s="585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">
      <selection activeCell="C8" sqref="C8:C61"/>
    </sheetView>
  </sheetViews>
  <sheetFormatPr defaultColWidth="9.00390625" defaultRowHeight="12.75"/>
  <cols>
    <col min="1" max="1" width="13.875" style="220" customWidth="1"/>
    <col min="2" max="2" width="79.125" style="221" customWidth="1"/>
    <col min="3" max="3" width="25.00390625" style="221" customWidth="1"/>
    <col min="4" max="16384" width="9.375" style="221" customWidth="1"/>
  </cols>
  <sheetData>
    <row r="1" spans="1:3" s="201" customFormat="1" ht="21" customHeight="1" thickBot="1">
      <c r="A1" s="564"/>
      <c r="B1" s="565"/>
      <c r="C1" s="561" t="str">
        <f>CONCATENATE("9.2. melléklet ",ALAPADATOK!A7," ",ALAPADATOK!B7," ",ALAPADATOK!C7," ",ALAPADATOK!D7," ",ALAPADATOK!E7," ",ALAPADATOK!F7," ",ALAPADATOK!G7," ",ALAPADATOK!H7)</f>
        <v>9.2. melléklet a 4 / 2020 ( II.25. ) önkormányzati rendelethez</v>
      </c>
    </row>
    <row r="2" spans="1:3" s="430" customFormat="1" ht="36">
      <c r="A2" s="566" t="s">
        <v>187</v>
      </c>
      <c r="B2" s="567" t="str">
        <f>CONCATENATE(ALAPADATOK!A11)</f>
        <v>Murakeresztúri Közös Önkormányzati Hivatal</v>
      </c>
      <c r="C2" s="587" t="s">
        <v>57</v>
      </c>
    </row>
    <row r="3" spans="1:3" s="430" customFormat="1" ht="24.75" thickBot="1">
      <c r="A3" s="588" t="s">
        <v>186</v>
      </c>
      <c r="B3" s="570" t="s">
        <v>379</v>
      </c>
      <c r="C3" s="589" t="s">
        <v>52</v>
      </c>
    </row>
    <row r="4" spans="1:3" s="431" customFormat="1" ht="15.75" customHeight="1" thickBot="1">
      <c r="A4" s="572"/>
      <c r="B4" s="572"/>
      <c r="C4" s="573" t="str">
        <f>'KV_7.sz.mell.'!F5</f>
        <v>Forintban!</v>
      </c>
    </row>
    <row r="5" spans="1:3" ht="13.5" thickBot="1">
      <c r="A5" s="574" t="s">
        <v>188</v>
      </c>
      <c r="B5" s="575" t="s">
        <v>540</v>
      </c>
      <c r="C5" s="590" t="s">
        <v>53</v>
      </c>
    </row>
    <row r="6" spans="1:3" s="432" customFormat="1" ht="12.75" customHeight="1" thickBot="1">
      <c r="A6" s="577"/>
      <c r="B6" s="578" t="s">
        <v>473</v>
      </c>
      <c r="C6" s="579" t="s">
        <v>474</v>
      </c>
    </row>
    <row r="7" spans="1:3" s="432" customFormat="1" ht="15.75" customHeight="1" thickBot="1">
      <c r="A7" s="207"/>
      <c r="B7" s="208" t="s">
        <v>54</v>
      </c>
      <c r="C7" s="209"/>
    </row>
    <row r="8" spans="1:3" s="345" customFormat="1" ht="12" customHeight="1" thickBot="1">
      <c r="A8" s="183" t="s">
        <v>16</v>
      </c>
      <c r="B8" s="210" t="s">
        <v>500</v>
      </c>
      <c r="C8" s="294">
        <f>SUM(C9:C19)</f>
        <v>100</v>
      </c>
    </row>
    <row r="9" spans="1:3" s="345" customFormat="1" ht="12" customHeight="1">
      <c r="A9" s="425" t="s">
        <v>96</v>
      </c>
      <c r="B9" s="10" t="s">
        <v>258</v>
      </c>
      <c r="C9" s="335"/>
    </row>
    <row r="10" spans="1:3" s="345" customFormat="1" ht="12" customHeight="1">
      <c r="A10" s="426" t="s">
        <v>97</v>
      </c>
      <c r="B10" s="8" t="s">
        <v>259</v>
      </c>
      <c r="C10" s="292"/>
    </row>
    <row r="11" spans="1:3" s="345" customFormat="1" ht="12" customHeight="1">
      <c r="A11" s="426" t="s">
        <v>98</v>
      </c>
      <c r="B11" s="8" t="s">
        <v>260</v>
      </c>
      <c r="C11" s="292"/>
    </row>
    <row r="12" spans="1:3" s="345" customFormat="1" ht="12" customHeight="1">
      <c r="A12" s="426" t="s">
        <v>99</v>
      </c>
      <c r="B12" s="8" t="s">
        <v>261</v>
      </c>
      <c r="C12" s="292"/>
    </row>
    <row r="13" spans="1:3" s="345" customFormat="1" ht="12" customHeight="1">
      <c r="A13" s="426" t="s">
        <v>139</v>
      </c>
      <c r="B13" s="8" t="s">
        <v>262</v>
      </c>
      <c r="C13" s="292"/>
    </row>
    <row r="14" spans="1:3" s="345" customFormat="1" ht="12" customHeight="1">
      <c r="A14" s="426" t="s">
        <v>100</v>
      </c>
      <c r="B14" s="8" t="s">
        <v>380</v>
      </c>
      <c r="C14" s="292"/>
    </row>
    <row r="15" spans="1:3" s="345" customFormat="1" ht="12" customHeight="1">
      <c r="A15" s="426" t="s">
        <v>101</v>
      </c>
      <c r="B15" s="7" t="s">
        <v>381</v>
      </c>
      <c r="C15" s="292"/>
    </row>
    <row r="16" spans="1:3" s="345" customFormat="1" ht="12" customHeight="1">
      <c r="A16" s="426" t="s">
        <v>111</v>
      </c>
      <c r="B16" s="8" t="s">
        <v>265</v>
      </c>
      <c r="C16" s="336"/>
    </row>
    <row r="17" spans="1:3" s="433" customFormat="1" ht="12" customHeight="1">
      <c r="A17" s="426" t="s">
        <v>112</v>
      </c>
      <c r="B17" s="8" t="s">
        <v>266</v>
      </c>
      <c r="C17" s="292"/>
    </row>
    <row r="18" spans="1:3" s="433" customFormat="1" ht="12" customHeight="1">
      <c r="A18" s="426" t="s">
        <v>113</v>
      </c>
      <c r="B18" s="8" t="s">
        <v>416</v>
      </c>
      <c r="C18" s="293"/>
    </row>
    <row r="19" spans="1:3" s="433" customFormat="1" ht="12" customHeight="1" thickBot="1">
      <c r="A19" s="426" t="s">
        <v>114</v>
      </c>
      <c r="B19" s="7" t="s">
        <v>267</v>
      </c>
      <c r="C19" s="293">
        <v>100</v>
      </c>
    </row>
    <row r="20" spans="1:3" s="345" customFormat="1" ht="12" customHeight="1" thickBot="1">
      <c r="A20" s="183" t="s">
        <v>17</v>
      </c>
      <c r="B20" s="210" t="s">
        <v>382</v>
      </c>
      <c r="C20" s="294">
        <f>SUM(C21:C23)</f>
        <v>0</v>
      </c>
    </row>
    <row r="21" spans="1:3" s="433" customFormat="1" ht="12" customHeight="1">
      <c r="A21" s="426" t="s">
        <v>102</v>
      </c>
      <c r="B21" s="9" t="s">
        <v>241</v>
      </c>
      <c r="C21" s="292"/>
    </row>
    <row r="22" spans="1:3" s="433" customFormat="1" ht="12" customHeight="1">
      <c r="A22" s="426" t="s">
        <v>103</v>
      </c>
      <c r="B22" s="8" t="s">
        <v>383</v>
      </c>
      <c r="C22" s="292"/>
    </row>
    <row r="23" spans="1:3" s="433" customFormat="1" ht="12" customHeight="1">
      <c r="A23" s="426" t="s">
        <v>104</v>
      </c>
      <c r="B23" s="8" t="s">
        <v>384</v>
      </c>
      <c r="C23" s="292"/>
    </row>
    <row r="24" spans="1:3" s="433" customFormat="1" ht="12" customHeight="1" thickBot="1">
      <c r="A24" s="426" t="s">
        <v>105</v>
      </c>
      <c r="B24" s="8" t="s">
        <v>501</v>
      </c>
      <c r="C24" s="292"/>
    </row>
    <row r="25" spans="1:3" s="433" customFormat="1" ht="12" customHeight="1" thickBot="1">
      <c r="A25" s="190" t="s">
        <v>18</v>
      </c>
      <c r="B25" s="116" t="s">
        <v>158</v>
      </c>
      <c r="C25" s="320"/>
    </row>
    <row r="26" spans="1:3" s="433" customFormat="1" ht="12" customHeight="1" thickBot="1">
      <c r="A26" s="190" t="s">
        <v>19</v>
      </c>
      <c r="B26" s="116" t="s">
        <v>502</v>
      </c>
      <c r="C26" s="294">
        <f>+C27+C28+C29</f>
        <v>0</v>
      </c>
    </row>
    <row r="27" spans="1:3" s="433" customFormat="1" ht="12" customHeight="1">
      <c r="A27" s="427" t="s">
        <v>251</v>
      </c>
      <c r="B27" s="428" t="s">
        <v>246</v>
      </c>
      <c r="C27" s="76"/>
    </row>
    <row r="28" spans="1:3" s="433" customFormat="1" ht="12" customHeight="1">
      <c r="A28" s="427" t="s">
        <v>252</v>
      </c>
      <c r="B28" s="428" t="s">
        <v>383</v>
      </c>
      <c r="C28" s="292"/>
    </row>
    <row r="29" spans="1:3" s="433" customFormat="1" ht="12" customHeight="1">
      <c r="A29" s="427" t="s">
        <v>253</v>
      </c>
      <c r="B29" s="429" t="s">
        <v>386</v>
      </c>
      <c r="C29" s="292"/>
    </row>
    <row r="30" spans="1:3" s="433" customFormat="1" ht="12" customHeight="1" thickBot="1">
      <c r="A30" s="426" t="s">
        <v>254</v>
      </c>
      <c r="B30" s="132" t="s">
        <v>503</v>
      </c>
      <c r="C30" s="83"/>
    </row>
    <row r="31" spans="1:3" s="433" customFormat="1" ht="12" customHeight="1" thickBot="1">
      <c r="A31" s="190" t="s">
        <v>20</v>
      </c>
      <c r="B31" s="116" t="s">
        <v>387</v>
      </c>
      <c r="C31" s="294">
        <f>+C32+C33+C34</f>
        <v>0</v>
      </c>
    </row>
    <row r="32" spans="1:3" s="433" customFormat="1" ht="12" customHeight="1">
      <c r="A32" s="427" t="s">
        <v>89</v>
      </c>
      <c r="B32" s="428" t="s">
        <v>272</v>
      </c>
      <c r="C32" s="76"/>
    </row>
    <row r="33" spans="1:3" s="433" customFormat="1" ht="12" customHeight="1">
      <c r="A33" s="427" t="s">
        <v>90</v>
      </c>
      <c r="B33" s="429" t="s">
        <v>273</v>
      </c>
      <c r="C33" s="295"/>
    </row>
    <row r="34" spans="1:3" s="433" customFormat="1" ht="12" customHeight="1" thickBot="1">
      <c r="A34" s="426" t="s">
        <v>91</v>
      </c>
      <c r="B34" s="132" t="s">
        <v>274</v>
      </c>
      <c r="C34" s="83"/>
    </row>
    <row r="35" spans="1:3" s="345" customFormat="1" ht="12" customHeight="1" thickBot="1">
      <c r="A35" s="190" t="s">
        <v>21</v>
      </c>
      <c r="B35" s="116" t="s">
        <v>357</v>
      </c>
      <c r="C35" s="320"/>
    </row>
    <row r="36" spans="1:3" s="345" customFormat="1" ht="12" customHeight="1" thickBot="1">
      <c r="A36" s="190" t="s">
        <v>22</v>
      </c>
      <c r="B36" s="116" t="s">
        <v>388</v>
      </c>
      <c r="C36" s="337"/>
    </row>
    <row r="37" spans="1:3" s="345" customFormat="1" ht="12" customHeight="1" thickBot="1">
      <c r="A37" s="183" t="s">
        <v>23</v>
      </c>
      <c r="B37" s="116" t="s">
        <v>389</v>
      </c>
      <c r="C37" s="338">
        <f>+C8+C20+C25+C26+C31+C35+C36</f>
        <v>100</v>
      </c>
    </row>
    <row r="38" spans="1:3" s="345" customFormat="1" ht="12" customHeight="1" thickBot="1">
      <c r="A38" s="211" t="s">
        <v>24</v>
      </c>
      <c r="B38" s="116" t="s">
        <v>390</v>
      </c>
      <c r="C38" s="338">
        <f>+C39+C40+C41</f>
        <v>62445562</v>
      </c>
    </row>
    <row r="39" spans="1:3" s="345" customFormat="1" ht="12" customHeight="1">
      <c r="A39" s="427" t="s">
        <v>391</v>
      </c>
      <c r="B39" s="428" t="s">
        <v>219</v>
      </c>
      <c r="C39" s="76">
        <v>2305688</v>
      </c>
    </row>
    <row r="40" spans="1:3" s="345" customFormat="1" ht="12" customHeight="1">
      <c r="A40" s="427" t="s">
        <v>392</v>
      </c>
      <c r="B40" s="429" t="s">
        <v>2</v>
      </c>
      <c r="C40" s="295"/>
    </row>
    <row r="41" spans="1:3" s="433" customFormat="1" ht="12" customHeight="1" thickBot="1">
      <c r="A41" s="426" t="s">
        <v>393</v>
      </c>
      <c r="B41" s="132" t="s">
        <v>394</v>
      </c>
      <c r="C41" s="83">
        <v>60139874</v>
      </c>
    </row>
    <row r="42" spans="1:3" s="433" customFormat="1" ht="15" customHeight="1" thickBot="1">
      <c r="A42" s="211" t="s">
        <v>25</v>
      </c>
      <c r="B42" s="212" t="s">
        <v>395</v>
      </c>
      <c r="C42" s="341">
        <f>+C37+C38</f>
        <v>62445662</v>
      </c>
    </row>
    <row r="43" spans="1:3" s="433" customFormat="1" ht="15" customHeight="1">
      <c r="A43" s="213"/>
      <c r="B43" s="214"/>
      <c r="C43" s="339"/>
    </row>
    <row r="44" spans="1:3" ht="13.5" thickBot="1">
      <c r="A44" s="215"/>
      <c r="B44" s="216"/>
      <c r="C44" s="340"/>
    </row>
    <row r="45" spans="1:3" s="432" customFormat="1" ht="16.5" customHeight="1" thickBot="1">
      <c r="A45" s="217"/>
      <c r="B45" s="218" t="s">
        <v>55</v>
      </c>
      <c r="C45" s="341"/>
    </row>
    <row r="46" spans="1:3" s="434" customFormat="1" ht="12" customHeight="1" thickBot="1">
      <c r="A46" s="190" t="s">
        <v>16</v>
      </c>
      <c r="B46" s="116" t="s">
        <v>396</v>
      </c>
      <c r="C46" s="294">
        <f>SUM(C47:C51)</f>
        <v>62445662</v>
      </c>
    </row>
    <row r="47" spans="1:3" ht="12" customHeight="1">
      <c r="A47" s="426" t="s">
        <v>96</v>
      </c>
      <c r="B47" s="9" t="s">
        <v>47</v>
      </c>
      <c r="C47" s="76">
        <v>43304314</v>
      </c>
    </row>
    <row r="48" spans="1:3" ht="12" customHeight="1">
      <c r="A48" s="426" t="s">
        <v>97</v>
      </c>
      <c r="B48" s="8" t="s">
        <v>167</v>
      </c>
      <c r="C48" s="79">
        <v>7682856</v>
      </c>
    </row>
    <row r="49" spans="1:3" ht="12" customHeight="1">
      <c r="A49" s="426" t="s">
        <v>98</v>
      </c>
      <c r="B49" s="8" t="s">
        <v>131</v>
      </c>
      <c r="C49" s="79">
        <v>11458492</v>
      </c>
    </row>
    <row r="50" spans="1:3" ht="12" customHeight="1">
      <c r="A50" s="426" t="s">
        <v>99</v>
      </c>
      <c r="B50" s="8" t="s">
        <v>168</v>
      </c>
      <c r="C50" s="79"/>
    </row>
    <row r="51" spans="1:3" ht="12" customHeight="1" thickBot="1">
      <c r="A51" s="426" t="s">
        <v>139</v>
      </c>
      <c r="B51" s="8" t="s">
        <v>169</v>
      </c>
      <c r="C51" s="79"/>
    </row>
    <row r="52" spans="1:3" ht="12" customHeight="1" thickBot="1">
      <c r="A52" s="190" t="s">
        <v>17</v>
      </c>
      <c r="B52" s="116" t="s">
        <v>397</v>
      </c>
      <c r="C52" s="294">
        <f>SUM(C53:C55)</f>
        <v>0</v>
      </c>
    </row>
    <row r="53" spans="1:3" s="434" customFormat="1" ht="12" customHeight="1">
      <c r="A53" s="426" t="s">
        <v>102</v>
      </c>
      <c r="B53" s="9" t="s">
        <v>213</v>
      </c>
      <c r="C53" s="76"/>
    </row>
    <row r="54" spans="1:3" ht="12" customHeight="1">
      <c r="A54" s="426" t="s">
        <v>103</v>
      </c>
      <c r="B54" s="8" t="s">
        <v>171</v>
      </c>
      <c r="C54" s="79"/>
    </row>
    <row r="55" spans="1:3" ht="12" customHeight="1">
      <c r="A55" s="426" t="s">
        <v>104</v>
      </c>
      <c r="B55" s="8" t="s">
        <v>56</v>
      </c>
      <c r="C55" s="79"/>
    </row>
    <row r="56" spans="1:3" ht="12" customHeight="1" thickBot="1">
      <c r="A56" s="426" t="s">
        <v>105</v>
      </c>
      <c r="B56" s="8" t="s">
        <v>504</v>
      </c>
      <c r="C56" s="79"/>
    </row>
    <row r="57" spans="1:3" ht="12" customHeight="1" thickBot="1">
      <c r="A57" s="190" t="s">
        <v>18</v>
      </c>
      <c r="B57" s="116" t="s">
        <v>11</v>
      </c>
      <c r="C57" s="320"/>
    </row>
    <row r="58" spans="1:3" ht="15" customHeight="1" thickBot="1">
      <c r="A58" s="190" t="s">
        <v>19</v>
      </c>
      <c r="B58" s="219" t="s">
        <v>508</v>
      </c>
      <c r="C58" s="342">
        <f>+C46+C52+C57</f>
        <v>62445662</v>
      </c>
    </row>
    <row r="59" ht="13.5" thickBot="1">
      <c r="C59" s="594">
        <f>C42-C58</f>
        <v>0</v>
      </c>
    </row>
    <row r="60" spans="1:3" ht="15" customHeight="1" thickBot="1">
      <c r="A60" s="222" t="s">
        <v>499</v>
      </c>
      <c r="B60" s="223"/>
      <c r="C60" s="113">
        <v>9</v>
      </c>
    </row>
    <row r="61" spans="1:3" ht="14.25" customHeight="1" thickBot="1">
      <c r="A61" s="222" t="s">
        <v>189</v>
      </c>
      <c r="B61" s="223"/>
      <c r="C61" s="113">
        <v>0</v>
      </c>
    </row>
    <row r="62" spans="1:3" ht="12.75">
      <c r="A62" s="591"/>
      <c r="B62" s="592"/>
      <c r="C62" s="592"/>
    </row>
    <row r="63" spans="1:2" ht="12.75">
      <c r="A63" s="591"/>
      <c r="B63" s="592"/>
    </row>
    <row r="64" spans="1:3" ht="12.75">
      <c r="A64" s="591"/>
      <c r="B64" s="592"/>
      <c r="C64" s="592"/>
    </row>
    <row r="65" spans="1:3" ht="12.75">
      <c r="A65" s="591"/>
      <c r="B65" s="592"/>
      <c r="C65" s="592"/>
    </row>
    <row r="66" spans="1:3" ht="12.75">
      <c r="A66" s="591"/>
      <c r="B66" s="592"/>
      <c r="C66" s="592"/>
    </row>
    <row r="67" spans="1:3" ht="12.75">
      <c r="A67" s="591"/>
      <c r="B67" s="592"/>
      <c r="C67" s="592"/>
    </row>
    <row r="68" spans="1:3" ht="12.75">
      <c r="A68" s="591"/>
      <c r="B68" s="592"/>
      <c r="C68" s="592"/>
    </row>
    <row r="69" spans="1:3" ht="12.75">
      <c r="A69" s="591"/>
      <c r="B69" s="592"/>
      <c r="C69" s="592"/>
    </row>
    <row r="70" spans="1:3" ht="12.75">
      <c r="A70" s="591"/>
      <c r="B70" s="592"/>
      <c r="C70" s="592"/>
    </row>
    <row r="71" spans="1:3" ht="12.75">
      <c r="A71" s="591"/>
      <c r="B71" s="592"/>
      <c r="C71" s="592"/>
    </row>
    <row r="72" spans="1:3" ht="12.75">
      <c r="A72" s="591"/>
      <c r="B72" s="592"/>
      <c r="C72" s="592"/>
    </row>
    <row r="73" spans="1:3" ht="12.75">
      <c r="A73" s="591"/>
      <c r="B73" s="592"/>
      <c r="C73" s="592"/>
    </row>
    <row r="74" spans="1:3" ht="12.75">
      <c r="A74" s="591"/>
      <c r="B74" s="592"/>
      <c r="C74" s="592"/>
    </row>
    <row r="75" spans="1:3" ht="12.75">
      <c r="A75" s="591"/>
      <c r="B75" s="592"/>
      <c r="C75" s="592"/>
    </row>
    <row r="76" spans="1:3" ht="12.75">
      <c r="A76" s="591"/>
      <c r="B76" s="592"/>
      <c r="C76" s="592"/>
    </row>
    <row r="77" spans="1:3" ht="12.75">
      <c r="A77" s="591"/>
      <c r="B77" s="592"/>
      <c r="C77" s="592"/>
    </row>
    <row r="78" spans="1:3" ht="12.75">
      <c r="A78" s="591"/>
      <c r="B78" s="592"/>
      <c r="C78" s="592"/>
    </row>
    <row r="79" spans="1:3" ht="12.75">
      <c r="A79" s="591"/>
      <c r="B79" s="592"/>
      <c r="C79" s="592"/>
    </row>
    <row r="80" spans="1:3" ht="12.75">
      <c r="A80" s="591"/>
      <c r="B80" s="592"/>
      <c r="C80" s="592"/>
    </row>
    <row r="81" spans="1:3" ht="12.75">
      <c r="A81" s="591"/>
      <c r="B81" s="592"/>
      <c r="C81" s="592"/>
    </row>
    <row r="82" spans="1:3" ht="12.75">
      <c r="A82" s="591"/>
      <c r="B82" s="592"/>
      <c r="C82" s="592"/>
    </row>
    <row r="83" spans="1:3" ht="12.75">
      <c r="A83" s="591"/>
      <c r="B83" s="592"/>
      <c r="C83" s="59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B7" sqref="B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63" t="s">
        <v>560</v>
      </c>
      <c r="B1" s="763"/>
      <c r="C1" s="763"/>
      <c r="D1" s="763"/>
      <c r="E1" s="763"/>
      <c r="F1" s="763"/>
      <c r="G1" s="763"/>
      <c r="H1" s="763"/>
      <c r="I1" s="763"/>
      <c r="J1" s="763"/>
      <c r="K1" s="622"/>
      <c r="L1" s="622"/>
    </row>
    <row r="2" spans="1:12" ht="12.7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ht="15.75">
      <c r="A3" s="760" t="s">
        <v>673</v>
      </c>
      <c r="B3" s="760"/>
      <c r="C3" s="760"/>
      <c r="D3" s="760"/>
      <c r="E3" s="760"/>
      <c r="F3" s="760"/>
      <c r="G3" s="760"/>
      <c r="H3" s="760"/>
      <c r="I3" s="760"/>
      <c r="J3" s="760"/>
      <c r="K3" s="622"/>
      <c r="L3" s="622"/>
    </row>
    <row r="4" spans="1:12" ht="12.7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</row>
    <row r="5" spans="1:12" ht="12.75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</row>
    <row r="6" spans="1:12" ht="14.25">
      <c r="A6" s="690" t="s">
        <v>646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</row>
    <row r="7" spans="1:12" ht="12.75">
      <c r="A7" s="670" t="s">
        <v>625</v>
      </c>
      <c r="B7" s="688">
        <v>4</v>
      </c>
      <c r="C7" s="151" t="s">
        <v>622</v>
      </c>
      <c r="D7" s="151">
        <f>TARTALOMJEGYZÉK!A1</f>
        <v>2020</v>
      </c>
      <c r="E7" s="151" t="s">
        <v>623</v>
      </c>
      <c r="F7" s="688" t="s">
        <v>768</v>
      </c>
      <c r="G7" s="151" t="s">
        <v>624</v>
      </c>
      <c r="H7" s="151" t="s">
        <v>626</v>
      </c>
      <c r="I7" s="151"/>
      <c r="J7" s="151"/>
      <c r="K7" s="151"/>
      <c r="L7" s="622"/>
    </row>
    <row r="8" spans="1:12" ht="12.75">
      <c r="A8" s="691"/>
      <c r="B8" s="689"/>
      <c r="C8" s="622"/>
      <c r="D8" s="622"/>
      <c r="E8" s="622"/>
      <c r="F8" s="689"/>
      <c r="G8" s="622"/>
      <c r="H8" s="622"/>
      <c r="I8" s="622"/>
      <c r="J8" s="622"/>
      <c r="K8" s="622"/>
      <c r="L8" s="622"/>
    </row>
    <row r="9" spans="1:12" ht="12.75">
      <c r="A9" s="691"/>
      <c r="B9" s="689"/>
      <c r="C9" s="622"/>
      <c r="D9" s="622"/>
      <c r="E9" s="622"/>
      <c r="F9" s="689"/>
      <c r="G9" s="622"/>
      <c r="H9" s="622"/>
      <c r="I9" s="622"/>
      <c r="J9" s="622"/>
      <c r="K9" s="622"/>
      <c r="L9" s="622"/>
    </row>
    <row r="10" spans="1:12" ht="13.5" thickBot="1">
      <c r="A10" s="622"/>
      <c r="B10" s="622"/>
      <c r="C10" s="622"/>
      <c r="D10" s="622"/>
      <c r="E10" s="622"/>
      <c r="F10" s="622"/>
      <c r="G10" s="622"/>
      <c r="H10" s="622"/>
      <c r="I10" s="622"/>
      <c r="J10" s="622"/>
      <c r="K10" s="646" t="s">
        <v>652</v>
      </c>
      <c r="L10" s="622"/>
    </row>
    <row r="11" spans="1:16" ht="17.25" thickBot="1" thickTop="1">
      <c r="A11" s="760" t="s">
        <v>669</v>
      </c>
      <c r="B11" s="761"/>
      <c r="C11" s="761"/>
      <c r="D11" s="761"/>
      <c r="E11" s="761"/>
      <c r="F11" s="761"/>
      <c r="G11" s="761"/>
      <c r="H11" s="762"/>
      <c r="I11" s="762"/>
      <c r="J11" s="762"/>
      <c r="K11" s="692" t="s">
        <v>662</v>
      </c>
      <c r="L11" s="622"/>
      <c r="M11" s="647" t="s">
        <v>24</v>
      </c>
      <c r="N11">
        <f>IF($K$11="Nem","",2)</f>
        <v>2</v>
      </c>
      <c r="O11" t="s">
        <v>653</v>
      </c>
      <c r="P11" t="str">
        <f>CONCATENATE(M11,N11,O11)</f>
        <v>9.2.</v>
      </c>
    </row>
    <row r="12" spans="1:12" ht="13.5" thickTop="1">
      <c r="A12" s="622"/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</row>
    <row r="13" spans="1:16" ht="14.25">
      <c r="A13" s="693" t="s">
        <v>562</v>
      </c>
      <c r="B13" s="758" t="s">
        <v>670</v>
      </c>
      <c r="C13" s="759"/>
      <c r="D13" s="759"/>
      <c r="E13" s="759"/>
      <c r="F13" s="759"/>
      <c r="G13" s="759"/>
      <c r="H13" s="759"/>
      <c r="I13" s="759"/>
      <c r="J13" s="759"/>
      <c r="K13" s="622"/>
      <c r="L13" s="622"/>
      <c r="M13" s="647" t="s">
        <v>24</v>
      </c>
      <c r="N13">
        <f>IF(K11="Nem",2,3)</f>
        <v>3</v>
      </c>
      <c r="O13" t="s">
        <v>653</v>
      </c>
      <c r="P13" t="str">
        <f>CONCATENATE(M13,N13,O13)</f>
        <v>9.3.</v>
      </c>
    </row>
    <row r="14" spans="1:12" ht="14.25">
      <c r="A14" s="622"/>
      <c r="B14" s="623"/>
      <c r="C14" s="622"/>
      <c r="D14" s="622"/>
      <c r="E14" s="622"/>
      <c r="F14" s="622"/>
      <c r="G14" s="622"/>
      <c r="H14" s="622"/>
      <c r="I14" s="622"/>
      <c r="J14" s="622"/>
      <c r="K14" s="622"/>
      <c r="L14" s="622"/>
    </row>
    <row r="15" spans="1:16" ht="14.25">
      <c r="A15" s="693" t="s">
        <v>563</v>
      </c>
      <c r="B15" s="758" t="s">
        <v>571</v>
      </c>
      <c r="C15" s="759"/>
      <c r="D15" s="759"/>
      <c r="E15" s="759"/>
      <c r="F15" s="759"/>
      <c r="G15" s="759"/>
      <c r="H15" s="759"/>
      <c r="I15" s="759"/>
      <c r="J15" s="759"/>
      <c r="K15" s="622"/>
      <c r="L15" s="622"/>
      <c r="M15" s="647" t="s">
        <v>24</v>
      </c>
      <c r="N15">
        <f>N13+1</f>
        <v>4</v>
      </c>
      <c r="O15" t="s">
        <v>653</v>
      </c>
      <c r="P15" t="str">
        <f>CONCATENATE(M15,N15,O15)</f>
        <v>9.4.</v>
      </c>
    </row>
    <row r="16" spans="1:12" ht="14.25">
      <c r="A16" s="622"/>
      <c r="B16" s="623"/>
      <c r="C16" s="622"/>
      <c r="D16" s="622"/>
      <c r="E16" s="622"/>
      <c r="F16" s="622"/>
      <c r="G16" s="622"/>
      <c r="H16" s="622"/>
      <c r="I16" s="622"/>
      <c r="J16" s="622"/>
      <c r="K16" s="622"/>
      <c r="L16" s="622"/>
    </row>
    <row r="17" spans="1:16" ht="14.25">
      <c r="A17" s="693" t="s">
        <v>564</v>
      </c>
      <c r="B17" s="758" t="s">
        <v>647</v>
      </c>
      <c r="C17" s="759"/>
      <c r="D17" s="759"/>
      <c r="E17" s="759"/>
      <c r="F17" s="759"/>
      <c r="G17" s="759"/>
      <c r="H17" s="759"/>
      <c r="I17" s="759"/>
      <c r="J17" s="759"/>
      <c r="K17" s="622"/>
      <c r="L17" s="622"/>
      <c r="M17" s="647" t="s">
        <v>24</v>
      </c>
      <c r="N17">
        <f>N15+1</f>
        <v>5</v>
      </c>
      <c r="O17" t="s">
        <v>653</v>
      </c>
      <c r="P17" t="str">
        <f>CONCATENATE(M17,N17,O17)</f>
        <v>9.5.</v>
      </c>
    </row>
    <row r="18" spans="1:12" ht="14.25">
      <c r="A18" s="622"/>
      <c r="B18" s="623"/>
      <c r="C18" s="622"/>
      <c r="D18" s="622"/>
      <c r="E18" s="622"/>
      <c r="F18" s="622"/>
      <c r="G18" s="622"/>
      <c r="H18" s="622"/>
      <c r="I18" s="622"/>
      <c r="J18" s="622"/>
      <c r="K18" s="622"/>
      <c r="L18" s="622"/>
    </row>
    <row r="19" spans="1:16" ht="14.25">
      <c r="A19" s="693" t="s">
        <v>565</v>
      </c>
      <c r="B19" s="758" t="s">
        <v>572</v>
      </c>
      <c r="C19" s="759"/>
      <c r="D19" s="759"/>
      <c r="E19" s="759"/>
      <c r="F19" s="759"/>
      <c r="G19" s="759"/>
      <c r="H19" s="759"/>
      <c r="I19" s="759"/>
      <c r="J19" s="759"/>
      <c r="K19" s="622"/>
      <c r="L19" s="622"/>
      <c r="M19" s="647" t="s">
        <v>24</v>
      </c>
      <c r="N19">
        <f>N17+1</f>
        <v>6</v>
      </c>
      <c r="O19" t="s">
        <v>653</v>
      </c>
      <c r="P19" t="str">
        <f>CONCATENATE(M19,N19,O19)</f>
        <v>9.6.</v>
      </c>
    </row>
    <row r="20" spans="1:12" ht="14.25">
      <c r="A20" s="622"/>
      <c r="B20" s="623"/>
      <c r="C20" s="622"/>
      <c r="D20" s="622"/>
      <c r="E20" s="622"/>
      <c r="F20" s="622"/>
      <c r="G20" s="622"/>
      <c r="H20" s="622"/>
      <c r="I20" s="622"/>
      <c r="J20" s="622"/>
      <c r="K20" s="622"/>
      <c r="L20" s="622"/>
    </row>
    <row r="21" spans="1:16" ht="14.25">
      <c r="A21" s="693" t="s">
        <v>566</v>
      </c>
      <c r="B21" s="758" t="s">
        <v>573</v>
      </c>
      <c r="C21" s="759"/>
      <c r="D21" s="759"/>
      <c r="E21" s="759"/>
      <c r="F21" s="759"/>
      <c r="G21" s="759"/>
      <c r="H21" s="759"/>
      <c r="I21" s="759"/>
      <c r="J21" s="759"/>
      <c r="K21" s="622"/>
      <c r="L21" s="622"/>
      <c r="M21" s="647" t="s">
        <v>24</v>
      </c>
      <c r="N21">
        <f>N19+1</f>
        <v>7</v>
      </c>
      <c r="O21" t="s">
        <v>653</v>
      </c>
      <c r="P21" t="str">
        <f>CONCATENATE(M21,N21,O21)</f>
        <v>9.7.</v>
      </c>
    </row>
    <row r="22" spans="1:12" ht="14.25">
      <c r="A22" s="622"/>
      <c r="B22" s="623"/>
      <c r="C22" s="622"/>
      <c r="D22" s="622"/>
      <c r="E22" s="622"/>
      <c r="F22" s="622"/>
      <c r="G22" s="622"/>
      <c r="H22" s="622"/>
      <c r="I22" s="622"/>
      <c r="J22" s="622"/>
      <c r="K22" s="622"/>
      <c r="L22" s="622"/>
    </row>
    <row r="23" spans="1:16" ht="14.25">
      <c r="A23" s="693" t="s">
        <v>567</v>
      </c>
      <c r="B23" s="758" t="s">
        <v>574</v>
      </c>
      <c r="C23" s="759"/>
      <c r="D23" s="759"/>
      <c r="E23" s="759"/>
      <c r="F23" s="759"/>
      <c r="G23" s="759"/>
      <c r="H23" s="759"/>
      <c r="I23" s="759"/>
      <c r="J23" s="759"/>
      <c r="K23" s="622"/>
      <c r="L23" s="622"/>
      <c r="M23" s="647" t="s">
        <v>24</v>
      </c>
      <c r="N23">
        <f>N21+1</f>
        <v>8</v>
      </c>
      <c r="O23" t="s">
        <v>653</v>
      </c>
      <c r="P23" t="str">
        <f>CONCATENATE(M23,N23,O23)</f>
        <v>9.8.</v>
      </c>
    </row>
    <row r="24" spans="1:12" ht="14.25">
      <c r="A24" s="622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</row>
    <row r="25" spans="1:16" ht="14.25">
      <c r="A25" s="693" t="s">
        <v>568</v>
      </c>
      <c r="B25" s="758" t="s">
        <v>575</v>
      </c>
      <c r="C25" s="759"/>
      <c r="D25" s="759"/>
      <c r="E25" s="759"/>
      <c r="F25" s="759"/>
      <c r="G25" s="759"/>
      <c r="H25" s="759"/>
      <c r="I25" s="759"/>
      <c r="J25" s="759"/>
      <c r="K25" s="622"/>
      <c r="L25" s="622"/>
      <c r="M25" s="647" t="s">
        <v>24</v>
      </c>
      <c r="N25">
        <f>N23+1</f>
        <v>9</v>
      </c>
      <c r="O25" t="s">
        <v>653</v>
      </c>
      <c r="P25" t="str">
        <f>CONCATENATE(M25,N25,O25)</f>
        <v>9.9.</v>
      </c>
    </row>
    <row r="26" spans="1:12" ht="14.25">
      <c r="A26" s="622"/>
      <c r="B26" s="623"/>
      <c r="C26" s="622"/>
      <c r="D26" s="622"/>
      <c r="E26" s="622"/>
      <c r="F26" s="622"/>
      <c r="G26" s="622"/>
      <c r="H26" s="622"/>
      <c r="I26" s="622"/>
      <c r="J26" s="622"/>
      <c r="K26" s="622"/>
      <c r="L26" s="622"/>
    </row>
    <row r="27" spans="1:16" ht="14.25">
      <c r="A27" s="693" t="s">
        <v>569</v>
      </c>
      <c r="B27" s="758" t="s">
        <v>576</v>
      </c>
      <c r="C27" s="759"/>
      <c r="D27" s="759"/>
      <c r="E27" s="759"/>
      <c r="F27" s="759"/>
      <c r="G27" s="759"/>
      <c r="H27" s="759"/>
      <c r="I27" s="759"/>
      <c r="J27" s="759"/>
      <c r="K27" s="622"/>
      <c r="L27" s="622"/>
      <c r="M27" s="647" t="s">
        <v>24</v>
      </c>
      <c r="N27">
        <f>N25+1</f>
        <v>10</v>
      </c>
      <c r="O27" t="s">
        <v>653</v>
      </c>
      <c r="P27" t="str">
        <f>CONCATENATE(M27,N27,O27)</f>
        <v>9.10.</v>
      </c>
    </row>
    <row r="28" spans="1:12" ht="14.25">
      <c r="A28" s="622"/>
      <c r="B28" s="623"/>
      <c r="C28" s="622"/>
      <c r="D28" s="622"/>
      <c r="E28" s="622"/>
      <c r="F28" s="622"/>
      <c r="G28" s="622"/>
      <c r="H28" s="622"/>
      <c r="I28" s="622"/>
      <c r="J28" s="622"/>
      <c r="K28" s="622"/>
      <c r="L28" s="622"/>
    </row>
    <row r="29" spans="1:16" ht="14.25">
      <c r="A29" s="693" t="s">
        <v>569</v>
      </c>
      <c r="B29" s="758" t="s">
        <v>577</v>
      </c>
      <c r="C29" s="759"/>
      <c r="D29" s="759"/>
      <c r="E29" s="759"/>
      <c r="F29" s="759"/>
      <c r="G29" s="759"/>
      <c r="H29" s="759"/>
      <c r="I29" s="759"/>
      <c r="J29" s="759"/>
      <c r="K29" s="622"/>
      <c r="L29" s="622"/>
      <c r="M29" s="647" t="s">
        <v>24</v>
      </c>
      <c r="N29">
        <f>N27+1</f>
        <v>11</v>
      </c>
      <c r="O29" t="s">
        <v>653</v>
      </c>
      <c r="P29" t="str">
        <f>CONCATENATE(M29,N29,O29)</f>
        <v>9.11.</v>
      </c>
    </row>
    <row r="30" spans="1:12" ht="14.25">
      <c r="A30" s="622"/>
      <c r="B30" s="623"/>
      <c r="C30" s="622"/>
      <c r="D30" s="622"/>
      <c r="E30" s="622"/>
      <c r="F30" s="622"/>
      <c r="G30" s="622"/>
      <c r="H30" s="622"/>
      <c r="I30" s="622"/>
      <c r="J30" s="622"/>
      <c r="K30" s="622"/>
      <c r="L30" s="622"/>
    </row>
    <row r="31" spans="1:16" ht="14.25">
      <c r="A31" s="693" t="s">
        <v>570</v>
      </c>
      <c r="B31" s="758" t="s">
        <v>578</v>
      </c>
      <c r="C31" s="759"/>
      <c r="D31" s="759"/>
      <c r="E31" s="759"/>
      <c r="F31" s="759"/>
      <c r="G31" s="759"/>
      <c r="H31" s="759"/>
      <c r="I31" s="759"/>
      <c r="J31" s="759"/>
      <c r="K31" s="622"/>
      <c r="L31" s="622"/>
      <c r="M31" s="647" t="s">
        <v>24</v>
      </c>
      <c r="N31">
        <f>N29+1</f>
        <v>12</v>
      </c>
      <c r="O31" t="s">
        <v>653</v>
      </c>
      <c r="P31" t="str">
        <f>CONCATENATE(M31,N31,O31)</f>
        <v>9.12.</v>
      </c>
    </row>
    <row r="32" spans="1:12" ht="12.75">
      <c r="A32" s="622"/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622"/>
    </row>
    <row r="33" spans="1:12" ht="14.25">
      <c r="A33" s="693"/>
      <c r="B33" s="622"/>
      <c r="C33" s="622"/>
      <c r="D33" s="622"/>
      <c r="E33" s="622"/>
      <c r="F33" s="622"/>
      <c r="G33" s="622"/>
      <c r="H33" s="622"/>
      <c r="I33" s="622"/>
      <c r="J33" s="622"/>
      <c r="K33" s="622"/>
      <c r="L33" s="622"/>
    </row>
    <row r="34" spans="1:12" ht="12.75">
      <c r="A34" s="622"/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622"/>
    </row>
  </sheetData>
  <sheetProtection sheet="1"/>
  <mergeCells count="13">
    <mergeCell ref="A3:J3"/>
    <mergeCell ref="A1:J1"/>
    <mergeCell ref="B21:J21"/>
    <mergeCell ref="B23:J23"/>
    <mergeCell ref="B25:J25"/>
    <mergeCell ref="B27:J27"/>
    <mergeCell ref="B31:J31"/>
    <mergeCell ref="B13:J13"/>
    <mergeCell ref="B15:J15"/>
    <mergeCell ref="B17:J17"/>
    <mergeCell ref="B19:J19"/>
    <mergeCell ref="A11:J11"/>
    <mergeCell ref="B29:J29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43">
      <selection activeCell="C15" sqref="C15"/>
    </sheetView>
  </sheetViews>
  <sheetFormatPr defaultColWidth="9.00390625" defaultRowHeight="12.75"/>
  <cols>
    <col min="1" max="1" width="13.875" style="220" customWidth="1"/>
    <col min="2" max="2" width="79.125" style="221" customWidth="1"/>
    <col min="3" max="3" width="25.00390625" style="221" customWidth="1"/>
    <col min="4" max="16384" width="9.375" style="221" customWidth="1"/>
  </cols>
  <sheetData>
    <row r="1" spans="1:3" s="201" customFormat="1" ht="21" customHeight="1" thickBot="1">
      <c r="A1" s="200"/>
      <c r="B1" s="202"/>
      <c r="C1" s="561" t="str">
        <f>CONCATENATE("9.2.1. melléklet ",ALAPADATOK!A7," ",ALAPADATOK!B7," ",ALAPADATOK!C7," ",ALAPADATOK!D7," ",ALAPADATOK!E7," ",ALAPADATOK!F7," ",ALAPADATOK!G7," ",ALAPADATOK!H7)</f>
        <v>9.2.1. melléklet a 4 / 2020 ( II.25. ) önkormányzati rendelethez</v>
      </c>
    </row>
    <row r="2" spans="1:3" s="430" customFormat="1" ht="36">
      <c r="A2" s="383" t="s">
        <v>187</v>
      </c>
      <c r="B2" s="559" t="str">
        <f>CONCATENATE(ALAPADATOK!A11)</f>
        <v>Murakeresztúri Közös Önkormányzati Hivatal</v>
      </c>
      <c r="C2" s="343" t="s">
        <v>57</v>
      </c>
    </row>
    <row r="3" spans="1:3" s="430" customFormat="1" ht="24.75" thickBot="1">
      <c r="A3" s="424" t="s">
        <v>186</v>
      </c>
      <c r="B3" s="560" t="s">
        <v>398</v>
      </c>
      <c r="C3" s="344" t="s">
        <v>57</v>
      </c>
    </row>
    <row r="4" spans="1:3" s="431" customFormat="1" ht="15.75" customHeight="1" thickBot="1">
      <c r="A4" s="203"/>
      <c r="B4" s="203"/>
      <c r="C4" s="204" t="str">
        <f>'KV_9.2.sz.mell'!C4</f>
        <v>Forintban!</v>
      </c>
    </row>
    <row r="5" spans="1:3" ht="13.5" thickBot="1">
      <c r="A5" s="384" t="s">
        <v>188</v>
      </c>
      <c r="B5" s="205" t="s">
        <v>540</v>
      </c>
      <c r="C5" s="206" t="s">
        <v>53</v>
      </c>
    </row>
    <row r="6" spans="1:3" s="432" customFormat="1" ht="12.75" customHeight="1" thickBot="1">
      <c r="A6" s="183"/>
      <c r="B6" s="184" t="s">
        <v>473</v>
      </c>
      <c r="C6" s="185" t="s">
        <v>474</v>
      </c>
    </row>
    <row r="7" spans="1:3" s="432" customFormat="1" ht="15.75" customHeight="1" thickBot="1">
      <c r="A7" s="207"/>
      <c r="B7" s="208" t="s">
        <v>54</v>
      </c>
      <c r="C7" s="209"/>
    </row>
    <row r="8" spans="1:3" s="345" customFormat="1" ht="12" customHeight="1" thickBot="1">
      <c r="A8" s="183" t="s">
        <v>16</v>
      </c>
      <c r="B8" s="210" t="s">
        <v>500</v>
      </c>
      <c r="C8" s="294">
        <f>SUM(C9:C19)</f>
        <v>100</v>
      </c>
    </row>
    <row r="9" spans="1:3" s="345" customFormat="1" ht="12" customHeight="1">
      <c r="A9" s="425" t="s">
        <v>96</v>
      </c>
      <c r="B9" s="10" t="s">
        <v>258</v>
      </c>
      <c r="C9" s="335"/>
    </row>
    <row r="10" spans="1:3" s="345" customFormat="1" ht="12" customHeight="1">
      <c r="A10" s="426" t="s">
        <v>97</v>
      </c>
      <c r="B10" s="8" t="s">
        <v>259</v>
      </c>
      <c r="C10" s="292"/>
    </row>
    <row r="11" spans="1:3" s="345" customFormat="1" ht="12" customHeight="1">
      <c r="A11" s="426" t="s">
        <v>98</v>
      </c>
      <c r="B11" s="8" t="s">
        <v>260</v>
      </c>
      <c r="C11" s="292"/>
    </row>
    <row r="12" spans="1:3" s="345" customFormat="1" ht="12" customHeight="1">
      <c r="A12" s="426" t="s">
        <v>99</v>
      </c>
      <c r="B12" s="8" t="s">
        <v>261</v>
      </c>
      <c r="C12" s="292"/>
    </row>
    <row r="13" spans="1:3" s="345" customFormat="1" ht="12" customHeight="1">
      <c r="A13" s="426" t="s">
        <v>139</v>
      </c>
      <c r="B13" s="8" t="s">
        <v>262</v>
      </c>
      <c r="C13" s="292"/>
    </row>
    <row r="14" spans="1:3" s="345" customFormat="1" ht="12" customHeight="1">
      <c r="A14" s="426" t="s">
        <v>100</v>
      </c>
      <c r="B14" s="8" t="s">
        <v>380</v>
      </c>
      <c r="C14" s="292"/>
    </row>
    <row r="15" spans="1:3" s="345" customFormat="1" ht="12" customHeight="1">
      <c r="A15" s="426" t="s">
        <v>101</v>
      </c>
      <c r="B15" s="7" t="s">
        <v>381</v>
      </c>
      <c r="C15" s="292"/>
    </row>
    <row r="16" spans="1:3" s="345" customFormat="1" ht="12" customHeight="1">
      <c r="A16" s="426" t="s">
        <v>111</v>
      </c>
      <c r="B16" s="8" t="s">
        <v>265</v>
      </c>
      <c r="C16" s="336"/>
    </row>
    <row r="17" spans="1:3" s="433" customFormat="1" ht="12" customHeight="1">
      <c r="A17" s="426" t="s">
        <v>112</v>
      </c>
      <c r="B17" s="8" t="s">
        <v>266</v>
      </c>
      <c r="C17" s="292"/>
    </row>
    <row r="18" spans="1:3" s="433" customFormat="1" ht="12" customHeight="1">
      <c r="A18" s="426" t="s">
        <v>113</v>
      </c>
      <c r="B18" s="8" t="s">
        <v>416</v>
      </c>
      <c r="C18" s="293"/>
    </row>
    <row r="19" spans="1:3" s="433" customFormat="1" ht="12" customHeight="1" thickBot="1">
      <c r="A19" s="426" t="s">
        <v>114</v>
      </c>
      <c r="B19" s="7" t="s">
        <v>267</v>
      </c>
      <c r="C19" s="293">
        <v>100</v>
      </c>
    </row>
    <row r="20" spans="1:3" s="345" customFormat="1" ht="12" customHeight="1" thickBot="1">
      <c r="A20" s="183" t="s">
        <v>17</v>
      </c>
      <c r="B20" s="210" t="s">
        <v>382</v>
      </c>
      <c r="C20" s="294">
        <f>SUM(C21:C23)</f>
        <v>0</v>
      </c>
    </row>
    <row r="21" spans="1:3" s="433" customFormat="1" ht="12" customHeight="1">
      <c r="A21" s="426" t="s">
        <v>102</v>
      </c>
      <c r="B21" s="9" t="s">
        <v>241</v>
      </c>
      <c r="C21" s="292"/>
    </row>
    <row r="22" spans="1:3" s="433" customFormat="1" ht="12" customHeight="1">
      <c r="A22" s="426" t="s">
        <v>103</v>
      </c>
      <c r="B22" s="8" t="s">
        <v>383</v>
      </c>
      <c r="C22" s="292"/>
    </row>
    <row r="23" spans="1:3" s="433" customFormat="1" ht="12" customHeight="1">
      <c r="A23" s="426" t="s">
        <v>104</v>
      </c>
      <c r="B23" s="8" t="s">
        <v>384</v>
      </c>
      <c r="C23" s="292"/>
    </row>
    <row r="24" spans="1:3" s="433" customFormat="1" ht="12" customHeight="1" thickBot="1">
      <c r="A24" s="426" t="s">
        <v>105</v>
      </c>
      <c r="B24" s="8" t="s">
        <v>501</v>
      </c>
      <c r="C24" s="292"/>
    </row>
    <row r="25" spans="1:3" s="433" customFormat="1" ht="12" customHeight="1" thickBot="1">
      <c r="A25" s="190" t="s">
        <v>18</v>
      </c>
      <c r="B25" s="116" t="s">
        <v>158</v>
      </c>
      <c r="C25" s="320"/>
    </row>
    <row r="26" spans="1:3" s="433" customFormat="1" ht="12" customHeight="1" thickBot="1">
      <c r="A26" s="190" t="s">
        <v>19</v>
      </c>
      <c r="B26" s="116" t="s">
        <v>502</v>
      </c>
      <c r="C26" s="294">
        <f>+C27+C28+C29</f>
        <v>0</v>
      </c>
    </row>
    <row r="27" spans="1:3" s="433" customFormat="1" ht="12" customHeight="1">
      <c r="A27" s="427" t="s">
        <v>251</v>
      </c>
      <c r="B27" s="428" t="s">
        <v>246</v>
      </c>
      <c r="C27" s="76"/>
    </row>
    <row r="28" spans="1:3" s="433" customFormat="1" ht="12" customHeight="1">
      <c r="A28" s="427" t="s">
        <v>252</v>
      </c>
      <c r="B28" s="428" t="s">
        <v>383</v>
      </c>
      <c r="C28" s="292"/>
    </row>
    <row r="29" spans="1:3" s="433" customFormat="1" ht="12" customHeight="1">
      <c r="A29" s="427" t="s">
        <v>253</v>
      </c>
      <c r="B29" s="429" t="s">
        <v>386</v>
      </c>
      <c r="C29" s="292"/>
    </row>
    <row r="30" spans="1:3" s="433" customFormat="1" ht="12" customHeight="1" thickBot="1">
      <c r="A30" s="426" t="s">
        <v>254</v>
      </c>
      <c r="B30" s="132" t="s">
        <v>503</v>
      </c>
      <c r="C30" s="83"/>
    </row>
    <row r="31" spans="1:3" s="433" customFormat="1" ht="12" customHeight="1" thickBot="1">
      <c r="A31" s="190" t="s">
        <v>20</v>
      </c>
      <c r="B31" s="116" t="s">
        <v>387</v>
      </c>
      <c r="C31" s="294">
        <f>+C32+C33+C34</f>
        <v>0</v>
      </c>
    </row>
    <row r="32" spans="1:3" s="433" customFormat="1" ht="12" customHeight="1">
      <c r="A32" s="427" t="s">
        <v>89</v>
      </c>
      <c r="B32" s="428" t="s">
        <v>272</v>
      </c>
      <c r="C32" s="76"/>
    </row>
    <row r="33" spans="1:3" s="433" customFormat="1" ht="12" customHeight="1">
      <c r="A33" s="427" t="s">
        <v>90</v>
      </c>
      <c r="B33" s="429" t="s">
        <v>273</v>
      </c>
      <c r="C33" s="295"/>
    </row>
    <row r="34" spans="1:3" s="433" customFormat="1" ht="12" customHeight="1" thickBot="1">
      <c r="A34" s="426" t="s">
        <v>91</v>
      </c>
      <c r="B34" s="132" t="s">
        <v>274</v>
      </c>
      <c r="C34" s="83"/>
    </row>
    <row r="35" spans="1:3" s="345" customFormat="1" ht="12" customHeight="1" thickBot="1">
      <c r="A35" s="190" t="s">
        <v>21</v>
      </c>
      <c r="B35" s="116" t="s">
        <v>357</v>
      </c>
      <c r="C35" s="320"/>
    </row>
    <row r="36" spans="1:3" s="345" customFormat="1" ht="12" customHeight="1" thickBot="1">
      <c r="A36" s="190" t="s">
        <v>22</v>
      </c>
      <c r="B36" s="116" t="s">
        <v>388</v>
      </c>
      <c r="C36" s="337"/>
    </row>
    <row r="37" spans="1:3" s="345" customFormat="1" ht="12" customHeight="1" thickBot="1">
      <c r="A37" s="183" t="s">
        <v>23</v>
      </c>
      <c r="B37" s="116" t="s">
        <v>389</v>
      </c>
      <c r="C37" s="338">
        <f>+C8+C20+C25+C26+C31+C35+C36</f>
        <v>100</v>
      </c>
    </row>
    <row r="38" spans="1:3" s="345" customFormat="1" ht="12" customHeight="1" thickBot="1">
      <c r="A38" s="211" t="s">
        <v>24</v>
      </c>
      <c r="B38" s="116" t="s">
        <v>390</v>
      </c>
      <c r="C38" s="338">
        <f>+C39+C40+C41</f>
        <v>62445562</v>
      </c>
    </row>
    <row r="39" spans="1:3" s="345" customFormat="1" ht="12" customHeight="1">
      <c r="A39" s="427" t="s">
        <v>391</v>
      </c>
      <c r="B39" s="428" t="s">
        <v>219</v>
      </c>
      <c r="C39" s="76">
        <v>2305688</v>
      </c>
    </row>
    <row r="40" spans="1:3" s="345" customFormat="1" ht="12" customHeight="1">
      <c r="A40" s="427" t="s">
        <v>392</v>
      </c>
      <c r="B40" s="429" t="s">
        <v>2</v>
      </c>
      <c r="C40" s="295"/>
    </row>
    <row r="41" spans="1:3" s="433" customFormat="1" ht="12" customHeight="1" thickBot="1">
      <c r="A41" s="426" t="s">
        <v>393</v>
      </c>
      <c r="B41" s="132" t="s">
        <v>394</v>
      </c>
      <c r="C41" s="83">
        <v>60139874</v>
      </c>
    </row>
    <row r="42" spans="1:3" s="433" customFormat="1" ht="15" customHeight="1" thickBot="1">
      <c r="A42" s="211" t="s">
        <v>25</v>
      </c>
      <c r="B42" s="212" t="s">
        <v>395</v>
      </c>
      <c r="C42" s="341">
        <f>+C37+C38</f>
        <v>62445662</v>
      </c>
    </row>
    <row r="43" spans="1:3" s="433" customFormat="1" ht="15" customHeight="1">
      <c r="A43" s="213"/>
      <c r="B43" s="214"/>
      <c r="C43" s="339"/>
    </row>
    <row r="44" spans="1:3" ht="13.5" thickBot="1">
      <c r="A44" s="215"/>
      <c r="B44" s="216"/>
      <c r="C44" s="340"/>
    </row>
    <row r="45" spans="1:3" s="432" customFormat="1" ht="16.5" customHeight="1" thickBot="1">
      <c r="A45" s="217"/>
      <c r="B45" s="218" t="s">
        <v>55</v>
      </c>
      <c r="C45" s="341"/>
    </row>
    <row r="46" spans="1:3" s="434" customFormat="1" ht="12" customHeight="1" thickBot="1">
      <c r="A46" s="190" t="s">
        <v>16</v>
      </c>
      <c r="B46" s="116" t="s">
        <v>396</v>
      </c>
      <c r="C46" s="294">
        <f>SUM(C47:C51)</f>
        <v>62445662</v>
      </c>
    </row>
    <row r="47" spans="1:3" ht="12" customHeight="1">
      <c r="A47" s="426" t="s">
        <v>96</v>
      </c>
      <c r="B47" s="9" t="s">
        <v>47</v>
      </c>
      <c r="C47" s="76">
        <v>43304314</v>
      </c>
    </row>
    <row r="48" spans="1:3" ht="12" customHeight="1">
      <c r="A48" s="426" t="s">
        <v>97</v>
      </c>
      <c r="B48" s="8" t="s">
        <v>167</v>
      </c>
      <c r="C48" s="79">
        <v>7682856</v>
      </c>
    </row>
    <row r="49" spans="1:3" ht="12" customHeight="1">
      <c r="A49" s="426" t="s">
        <v>98</v>
      </c>
      <c r="B49" s="8" t="s">
        <v>131</v>
      </c>
      <c r="C49" s="79">
        <v>11458492</v>
      </c>
    </row>
    <row r="50" spans="1:3" ht="12" customHeight="1">
      <c r="A50" s="426" t="s">
        <v>99</v>
      </c>
      <c r="B50" s="8" t="s">
        <v>168</v>
      </c>
      <c r="C50" s="79"/>
    </row>
    <row r="51" spans="1:3" ht="12" customHeight="1" thickBot="1">
      <c r="A51" s="426" t="s">
        <v>139</v>
      </c>
      <c r="B51" s="8" t="s">
        <v>169</v>
      </c>
      <c r="C51" s="79"/>
    </row>
    <row r="52" spans="1:3" ht="12" customHeight="1" thickBot="1">
      <c r="A52" s="190" t="s">
        <v>17</v>
      </c>
      <c r="B52" s="116" t="s">
        <v>397</v>
      </c>
      <c r="C52" s="294">
        <f>SUM(C53:C55)</f>
        <v>0</v>
      </c>
    </row>
    <row r="53" spans="1:3" s="434" customFormat="1" ht="12" customHeight="1">
      <c r="A53" s="426" t="s">
        <v>102</v>
      </c>
      <c r="B53" s="9" t="s">
        <v>213</v>
      </c>
      <c r="C53" s="76"/>
    </row>
    <row r="54" spans="1:3" ht="12" customHeight="1">
      <c r="A54" s="426" t="s">
        <v>103</v>
      </c>
      <c r="B54" s="8" t="s">
        <v>171</v>
      </c>
      <c r="C54" s="79"/>
    </row>
    <row r="55" spans="1:3" ht="12" customHeight="1">
      <c r="A55" s="426" t="s">
        <v>104</v>
      </c>
      <c r="B55" s="8" t="s">
        <v>56</v>
      </c>
      <c r="C55" s="79"/>
    </row>
    <row r="56" spans="1:3" ht="12" customHeight="1" thickBot="1">
      <c r="A56" s="426" t="s">
        <v>105</v>
      </c>
      <c r="B56" s="8" t="s">
        <v>504</v>
      </c>
      <c r="C56" s="79"/>
    </row>
    <row r="57" spans="1:3" ht="15" customHeight="1" thickBot="1">
      <c r="A57" s="190" t="s">
        <v>18</v>
      </c>
      <c r="B57" s="116" t="s">
        <v>11</v>
      </c>
      <c r="C57" s="320"/>
    </row>
    <row r="58" spans="1:3" ht="13.5" thickBot="1">
      <c r="A58" s="190" t="s">
        <v>19</v>
      </c>
      <c r="B58" s="219" t="s">
        <v>508</v>
      </c>
      <c r="C58" s="342">
        <f>+C46+C52+C57</f>
        <v>62445662</v>
      </c>
    </row>
    <row r="59" ht="15" customHeight="1" thickBot="1">
      <c r="C59" s="594">
        <f>C42-C58</f>
        <v>0</v>
      </c>
    </row>
    <row r="60" spans="1:3" ht="14.25" customHeight="1" thickBot="1">
      <c r="A60" s="222" t="s">
        <v>499</v>
      </c>
      <c r="B60" s="223"/>
      <c r="C60" s="113">
        <v>9</v>
      </c>
    </row>
    <row r="61" spans="1:3" ht="13.5" thickBot="1">
      <c r="A61" s="222" t="s">
        <v>189</v>
      </c>
      <c r="B61" s="223"/>
      <c r="C61" s="113">
        <v>0</v>
      </c>
    </row>
    <row r="63" ht="12.75">
      <c r="C63" s="5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7">
      <selection activeCell="C49" sqref="C49"/>
    </sheetView>
  </sheetViews>
  <sheetFormatPr defaultColWidth="9.00390625" defaultRowHeight="12.75"/>
  <cols>
    <col min="1" max="1" width="13.875" style="220" customWidth="1"/>
    <col min="2" max="2" width="79.125" style="221" customWidth="1"/>
    <col min="3" max="3" width="25.00390625" style="221" customWidth="1"/>
    <col min="4" max="16384" width="9.375" style="221" customWidth="1"/>
  </cols>
  <sheetData>
    <row r="1" spans="1:3" s="201" customFormat="1" ht="21" customHeight="1" thickBot="1">
      <c r="A1" s="200"/>
      <c r="B1" s="202"/>
      <c r="C1" s="561" t="str">
        <f>CONCATENATE(ALAPADATOK!P13," melléklet ",ALAPADATOK!A7," ",ALAPADATOK!B7," ",ALAPADATOK!C7," ",ALAPADATOK!D7," ",ALAPADATOK!E7," ",ALAPADATOK!F7," ",ALAPADATOK!G7," ",ALAPADATOK!H7)</f>
        <v>9.3. melléklet a 4 / 2020 ( II.25. ) önkormányzati rendelethez</v>
      </c>
    </row>
    <row r="2" spans="1:3" s="430" customFormat="1" ht="36">
      <c r="A2" s="383" t="s">
        <v>187</v>
      </c>
      <c r="B2" s="613" t="str">
        <f>CONCATENATE(ALAPADATOK!B13)</f>
        <v>Murakeresztúri Óvoda</v>
      </c>
      <c r="C2" s="343" t="s">
        <v>58</v>
      </c>
    </row>
    <row r="3" spans="1:3" s="430" customFormat="1" ht="24.75" thickBot="1">
      <c r="A3" s="424" t="s">
        <v>186</v>
      </c>
      <c r="B3" s="560" t="s">
        <v>379</v>
      </c>
      <c r="C3" s="344" t="s">
        <v>52</v>
      </c>
    </row>
    <row r="4" spans="1:3" s="431" customFormat="1" ht="15.75" customHeight="1" thickBot="1">
      <c r="A4" s="203"/>
      <c r="B4" s="203"/>
      <c r="C4" s="204" t="str">
        <f>'KV_9.2.1.sz.mell'!C4</f>
        <v>Forintban!</v>
      </c>
    </row>
    <row r="5" spans="1:3" ht="13.5" thickBot="1">
      <c r="A5" s="384" t="s">
        <v>188</v>
      </c>
      <c r="B5" s="205" t="s">
        <v>540</v>
      </c>
      <c r="C5" s="206" t="s">
        <v>53</v>
      </c>
    </row>
    <row r="6" spans="1:3" s="432" customFormat="1" ht="12.75" customHeight="1" thickBot="1">
      <c r="A6" s="183"/>
      <c r="B6" s="184" t="s">
        <v>473</v>
      </c>
      <c r="C6" s="185" t="s">
        <v>474</v>
      </c>
    </row>
    <row r="7" spans="1:3" s="432" customFormat="1" ht="15.75" customHeight="1" thickBot="1">
      <c r="A7" s="207"/>
      <c r="B7" s="208" t="s">
        <v>54</v>
      </c>
      <c r="C7" s="209"/>
    </row>
    <row r="8" spans="1:3" s="345" customFormat="1" ht="12" customHeight="1" thickBot="1">
      <c r="A8" s="183" t="s">
        <v>16</v>
      </c>
      <c r="B8" s="210" t="s">
        <v>500</v>
      </c>
      <c r="C8" s="294">
        <f>SUM(C9:C19)</f>
        <v>30397850</v>
      </c>
    </row>
    <row r="9" spans="1:3" s="345" customFormat="1" ht="12" customHeight="1">
      <c r="A9" s="425" t="s">
        <v>96</v>
      </c>
      <c r="B9" s="10" t="s">
        <v>258</v>
      </c>
      <c r="C9" s="335"/>
    </row>
    <row r="10" spans="1:3" s="345" customFormat="1" ht="12" customHeight="1">
      <c r="A10" s="426" t="s">
        <v>97</v>
      </c>
      <c r="B10" s="8" t="s">
        <v>259</v>
      </c>
      <c r="C10" s="292">
        <v>18295200</v>
      </c>
    </row>
    <row r="11" spans="1:3" s="345" customFormat="1" ht="12" customHeight="1">
      <c r="A11" s="426" t="s">
        <v>98</v>
      </c>
      <c r="B11" s="8" t="s">
        <v>260</v>
      </c>
      <c r="C11" s="292"/>
    </row>
    <row r="12" spans="1:3" s="345" customFormat="1" ht="12" customHeight="1">
      <c r="A12" s="426" t="s">
        <v>99</v>
      </c>
      <c r="B12" s="8" t="s">
        <v>261</v>
      </c>
      <c r="C12" s="292"/>
    </row>
    <row r="13" spans="1:3" s="345" customFormat="1" ht="12" customHeight="1">
      <c r="A13" s="426" t="s">
        <v>139</v>
      </c>
      <c r="B13" s="8" t="s">
        <v>262</v>
      </c>
      <c r="C13" s="292">
        <v>5640036</v>
      </c>
    </row>
    <row r="14" spans="1:3" s="345" customFormat="1" ht="12" customHeight="1">
      <c r="A14" s="426" t="s">
        <v>100</v>
      </c>
      <c r="B14" s="8" t="s">
        <v>380</v>
      </c>
      <c r="C14" s="292">
        <v>6462514</v>
      </c>
    </row>
    <row r="15" spans="1:3" s="345" customFormat="1" ht="12" customHeight="1">
      <c r="A15" s="426" t="s">
        <v>101</v>
      </c>
      <c r="B15" s="7" t="s">
        <v>381</v>
      </c>
      <c r="C15" s="292"/>
    </row>
    <row r="16" spans="1:3" s="345" customFormat="1" ht="12" customHeight="1">
      <c r="A16" s="426" t="s">
        <v>111</v>
      </c>
      <c r="B16" s="8" t="s">
        <v>265</v>
      </c>
      <c r="C16" s="336"/>
    </row>
    <row r="17" spans="1:3" s="433" customFormat="1" ht="12" customHeight="1">
      <c r="A17" s="426" t="s">
        <v>112</v>
      </c>
      <c r="B17" s="8" t="s">
        <v>266</v>
      </c>
      <c r="C17" s="292"/>
    </row>
    <row r="18" spans="1:3" s="433" customFormat="1" ht="12" customHeight="1">
      <c r="A18" s="426" t="s">
        <v>113</v>
      </c>
      <c r="B18" s="8" t="s">
        <v>416</v>
      </c>
      <c r="C18" s="293"/>
    </row>
    <row r="19" spans="1:3" s="433" customFormat="1" ht="12" customHeight="1" thickBot="1">
      <c r="A19" s="426" t="s">
        <v>114</v>
      </c>
      <c r="B19" s="7" t="s">
        <v>267</v>
      </c>
      <c r="C19" s="293">
        <v>100</v>
      </c>
    </row>
    <row r="20" spans="1:3" s="345" customFormat="1" ht="12" customHeight="1" thickBot="1">
      <c r="A20" s="183" t="s">
        <v>17</v>
      </c>
      <c r="B20" s="210" t="s">
        <v>382</v>
      </c>
      <c r="C20" s="294">
        <f>SUM(C21:C23)</f>
        <v>875375</v>
      </c>
    </row>
    <row r="21" spans="1:3" s="433" customFormat="1" ht="12" customHeight="1">
      <c r="A21" s="426" t="s">
        <v>102</v>
      </c>
      <c r="B21" s="9" t="s">
        <v>241</v>
      </c>
      <c r="C21" s="292"/>
    </row>
    <row r="22" spans="1:3" s="433" customFormat="1" ht="12" customHeight="1">
      <c r="A22" s="426" t="s">
        <v>103</v>
      </c>
      <c r="B22" s="8" t="s">
        <v>383</v>
      </c>
      <c r="C22" s="292"/>
    </row>
    <row r="23" spans="1:3" s="433" customFormat="1" ht="12" customHeight="1">
      <c r="A23" s="426" t="s">
        <v>104</v>
      </c>
      <c r="B23" s="8" t="s">
        <v>384</v>
      </c>
      <c r="C23" s="292">
        <v>875375</v>
      </c>
    </row>
    <row r="24" spans="1:3" s="433" customFormat="1" ht="12" customHeight="1" thickBot="1">
      <c r="A24" s="426" t="s">
        <v>105</v>
      </c>
      <c r="B24" s="8" t="s">
        <v>505</v>
      </c>
      <c r="C24" s="292"/>
    </row>
    <row r="25" spans="1:3" s="433" customFormat="1" ht="12" customHeight="1" thickBot="1">
      <c r="A25" s="190" t="s">
        <v>18</v>
      </c>
      <c r="B25" s="116" t="s">
        <v>158</v>
      </c>
      <c r="C25" s="320"/>
    </row>
    <row r="26" spans="1:3" s="433" customFormat="1" ht="12" customHeight="1" thickBot="1">
      <c r="A26" s="190" t="s">
        <v>19</v>
      </c>
      <c r="B26" s="116" t="s">
        <v>385</v>
      </c>
      <c r="C26" s="294">
        <f>+C27+C28</f>
        <v>0</v>
      </c>
    </row>
    <row r="27" spans="1:3" s="433" customFormat="1" ht="12" customHeight="1">
      <c r="A27" s="427" t="s">
        <v>251</v>
      </c>
      <c r="B27" s="428" t="s">
        <v>383</v>
      </c>
      <c r="C27" s="76"/>
    </row>
    <row r="28" spans="1:3" s="433" customFormat="1" ht="12" customHeight="1">
      <c r="A28" s="427" t="s">
        <v>252</v>
      </c>
      <c r="B28" s="429" t="s">
        <v>386</v>
      </c>
      <c r="C28" s="295"/>
    </row>
    <row r="29" spans="1:3" s="433" customFormat="1" ht="12" customHeight="1" thickBot="1">
      <c r="A29" s="426" t="s">
        <v>253</v>
      </c>
      <c r="B29" s="132" t="s">
        <v>506</v>
      </c>
      <c r="C29" s="83"/>
    </row>
    <row r="30" spans="1:3" s="433" customFormat="1" ht="12" customHeight="1" thickBot="1">
      <c r="A30" s="190" t="s">
        <v>20</v>
      </c>
      <c r="B30" s="116" t="s">
        <v>387</v>
      </c>
      <c r="C30" s="294">
        <f>+C31+C32+C33</f>
        <v>0</v>
      </c>
    </row>
    <row r="31" spans="1:3" s="433" customFormat="1" ht="12" customHeight="1">
      <c r="A31" s="427" t="s">
        <v>89</v>
      </c>
      <c r="B31" s="428" t="s">
        <v>272</v>
      </c>
      <c r="C31" s="76"/>
    </row>
    <row r="32" spans="1:3" s="433" customFormat="1" ht="12" customHeight="1">
      <c r="A32" s="427" t="s">
        <v>90</v>
      </c>
      <c r="B32" s="429" t="s">
        <v>273</v>
      </c>
      <c r="C32" s="295"/>
    </row>
    <row r="33" spans="1:3" s="433" customFormat="1" ht="12" customHeight="1" thickBot="1">
      <c r="A33" s="426" t="s">
        <v>91</v>
      </c>
      <c r="B33" s="132" t="s">
        <v>274</v>
      </c>
      <c r="C33" s="83"/>
    </row>
    <row r="34" spans="1:3" s="345" customFormat="1" ht="12" customHeight="1" thickBot="1">
      <c r="A34" s="190" t="s">
        <v>21</v>
      </c>
      <c r="B34" s="116" t="s">
        <v>357</v>
      </c>
      <c r="C34" s="320"/>
    </row>
    <row r="35" spans="1:3" s="345" customFormat="1" ht="12" customHeight="1" thickBot="1">
      <c r="A35" s="190" t="s">
        <v>22</v>
      </c>
      <c r="B35" s="116" t="s">
        <v>388</v>
      </c>
      <c r="C35" s="337"/>
    </row>
    <row r="36" spans="1:3" s="345" customFormat="1" ht="12" customHeight="1" thickBot="1">
      <c r="A36" s="183" t="s">
        <v>23</v>
      </c>
      <c r="B36" s="116" t="s">
        <v>507</v>
      </c>
      <c r="C36" s="338">
        <f>+C8+C20+C25+C26+C30+C34+C35</f>
        <v>31273225</v>
      </c>
    </row>
    <row r="37" spans="1:3" s="345" customFormat="1" ht="12" customHeight="1" thickBot="1">
      <c r="A37" s="211" t="s">
        <v>24</v>
      </c>
      <c r="B37" s="116" t="s">
        <v>390</v>
      </c>
      <c r="C37" s="338">
        <f>+C38+C39+C40</f>
        <v>57885365</v>
      </c>
    </row>
    <row r="38" spans="1:3" s="345" customFormat="1" ht="12" customHeight="1">
      <c r="A38" s="427" t="s">
        <v>391</v>
      </c>
      <c r="B38" s="428" t="s">
        <v>219</v>
      </c>
      <c r="C38" s="76">
        <v>91333</v>
      </c>
    </row>
    <row r="39" spans="1:3" s="345" customFormat="1" ht="12" customHeight="1">
      <c r="A39" s="427" t="s">
        <v>392</v>
      </c>
      <c r="B39" s="429" t="s">
        <v>2</v>
      </c>
      <c r="C39" s="295"/>
    </row>
    <row r="40" spans="1:3" s="433" customFormat="1" ht="12" customHeight="1" thickBot="1">
      <c r="A40" s="426" t="s">
        <v>393</v>
      </c>
      <c r="B40" s="132" t="s">
        <v>394</v>
      </c>
      <c r="C40" s="83">
        <v>57794032</v>
      </c>
    </row>
    <row r="41" spans="1:3" s="433" customFormat="1" ht="15" customHeight="1" thickBot="1">
      <c r="A41" s="211" t="s">
        <v>25</v>
      </c>
      <c r="B41" s="212" t="s">
        <v>395</v>
      </c>
      <c r="C41" s="341">
        <f>+C36+C37</f>
        <v>89158590</v>
      </c>
    </row>
    <row r="42" spans="1:3" s="433" customFormat="1" ht="15" customHeight="1">
      <c r="A42" s="213"/>
      <c r="B42" s="214"/>
      <c r="C42" s="339"/>
    </row>
    <row r="43" spans="1:3" ht="13.5" thickBot="1">
      <c r="A43" s="215"/>
      <c r="B43" s="216"/>
      <c r="C43" s="340"/>
    </row>
    <row r="44" spans="1:3" s="432" customFormat="1" ht="16.5" customHeight="1" thickBot="1">
      <c r="A44" s="217"/>
      <c r="B44" s="218" t="s">
        <v>55</v>
      </c>
      <c r="C44" s="341"/>
    </row>
    <row r="45" spans="1:3" s="434" customFormat="1" ht="12" customHeight="1" thickBot="1">
      <c r="A45" s="190" t="s">
        <v>16</v>
      </c>
      <c r="B45" s="116" t="s">
        <v>396</v>
      </c>
      <c r="C45" s="294">
        <f>SUM(C46:C50)</f>
        <v>88958590</v>
      </c>
    </row>
    <row r="46" spans="1:3" ht="12" customHeight="1">
      <c r="A46" s="426" t="s">
        <v>96</v>
      </c>
      <c r="B46" s="9" t="s">
        <v>47</v>
      </c>
      <c r="C46" s="76">
        <v>42675370</v>
      </c>
    </row>
    <row r="47" spans="1:3" ht="12" customHeight="1">
      <c r="A47" s="426" t="s">
        <v>97</v>
      </c>
      <c r="B47" s="8" t="s">
        <v>167</v>
      </c>
      <c r="C47" s="79">
        <v>7432836</v>
      </c>
    </row>
    <row r="48" spans="1:3" ht="12" customHeight="1">
      <c r="A48" s="426" t="s">
        <v>98</v>
      </c>
      <c r="B48" s="8" t="s">
        <v>131</v>
      </c>
      <c r="C48" s="79">
        <v>38850384</v>
      </c>
    </row>
    <row r="49" spans="1:3" ht="12" customHeight="1">
      <c r="A49" s="426" t="s">
        <v>99</v>
      </c>
      <c r="B49" s="8" t="s">
        <v>168</v>
      </c>
      <c r="C49" s="79"/>
    </row>
    <row r="50" spans="1:3" ht="12" customHeight="1" thickBot="1">
      <c r="A50" s="426" t="s">
        <v>139</v>
      </c>
      <c r="B50" s="8" t="s">
        <v>169</v>
      </c>
      <c r="C50" s="79"/>
    </row>
    <row r="51" spans="1:3" ht="12" customHeight="1" thickBot="1">
      <c r="A51" s="190" t="s">
        <v>17</v>
      </c>
      <c r="B51" s="116" t="s">
        <v>397</v>
      </c>
      <c r="C51" s="294">
        <f>SUM(C52:C54)</f>
        <v>200000</v>
      </c>
    </row>
    <row r="52" spans="1:3" s="434" customFormat="1" ht="12" customHeight="1">
      <c r="A52" s="426" t="s">
        <v>102</v>
      </c>
      <c r="B52" s="9" t="s">
        <v>213</v>
      </c>
      <c r="C52" s="76">
        <v>200000</v>
      </c>
    </row>
    <row r="53" spans="1:3" ht="12" customHeight="1">
      <c r="A53" s="426" t="s">
        <v>103</v>
      </c>
      <c r="B53" s="8" t="s">
        <v>171</v>
      </c>
      <c r="C53" s="79"/>
    </row>
    <row r="54" spans="1:3" ht="12" customHeight="1">
      <c r="A54" s="426" t="s">
        <v>104</v>
      </c>
      <c r="B54" s="8" t="s">
        <v>56</v>
      </c>
      <c r="C54" s="79"/>
    </row>
    <row r="55" spans="1:3" ht="12" customHeight="1" thickBot="1">
      <c r="A55" s="426" t="s">
        <v>105</v>
      </c>
      <c r="B55" s="8" t="s">
        <v>504</v>
      </c>
      <c r="C55" s="79"/>
    </row>
    <row r="56" spans="1:3" ht="15" customHeight="1" thickBot="1">
      <c r="A56" s="190" t="s">
        <v>18</v>
      </c>
      <c r="B56" s="116" t="s">
        <v>11</v>
      </c>
      <c r="C56" s="320"/>
    </row>
    <row r="57" spans="1:3" ht="13.5" thickBot="1">
      <c r="A57" s="190" t="s">
        <v>19</v>
      </c>
      <c r="B57" s="219" t="s">
        <v>508</v>
      </c>
      <c r="C57" s="342">
        <f>+C45+C51+C56</f>
        <v>89158590</v>
      </c>
    </row>
    <row r="58" ht="15" customHeight="1" thickBot="1">
      <c r="C58" s="594">
        <f>C41-C57</f>
        <v>0</v>
      </c>
    </row>
    <row r="59" spans="1:3" ht="14.25" customHeight="1" thickBot="1">
      <c r="A59" s="222" t="s">
        <v>499</v>
      </c>
      <c r="B59" s="223"/>
      <c r="C59" s="113">
        <v>13</v>
      </c>
    </row>
    <row r="60" spans="1:3" ht="13.5" thickBot="1">
      <c r="A60" s="222" t="s">
        <v>189</v>
      </c>
      <c r="B60" s="223"/>
      <c r="C60" s="11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7">
      <selection activeCell="C54" sqref="C54"/>
    </sheetView>
  </sheetViews>
  <sheetFormatPr defaultColWidth="9.00390625" defaultRowHeight="12.75"/>
  <cols>
    <col min="1" max="1" width="13.875" style="220" customWidth="1"/>
    <col min="2" max="2" width="79.125" style="221" customWidth="1"/>
    <col min="3" max="3" width="25.00390625" style="221" customWidth="1"/>
    <col min="4" max="16384" width="9.375" style="221" customWidth="1"/>
  </cols>
  <sheetData>
    <row r="1" spans="1:3" s="201" customFormat="1" ht="21" customHeight="1" thickBot="1">
      <c r="A1" s="200"/>
      <c r="B1" s="202"/>
      <c r="C1" s="561" t="str">
        <f>CONCATENATE(ALAPADATOK!P13,"1. melléklet ",ALAPADATOK!A7," ",ALAPADATOK!B7," ",ALAPADATOK!C7," ",ALAPADATOK!D7," ",ALAPADATOK!E7," ",ALAPADATOK!F7," ",ALAPADATOK!G7," ",ALAPADATOK!H7)</f>
        <v>9.3.1. melléklet a 4 / 2020 ( II.25. ) önkormányzati rendelethez</v>
      </c>
    </row>
    <row r="2" spans="1:3" s="430" customFormat="1" ht="36">
      <c r="A2" s="383" t="s">
        <v>187</v>
      </c>
      <c r="B2" s="559" t="str">
        <f>CONCATENATE('KV_9.3.sz.mell'!B2)</f>
        <v>Murakeresztúri Óvoda</v>
      </c>
      <c r="C2" s="343" t="s">
        <v>58</v>
      </c>
    </row>
    <row r="3" spans="1:3" s="430" customFormat="1" ht="24.75" thickBot="1">
      <c r="A3" s="424" t="s">
        <v>186</v>
      </c>
      <c r="B3" s="560" t="s">
        <v>398</v>
      </c>
      <c r="C3" s="344" t="s">
        <v>57</v>
      </c>
    </row>
    <row r="4" spans="1:3" s="431" customFormat="1" ht="15.75" customHeight="1" thickBot="1">
      <c r="A4" s="203"/>
      <c r="B4" s="203"/>
      <c r="C4" s="204" t="str">
        <f>'KV_9.3.sz.mell'!C4</f>
        <v>Forintban!</v>
      </c>
    </row>
    <row r="5" spans="1:3" ht="13.5" thickBot="1">
      <c r="A5" s="384" t="s">
        <v>188</v>
      </c>
      <c r="B5" s="205" t="s">
        <v>540</v>
      </c>
      <c r="C5" s="206" t="s">
        <v>53</v>
      </c>
    </row>
    <row r="6" spans="1:3" s="432" customFormat="1" ht="12.75" customHeight="1" thickBot="1">
      <c r="A6" s="183"/>
      <c r="B6" s="184" t="s">
        <v>473</v>
      </c>
      <c r="C6" s="185" t="s">
        <v>474</v>
      </c>
    </row>
    <row r="7" spans="1:3" s="432" customFormat="1" ht="15.75" customHeight="1" thickBot="1">
      <c r="A7" s="207"/>
      <c r="B7" s="208" t="s">
        <v>54</v>
      </c>
      <c r="C7" s="209"/>
    </row>
    <row r="8" spans="1:3" s="345" customFormat="1" ht="12" customHeight="1" thickBot="1">
      <c r="A8" s="183" t="s">
        <v>16</v>
      </c>
      <c r="B8" s="210" t="s">
        <v>500</v>
      </c>
      <c r="C8" s="294">
        <f>SUM(C9:C19)</f>
        <v>20716640</v>
      </c>
    </row>
    <row r="9" spans="1:3" s="345" customFormat="1" ht="12" customHeight="1">
      <c r="A9" s="425" t="s">
        <v>96</v>
      </c>
      <c r="B9" s="10" t="s">
        <v>258</v>
      </c>
      <c r="C9" s="335"/>
    </row>
    <row r="10" spans="1:3" s="345" customFormat="1" ht="12" customHeight="1">
      <c r="A10" s="426" t="s">
        <v>97</v>
      </c>
      <c r="B10" s="8" t="s">
        <v>259</v>
      </c>
      <c r="C10" s="292">
        <v>10672200</v>
      </c>
    </row>
    <row r="11" spans="1:3" s="345" customFormat="1" ht="12" customHeight="1">
      <c r="A11" s="426" t="s">
        <v>98</v>
      </c>
      <c r="B11" s="8" t="s">
        <v>260</v>
      </c>
      <c r="C11" s="292"/>
    </row>
    <row r="12" spans="1:3" s="345" customFormat="1" ht="12" customHeight="1">
      <c r="A12" s="426" t="s">
        <v>99</v>
      </c>
      <c r="B12" s="8" t="s">
        <v>261</v>
      </c>
      <c r="C12" s="292"/>
    </row>
    <row r="13" spans="1:3" s="345" customFormat="1" ht="12" customHeight="1">
      <c r="A13" s="426" t="s">
        <v>139</v>
      </c>
      <c r="B13" s="8" t="s">
        <v>262</v>
      </c>
      <c r="C13" s="292">
        <v>5640036</v>
      </c>
    </row>
    <row r="14" spans="1:3" s="345" customFormat="1" ht="12" customHeight="1">
      <c r="A14" s="426" t="s">
        <v>100</v>
      </c>
      <c r="B14" s="8" t="s">
        <v>380</v>
      </c>
      <c r="C14" s="292">
        <v>4404304</v>
      </c>
    </row>
    <row r="15" spans="1:3" s="345" customFormat="1" ht="12" customHeight="1">
      <c r="A15" s="426" t="s">
        <v>101</v>
      </c>
      <c r="B15" s="7" t="s">
        <v>381</v>
      </c>
      <c r="C15" s="292"/>
    </row>
    <row r="16" spans="1:3" s="345" customFormat="1" ht="12" customHeight="1">
      <c r="A16" s="426" t="s">
        <v>111</v>
      </c>
      <c r="B16" s="8" t="s">
        <v>265</v>
      </c>
      <c r="C16" s="336"/>
    </row>
    <row r="17" spans="1:3" s="433" customFormat="1" ht="12" customHeight="1">
      <c r="A17" s="426" t="s">
        <v>112</v>
      </c>
      <c r="B17" s="8" t="s">
        <v>266</v>
      </c>
      <c r="C17" s="292"/>
    </row>
    <row r="18" spans="1:3" s="433" customFormat="1" ht="12" customHeight="1">
      <c r="A18" s="426" t="s">
        <v>113</v>
      </c>
      <c r="B18" s="8" t="s">
        <v>416</v>
      </c>
      <c r="C18" s="293"/>
    </row>
    <row r="19" spans="1:3" s="433" customFormat="1" ht="12" customHeight="1" thickBot="1">
      <c r="A19" s="426" t="s">
        <v>114</v>
      </c>
      <c r="B19" s="7" t="s">
        <v>267</v>
      </c>
      <c r="C19" s="293">
        <v>100</v>
      </c>
    </row>
    <row r="20" spans="1:3" s="345" customFormat="1" ht="12" customHeight="1" thickBot="1">
      <c r="A20" s="183" t="s">
        <v>17</v>
      </c>
      <c r="B20" s="210" t="s">
        <v>382</v>
      </c>
      <c r="C20" s="294">
        <f>SUM(C21:C23)</f>
        <v>0</v>
      </c>
    </row>
    <row r="21" spans="1:3" s="433" customFormat="1" ht="12" customHeight="1">
      <c r="A21" s="426" t="s">
        <v>102</v>
      </c>
      <c r="B21" s="9" t="s">
        <v>241</v>
      </c>
      <c r="C21" s="292"/>
    </row>
    <row r="22" spans="1:3" s="433" customFormat="1" ht="12" customHeight="1">
      <c r="A22" s="426" t="s">
        <v>103</v>
      </c>
      <c r="B22" s="8" t="s">
        <v>383</v>
      </c>
      <c r="C22" s="292"/>
    </row>
    <row r="23" spans="1:3" s="433" customFormat="1" ht="12" customHeight="1">
      <c r="A23" s="426" t="s">
        <v>104</v>
      </c>
      <c r="B23" s="8" t="s">
        <v>384</v>
      </c>
      <c r="C23" s="292"/>
    </row>
    <row r="24" spans="1:3" s="433" customFormat="1" ht="12" customHeight="1" thickBot="1">
      <c r="A24" s="426" t="s">
        <v>105</v>
      </c>
      <c r="B24" s="8" t="s">
        <v>505</v>
      </c>
      <c r="C24" s="292"/>
    </row>
    <row r="25" spans="1:3" s="433" customFormat="1" ht="12" customHeight="1" thickBot="1">
      <c r="A25" s="190" t="s">
        <v>18</v>
      </c>
      <c r="B25" s="116" t="s">
        <v>158</v>
      </c>
      <c r="C25" s="320"/>
    </row>
    <row r="26" spans="1:3" s="433" customFormat="1" ht="12" customHeight="1" thickBot="1">
      <c r="A26" s="190" t="s">
        <v>19</v>
      </c>
      <c r="B26" s="116" t="s">
        <v>385</v>
      </c>
      <c r="C26" s="294">
        <f>+C27+C28</f>
        <v>0</v>
      </c>
    </row>
    <row r="27" spans="1:3" s="433" customFormat="1" ht="12" customHeight="1">
      <c r="A27" s="427" t="s">
        <v>251</v>
      </c>
      <c r="B27" s="428" t="s">
        <v>383</v>
      </c>
      <c r="C27" s="76"/>
    </row>
    <row r="28" spans="1:3" s="433" customFormat="1" ht="12" customHeight="1">
      <c r="A28" s="427" t="s">
        <v>252</v>
      </c>
      <c r="B28" s="429" t="s">
        <v>386</v>
      </c>
      <c r="C28" s="295"/>
    </row>
    <row r="29" spans="1:3" s="433" customFormat="1" ht="12" customHeight="1" thickBot="1">
      <c r="A29" s="426" t="s">
        <v>253</v>
      </c>
      <c r="B29" s="132" t="s">
        <v>506</v>
      </c>
      <c r="C29" s="83"/>
    </row>
    <row r="30" spans="1:3" s="433" customFormat="1" ht="12" customHeight="1" thickBot="1">
      <c r="A30" s="190" t="s">
        <v>20</v>
      </c>
      <c r="B30" s="116" t="s">
        <v>387</v>
      </c>
      <c r="C30" s="294">
        <f>+C31+C32+C33</f>
        <v>0</v>
      </c>
    </row>
    <row r="31" spans="1:3" s="433" customFormat="1" ht="12" customHeight="1">
      <c r="A31" s="427" t="s">
        <v>89</v>
      </c>
      <c r="B31" s="428" t="s">
        <v>272</v>
      </c>
      <c r="C31" s="76"/>
    </row>
    <row r="32" spans="1:3" s="433" customFormat="1" ht="12" customHeight="1">
      <c r="A32" s="427" t="s">
        <v>90</v>
      </c>
      <c r="B32" s="429" t="s">
        <v>273</v>
      </c>
      <c r="C32" s="295"/>
    </row>
    <row r="33" spans="1:3" s="433" customFormat="1" ht="12" customHeight="1" thickBot="1">
      <c r="A33" s="426" t="s">
        <v>91</v>
      </c>
      <c r="B33" s="132" t="s">
        <v>274</v>
      </c>
      <c r="C33" s="83"/>
    </row>
    <row r="34" spans="1:3" s="345" customFormat="1" ht="12" customHeight="1" thickBot="1">
      <c r="A34" s="190" t="s">
        <v>21</v>
      </c>
      <c r="B34" s="116" t="s">
        <v>357</v>
      </c>
      <c r="C34" s="320"/>
    </row>
    <row r="35" spans="1:3" s="345" customFormat="1" ht="12" customHeight="1" thickBot="1">
      <c r="A35" s="190" t="s">
        <v>22</v>
      </c>
      <c r="B35" s="116" t="s">
        <v>388</v>
      </c>
      <c r="C35" s="337"/>
    </row>
    <row r="36" spans="1:3" s="345" customFormat="1" ht="12" customHeight="1" thickBot="1">
      <c r="A36" s="183" t="s">
        <v>23</v>
      </c>
      <c r="B36" s="116" t="s">
        <v>507</v>
      </c>
      <c r="C36" s="338">
        <f>+C8+C20+C25+C26+C30+C34+C35</f>
        <v>20716640</v>
      </c>
    </row>
    <row r="37" spans="1:3" s="345" customFormat="1" ht="12" customHeight="1" thickBot="1">
      <c r="A37" s="211" t="s">
        <v>24</v>
      </c>
      <c r="B37" s="116" t="s">
        <v>390</v>
      </c>
      <c r="C37" s="338">
        <f>+C38+C39+C40</f>
        <v>57885365</v>
      </c>
    </row>
    <row r="38" spans="1:3" s="345" customFormat="1" ht="12" customHeight="1">
      <c r="A38" s="427" t="s">
        <v>391</v>
      </c>
      <c r="B38" s="428" t="s">
        <v>219</v>
      </c>
      <c r="C38" s="76">
        <v>91333</v>
      </c>
    </row>
    <row r="39" spans="1:3" s="345" customFormat="1" ht="12" customHeight="1">
      <c r="A39" s="427" t="s">
        <v>392</v>
      </c>
      <c r="B39" s="429" t="s">
        <v>2</v>
      </c>
      <c r="C39" s="295"/>
    </row>
    <row r="40" spans="1:3" s="433" customFormat="1" ht="12" customHeight="1" thickBot="1">
      <c r="A40" s="426" t="s">
        <v>393</v>
      </c>
      <c r="B40" s="132" t="s">
        <v>394</v>
      </c>
      <c r="C40" s="83">
        <v>57794032</v>
      </c>
    </row>
    <row r="41" spans="1:3" s="433" customFormat="1" ht="15" customHeight="1" thickBot="1">
      <c r="A41" s="211" t="s">
        <v>25</v>
      </c>
      <c r="B41" s="212" t="s">
        <v>395</v>
      </c>
      <c r="C41" s="341">
        <f>+C36+C37</f>
        <v>78602005</v>
      </c>
    </row>
    <row r="42" spans="1:3" s="433" customFormat="1" ht="15" customHeight="1">
      <c r="A42" s="213"/>
      <c r="B42" s="214"/>
      <c r="C42" s="339"/>
    </row>
    <row r="43" spans="1:3" ht="13.5" thickBot="1">
      <c r="A43" s="215"/>
      <c r="B43" s="216"/>
      <c r="C43" s="340"/>
    </row>
    <row r="44" spans="1:3" s="432" customFormat="1" ht="16.5" customHeight="1" thickBot="1">
      <c r="A44" s="217"/>
      <c r="B44" s="218" t="s">
        <v>55</v>
      </c>
      <c r="C44" s="341"/>
    </row>
    <row r="45" spans="1:3" s="434" customFormat="1" ht="12" customHeight="1" thickBot="1">
      <c r="A45" s="190" t="s">
        <v>16</v>
      </c>
      <c r="B45" s="116" t="s">
        <v>396</v>
      </c>
      <c r="C45" s="294">
        <f>SUM(C46:C50)</f>
        <v>78402005</v>
      </c>
    </row>
    <row r="46" spans="1:3" ht="12" customHeight="1">
      <c r="A46" s="426" t="s">
        <v>96</v>
      </c>
      <c r="B46" s="9" t="s">
        <v>47</v>
      </c>
      <c r="C46" s="76">
        <v>38465770</v>
      </c>
    </row>
    <row r="47" spans="1:3" ht="12" customHeight="1">
      <c r="A47" s="426" t="s">
        <v>97</v>
      </c>
      <c r="B47" s="8" t="s">
        <v>167</v>
      </c>
      <c r="C47" s="79">
        <v>6296244</v>
      </c>
    </row>
    <row r="48" spans="1:3" ht="12" customHeight="1">
      <c r="A48" s="426" t="s">
        <v>98</v>
      </c>
      <c r="B48" s="8" t="s">
        <v>131</v>
      </c>
      <c r="C48" s="79">
        <v>33639991</v>
      </c>
    </row>
    <row r="49" spans="1:3" ht="12" customHeight="1">
      <c r="A49" s="426" t="s">
        <v>99</v>
      </c>
      <c r="B49" s="8" t="s">
        <v>168</v>
      </c>
      <c r="C49" s="79"/>
    </row>
    <row r="50" spans="1:3" ht="12" customHeight="1" thickBot="1">
      <c r="A50" s="426" t="s">
        <v>139</v>
      </c>
      <c r="B50" s="8" t="s">
        <v>169</v>
      </c>
      <c r="C50" s="79"/>
    </row>
    <row r="51" spans="1:3" ht="12" customHeight="1" thickBot="1">
      <c r="A51" s="190" t="s">
        <v>17</v>
      </c>
      <c r="B51" s="116" t="s">
        <v>397</v>
      </c>
      <c r="C51" s="294">
        <f>SUM(C52:C54)</f>
        <v>200000</v>
      </c>
    </row>
    <row r="52" spans="1:3" s="434" customFormat="1" ht="12" customHeight="1">
      <c r="A52" s="426" t="s">
        <v>102</v>
      </c>
      <c r="B52" s="9" t="s">
        <v>213</v>
      </c>
      <c r="C52" s="76">
        <v>200000</v>
      </c>
    </row>
    <row r="53" spans="1:3" ht="12" customHeight="1">
      <c r="A53" s="426" t="s">
        <v>103</v>
      </c>
      <c r="B53" s="8" t="s">
        <v>171</v>
      </c>
      <c r="C53" s="79"/>
    </row>
    <row r="54" spans="1:3" ht="12" customHeight="1">
      <c r="A54" s="426" t="s">
        <v>104</v>
      </c>
      <c r="B54" s="8" t="s">
        <v>56</v>
      </c>
      <c r="C54" s="79"/>
    </row>
    <row r="55" spans="1:3" ht="12" customHeight="1" thickBot="1">
      <c r="A55" s="426" t="s">
        <v>105</v>
      </c>
      <c r="B55" s="8" t="s">
        <v>504</v>
      </c>
      <c r="C55" s="79"/>
    </row>
    <row r="56" spans="1:3" ht="15" customHeight="1" thickBot="1">
      <c r="A56" s="190" t="s">
        <v>18</v>
      </c>
      <c r="B56" s="116" t="s">
        <v>11</v>
      </c>
      <c r="C56" s="320"/>
    </row>
    <row r="57" spans="1:3" ht="13.5" thickBot="1">
      <c r="A57" s="190" t="s">
        <v>19</v>
      </c>
      <c r="B57" s="219" t="s">
        <v>508</v>
      </c>
      <c r="C57" s="342">
        <f>+C45+C51+C56</f>
        <v>78602005</v>
      </c>
    </row>
    <row r="58" ht="15" customHeight="1" thickBot="1">
      <c r="C58" s="594">
        <f>C41-C57</f>
        <v>0</v>
      </c>
    </row>
    <row r="59" spans="1:3" ht="14.25" customHeight="1" thickBot="1">
      <c r="A59" s="222" t="s">
        <v>499</v>
      </c>
      <c r="B59" s="223"/>
      <c r="C59" s="744">
        <v>11.4</v>
      </c>
    </row>
    <row r="60" spans="1:3" ht="13.5" thickBot="1">
      <c r="A60" s="222" t="s">
        <v>189</v>
      </c>
      <c r="B60" s="223"/>
      <c r="C60" s="113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">
      <selection activeCell="C51" sqref="C51"/>
    </sheetView>
  </sheetViews>
  <sheetFormatPr defaultColWidth="9.00390625" defaultRowHeight="12.75"/>
  <cols>
    <col min="1" max="1" width="13.875" style="220" customWidth="1"/>
    <col min="2" max="2" width="79.125" style="221" customWidth="1"/>
    <col min="3" max="3" width="25.00390625" style="221" customWidth="1"/>
    <col min="4" max="16384" width="9.375" style="221" customWidth="1"/>
  </cols>
  <sheetData>
    <row r="1" spans="1:3" s="201" customFormat="1" ht="21" customHeight="1" thickBot="1">
      <c r="A1" s="200"/>
      <c r="B1" s="202"/>
      <c r="C1" s="561" t="str">
        <f>CONCATENATE(ALAPADATOK!P13,"2. melléklet ",ALAPADATOK!A7," ",ALAPADATOK!B7," ",ALAPADATOK!C7," ",ALAPADATOK!D7," ",ALAPADATOK!E7," ",ALAPADATOK!F7," ",ALAPADATOK!G7," ",ALAPADATOK!H7)</f>
        <v>9.3.2. melléklet a 4 / 2020 ( II.25. ) önkormányzati rendelethez</v>
      </c>
    </row>
    <row r="2" spans="1:3" s="430" customFormat="1" ht="36">
      <c r="A2" s="383" t="s">
        <v>187</v>
      </c>
      <c r="B2" s="559" t="str">
        <f>CONCATENATE('KV_9.3.1.sz.mell'!B2)</f>
        <v>Murakeresztúri Óvoda</v>
      </c>
      <c r="C2" s="343" t="s">
        <v>58</v>
      </c>
    </row>
    <row r="3" spans="1:3" s="430" customFormat="1" ht="24.75" thickBot="1">
      <c r="A3" s="424" t="s">
        <v>186</v>
      </c>
      <c r="B3" s="560" t="s">
        <v>399</v>
      </c>
      <c r="C3" s="344" t="s">
        <v>58</v>
      </c>
    </row>
    <row r="4" spans="1:3" s="431" customFormat="1" ht="15.75" customHeight="1" thickBot="1">
      <c r="A4" s="203"/>
      <c r="B4" s="203"/>
      <c r="C4" s="204" t="str">
        <f>'KV_9.3.1.sz.mell'!C4</f>
        <v>Forintban!</v>
      </c>
    </row>
    <row r="5" spans="1:3" ht="13.5" thickBot="1">
      <c r="A5" s="384" t="s">
        <v>188</v>
      </c>
      <c r="B5" s="205" t="s">
        <v>540</v>
      </c>
      <c r="C5" s="206" t="s">
        <v>53</v>
      </c>
    </row>
    <row r="6" spans="1:3" s="432" customFormat="1" ht="12.75" customHeight="1" thickBot="1">
      <c r="A6" s="183"/>
      <c r="B6" s="184" t="s">
        <v>473</v>
      </c>
      <c r="C6" s="185" t="s">
        <v>474</v>
      </c>
    </row>
    <row r="7" spans="1:3" s="432" customFormat="1" ht="15.75" customHeight="1" thickBot="1">
      <c r="A7" s="207"/>
      <c r="B7" s="208" t="s">
        <v>54</v>
      </c>
      <c r="C7" s="209"/>
    </row>
    <row r="8" spans="1:3" s="345" customFormat="1" ht="12" customHeight="1" thickBot="1">
      <c r="A8" s="183" t="s">
        <v>16</v>
      </c>
      <c r="B8" s="210" t="s">
        <v>500</v>
      </c>
      <c r="C8" s="294">
        <f>SUM(C9:C19)</f>
        <v>9681210</v>
      </c>
    </row>
    <row r="9" spans="1:3" s="345" customFormat="1" ht="12" customHeight="1">
      <c r="A9" s="425" t="s">
        <v>96</v>
      </c>
      <c r="B9" s="10" t="s">
        <v>258</v>
      </c>
      <c r="C9" s="335"/>
    </row>
    <row r="10" spans="1:3" s="345" customFormat="1" ht="12" customHeight="1">
      <c r="A10" s="426" t="s">
        <v>97</v>
      </c>
      <c r="B10" s="8" t="s">
        <v>259</v>
      </c>
      <c r="C10" s="292">
        <v>7623000</v>
      </c>
    </row>
    <row r="11" spans="1:3" s="345" customFormat="1" ht="12" customHeight="1">
      <c r="A11" s="426" t="s">
        <v>98</v>
      </c>
      <c r="B11" s="8" t="s">
        <v>260</v>
      </c>
      <c r="C11" s="292"/>
    </row>
    <row r="12" spans="1:3" s="345" customFormat="1" ht="12" customHeight="1">
      <c r="A12" s="426" t="s">
        <v>99</v>
      </c>
      <c r="B12" s="8" t="s">
        <v>261</v>
      </c>
      <c r="C12" s="292"/>
    </row>
    <row r="13" spans="1:3" s="345" customFormat="1" ht="12" customHeight="1">
      <c r="A13" s="426" t="s">
        <v>139</v>
      </c>
      <c r="B13" s="8" t="s">
        <v>262</v>
      </c>
      <c r="C13" s="292"/>
    </row>
    <row r="14" spans="1:3" s="345" customFormat="1" ht="12" customHeight="1">
      <c r="A14" s="426" t="s">
        <v>100</v>
      </c>
      <c r="B14" s="8" t="s">
        <v>380</v>
      </c>
      <c r="C14" s="292">
        <v>2058210</v>
      </c>
    </row>
    <row r="15" spans="1:3" s="345" customFormat="1" ht="12" customHeight="1">
      <c r="A15" s="426" t="s">
        <v>101</v>
      </c>
      <c r="B15" s="7" t="s">
        <v>381</v>
      </c>
      <c r="C15" s="292"/>
    </row>
    <row r="16" spans="1:3" s="345" customFormat="1" ht="12" customHeight="1">
      <c r="A16" s="426" t="s">
        <v>111</v>
      </c>
      <c r="B16" s="8" t="s">
        <v>265</v>
      </c>
      <c r="C16" s="336"/>
    </row>
    <row r="17" spans="1:3" s="433" customFormat="1" ht="12" customHeight="1">
      <c r="A17" s="426" t="s">
        <v>112</v>
      </c>
      <c r="B17" s="8" t="s">
        <v>266</v>
      </c>
      <c r="C17" s="292"/>
    </row>
    <row r="18" spans="1:3" s="433" customFormat="1" ht="12" customHeight="1">
      <c r="A18" s="426" t="s">
        <v>113</v>
      </c>
      <c r="B18" s="8" t="s">
        <v>416</v>
      </c>
      <c r="C18" s="293"/>
    </row>
    <row r="19" spans="1:3" s="433" customFormat="1" ht="12" customHeight="1" thickBot="1">
      <c r="A19" s="426" t="s">
        <v>114</v>
      </c>
      <c r="B19" s="7" t="s">
        <v>267</v>
      </c>
      <c r="C19" s="293"/>
    </row>
    <row r="20" spans="1:3" s="345" customFormat="1" ht="12" customHeight="1" thickBot="1">
      <c r="A20" s="183" t="s">
        <v>17</v>
      </c>
      <c r="B20" s="210" t="s">
        <v>382</v>
      </c>
      <c r="C20" s="294">
        <f>SUM(C21:C23)</f>
        <v>875375</v>
      </c>
    </row>
    <row r="21" spans="1:3" s="433" customFormat="1" ht="12" customHeight="1">
      <c r="A21" s="426" t="s">
        <v>102</v>
      </c>
      <c r="B21" s="9" t="s">
        <v>241</v>
      </c>
      <c r="C21" s="292"/>
    </row>
    <row r="22" spans="1:3" s="433" customFormat="1" ht="12" customHeight="1">
      <c r="A22" s="426" t="s">
        <v>103</v>
      </c>
      <c r="B22" s="8" t="s">
        <v>383</v>
      </c>
      <c r="C22" s="292"/>
    </row>
    <row r="23" spans="1:3" s="433" customFormat="1" ht="12" customHeight="1">
      <c r="A23" s="426" t="s">
        <v>104</v>
      </c>
      <c r="B23" s="8" t="s">
        <v>384</v>
      </c>
      <c r="C23" s="292">
        <v>875375</v>
      </c>
    </row>
    <row r="24" spans="1:3" s="433" customFormat="1" ht="12" customHeight="1" thickBot="1">
      <c r="A24" s="426" t="s">
        <v>105</v>
      </c>
      <c r="B24" s="8" t="s">
        <v>505</v>
      </c>
      <c r="C24" s="292"/>
    </row>
    <row r="25" spans="1:3" s="433" customFormat="1" ht="12" customHeight="1" thickBot="1">
      <c r="A25" s="190" t="s">
        <v>18</v>
      </c>
      <c r="B25" s="116" t="s">
        <v>158</v>
      </c>
      <c r="C25" s="320"/>
    </row>
    <row r="26" spans="1:3" s="433" customFormat="1" ht="12" customHeight="1" thickBot="1">
      <c r="A26" s="190" t="s">
        <v>19</v>
      </c>
      <c r="B26" s="116" t="s">
        <v>385</v>
      </c>
      <c r="C26" s="294">
        <f>+C27+C28</f>
        <v>0</v>
      </c>
    </row>
    <row r="27" spans="1:3" s="433" customFormat="1" ht="12" customHeight="1">
      <c r="A27" s="427" t="s">
        <v>251</v>
      </c>
      <c r="B27" s="428" t="s">
        <v>383</v>
      </c>
      <c r="C27" s="76"/>
    </row>
    <row r="28" spans="1:3" s="433" customFormat="1" ht="12" customHeight="1">
      <c r="A28" s="427" t="s">
        <v>252</v>
      </c>
      <c r="B28" s="429" t="s">
        <v>386</v>
      </c>
      <c r="C28" s="295"/>
    </row>
    <row r="29" spans="1:3" s="433" customFormat="1" ht="12" customHeight="1" thickBot="1">
      <c r="A29" s="426" t="s">
        <v>253</v>
      </c>
      <c r="B29" s="132" t="s">
        <v>506</v>
      </c>
      <c r="C29" s="83"/>
    </row>
    <row r="30" spans="1:3" s="433" customFormat="1" ht="12" customHeight="1" thickBot="1">
      <c r="A30" s="190" t="s">
        <v>20</v>
      </c>
      <c r="B30" s="116" t="s">
        <v>387</v>
      </c>
      <c r="C30" s="294">
        <f>+C31+C32+C33</f>
        <v>0</v>
      </c>
    </row>
    <row r="31" spans="1:3" s="433" customFormat="1" ht="12" customHeight="1">
      <c r="A31" s="427" t="s">
        <v>89</v>
      </c>
      <c r="B31" s="428" t="s">
        <v>272</v>
      </c>
      <c r="C31" s="76"/>
    </row>
    <row r="32" spans="1:3" s="433" customFormat="1" ht="12" customHeight="1">
      <c r="A32" s="427" t="s">
        <v>90</v>
      </c>
      <c r="B32" s="429" t="s">
        <v>273</v>
      </c>
      <c r="C32" s="295"/>
    </row>
    <row r="33" spans="1:3" s="433" customFormat="1" ht="12" customHeight="1" thickBot="1">
      <c r="A33" s="426" t="s">
        <v>91</v>
      </c>
      <c r="B33" s="132" t="s">
        <v>274</v>
      </c>
      <c r="C33" s="83"/>
    </row>
    <row r="34" spans="1:3" s="345" customFormat="1" ht="12" customHeight="1" thickBot="1">
      <c r="A34" s="190" t="s">
        <v>21</v>
      </c>
      <c r="B34" s="116" t="s">
        <v>357</v>
      </c>
      <c r="C34" s="320"/>
    </row>
    <row r="35" spans="1:3" s="345" customFormat="1" ht="12" customHeight="1" thickBot="1">
      <c r="A35" s="190" t="s">
        <v>22</v>
      </c>
      <c r="B35" s="116" t="s">
        <v>388</v>
      </c>
      <c r="C35" s="337"/>
    </row>
    <row r="36" spans="1:3" s="345" customFormat="1" ht="12" customHeight="1" thickBot="1">
      <c r="A36" s="183" t="s">
        <v>23</v>
      </c>
      <c r="B36" s="116" t="s">
        <v>507</v>
      </c>
      <c r="C36" s="338">
        <f>+C8+C20+C25+C26+C30+C34+C35</f>
        <v>10556585</v>
      </c>
    </row>
    <row r="37" spans="1:3" s="345" customFormat="1" ht="12" customHeight="1" thickBot="1">
      <c r="A37" s="211" t="s">
        <v>24</v>
      </c>
      <c r="B37" s="116" t="s">
        <v>390</v>
      </c>
      <c r="C37" s="338">
        <f>+C38+C39+C40</f>
        <v>0</v>
      </c>
    </row>
    <row r="38" spans="1:3" s="345" customFormat="1" ht="12" customHeight="1">
      <c r="A38" s="427" t="s">
        <v>391</v>
      </c>
      <c r="B38" s="428" t="s">
        <v>219</v>
      </c>
      <c r="C38" s="76"/>
    </row>
    <row r="39" spans="1:3" s="345" customFormat="1" ht="12" customHeight="1">
      <c r="A39" s="427" t="s">
        <v>392</v>
      </c>
      <c r="B39" s="429" t="s">
        <v>2</v>
      </c>
      <c r="C39" s="295"/>
    </row>
    <row r="40" spans="1:3" s="433" customFormat="1" ht="12" customHeight="1" thickBot="1">
      <c r="A40" s="426" t="s">
        <v>393</v>
      </c>
      <c r="B40" s="132" t="s">
        <v>394</v>
      </c>
      <c r="C40" s="83"/>
    </row>
    <row r="41" spans="1:3" s="433" customFormat="1" ht="15" customHeight="1" thickBot="1">
      <c r="A41" s="211" t="s">
        <v>25</v>
      </c>
      <c r="B41" s="212" t="s">
        <v>395</v>
      </c>
      <c r="C41" s="341">
        <f>+C36+C37</f>
        <v>10556585</v>
      </c>
    </row>
    <row r="42" spans="1:3" s="433" customFormat="1" ht="15" customHeight="1">
      <c r="A42" s="213"/>
      <c r="B42" s="214"/>
      <c r="C42" s="339"/>
    </row>
    <row r="43" spans="1:3" ht="13.5" thickBot="1">
      <c r="A43" s="215"/>
      <c r="B43" s="216"/>
      <c r="C43" s="340"/>
    </row>
    <row r="44" spans="1:3" s="432" customFormat="1" ht="16.5" customHeight="1" thickBot="1">
      <c r="A44" s="217"/>
      <c r="B44" s="218" t="s">
        <v>55</v>
      </c>
      <c r="C44" s="341"/>
    </row>
    <row r="45" spans="1:3" s="434" customFormat="1" ht="12" customHeight="1" thickBot="1">
      <c r="A45" s="190" t="s">
        <v>16</v>
      </c>
      <c r="B45" s="116" t="s">
        <v>396</v>
      </c>
      <c r="C45" s="294">
        <f>SUM(C46:C50)</f>
        <v>10556585</v>
      </c>
    </row>
    <row r="46" spans="1:3" ht="12" customHeight="1">
      <c r="A46" s="426" t="s">
        <v>96</v>
      </c>
      <c r="B46" s="9" t="s">
        <v>47</v>
      </c>
      <c r="C46" s="76">
        <v>4209600</v>
      </c>
    </row>
    <row r="47" spans="1:3" ht="12" customHeight="1">
      <c r="A47" s="426" t="s">
        <v>97</v>
      </c>
      <c r="B47" s="8" t="s">
        <v>167</v>
      </c>
      <c r="C47" s="79">
        <v>1136592</v>
      </c>
    </row>
    <row r="48" spans="1:3" ht="12" customHeight="1">
      <c r="A48" s="426" t="s">
        <v>98</v>
      </c>
      <c r="B48" s="8" t="s">
        <v>131</v>
      </c>
      <c r="C48" s="79">
        <v>5210393</v>
      </c>
    </row>
    <row r="49" spans="1:3" ht="12" customHeight="1">
      <c r="A49" s="426" t="s">
        <v>99</v>
      </c>
      <c r="B49" s="8" t="s">
        <v>168</v>
      </c>
      <c r="C49" s="79"/>
    </row>
    <row r="50" spans="1:3" ht="12" customHeight="1" thickBot="1">
      <c r="A50" s="426" t="s">
        <v>139</v>
      </c>
      <c r="B50" s="8" t="s">
        <v>169</v>
      </c>
      <c r="C50" s="79"/>
    </row>
    <row r="51" spans="1:3" ht="12" customHeight="1" thickBot="1">
      <c r="A51" s="190" t="s">
        <v>17</v>
      </c>
      <c r="B51" s="116" t="s">
        <v>397</v>
      </c>
      <c r="C51" s="294">
        <f>SUM(C52:C54)</f>
        <v>0</v>
      </c>
    </row>
    <row r="52" spans="1:3" s="434" customFormat="1" ht="12" customHeight="1">
      <c r="A52" s="426" t="s">
        <v>102</v>
      </c>
      <c r="B52" s="9" t="s">
        <v>213</v>
      </c>
      <c r="C52" s="76"/>
    </row>
    <row r="53" spans="1:3" ht="12" customHeight="1">
      <c r="A53" s="426" t="s">
        <v>103</v>
      </c>
      <c r="B53" s="8" t="s">
        <v>171</v>
      </c>
      <c r="C53" s="79"/>
    </row>
    <row r="54" spans="1:3" ht="12" customHeight="1">
      <c r="A54" s="426" t="s">
        <v>104</v>
      </c>
      <c r="B54" s="8" t="s">
        <v>56</v>
      </c>
      <c r="C54" s="79"/>
    </row>
    <row r="55" spans="1:3" ht="12" customHeight="1" thickBot="1">
      <c r="A55" s="426" t="s">
        <v>105</v>
      </c>
      <c r="B55" s="8" t="s">
        <v>504</v>
      </c>
      <c r="C55" s="79"/>
    </row>
    <row r="56" spans="1:3" ht="15" customHeight="1" thickBot="1">
      <c r="A56" s="190" t="s">
        <v>18</v>
      </c>
      <c r="B56" s="116" t="s">
        <v>11</v>
      </c>
      <c r="C56" s="320"/>
    </row>
    <row r="57" spans="1:3" ht="13.5" thickBot="1">
      <c r="A57" s="190" t="s">
        <v>19</v>
      </c>
      <c r="B57" s="219" t="s">
        <v>508</v>
      </c>
      <c r="C57" s="342">
        <f>+C45+C51+C56</f>
        <v>10556585</v>
      </c>
    </row>
    <row r="58" ht="15" customHeight="1" thickBot="1">
      <c r="C58" s="594">
        <f>C41-C57</f>
        <v>0</v>
      </c>
    </row>
    <row r="59" spans="1:3" ht="14.25" customHeight="1" thickBot="1">
      <c r="A59" s="222" t="s">
        <v>499</v>
      </c>
      <c r="B59" s="223"/>
      <c r="C59" s="744">
        <v>1.6</v>
      </c>
    </row>
    <row r="60" spans="1:3" ht="13.5" thickBot="1">
      <c r="A60" s="222" t="s">
        <v>189</v>
      </c>
      <c r="B60" s="223"/>
      <c r="C60" s="113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827" t="str">
        <f>CONCATENATE("10. melléklet ",ALAPADATOK!A7," ",ALAPADATOK!B7," ",ALAPADATOK!C7," ",ALAPADATOK!D7," ",ALAPADATOK!E7," ",ALAPADATOK!F7," ",ALAPADATOK!G7," ",ALAPADATOK!H7)</f>
        <v>10. melléklet a 4 / 2020 ( II.25. ) önkormányzati rendelethez</v>
      </c>
      <c r="C2" s="827"/>
      <c r="D2" s="827"/>
      <c r="E2" s="827"/>
      <c r="F2" s="827"/>
      <c r="G2" s="827"/>
    </row>
    <row r="4" spans="1:7" ht="43.5" customHeight="1">
      <c r="A4" s="826" t="s">
        <v>3</v>
      </c>
      <c r="B4" s="826"/>
      <c r="C4" s="826"/>
      <c r="D4" s="826"/>
      <c r="E4" s="826"/>
      <c r="F4" s="826"/>
      <c r="G4" s="826"/>
    </row>
    <row r="6" spans="1:7" s="150" customFormat="1" ht="27" customHeight="1">
      <c r="A6" s="643" t="s">
        <v>193</v>
      </c>
      <c r="C6" s="825" t="s">
        <v>194</v>
      </c>
      <c r="D6" s="825"/>
      <c r="E6" s="825"/>
      <c r="F6" s="825"/>
      <c r="G6" s="825"/>
    </row>
    <row r="7" s="150" customFormat="1" ht="15.75"/>
    <row r="8" spans="1:6" s="150" customFormat="1" ht="24.75" customHeight="1">
      <c r="A8" s="643" t="s">
        <v>195</v>
      </c>
      <c r="C8" s="825" t="s">
        <v>194</v>
      </c>
      <c r="D8" s="825"/>
      <c r="E8" s="825"/>
      <c r="F8" s="825"/>
    </row>
    <row r="9" s="151" customFormat="1" ht="12.75"/>
    <row r="10" spans="1:7" s="152" customFormat="1" ht="15" customHeight="1">
      <c r="A10" s="239" t="s">
        <v>542</v>
      </c>
      <c r="B10" s="238"/>
      <c r="C10" s="238"/>
      <c r="D10" s="238"/>
      <c r="E10" s="238"/>
      <c r="F10" s="238"/>
      <c r="G10" s="238"/>
    </row>
    <row r="11" spans="1:7" s="152" customFormat="1" ht="15" customHeight="1" thickBot="1">
      <c r="A11" s="239" t="s">
        <v>196</v>
      </c>
      <c r="B11" s="238"/>
      <c r="C11" s="238"/>
      <c r="D11" s="238"/>
      <c r="E11" s="238"/>
      <c r="F11" s="238"/>
      <c r="G11" s="635" t="s">
        <v>541</v>
      </c>
    </row>
    <row r="12" spans="1:7" s="75" customFormat="1" ht="42" customHeight="1" thickBot="1">
      <c r="A12" s="180" t="s">
        <v>14</v>
      </c>
      <c r="B12" s="181" t="s">
        <v>197</v>
      </c>
      <c r="C12" s="181" t="s">
        <v>198</v>
      </c>
      <c r="D12" s="181" t="s">
        <v>199</v>
      </c>
      <c r="E12" s="181" t="s">
        <v>200</v>
      </c>
      <c r="F12" s="181" t="s">
        <v>201</v>
      </c>
      <c r="G12" s="182" t="s">
        <v>51</v>
      </c>
    </row>
    <row r="13" spans="1:7" ht="24" customHeight="1">
      <c r="A13" s="225" t="s">
        <v>16</v>
      </c>
      <c r="B13" s="188" t="s">
        <v>202</v>
      </c>
      <c r="C13" s="153"/>
      <c r="D13" s="153"/>
      <c r="E13" s="153"/>
      <c r="F13" s="153"/>
      <c r="G13" s="226">
        <f>SUM(C13:F13)</f>
        <v>0</v>
      </c>
    </row>
    <row r="14" spans="1:7" ht="24" customHeight="1">
      <c r="A14" s="227" t="s">
        <v>17</v>
      </c>
      <c r="B14" s="189" t="s">
        <v>203</v>
      </c>
      <c r="C14" s="154"/>
      <c r="D14" s="154"/>
      <c r="E14" s="154"/>
      <c r="F14" s="154"/>
      <c r="G14" s="228">
        <f aca="true" t="shared" si="0" ref="G14:G19">SUM(C14:F14)</f>
        <v>0</v>
      </c>
    </row>
    <row r="15" spans="1:7" ht="24" customHeight="1">
      <c r="A15" s="227" t="s">
        <v>18</v>
      </c>
      <c r="B15" s="189" t="s">
        <v>204</v>
      </c>
      <c r="C15" s="154"/>
      <c r="D15" s="154"/>
      <c r="E15" s="154"/>
      <c r="F15" s="154"/>
      <c r="G15" s="228">
        <f t="shared" si="0"/>
        <v>0</v>
      </c>
    </row>
    <row r="16" spans="1:7" ht="24" customHeight="1">
      <c r="A16" s="227" t="s">
        <v>19</v>
      </c>
      <c r="B16" s="189" t="s">
        <v>205</v>
      </c>
      <c r="C16" s="154"/>
      <c r="D16" s="154"/>
      <c r="E16" s="154"/>
      <c r="F16" s="154"/>
      <c r="G16" s="228">
        <f t="shared" si="0"/>
        <v>0</v>
      </c>
    </row>
    <row r="17" spans="1:7" ht="24" customHeight="1">
      <c r="A17" s="227" t="s">
        <v>20</v>
      </c>
      <c r="B17" s="189" t="s">
        <v>206</v>
      </c>
      <c r="C17" s="154"/>
      <c r="D17" s="154"/>
      <c r="E17" s="154"/>
      <c r="F17" s="154"/>
      <c r="G17" s="228">
        <f t="shared" si="0"/>
        <v>0</v>
      </c>
    </row>
    <row r="18" spans="1:7" ht="24" customHeight="1" thickBot="1">
      <c r="A18" s="229" t="s">
        <v>21</v>
      </c>
      <c r="B18" s="230" t="s">
        <v>207</v>
      </c>
      <c r="C18" s="155"/>
      <c r="D18" s="155"/>
      <c r="E18" s="155"/>
      <c r="F18" s="155"/>
      <c r="G18" s="231">
        <f t="shared" si="0"/>
        <v>0</v>
      </c>
    </row>
    <row r="19" spans="1:7" s="156" customFormat="1" ht="24" customHeight="1" thickBot="1">
      <c r="A19" s="232" t="s">
        <v>22</v>
      </c>
      <c r="B19" s="233" t="s">
        <v>51</v>
      </c>
      <c r="C19" s="234">
        <f>SUM(C13:C18)</f>
        <v>0</v>
      </c>
      <c r="D19" s="234">
        <f>SUM(D13:D18)</f>
        <v>0</v>
      </c>
      <c r="E19" s="234">
        <f>SUM(E13:E18)</f>
        <v>0</v>
      </c>
      <c r="F19" s="234">
        <f>SUM(F13:F18)</f>
        <v>0</v>
      </c>
      <c r="G19" s="235">
        <f t="shared" si="0"/>
        <v>0</v>
      </c>
    </row>
    <row r="20" spans="1:7" s="151" customFormat="1" ht="12.75">
      <c r="A20" s="199"/>
      <c r="B20" s="199"/>
      <c r="C20" s="199"/>
      <c r="D20" s="199"/>
      <c r="E20" s="199"/>
      <c r="F20" s="199"/>
      <c r="G20" s="199"/>
    </row>
    <row r="21" spans="1:7" s="151" customFormat="1" ht="12.75">
      <c r="A21" s="199"/>
      <c r="B21" s="199"/>
      <c r="C21" s="199"/>
      <c r="D21" s="199"/>
      <c r="E21" s="199"/>
      <c r="F21" s="199"/>
      <c r="G21" s="199"/>
    </row>
    <row r="22" spans="1:7" s="151" customFormat="1" ht="12.75">
      <c r="A22" s="199"/>
      <c r="B22" s="199"/>
      <c r="C22" s="199"/>
      <c r="D22" s="199"/>
      <c r="E22" s="199"/>
      <c r="F22" s="199"/>
      <c r="G22" s="199"/>
    </row>
    <row r="23" spans="1:7" s="151" customFormat="1" ht="15.75">
      <c r="A23" s="150" t="str">
        <f>+CONCATENATE("......................, ",LEFT(KV_ÖSSZEFÜGGÉSEK!A5,4),". .......................... hó ..... nap")</f>
        <v>......................, 2020. .......................... hó ..... nap</v>
      </c>
      <c r="F23" s="199"/>
      <c r="G23" s="199"/>
    </row>
    <row r="24" spans="6:7" s="151" customFormat="1" ht="12.75">
      <c r="F24" s="199"/>
      <c r="G24" s="199"/>
    </row>
    <row r="25" spans="1:7" ht="12.75">
      <c r="A25" s="199"/>
      <c r="B25" s="199"/>
      <c r="C25" s="199"/>
      <c r="D25" s="199"/>
      <c r="E25" s="199"/>
      <c r="F25" s="199"/>
      <c r="G25" s="199"/>
    </row>
    <row r="26" spans="1:7" ht="12.75">
      <c r="A26" s="199"/>
      <c r="B26" s="199"/>
      <c r="C26" s="151"/>
      <c r="D26" s="151"/>
      <c r="E26" s="151"/>
      <c r="F26" s="151"/>
      <c r="G26" s="199"/>
    </row>
    <row r="27" spans="1:7" ht="13.5">
      <c r="A27" s="199"/>
      <c r="B27" s="199"/>
      <c r="C27" s="236"/>
      <c r="D27" s="237" t="s">
        <v>208</v>
      </c>
      <c r="E27" s="237"/>
      <c r="F27" s="236"/>
      <c r="G27" s="199"/>
    </row>
    <row r="28" spans="3:6" ht="13.5">
      <c r="C28" s="157"/>
      <c r="D28" s="158"/>
      <c r="E28" s="158"/>
      <c r="F28" s="157"/>
    </row>
    <row r="29" spans="3:6" ht="13.5">
      <c r="C29" s="157"/>
      <c r="D29" s="158"/>
      <c r="E29" s="158"/>
      <c r="F29" s="157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39" sqref="E139"/>
    </sheetView>
  </sheetViews>
  <sheetFormatPr defaultColWidth="9.00390625" defaultRowHeight="12.75"/>
  <cols>
    <col min="1" max="1" width="9.00390625" style="360" customWidth="1"/>
    <col min="2" max="2" width="75.875" style="360" customWidth="1"/>
    <col min="3" max="3" width="15.50390625" style="361" customWidth="1"/>
    <col min="4" max="5" width="15.50390625" style="360" customWidth="1"/>
    <col min="6" max="6" width="9.00390625" style="38" customWidth="1"/>
    <col min="7" max="16384" width="9.375" style="38" customWidth="1"/>
  </cols>
  <sheetData>
    <row r="1" spans="1:5" ht="14.25" customHeight="1">
      <c r="A1" s="596"/>
      <c r="B1" s="596"/>
      <c r="C1" s="600"/>
      <c r="D1" s="596"/>
      <c r="E1" s="626" t="str">
        <f>CONCATENATE("1. tájékoztató tábla ",ALAPADATOK!A7," ",ALAPADATOK!B7," ",ALAPADATOK!C7," ",ALAPADATOK!D7," ",ALAPADATOK!E7," ",ALAPADATOK!F7," ",ALAPADATOK!G7," ",ALAPADATOK!H7)</f>
        <v>1. tájékoztató tábla a 4 / 2020 ( II.25. ) önkormányzati rendelethez</v>
      </c>
    </row>
    <row r="2" spans="1:5" ht="15.75">
      <c r="A2" s="828" t="str">
        <f>CONCATENATE(ALAPADATOK!A3)</f>
        <v>MURAKERESZTÚR KÖZSÉG ÖNKORMÁNYZATA</v>
      </c>
      <c r="B2" s="828"/>
      <c r="C2" s="829"/>
      <c r="D2" s="828"/>
      <c r="E2" s="828"/>
    </row>
    <row r="3" spans="1:5" ht="15.75">
      <c r="A3" s="828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828"/>
      <c r="C3" s="829"/>
      <c r="D3" s="828"/>
      <c r="E3" s="828"/>
    </row>
    <row r="4" spans="1:5" ht="15.75" customHeight="1">
      <c r="A4" s="766" t="s">
        <v>13</v>
      </c>
      <c r="B4" s="766"/>
      <c r="C4" s="766"/>
      <c r="D4" s="766"/>
      <c r="E4" s="766"/>
    </row>
    <row r="5" spans="1:5" ht="15.75" customHeight="1" thickBot="1">
      <c r="A5" s="767" t="s">
        <v>143</v>
      </c>
      <c r="B5" s="767"/>
      <c r="C5" s="600"/>
      <c r="D5" s="627"/>
      <c r="E5" s="636" t="str">
        <f>'KV_10.sz.mell'!G11</f>
        <v>Forintban!</v>
      </c>
    </row>
    <row r="6" spans="1:5" ht="30.75" customHeight="1" thickBot="1">
      <c r="A6" s="601" t="s">
        <v>67</v>
      </c>
      <c r="B6" s="602" t="s">
        <v>15</v>
      </c>
      <c r="C6" s="602" t="str">
        <f>+CONCATENATE(LEFT(KV_ÖSSZEFÜGGÉSEK!A5,4)-2,". évi tény")</f>
        <v>2018. évi tény</v>
      </c>
      <c r="D6" s="637" t="str">
        <f>+CONCATENATE(LEFT(KV_ÖSSZEFÜGGÉSEK!A5,4)-1,". évi várható")</f>
        <v>2019. évi várható</v>
      </c>
      <c r="E6" s="638" t="str">
        <f>+'KV_1.1.sz.mell.'!C8</f>
        <v>2020. évi előirányzat</v>
      </c>
    </row>
    <row r="7" spans="1:5" s="39" customFormat="1" ht="12" customHeight="1" thickBot="1">
      <c r="A7" s="32" t="s">
        <v>473</v>
      </c>
      <c r="B7" s="33" t="s">
        <v>474</v>
      </c>
      <c r="C7" s="33" t="s">
        <v>475</v>
      </c>
      <c r="D7" s="33" t="s">
        <v>477</v>
      </c>
      <c r="E7" s="423" t="s">
        <v>476</v>
      </c>
    </row>
    <row r="8" spans="1:5" s="1" customFormat="1" ht="12" customHeight="1" thickBot="1">
      <c r="A8" s="20" t="s">
        <v>16</v>
      </c>
      <c r="B8" s="21" t="s">
        <v>235</v>
      </c>
      <c r="C8" s="374">
        <f>+C9+C10+C11+C12+C13+C14</f>
        <v>144624906</v>
      </c>
      <c r="D8" s="374">
        <f>+D9+D10+D11+D12+D13+D14</f>
        <v>151701304</v>
      </c>
      <c r="E8" s="240">
        <f>+E9+E10+E11+E12+E13+E14</f>
        <v>164910297</v>
      </c>
    </row>
    <row r="9" spans="1:5" s="1" customFormat="1" ht="12" customHeight="1">
      <c r="A9" s="15" t="s">
        <v>96</v>
      </c>
      <c r="B9" s="391" t="s">
        <v>236</v>
      </c>
      <c r="C9" s="376">
        <v>64426008</v>
      </c>
      <c r="D9" s="376">
        <v>67950011</v>
      </c>
      <c r="E9" s="242">
        <v>93224874</v>
      </c>
    </row>
    <row r="10" spans="1:5" s="1" customFormat="1" ht="12" customHeight="1">
      <c r="A10" s="14" t="s">
        <v>97</v>
      </c>
      <c r="B10" s="392" t="s">
        <v>237</v>
      </c>
      <c r="C10" s="375">
        <v>29350284</v>
      </c>
      <c r="D10" s="375">
        <v>29292333</v>
      </c>
      <c r="E10" s="241">
        <v>28686330</v>
      </c>
    </row>
    <row r="11" spans="1:5" s="1" customFormat="1" ht="12" customHeight="1">
      <c r="A11" s="14" t="s">
        <v>98</v>
      </c>
      <c r="B11" s="392" t="s">
        <v>238</v>
      </c>
      <c r="C11" s="375">
        <v>42497381</v>
      </c>
      <c r="D11" s="375">
        <v>43415846</v>
      </c>
      <c r="E11" s="241">
        <v>40859883</v>
      </c>
    </row>
    <row r="12" spans="1:5" s="1" customFormat="1" ht="12" customHeight="1">
      <c r="A12" s="14" t="s">
        <v>99</v>
      </c>
      <c r="B12" s="392" t="s">
        <v>239</v>
      </c>
      <c r="C12" s="375">
        <v>2697581</v>
      </c>
      <c r="D12" s="375">
        <v>2771504</v>
      </c>
      <c r="E12" s="241">
        <v>2139210</v>
      </c>
    </row>
    <row r="13" spans="1:5" s="1" customFormat="1" ht="12" customHeight="1">
      <c r="A13" s="14" t="s">
        <v>139</v>
      </c>
      <c r="B13" s="270" t="s">
        <v>412</v>
      </c>
      <c r="C13" s="375">
        <v>5653652</v>
      </c>
      <c r="D13" s="375">
        <v>8271610</v>
      </c>
      <c r="E13" s="241"/>
    </row>
    <row r="14" spans="1:5" s="1" customFormat="1" ht="12" customHeight="1" thickBot="1">
      <c r="A14" s="16" t="s">
        <v>100</v>
      </c>
      <c r="B14" s="271" t="s">
        <v>413</v>
      </c>
      <c r="C14" s="375"/>
      <c r="D14" s="375"/>
      <c r="E14" s="241"/>
    </row>
    <row r="15" spans="1:5" s="1" customFormat="1" ht="12" customHeight="1" thickBot="1">
      <c r="A15" s="20" t="s">
        <v>17</v>
      </c>
      <c r="B15" s="269" t="s">
        <v>240</v>
      </c>
      <c r="C15" s="374">
        <f>+C16+C17+C18+C19+C20</f>
        <v>33690290</v>
      </c>
      <c r="D15" s="374">
        <f>+D16+D17+D18+D19+D20</f>
        <v>24696809</v>
      </c>
      <c r="E15" s="240">
        <f>+E16+E17+E18+E19+E20</f>
        <v>20449828</v>
      </c>
    </row>
    <row r="16" spans="1:5" s="1" customFormat="1" ht="12" customHeight="1">
      <c r="A16" s="15" t="s">
        <v>102</v>
      </c>
      <c r="B16" s="391" t="s">
        <v>241</v>
      </c>
      <c r="C16" s="376"/>
      <c r="D16" s="376"/>
      <c r="E16" s="242"/>
    </row>
    <row r="17" spans="1:5" s="1" customFormat="1" ht="12" customHeight="1">
      <c r="A17" s="14" t="s">
        <v>103</v>
      </c>
      <c r="B17" s="392" t="s">
        <v>242</v>
      </c>
      <c r="C17" s="375"/>
      <c r="D17" s="375"/>
      <c r="E17" s="241"/>
    </row>
    <row r="18" spans="1:5" s="1" customFormat="1" ht="12" customHeight="1">
      <c r="A18" s="14" t="s">
        <v>104</v>
      </c>
      <c r="B18" s="392" t="s">
        <v>403</v>
      </c>
      <c r="C18" s="375"/>
      <c r="D18" s="375">
        <v>250000</v>
      </c>
      <c r="E18" s="241"/>
    </row>
    <row r="19" spans="1:5" s="1" customFormat="1" ht="12" customHeight="1">
      <c r="A19" s="14" t="s">
        <v>105</v>
      </c>
      <c r="B19" s="392" t="s">
        <v>404</v>
      </c>
      <c r="C19" s="375"/>
      <c r="D19" s="375"/>
      <c r="E19" s="241"/>
    </row>
    <row r="20" spans="1:5" s="1" customFormat="1" ht="12" customHeight="1">
      <c r="A20" s="14" t="s">
        <v>106</v>
      </c>
      <c r="B20" s="392" t="s">
        <v>243</v>
      </c>
      <c r="C20" s="375">
        <v>33690290</v>
      </c>
      <c r="D20" s="375">
        <v>24446809</v>
      </c>
      <c r="E20" s="241">
        <v>20449828</v>
      </c>
    </row>
    <row r="21" spans="1:5" s="1" customFormat="1" ht="12" customHeight="1" thickBot="1">
      <c r="A21" s="16" t="s">
        <v>115</v>
      </c>
      <c r="B21" s="271" t="s">
        <v>244</v>
      </c>
      <c r="C21" s="377"/>
      <c r="D21" s="377"/>
      <c r="E21" s="243"/>
    </row>
    <row r="22" spans="1:5" s="1" customFormat="1" ht="12" customHeight="1" thickBot="1">
      <c r="A22" s="20" t="s">
        <v>18</v>
      </c>
      <c r="B22" s="21" t="s">
        <v>245</v>
      </c>
      <c r="C22" s="374">
        <f>+C23+C24+C25+C26+C27</f>
        <v>65515327</v>
      </c>
      <c r="D22" s="374">
        <f>+D23+D24+D25+D26+D27</f>
        <v>7600000</v>
      </c>
      <c r="E22" s="240">
        <f>+E23+E24+E25+E26+E27</f>
        <v>179629826</v>
      </c>
    </row>
    <row r="23" spans="1:5" s="1" customFormat="1" ht="12" customHeight="1">
      <c r="A23" s="15" t="s">
        <v>85</v>
      </c>
      <c r="B23" s="391" t="s">
        <v>246</v>
      </c>
      <c r="C23" s="376">
        <v>65515327</v>
      </c>
      <c r="D23" s="376"/>
      <c r="E23" s="242"/>
    </row>
    <row r="24" spans="1:5" s="1" customFormat="1" ht="12" customHeight="1">
      <c r="A24" s="14" t="s">
        <v>86</v>
      </c>
      <c r="B24" s="392" t="s">
        <v>247</v>
      </c>
      <c r="C24" s="375"/>
      <c r="D24" s="375"/>
      <c r="E24" s="241"/>
    </row>
    <row r="25" spans="1:5" s="1" customFormat="1" ht="12" customHeight="1">
      <c r="A25" s="14" t="s">
        <v>87</v>
      </c>
      <c r="B25" s="392" t="s">
        <v>405</v>
      </c>
      <c r="C25" s="375"/>
      <c r="D25" s="375"/>
      <c r="E25" s="241"/>
    </row>
    <row r="26" spans="1:5" s="1" customFormat="1" ht="12" customHeight="1">
      <c r="A26" s="14" t="s">
        <v>88</v>
      </c>
      <c r="B26" s="392" t="s">
        <v>406</v>
      </c>
      <c r="C26" s="375"/>
      <c r="D26" s="375"/>
      <c r="E26" s="241"/>
    </row>
    <row r="27" spans="1:5" s="1" customFormat="1" ht="12" customHeight="1">
      <c r="A27" s="14" t="s">
        <v>155</v>
      </c>
      <c r="B27" s="392" t="s">
        <v>248</v>
      </c>
      <c r="C27" s="375"/>
      <c r="D27" s="375">
        <v>7600000</v>
      </c>
      <c r="E27" s="241">
        <v>179629826</v>
      </c>
    </row>
    <row r="28" spans="1:5" s="1" customFormat="1" ht="12" customHeight="1" thickBot="1">
      <c r="A28" s="16" t="s">
        <v>156</v>
      </c>
      <c r="B28" s="393" t="s">
        <v>249</v>
      </c>
      <c r="C28" s="377"/>
      <c r="D28" s="377"/>
      <c r="E28" s="243">
        <v>179629826</v>
      </c>
    </row>
    <row r="29" spans="1:5" s="1" customFormat="1" ht="12" customHeight="1" thickBot="1">
      <c r="A29" s="20" t="s">
        <v>157</v>
      </c>
      <c r="B29" s="21" t="s">
        <v>250</v>
      </c>
      <c r="C29" s="381">
        <f>SUM(C30:C36)</f>
        <v>39066216</v>
      </c>
      <c r="D29" s="381">
        <f>SUM(D30:D36)</f>
        <v>39076552</v>
      </c>
      <c r="E29" s="422">
        <f>SUM(E30:E36)</f>
        <v>40170000</v>
      </c>
    </row>
    <row r="30" spans="1:5" s="1" customFormat="1" ht="12" customHeight="1">
      <c r="A30" s="15" t="s">
        <v>251</v>
      </c>
      <c r="B30" s="391" t="str">
        <f>'KV_1.1.sz.mell.'!B32</f>
        <v>Magánszemélyek kommunális adója</v>
      </c>
      <c r="C30" s="376">
        <v>7932046</v>
      </c>
      <c r="D30" s="376">
        <v>8274495</v>
      </c>
      <c r="E30" s="275">
        <v>8300000</v>
      </c>
    </row>
    <row r="31" spans="1:5" s="1" customFormat="1" ht="12" customHeight="1">
      <c r="A31" s="14" t="s">
        <v>252</v>
      </c>
      <c r="B31" s="391" t="str">
        <f>'KV_1.1.sz.mell.'!B33</f>
        <v>Idegenforgalmi adó</v>
      </c>
      <c r="C31" s="375"/>
      <c r="D31" s="375"/>
      <c r="E31" s="276"/>
    </row>
    <row r="32" spans="1:5" s="1" customFormat="1" ht="12" customHeight="1">
      <c r="A32" s="14" t="s">
        <v>253</v>
      </c>
      <c r="B32" s="391" t="str">
        <f>'KV_1.1.sz.mell.'!B34</f>
        <v>Iparűzési adó</v>
      </c>
      <c r="C32" s="375">
        <v>26369340</v>
      </c>
      <c r="D32" s="375">
        <v>26013065</v>
      </c>
      <c r="E32" s="276">
        <v>27000000</v>
      </c>
    </row>
    <row r="33" spans="1:5" s="1" customFormat="1" ht="12" customHeight="1">
      <c r="A33" s="14" t="s">
        <v>254</v>
      </c>
      <c r="B33" s="391" t="str">
        <f>'KV_1.1.sz.mell.'!B35</f>
        <v>Talajterhelési díj</v>
      </c>
      <c r="C33" s="375"/>
      <c r="D33" s="375"/>
      <c r="E33" s="276"/>
    </row>
    <row r="34" spans="1:5" s="1" customFormat="1" ht="12" customHeight="1">
      <c r="A34" s="14" t="s">
        <v>530</v>
      </c>
      <c r="B34" s="391" t="str">
        <f>'KV_1.1.sz.mell.'!B36</f>
        <v>Gépjárműadó</v>
      </c>
      <c r="C34" s="375">
        <v>3846308</v>
      </c>
      <c r="D34" s="375">
        <v>4159201</v>
      </c>
      <c r="E34" s="276">
        <v>4300000</v>
      </c>
    </row>
    <row r="35" spans="1:5" s="1" customFormat="1" ht="12" customHeight="1">
      <c r="A35" s="14" t="s">
        <v>531</v>
      </c>
      <c r="B35" s="391" t="str">
        <f>'KV_1.1.sz.mell.'!B37</f>
        <v>Telekadó</v>
      </c>
      <c r="C35" s="375"/>
      <c r="D35" s="375"/>
      <c r="E35" s="276"/>
    </row>
    <row r="36" spans="1:5" s="1" customFormat="1" ht="12" customHeight="1" thickBot="1">
      <c r="A36" s="16" t="s">
        <v>532</v>
      </c>
      <c r="B36" s="391" t="str">
        <f>'KV_1.1.sz.mell.'!B38</f>
        <v>Kommunális adó</v>
      </c>
      <c r="C36" s="377">
        <v>918522</v>
      </c>
      <c r="D36" s="377">
        <v>629791</v>
      </c>
      <c r="E36" s="282">
        <v>570000</v>
      </c>
    </row>
    <row r="37" spans="1:5" s="1" customFormat="1" ht="12" customHeight="1" thickBot="1">
      <c r="A37" s="20" t="s">
        <v>20</v>
      </c>
      <c r="B37" s="21" t="s">
        <v>414</v>
      </c>
      <c r="C37" s="374">
        <f>SUM(C38:C48)</f>
        <v>38884750</v>
      </c>
      <c r="D37" s="374">
        <f>SUM(D38:D48)</f>
        <v>41731051</v>
      </c>
      <c r="E37" s="240">
        <f>SUM(E38:E48)</f>
        <v>53792620</v>
      </c>
    </row>
    <row r="38" spans="1:5" s="1" customFormat="1" ht="12" customHeight="1">
      <c r="A38" s="15" t="s">
        <v>89</v>
      </c>
      <c r="B38" s="391" t="s">
        <v>258</v>
      </c>
      <c r="C38" s="376"/>
      <c r="D38" s="376"/>
      <c r="E38" s="242"/>
    </row>
    <row r="39" spans="1:5" s="1" customFormat="1" ht="12" customHeight="1">
      <c r="A39" s="14" t="s">
        <v>90</v>
      </c>
      <c r="B39" s="392" t="s">
        <v>259</v>
      </c>
      <c r="C39" s="375">
        <v>18584390</v>
      </c>
      <c r="D39" s="375">
        <v>18526430</v>
      </c>
      <c r="E39" s="241">
        <v>20855300</v>
      </c>
    </row>
    <row r="40" spans="1:5" s="1" customFormat="1" ht="12" customHeight="1">
      <c r="A40" s="14" t="s">
        <v>91</v>
      </c>
      <c r="B40" s="392" t="s">
        <v>260</v>
      </c>
      <c r="C40" s="375">
        <v>293437</v>
      </c>
      <c r="D40" s="375">
        <v>326846</v>
      </c>
      <c r="E40" s="241">
        <v>285000</v>
      </c>
    </row>
    <row r="41" spans="1:5" s="1" customFormat="1" ht="12" customHeight="1">
      <c r="A41" s="14" t="s">
        <v>159</v>
      </c>
      <c r="B41" s="392" t="s">
        <v>261</v>
      </c>
      <c r="C41" s="375">
        <v>757557</v>
      </c>
      <c r="D41" s="375">
        <v>2647822</v>
      </c>
      <c r="E41" s="241">
        <v>2615840</v>
      </c>
    </row>
    <row r="42" spans="1:5" s="1" customFormat="1" ht="12" customHeight="1">
      <c r="A42" s="14" t="s">
        <v>160</v>
      </c>
      <c r="B42" s="392" t="s">
        <v>262</v>
      </c>
      <c r="C42" s="375">
        <v>11330583</v>
      </c>
      <c r="D42" s="375">
        <v>11820273</v>
      </c>
      <c r="E42" s="241">
        <v>14364996</v>
      </c>
    </row>
    <row r="43" spans="1:5" s="1" customFormat="1" ht="12" customHeight="1">
      <c r="A43" s="14" t="s">
        <v>161</v>
      </c>
      <c r="B43" s="392" t="s">
        <v>263</v>
      </c>
      <c r="C43" s="375">
        <v>7829157</v>
      </c>
      <c r="D43" s="375">
        <v>8318639</v>
      </c>
      <c r="E43" s="241">
        <v>9776980</v>
      </c>
    </row>
    <row r="44" spans="1:5" s="1" customFormat="1" ht="12" customHeight="1">
      <c r="A44" s="14" t="s">
        <v>162</v>
      </c>
      <c r="B44" s="392" t="s">
        <v>264</v>
      </c>
      <c r="C44" s="375"/>
      <c r="D44" s="375"/>
      <c r="E44" s="241">
        <v>736830</v>
      </c>
    </row>
    <row r="45" spans="1:5" s="1" customFormat="1" ht="12" customHeight="1">
      <c r="A45" s="14" t="s">
        <v>163</v>
      </c>
      <c r="B45" s="392" t="s">
        <v>536</v>
      </c>
      <c r="C45" s="375"/>
      <c r="D45" s="375"/>
      <c r="E45" s="241"/>
    </row>
    <row r="46" spans="1:5" s="1" customFormat="1" ht="12" customHeight="1">
      <c r="A46" s="14" t="s">
        <v>256</v>
      </c>
      <c r="B46" s="392" t="s">
        <v>266</v>
      </c>
      <c r="C46" s="378"/>
      <c r="D46" s="378"/>
      <c r="E46" s="244"/>
    </row>
    <row r="47" spans="1:5" s="1" customFormat="1" ht="12" customHeight="1">
      <c r="A47" s="16" t="s">
        <v>257</v>
      </c>
      <c r="B47" s="393" t="s">
        <v>416</v>
      </c>
      <c r="C47" s="379"/>
      <c r="D47" s="379">
        <v>11165</v>
      </c>
      <c r="E47" s="245"/>
    </row>
    <row r="48" spans="1:5" s="1" customFormat="1" ht="12" customHeight="1" thickBot="1">
      <c r="A48" s="16" t="s">
        <v>415</v>
      </c>
      <c r="B48" s="271" t="s">
        <v>267</v>
      </c>
      <c r="C48" s="379">
        <v>89626</v>
      </c>
      <c r="D48" s="379">
        <v>79876</v>
      </c>
      <c r="E48" s="245">
        <v>5157674</v>
      </c>
    </row>
    <row r="49" spans="1:5" s="1" customFormat="1" ht="12" customHeight="1" thickBot="1">
      <c r="A49" s="20" t="s">
        <v>21</v>
      </c>
      <c r="B49" s="21" t="s">
        <v>268</v>
      </c>
      <c r="C49" s="374">
        <f>SUM(C50:C54)</f>
        <v>150000</v>
      </c>
      <c r="D49" s="374">
        <f>SUM(D50:D54)</f>
        <v>4750000</v>
      </c>
      <c r="E49" s="240">
        <f>SUM(E50:E54)</f>
        <v>0</v>
      </c>
    </row>
    <row r="50" spans="1:5" s="1" customFormat="1" ht="12" customHeight="1">
      <c r="A50" s="15" t="s">
        <v>92</v>
      </c>
      <c r="B50" s="391" t="s">
        <v>272</v>
      </c>
      <c r="C50" s="437"/>
      <c r="D50" s="437"/>
      <c r="E50" s="267"/>
    </row>
    <row r="51" spans="1:5" s="1" customFormat="1" ht="12" customHeight="1">
      <c r="A51" s="14" t="s">
        <v>93</v>
      </c>
      <c r="B51" s="392" t="s">
        <v>273</v>
      </c>
      <c r="C51" s="378">
        <v>150000</v>
      </c>
      <c r="D51" s="378">
        <v>4750000</v>
      </c>
      <c r="E51" s="244"/>
    </row>
    <row r="52" spans="1:5" s="1" customFormat="1" ht="12" customHeight="1">
      <c r="A52" s="14" t="s">
        <v>269</v>
      </c>
      <c r="B52" s="392" t="s">
        <v>274</v>
      </c>
      <c r="C52" s="378"/>
      <c r="D52" s="378"/>
      <c r="E52" s="244"/>
    </row>
    <row r="53" spans="1:5" s="1" customFormat="1" ht="12" customHeight="1">
      <c r="A53" s="14" t="s">
        <v>270</v>
      </c>
      <c r="B53" s="392" t="s">
        <v>275</v>
      </c>
      <c r="C53" s="378"/>
      <c r="D53" s="378"/>
      <c r="E53" s="244"/>
    </row>
    <row r="54" spans="1:5" s="1" customFormat="1" ht="12" customHeight="1" thickBot="1">
      <c r="A54" s="16" t="s">
        <v>271</v>
      </c>
      <c r="B54" s="271" t="s">
        <v>276</v>
      </c>
      <c r="C54" s="379"/>
      <c r="D54" s="379"/>
      <c r="E54" s="245"/>
    </row>
    <row r="55" spans="1:5" s="1" customFormat="1" ht="12" customHeight="1" thickBot="1">
      <c r="A55" s="20" t="s">
        <v>164</v>
      </c>
      <c r="B55" s="21" t="s">
        <v>277</v>
      </c>
      <c r="C55" s="374">
        <f>SUM(C56:C58)</f>
        <v>1455000</v>
      </c>
      <c r="D55" s="374">
        <f>SUM(D56:D58)</f>
        <v>2002015</v>
      </c>
      <c r="E55" s="240">
        <f>SUM(E56:E58)</f>
        <v>980000</v>
      </c>
    </row>
    <row r="56" spans="1:5" s="1" customFormat="1" ht="12" customHeight="1">
      <c r="A56" s="15" t="s">
        <v>94</v>
      </c>
      <c r="B56" s="391" t="s">
        <v>278</v>
      </c>
      <c r="C56" s="376"/>
      <c r="D56" s="376"/>
      <c r="E56" s="242"/>
    </row>
    <row r="57" spans="1:5" s="1" customFormat="1" ht="12" customHeight="1">
      <c r="A57" s="14" t="s">
        <v>95</v>
      </c>
      <c r="B57" s="392" t="s">
        <v>407</v>
      </c>
      <c r="C57" s="375"/>
      <c r="D57" s="375"/>
      <c r="E57" s="241"/>
    </row>
    <row r="58" spans="1:5" s="1" customFormat="1" ht="12" customHeight="1">
      <c r="A58" s="14" t="s">
        <v>281</v>
      </c>
      <c r="B58" s="392" t="s">
        <v>279</v>
      </c>
      <c r="C58" s="375">
        <v>1455000</v>
      </c>
      <c r="D58" s="375">
        <v>2002015</v>
      </c>
      <c r="E58" s="241">
        <v>980000</v>
      </c>
    </row>
    <row r="59" spans="1:5" s="1" customFormat="1" ht="12" customHeight="1" thickBot="1">
      <c r="A59" s="16" t="s">
        <v>282</v>
      </c>
      <c r="B59" s="271" t="s">
        <v>280</v>
      </c>
      <c r="C59" s="377"/>
      <c r="D59" s="377"/>
      <c r="E59" s="243"/>
    </row>
    <row r="60" spans="1:5" s="1" customFormat="1" ht="12" customHeight="1" thickBot="1">
      <c r="A60" s="20" t="s">
        <v>23</v>
      </c>
      <c r="B60" s="269" t="s">
        <v>283</v>
      </c>
      <c r="C60" s="374">
        <f>SUM(C61:C63)</f>
        <v>100893</v>
      </c>
      <c r="D60" s="374">
        <f>SUM(D61:D63)</f>
        <v>146319</v>
      </c>
      <c r="E60" s="240">
        <f>SUM(E61:E63)</f>
        <v>100000</v>
      </c>
    </row>
    <row r="61" spans="1:5" s="1" customFormat="1" ht="12" customHeight="1">
      <c r="A61" s="15" t="s">
        <v>165</v>
      </c>
      <c r="B61" s="391" t="s">
        <v>285</v>
      </c>
      <c r="C61" s="378"/>
      <c r="D61" s="378"/>
      <c r="E61" s="244"/>
    </row>
    <row r="62" spans="1:5" s="1" customFormat="1" ht="12" customHeight="1">
      <c r="A62" s="14" t="s">
        <v>166</v>
      </c>
      <c r="B62" s="392" t="s">
        <v>408</v>
      </c>
      <c r="C62" s="378">
        <v>100893</v>
      </c>
      <c r="D62" s="378">
        <v>146319</v>
      </c>
      <c r="E62" s="244">
        <v>100000</v>
      </c>
    </row>
    <row r="63" spans="1:5" s="1" customFormat="1" ht="12" customHeight="1">
      <c r="A63" s="14" t="s">
        <v>214</v>
      </c>
      <c r="B63" s="392" t="s">
        <v>286</v>
      </c>
      <c r="C63" s="378"/>
      <c r="D63" s="378"/>
      <c r="E63" s="244"/>
    </row>
    <row r="64" spans="1:5" s="1" customFormat="1" ht="12" customHeight="1" thickBot="1">
      <c r="A64" s="16" t="s">
        <v>284</v>
      </c>
      <c r="B64" s="271" t="s">
        <v>287</v>
      </c>
      <c r="C64" s="378"/>
      <c r="D64" s="378"/>
      <c r="E64" s="244"/>
    </row>
    <row r="65" spans="1:5" s="1" customFormat="1" ht="12" customHeight="1" thickBot="1">
      <c r="A65" s="463" t="s">
        <v>456</v>
      </c>
      <c r="B65" s="21" t="s">
        <v>288</v>
      </c>
      <c r="C65" s="381">
        <f>+C8+C15+C22+C29+C37+C49+C55+C60</f>
        <v>323487382</v>
      </c>
      <c r="D65" s="381">
        <f>+D8+D15+D22+D29+D37+D49+D55+D60</f>
        <v>271704050</v>
      </c>
      <c r="E65" s="422">
        <f>+E8+E15+E22+E29+E37+E49+E55+E60</f>
        <v>460032571</v>
      </c>
    </row>
    <row r="66" spans="1:5" s="1" customFormat="1" ht="12" customHeight="1" thickBot="1">
      <c r="A66" s="438" t="s">
        <v>289</v>
      </c>
      <c r="B66" s="269" t="s">
        <v>521</v>
      </c>
      <c r="C66" s="374">
        <f>SUM(C67:C69)</f>
        <v>0</v>
      </c>
      <c r="D66" s="374">
        <f>SUM(D67:D69)</f>
        <v>0</v>
      </c>
      <c r="E66" s="240">
        <f>SUM(E67:E69)</f>
        <v>0</v>
      </c>
    </row>
    <row r="67" spans="1:5" s="1" customFormat="1" ht="12" customHeight="1">
      <c r="A67" s="15" t="s">
        <v>318</v>
      </c>
      <c r="B67" s="391" t="s">
        <v>291</v>
      </c>
      <c r="C67" s="378"/>
      <c r="D67" s="378"/>
      <c r="E67" s="244"/>
    </row>
    <row r="68" spans="1:5" s="1" customFormat="1" ht="12" customHeight="1">
      <c r="A68" s="14" t="s">
        <v>327</v>
      </c>
      <c r="B68" s="392" t="s">
        <v>292</v>
      </c>
      <c r="C68" s="378"/>
      <c r="D68" s="378"/>
      <c r="E68" s="244"/>
    </row>
    <row r="69" spans="1:5" s="1" customFormat="1" ht="12" customHeight="1" thickBot="1">
      <c r="A69" s="16" t="s">
        <v>328</v>
      </c>
      <c r="B69" s="457" t="s">
        <v>441</v>
      </c>
      <c r="C69" s="378"/>
      <c r="D69" s="378"/>
      <c r="E69" s="244"/>
    </row>
    <row r="70" spans="1:5" s="1" customFormat="1" ht="12" customHeight="1" thickBot="1">
      <c r="A70" s="438" t="s">
        <v>294</v>
      </c>
      <c r="B70" s="269" t="s">
        <v>295</v>
      </c>
      <c r="C70" s="374">
        <f>SUM(C71:C74)</f>
        <v>0</v>
      </c>
      <c r="D70" s="374">
        <f>SUM(D71:D74)</f>
        <v>0</v>
      </c>
      <c r="E70" s="240">
        <f>SUM(E71:E74)</f>
        <v>0</v>
      </c>
    </row>
    <row r="71" spans="1:5" s="1" customFormat="1" ht="12" customHeight="1">
      <c r="A71" s="15" t="s">
        <v>140</v>
      </c>
      <c r="B71" s="528" t="s">
        <v>296</v>
      </c>
      <c r="C71" s="378"/>
      <c r="D71" s="378"/>
      <c r="E71" s="244"/>
    </row>
    <row r="72" spans="1:7" s="1" customFormat="1" ht="13.5" customHeight="1">
      <c r="A72" s="14" t="s">
        <v>141</v>
      </c>
      <c r="B72" s="528" t="s">
        <v>547</v>
      </c>
      <c r="C72" s="378"/>
      <c r="D72" s="378"/>
      <c r="E72" s="244"/>
      <c r="G72" s="40"/>
    </row>
    <row r="73" spans="1:5" s="1" customFormat="1" ht="12" customHeight="1">
      <c r="A73" s="14" t="s">
        <v>319</v>
      </c>
      <c r="B73" s="528" t="s">
        <v>297</v>
      </c>
      <c r="C73" s="378"/>
      <c r="D73" s="378"/>
      <c r="E73" s="244"/>
    </row>
    <row r="74" spans="1:5" s="1" customFormat="1" ht="12" customHeight="1" thickBot="1">
      <c r="A74" s="16" t="s">
        <v>320</v>
      </c>
      <c r="B74" s="529" t="s">
        <v>548</v>
      </c>
      <c r="C74" s="378"/>
      <c r="D74" s="378"/>
      <c r="E74" s="244"/>
    </row>
    <row r="75" spans="1:5" s="1" customFormat="1" ht="12" customHeight="1" thickBot="1">
      <c r="A75" s="438" t="s">
        <v>298</v>
      </c>
      <c r="B75" s="269" t="s">
        <v>299</v>
      </c>
      <c r="C75" s="374">
        <f>SUM(C76:C77)</f>
        <v>17155438</v>
      </c>
      <c r="D75" s="374">
        <f>SUM(D76:D77)</f>
        <v>98631819</v>
      </c>
      <c r="E75" s="240">
        <f>SUM(E76:E77)</f>
        <v>55854055</v>
      </c>
    </row>
    <row r="76" spans="1:5" s="1" customFormat="1" ht="12" customHeight="1">
      <c r="A76" s="15" t="s">
        <v>321</v>
      </c>
      <c r="B76" s="391" t="s">
        <v>300</v>
      </c>
      <c r="C76" s="378">
        <v>17155438</v>
      </c>
      <c r="D76" s="378">
        <v>98631819</v>
      </c>
      <c r="E76" s="244">
        <v>55854055</v>
      </c>
    </row>
    <row r="77" spans="1:5" s="1" customFormat="1" ht="12" customHeight="1" thickBot="1">
      <c r="A77" s="16" t="s">
        <v>322</v>
      </c>
      <c r="B77" s="271" t="s">
        <v>301</v>
      </c>
      <c r="C77" s="378"/>
      <c r="D77" s="378"/>
      <c r="E77" s="244"/>
    </row>
    <row r="78" spans="1:5" s="1" customFormat="1" ht="12" customHeight="1" thickBot="1">
      <c r="A78" s="438" t="s">
        <v>302</v>
      </c>
      <c r="B78" s="269" t="s">
        <v>303</v>
      </c>
      <c r="C78" s="374">
        <f>SUM(C79:C81)</f>
        <v>5049769</v>
      </c>
      <c r="D78" s="374">
        <f>SUM(D79:D81)</f>
        <v>6195578</v>
      </c>
      <c r="E78" s="240">
        <f>SUM(E79:E81)</f>
        <v>0</v>
      </c>
    </row>
    <row r="79" spans="1:5" s="1" customFormat="1" ht="12" customHeight="1">
      <c r="A79" s="15" t="s">
        <v>323</v>
      </c>
      <c r="B79" s="391" t="s">
        <v>304</v>
      </c>
      <c r="C79" s="378">
        <v>5049769</v>
      </c>
      <c r="D79" s="378">
        <v>6195578</v>
      </c>
      <c r="E79" s="244"/>
    </row>
    <row r="80" spans="1:5" s="1" customFormat="1" ht="12" customHeight="1">
      <c r="A80" s="14" t="s">
        <v>324</v>
      </c>
      <c r="B80" s="392" t="s">
        <v>305</v>
      </c>
      <c r="C80" s="378"/>
      <c r="D80" s="378"/>
      <c r="E80" s="244"/>
    </row>
    <row r="81" spans="1:5" s="1" customFormat="1" ht="12" customHeight="1" thickBot="1">
      <c r="A81" s="16" t="s">
        <v>325</v>
      </c>
      <c r="B81" s="271" t="s">
        <v>549</v>
      </c>
      <c r="C81" s="378"/>
      <c r="D81" s="378"/>
      <c r="E81" s="244"/>
    </row>
    <row r="82" spans="1:5" s="1" customFormat="1" ht="12" customHeight="1" thickBot="1">
      <c r="A82" s="438" t="s">
        <v>306</v>
      </c>
      <c r="B82" s="269" t="s">
        <v>326</v>
      </c>
      <c r="C82" s="374">
        <f>SUM(C83:C86)</f>
        <v>0</v>
      </c>
      <c r="D82" s="374">
        <f>SUM(D83:D86)</f>
        <v>0</v>
      </c>
      <c r="E82" s="240">
        <f>SUM(E83:E86)</f>
        <v>0</v>
      </c>
    </row>
    <row r="83" spans="1:5" s="1" customFormat="1" ht="12" customHeight="1">
      <c r="A83" s="395" t="s">
        <v>307</v>
      </c>
      <c r="B83" s="391" t="s">
        <v>308</v>
      </c>
      <c r="C83" s="378"/>
      <c r="D83" s="378"/>
      <c r="E83" s="244"/>
    </row>
    <row r="84" spans="1:5" s="1" customFormat="1" ht="12" customHeight="1">
      <c r="A84" s="396" t="s">
        <v>309</v>
      </c>
      <c r="B84" s="392" t="s">
        <v>310</v>
      </c>
      <c r="C84" s="378"/>
      <c r="D84" s="378"/>
      <c r="E84" s="244"/>
    </row>
    <row r="85" spans="1:5" s="1" customFormat="1" ht="12" customHeight="1">
      <c r="A85" s="396" t="s">
        <v>311</v>
      </c>
      <c r="B85" s="392" t="s">
        <v>312</v>
      </c>
      <c r="C85" s="378"/>
      <c r="D85" s="378"/>
      <c r="E85" s="244"/>
    </row>
    <row r="86" spans="1:5" s="1" customFormat="1" ht="12" customHeight="1" thickBot="1">
      <c r="A86" s="397" t="s">
        <v>313</v>
      </c>
      <c r="B86" s="271" t="s">
        <v>314</v>
      </c>
      <c r="C86" s="378"/>
      <c r="D86" s="378"/>
      <c r="E86" s="244"/>
    </row>
    <row r="87" spans="1:5" s="1" customFormat="1" ht="12" customHeight="1" thickBot="1">
      <c r="A87" s="438" t="s">
        <v>315</v>
      </c>
      <c r="B87" s="269" t="s">
        <v>455</v>
      </c>
      <c r="C87" s="440"/>
      <c r="D87" s="440"/>
      <c r="E87" s="441"/>
    </row>
    <row r="88" spans="1:5" s="1" customFormat="1" ht="12" customHeight="1" thickBot="1">
      <c r="A88" s="438" t="s">
        <v>317</v>
      </c>
      <c r="B88" s="269" t="s">
        <v>316</v>
      </c>
      <c r="C88" s="440"/>
      <c r="D88" s="440"/>
      <c r="E88" s="441"/>
    </row>
    <row r="89" spans="1:5" s="1" customFormat="1" ht="12" customHeight="1" thickBot="1">
      <c r="A89" s="438" t="s">
        <v>329</v>
      </c>
      <c r="B89" s="398" t="s">
        <v>458</v>
      </c>
      <c r="C89" s="381">
        <f>+C66+C70+C75+C78+C82+C88+C87</f>
        <v>22205207</v>
      </c>
      <c r="D89" s="381">
        <f>+D66+D70+D75+D78+D82+D88+D87</f>
        <v>104827397</v>
      </c>
      <c r="E89" s="422">
        <f>+E66+E70+E75+E78+E82+E88+E87</f>
        <v>55854055</v>
      </c>
    </row>
    <row r="90" spans="1:5" s="1" customFormat="1" ht="12" customHeight="1" thickBot="1">
      <c r="A90" s="439" t="s">
        <v>457</v>
      </c>
      <c r="B90" s="399" t="s">
        <v>459</v>
      </c>
      <c r="C90" s="381">
        <f>+C65+C89</f>
        <v>345692589</v>
      </c>
      <c r="D90" s="381">
        <f>+D65+D89</f>
        <v>376531447</v>
      </c>
      <c r="E90" s="422">
        <f>+E65+E89</f>
        <v>515886626</v>
      </c>
    </row>
    <row r="91" spans="1:5" s="1" customFormat="1" ht="12" customHeight="1">
      <c r="A91" s="346"/>
      <c r="B91" s="347"/>
      <c r="C91" s="348"/>
      <c r="D91" s="349"/>
      <c r="E91" s="350"/>
    </row>
    <row r="92" spans="1:5" s="1" customFormat="1" ht="12" customHeight="1">
      <c r="A92" s="771" t="s">
        <v>45</v>
      </c>
      <c r="B92" s="771"/>
      <c r="C92" s="771"/>
      <c r="D92" s="771"/>
      <c r="E92" s="771"/>
    </row>
    <row r="93" spans="1:5" s="1" customFormat="1" ht="12" customHeight="1" thickBot="1">
      <c r="A93" s="768" t="s">
        <v>144</v>
      </c>
      <c r="B93" s="768"/>
      <c r="C93" s="361"/>
      <c r="D93" s="131"/>
      <c r="E93" s="284" t="str">
        <f>E5</f>
        <v>Forintban!</v>
      </c>
    </row>
    <row r="94" spans="1:6" s="1" customFormat="1" ht="24" customHeight="1" thickBot="1">
      <c r="A94" s="23" t="s">
        <v>14</v>
      </c>
      <c r="B94" s="24" t="s">
        <v>46</v>
      </c>
      <c r="C94" s="24" t="str">
        <f>+C6</f>
        <v>2018. évi tény</v>
      </c>
      <c r="D94" s="24" t="str">
        <f>+D6</f>
        <v>2019. évi várható</v>
      </c>
      <c r="E94" s="149" t="str">
        <f>+E6</f>
        <v>2020. évi előirányzat</v>
      </c>
      <c r="F94" s="139"/>
    </row>
    <row r="95" spans="1:6" s="1" customFormat="1" ht="12" customHeight="1" thickBot="1">
      <c r="A95" s="32" t="s">
        <v>473</v>
      </c>
      <c r="B95" s="33" t="s">
        <v>474</v>
      </c>
      <c r="C95" s="33" t="s">
        <v>475</v>
      </c>
      <c r="D95" s="33" t="s">
        <v>477</v>
      </c>
      <c r="E95" s="423" t="s">
        <v>476</v>
      </c>
      <c r="F95" s="139"/>
    </row>
    <row r="96" spans="1:6" s="1" customFormat="1" ht="15" customHeight="1" thickBot="1">
      <c r="A96" s="22" t="s">
        <v>16</v>
      </c>
      <c r="B96" s="28" t="s">
        <v>417</v>
      </c>
      <c r="C96" s="373">
        <f>C97+C98+C99+C100+C101+C114</f>
        <v>237714044</v>
      </c>
      <c r="D96" s="373">
        <f>D97+D98+D99+D100+D101+D114</f>
        <v>258902091</v>
      </c>
      <c r="E96" s="466">
        <f>E97+E98+E99+E100+E101+E114</f>
        <v>298202780</v>
      </c>
      <c r="F96" s="139"/>
    </row>
    <row r="97" spans="1:5" s="1" customFormat="1" ht="12.75" customHeight="1">
      <c r="A97" s="17" t="s">
        <v>96</v>
      </c>
      <c r="B97" s="10" t="s">
        <v>47</v>
      </c>
      <c r="C97" s="473">
        <v>116537659</v>
      </c>
      <c r="D97" s="473">
        <v>124471615</v>
      </c>
      <c r="E97" s="467">
        <v>143119867</v>
      </c>
    </row>
    <row r="98" spans="1:5" ht="16.5" customHeight="1">
      <c r="A98" s="14" t="s">
        <v>97</v>
      </c>
      <c r="B98" s="8" t="s">
        <v>167</v>
      </c>
      <c r="C98" s="375">
        <v>21750928</v>
      </c>
      <c r="D98" s="375">
        <v>22370467</v>
      </c>
      <c r="E98" s="241">
        <v>24231815</v>
      </c>
    </row>
    <row r="99" spans="1:5" ht="15.75">
      <c r="A99" s="14" t="s">
        <v>98</v>
      </c>
      <c r="B99" s="8" t="s">
        <v>131</v>
      </c>
      <c r="C99" s="377">
        <v>84412639</v>
      </c>
      <c r="D99" s="377">
        <v>97734119</v>
      </c>
      <c r="E99" s="243">
        <v>111554470</v>
      </c>
    </row>
    <row r="100" spans="1:5" s="39" customFormat="1" ht="12" customHeight="1">
      <c r="A100" s="14" t="s">
        <v>99</v>
      </c>
      <c r="B100" s="11" t="s">
        <v>168</v>
      </c>
      <c r="C100" s="377">
        <v>3264500</v>
      </c>
      <c r="D100" s="377">
        <v>1215500</v>
      </c>
      <c r="E100" s="243">
        <v>1875000</v>
      </c>
    </row>
    <row r="101" spans="1:5" ht="12" customHeight="1">
      <c r="A101" s="14" t="s">
        <v>110</v>
      </c>
      <c r="B101" s="19" t="s">
        <v>169</v>
      </c>
      <c r="C101" s="377">
        <f>C102+C108+C113</f>
        <v>11748318</v>
      </c>
      <c r="D101" s="377">
        <f>D102+D108+D113+D106</f>
        <v>13110390</v>
      </c>
      <c r="E101" s="243">
        <f>E108+E113</f>
        <v>10721912</v>
      </c>
    </row>
    <row r="102" spans="1:5" ht="12" customHeight="1">
      <c r="A102" s="14" t="s">
        <v>100</v>
      </c>
      <c r="B102" s="8" t="s">
        <v>422</v>
      </c>
      <c r="C102" s="377">
        <v>808930</v>
      </c>
      <c r="D102" s="377">
        <v>1026280</v>
      </c>
      <c r="E102" s="243"/>
    </row>
    <row r="103" spans="1:5" ht="12" customHeight="1">
      <c r="A103" s="14" t="s">
        <v>101</v>
      </c>
      <c r="B103" s="135" t="s">
        <v>421</v>
      </c>
      <c r="C103" s="377"/>
      <c r="D103" s="377"/>
      <c r="E103" s="243"/>
    </row>
    <row r="104" spans="1:5" ht="12" customHeight="1">
      <c r="A104" s="14" t="s">
        <v>111</v>
      </c>
      <c r="B104" s="135" t="s">
        <v>420</v>
      </c>
      <c r="C104" s="377"/>
      <c r="D104" s="377"/>
      <c r="E104" s="243"/>
    </row>
    <row r="105" spans="1:5" ht="12" customHeight="1">
      <c r="A105" s="14" t="s">
        <v>112</v>
      </c>
      <c r="B105" s="133" t="s">
        <v>332</v>
      </c>
      <c r="C105" s="377"/>
      <c r="D105" s="377"/>
      <c r="E105" s="243"/>
    </row>
    <row r="106" spans="1:5" ht="12" customHeight="1">
      <c r="A106" s="14" t="s">
        <v>113</v>
      </c>
      <c r="B106" s="134" t="s">
        <v>333</v>
      </c>
      <c r="C106" s="377"/>
      <c r="D106" s="377">
        <v>250000</v>
      </c>
      <c r="E106" s="243"/>
    </row>
    <row r="107" spans="1:5" ht="12" customHeight="1">
      <c r="A107" s="14" t="s">
        <v>114</v>
      </c>
      <c r="B107" s="134" t="s">
        <v>334</v>
      </c>
      <c r="C107" s="377"/>
      <c r="D107" s="377"/>
      <c r="E107" s="243"/>
    </row>
    <row r="108" spans="1:5" ht="12" customHeight="1">
      <c r="A108" s="14" t="s">
        <v>116</v>
      </c>
      <c r="B108" s="133" t="s">
        <v>335</v>
      </c>
      <c r="C108" s="377">
        <v>2265875</v>
      </c>
      <c r="D108" s="377">
        <v>5403210</v>
      </c>
      <c r="E108" s="243">
        <v>4844612</v>
      </c>
    </row>
    <row r="109" spans="1:5" ht="12" customHeight="1">
      <c r="A109" s="14" t="s">
        <v>170</v>
      </c>
      <c r="B109" s="133" t="s">
        <v>336</v>
      </c>
      <c r="C109" s="377"/>
      <c r="D109" s="377"/>
      <c r="E109" s="243"/>
    </row>
    <row r="110" spans="1:5" ht="12" customHeight="1">
      <c r="A110" s="14" t="s">
        <v>330</v>
      </c>
      <c r="B110" s="134" t="s">
        <v>337</v>
      </c>
      <c r="C110" s="377"/>
      <c r="D110" s="377"/>
      <c r="E110" s="243"/>
    </row>
    <row r="111" spans="1:5" ht="12" customHeight="1">
      <c r="A111" s="13" t="s">
        <v>331</v>
      </c>
      <c r="B111" s="135" t="s">
        <v>338</v>
      </c>
      <c r="C111" s="377"/>
      <c r="D111" s="377"/>
      <c r="E111" s="243"/>
    </row>
    <row r="112" spans="1:5" ht="12" customHeight="1">
      <c r="A112" s="14" t="s">
        <v>418</v>
      </c>
      <c r="B112" s="135" t="s">
        <v>339</v>
      </c>
      <c r="C112" s="377"/>
      <c r="D112" s="377"/>
      <c r="E112" s="243"/>
    </row>
    <row r="113" spans="1:5" ht="12" customHeight="1">
      <c r="A113" s="16" t="s">
        <v>419</v>
      </c>
      <c r="B113" s="135" t="s">
        <v>340</v>
      </c>
      <c r="C113" s="377">
        <v>8673513</v>
      </c>
      <c r="D113" s="377">
        <v>6430900</v>
      </c>
      <c r="E113" s="243">
        <v>5877300</v>
      </c>
    </row>
    <row r="114" spans="1:5" ht="12" customHeight="1">
      <c r="A114" s="14" t="s">
        <v>423</v>
      </c>
      <c r="B114" s="11" t="s">
        <v>48</v>
      </c>
      <c r="C114" s="375"/>
      <c r="D114" s="375"/>
      <c r="E114" s="241">
        <f>E115+E116</f>
        <v>6699716</v>
      </c>
    </row>
    <row r="115" spans="1:5" ht="12" customHeight="1">
      <c r="A115" s="14" t="s">
        <v>424</v>
      </c>
      <c r="B115" s="8" t="s">
        <v>426</v>
      </c>
      <c r="C115" s="375"/>
      <c r="D115" s="375"/>
      <c r="E115" s="241">
        <v>1898823</v>
      </c>
    </row>
    <row r="116" spans="1:5" ht="12" customHeight="1" thickBot="1">
      <c r="A116" s="18" t="s">
        <v>425</v>
      </c>
      <c r="B116" s="461" t="s">
        <v>427</v>
      </c>
      <c r="C116" s="474"/>
      <c r="D116" s="474"/>
      <c r="E116" s="468">
        <v>4800893</v>
      </c>
    </row>
    <row r="117" spans="1:5" ht="12" customHeight="1" thickBot="1">
      <c r="A117" s="458" t="s">
        <v>17</v>
      </c>
      <c r="B117" s="459" t="s">
        <v>341</v>
      </c>
      <c r="C117" s="475">
        <f>+C118+C120+C122</f>
        <v>4249167</v>
      </c>
      <c r="D117" s="475">
        <f>+D118+D120+D122</f>
        <v>56190070</v>
      </c>
      <c r="E117" s="469">
        <f>+E118+E120+E122</f>
        <v>212022730</v>
      </c>
    </row>
    <row r="118" spans="1:5" ht="12" customHeight="1">
      <c r="A118" s="15" t="s">
        <v>102</v>
      </c>
      <c r="B118" s="8" t="s">
        <v>213</v>
      </c>
      <c r="C118" s="376">
        <v>785400</v>
      </c>
      <c r="D118" s="376">
        <v>12991659</v>
      </c>
      <c r="E118" s="242">
        <v>126178862</v>
      </c>
    </row>
    <row r="119" spans="1:5" ht="15.75">
      <c r="A119" s="15" t="s">
        <v>103</v>
      </c>
      <c r="B119" s="12" t="s">
        <v>345</v>
      </c>
      <c r="C119" s="376"/>
      <c r="D119" s="376"/>
      <c r="E119" s="242">
        <v>122005862</v>
      </c>
    </row>
    <row r="120" spans="1:5" ht="12" customHeight="1">
      <c r="A120" s="15" t="s">
        <v>104</v>
      </c>
      <c r="B120" s="12" t="s">
        <v>171</v>
      </c>
      <c r="C120" s="375">
        <v>2557967</v>
      </c>
      <c r="D120" s="375">
        <v>42792811</v>
      </c>
      <c r="E120" s="241">
        <v>82293868</v>
      </c>
    </row>
    <row r="121" spans="1:5" ht="12" customHeight="1">
      <c r="A121" s="15" t="s">
        <v>105</v>
      </c>
      <c r="B121" s="12" t="s">
        <v>346</v>
      </c>
      <c r="C121" s="375"/>
      <c r="D121" s="375"/>
      <c r="E121" s="241">
        <v>40510079</v>
      </c>
    </row>
    <row r="122" spans="1:5" ht="12" customHeight="1">
      <c r="A122" s="15" t="s">
        <v>106</v>
      </c>
      <c r="B122" s="271" t="s">
        <v>215</v>
      </c>
      <c r="C122" s="375">
        <f>C125+C126+C130</f>
        <v>905800</v>
      </c>
      <c r="D122" s="375">
        <f>D125+D126+D130</f>
        <v>405600</v>
      </c>
      <c r="E122" s="241">
        <f>E126+E130</f>
        <v>3550000</v>
      </c>
    </row>
    <row r="123" spans="1:5" ht="12" customHeight="1">
      <c r="A123" s="15" t="s">
        <v>115</v>
      </c>
      <c r="B123" s="270" t="s">
        <v>409</v>
      </c>
      <c r="C123" s="375"/>
      <c r="D123" s="375"/>
      <c r="E123" s="241"/>
    </row>
    <row r="124" spans="1:5" ht="12" customHeight="1">
      <c r="A124" s="15" t="s">
        <v>117</v>
      </c>
      <c r="B124" s="387" t="s">
        <v>351</v>
      </c>
      <c r="C124" s="375"/>
      <c r="D124" s="375"/>
      <c r="E124" s="241"/>
    </row>
    <row r="125" spans="1:5" ht="12" customHeight="1">
      <c r="A125" s="15" t="s">
        <v>172</v>
      </c>
      <c r="B125" s="134" t="s">
        <v>334</v>
      </c>
      <c r="C125" s="375">
        <v>355800</v>
      </c>
      <c r="D125" s="375">
        <v>355600</v>
      </c>
      <c r="E125" s="241"/>
    </row>
    <row r="126" spans="1:5" ht="12" customHeight="1">
      <c r="A126" s="15" t="s">
        <v>173</v>
      </c>
      <c r="B126" s="134" t="s">
        <v>350</v>
      </c>
      <c r="C126" s="375">
        <v>50000</v>
      </c>
      <c r="D126" s="375">
        <v>50000</v>
      </c>
      <c r="E126" s="241">
        <v>50000</v>
      </c>
    </row>
    <row r="127" spans="1:5" ht="12" customHeight="1">
      <c r="A127" s="15" t="s">
        <v>174</v>
      </c>
      <c r="B127" s="134" t="s">
        <v>349</v>
      </c>
      <c r="C127" s="375"/>
      <c r="D127" s="375"/>
      <c r="E127" s="241"/>
    </row>
    <row r="128" spans="1:5" ht="12" customHeight="1">
      <c r="A128" s="15" t="s">
        <v>342</v>
      </c>
      <c r="B128" s="134" t="s">
        <v>337</v>
      </c>
      <c r="C128" s="375"/>
      <c r="D128" s="375"/>
      <c r="E128" s="241"/>
    </row>
    <row r="129" spans="1:5" ht="12" customHeight="1">
      <c r="A129" s="15" t="s">
        <v>343</v>
      </c>
      <c r="B129" s="134" t="s">
        <v>348</v>
      </c>
      <c r="C129" s="375"/>
      <c r="D129" s="375"/>
      <c r="E129" s="241"/>
    </row>
    <row r="130" spans="1:5" ht="12" customHeight="1" thickBot="1">
      <c r="A130" s="13" t="s">
        <v>344</v>
      </c>
      <c r="B130" s="134" t="s">
        <v>347</v>
      </c>
      <c r="C130" s="377">
        <v>500000</v>
      </c>
      <c r="D130" s="377"/>
      <c r="E130" s="243">
        <v>3500000</v>
      </c>
    </row>
    <row r="131" spans="1:5" ht="12" customHeight="1" thickBot="1">
      <c r="A131" s="20" t="s">
        <v>18</v>
      </c>
      <c r="B131" s="116" t="s">
        <v>428</v>
      </c>
      <c r="C131" s="374">
        <f>+C96+C117</f>
        <v>241963211</v>
      </c>
      <c r="D131" s="374">
        <f>+D96+D117</f>
        <v>315092161</v>
      </c>
      <c r="E131" s="240">
        <f>+E96+E117</f>
        <v>510225510</v>
      </c>
    </row>
    <row r="132" spans="1:5" ht="12" customHeight="1" thickBot="1">
      <c r="A132" s="20" t="s">
        <v>19</v>
      </c>
      <c r="B132" s="116" t="s">
        <v>429</v>
      </c>
      <c r="C132" s="374">
        <f>+C133+C134+C135</f>
        <v>0</v>
      </c>
      <c r="D132" s="374">
        <f>+D133+D134+D135</f>
        <v>0</v>
      </c>
      <c r="E132" s="240">
        <f>+E133+E134+E135</f>
        <v>0</v>
      </c>
    </row>
    <row r="133" spans="1:5" ht="12" customHeight="1">
      <c r="A133" s="15" t="s">
        <v>251</v>
      </c>
      <c r="B133" s="12" t="s">
        <v>436</v>
      </c>
      <c r="C133" s="375"/>
      <c r="D133" s="375"/>
      <c r="E133" s="241"/>
    </row>
    <row r="134" spans="1:5" ht="12" customHeight="1">
      <c r="A134" s="15" t="s">
        <v>252</v>
      </c>
      <c r="B134" s="12" t="s">
        <v>437</v>
      </c>
      <c r="C134" s="375"/>
      <c r="D134" s="375"/>
      <c r="E134" s="241"/>
    </row>
    <row r="135" spans="1:5" ht="12" customHeight="1" thickBot="1">
      <c r="A135" s="13" t="s">
        <v>253</v>
      </c>
      <c r="B135" s="12" t="s">
        <v>438</v>
      </c>
      <c r="C135" s="375"/>
      <c r="D135" s="375"/>
      <c r="E135" s="241"/>
    </row>
    <row r="136" spans="1:5" ht="12" customHeight="1" thickBot="1">
      <c r="A136" s="20" t="s">
        <v>20</v>
      </c>
      <c r="B136" s="116" t="s">
        <v>430</v>
      </c>
      <c r="C136" s="374">
        <f>SUM(C137:C142)</f>
        <v>0</v>
      </c>
      <c r="D136" s="374">
        <f>SUM(D137:D142)</f>
        <v>0</v>
      </c>
      <c r="E136" s="240">
        <f>SUM(E137:E142)</f>
        <v>0</v>
      </c>
    </row>
    <row r="137" spans="1:5" ht="12" customHeight="1">
      <c r="A137" s="15" t="s">
        <v>89</v>
      </c>
      <c r="B137" s="9" t="s">
        <v>439</v>
      </c>
      <c r="C137" s="375"/>
      <c r="D137" s="375"/>
      <c r="E137" s="241"/>
    </row>
    <row r="138" spans="1:5" ht="12" customHeight="1">
      <c r="A138" s="15" t="s">
        <v>90</v>
      </c>
      <c r="B138" s="9" t="s">
        <v>431</v>
      </c>
      <c r="C138" s="375"/>
      <c r="D138" s="375"/>
      <c r="E138" s="241"/>
    </row>
    <row r="139" spans="1:5" ht="12" customHeight="1">
      <c r="A139" s="15" t="s">
        <v>91</v>
      </c>
      <c r="B139" s="9" t="s">
        <v>432</v>
      </c>
      <c r="C139" s="375"/>
      <c r="D139" s="375"/>
      <c r="E139" s="241"/>
    </row>
    <row r="140" spans="1:5" ht="12" customHeight="1">
      <c r="A140" s="15" t="s">
        <v>159</v>
      </c>
      <c r="B140" s="9" t="s">
        <v>433</v>
      </c>
      <c r="C140" s="375"/>
      <c r="D140" s="375"/>
      <c r="E140" s="241"/>
    </row>
    <row r="141" spans="1:5" ht="12" customHeight="1">
      <c r="A141" s="15" t="s">
        <v>160</v>
      </c>
      <c r="B141" s="9" t="s">
        <v>434</v>
      </c>
      <c r="C141" s="375"/>
      <c r="D141" s="375"/>
      <c r="E141" s="241"/>
    </row>
    <row r="142" spans="1:5" ht="12" customHeight="1" thickBot="1">
      <c r="A142" s="13" t="s">
        <v>161</v>
      </c>
      <c r="B142" s="9" t="s">
        <v>435</v>
      </c>
      <c r="C142" s="375"/>
      <c r="D142" s="375"/>
      <c r="E142" s="241"/>
    </row>
    <row r="143" spans="1:5" ht="12" customHeight="1" thickBot="1">
      <c r="A143" s="20" t="s">
        <v>21</v>
      </c>
      <c r="B143" s="116" t="s">
        <v>443</v>
      </c>
      <c r="C143" s="381">
        <f>+C144+C145+C146+C147</f>
        <v>5097559</v>
      </c>
      <c r="D143" s="381">
        <f>+D144+D145+D146+D147</f>
        <v>5584231</v>
      </c>
      <c r="E143" s="422">
        <f>+E144+E145+E146+E147</f>
        <v>5661116</v>
      </c>
    </row>
    <row r="144" spans="1:5" ht="12" customHeight="1">
      <c r="A144" s="15" t="s">
        <v>92</v>
      </c>
      <c r="B144" s="9" t="s">
        <v>352</v>
      </c>
      <c r="C144" s="375"/>
      <c r="D144" s="375"/>
      <c r="E144" s="241"/>
    </row>
    <row r="145" spans="1:5" ht="12" customHeight="1">
      <c r="A145" s="15" t="s">
        <v>93</v>
      </c>
      <c r="B145" s="9" t="s">
        <v>353</v>
      </c>
      <c r="C145" s="375">
        <v>5097559</v>
      </c>
      <c r="D145" s="375">
        <v>5584231</v>
      </c>
      <c r="E145" s="241">
        <v>5661116</v>
      </c>
    </row>
    <row r="146" spans="1:5" ht="12" customHeight="1">
      <c r="A146" s="15" t="s">
        <v>269</v>
      </c>
      <c r="B146" s="9" t="s">
        <v>444</v>
      </c>
      <c r="C146" s="375"/>
      <c r="D146" s="375"/>
      <c r="E146" s="241"/>
    </row>
    <row r="147" spans="1:5" ht="12" customHeight="1" thickBot="1">
      <c r="A147" s="13" t="s">
        <v>270</v>
      </c>
      <c r="B147" s="7" t="s">
        <v>371</v>
      </c>
      <c r="C147" s="375"/>
      <c r="D147" s="375"/>
      <c r="E147" s="241"/>
    </row>
    <row r="148" spans="1:5" ht="12" customHeight="1" thickBot="1">
      <c r="A148" s="20" t="s">
        <v>22</v>
      </c>
      <c r="B148" s="116" t="s">
        <v>445</v>
      </c>
      <c r="C148" s="476">
        <f>SUM(C149:C153)</f>
        <v>0</v>
      </c>
      <c r="D148" s="476">
        <f>SUM(D149:D153)</f>
        <v>0</v>
      </c>
      <c r="E148" s="470">
        <f>SUM(E149:E153)</f>
        <v>0</v>
      </c>
    </row>
    <row r="149" spans="1:5" ht="12" customHeight="1">
      <c r="A149" s="15" t="s">
        <v>94</v>
      </c>
      <c r="B149" s="9" t="s">
        <v>440</v>
      </c>
      <c r="C149" s="375"/>
      <c r="D149" s="375"/>
      <c r="E149" s="241"/>
    </row>
    <row r="150" spans="1:5" ht="12" customHeight="1">
      <c r="A150" s="15" t="s">
        <v>95</v>
      </c>
      <c r="B150" s="9" t="s">
        <v>447</v>
      </c>
      <c r="C150" s="375"/>
      <c r="D150" s="375"/>
      <c r="E150" s="241"/>
    </row>
    <row r="151" spans="1:5" ht="12" customHeight="1">
      <c r="A151" s="15" t="s">
        <v>281</v>
      </c>
      <c r="B151" s="9" t="s">
        <v>442</v>
      </c>
      <c r="C151" s="375"/>
      <c r="D151" s="375"/>
      <c r="E151" s="241"/>
    </row>
    <row r="152" spans="1:5" ht="12" customHeight="1">
      <c r="A152" s="15" t="s">
        <v>282</v>
      </c>
      <c r="B152" s="9" t="s">
        <v>448</v>
      </c>
      <c r="C152" s="375"/>
      <c r="D152" s="375"/>
      <c r="E152" s="241"/>
    </row>
    <row r="153" spans="1:5" ht="12" customHeight="1" thickBot="1">
      <c r="A153" s="15" t="s">
        <v>446</v>
      </c>
      <c r="B153" s="9" t="s">
        <v>449</v>
      </c>
      <c r="C153" s="375"/>
      <c r="D153" s="375"/>
      <c r="E153" s="241"/>
    </row>
    <row r="154" spans="1:5" ht="12" customHeight="1" thickBot="1">
      <c r="A154" s="20" t="s">
        <v>23</v>
      </c>
      <c r="B154" s="116" t="s">
        <v>450</v>
      </c>
      <c r="C154" s="477"/>
      <c r="D154" s="477"/>
      <c r="E154" s="471"/>
    </row>
    <row r="155" spans="1:5" ht="12" customHeight="1" thickBot="1">
      <c r="A155" s="20" t="s">
        <v>24</v>
      </c>
      <c r="B155" s="116" t="s">
        <v>451</v>
      </c>
      <c r="C155" s="477"/>
      <c r="D155" s="477"/>
      <c r="E155" s="471"/>
    </row>
    <row r="156" spans="1:6" ht="15" customHeight="1" thickBot="1">
      <c r="A156" s="20" t="s">
        <v>25</v>
      </c>
      <c r="B156" s="116" t="s">
        <v>453</v>
      </c>
      <c r="C156" s="478">
        <f>+C132+C136+C143+C148+C154+C155</f>
        <v>5097559</v>
      </c>
      <c r="D156" s="478">
        <f>+D132+D136+D143+D148+D154+D155</f>
        <v>5584231</v>
      </c>
      <c r="E156" s="472">
        <f>+E132+E136+E143+E148+E154+E155</f>
        <v>5661116</v>
      </c>
      <c r="F156" s="117"/>
    </row>
    <row r="157" spans="1:5" s="1" customFormat="1" ht="12.75" customHeight="1" thickBot="1">
      <c r="A157" s="272" t="s">
        <v>26</v>
      </c>
      <c r="B157" s="357" t="s">
        <v>452</v>
      </c>
      <c r="C157" s="478">
        <f>+C131+C156</f>
        <v>247060770</v>
      </c>
      <c r="D157" s="478">
        <f>+D131+D156</f>
        <v>320676392</v>
      </c>
      <c r="E157" s="472">
        <f>+E131+E156</f>
        <v>515886626</v>
      </c>
    </row>
    <row r="158" spans="3:5" ht="15.75">
      <c r="C158" s="360"/>
      <c r="E158" s="621">
        <f>E90-E157</f>
        <v>0</v>
      </c>
    </row>
    <row r="159" ht="15.75">
      <c r="C159" s="360"/>
    </row>
    <row r="160" ht="15.75">
      <c r="C160" s="360"/>
    </row>
    <row r="161" ht="16.5" customHeight="1">
      <c r="C161" s="360"/>
    </row>
    <row r="162" ht="15.75">
      <c r="C162" s="360"/>
    </row>
    <row r="163" ht="15.75">
      <c r="C163" s="360"/>
    </row>
    <row r="164" ht="15.75">
      <c r="C164" s="360"/>
    </row>
    <row r="165" ht="15.75">
      <c r="C165" s="360"/>
    </row>
    <row r="166" ht="15.75">
      <c r="C166" s="360"/>
    </row>
    <row r="167" ht="15.75">
      <c r="C167" s="360"/>
    </row>
    <row r="168" ht="15.75">
      <c r="C168" s="360"/>
    </row>
    <row r="169" ht="15.75">
      <c r="C169" s="360"/>
    </row>
    <row r="170" ht="15.75">
      <c r="C170" s="360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7">
      <selection activeCell="E17" sqref="E17"/>
    </sheetView>
  </sheetViews>
  <sheetFormatPr defaultColWidth="9.00390625" defaultRowHeight="12.75"/>
  <cols>
    <col min="1" max="1" width="6.875" style="175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92" t="s">
        <v>4</v>
      </c>
      <c r="B1" s="792"/>
      <c r="C1" s="792"/>
      <c r="D1" s="792"/>
      <c r="E1" s="792"/>
      <c r="F1" s="792"/>
      <c r="G1" s="792"/>
      <c r="H1" s="792"/>
      <c r="I1" s="792"/>
      <c r="J1" s="830" t="str">
        <f>CONCATENATE("2. tájékoztató tábla ",ALAPADATOK!A7," ",ALAPADATOK!B7," ",ALAPADATOK!C7," ",ALAPADATOK!D7," ",ALAPADATOK!E7," ",ALAPADATOK!F7," ",ALAPADATOK!G7," ",ALAPADATOK!H7)</f>
        <v>2. tájékoztató tábla a 4 / 2020 ( II.25. ) önkormányzati rendelethez</v>
      </c>
    </row>
    <row r="2" spans="9:10" ht="20.25" customHeight="1" thickBot="1">
      <c r="I2" s="451" t="str">
        <f>'KV_1.sz.tájékoztató_t.'!E5</f>
        <v>Forintban!</v>
      </c>
      <c r="J2" s="830"/>
    </row>
    <row r="3" spans="1:10" s="452" customFormat="1" ht="26.25" customHeight="1">
      <c r="A3" s="838" t="s">
        <v>67</v>
      </c>
      <c r="B3" s="833" t="s">
        <v>83</v>
      </c>
      <c r="C3" s="838" t="s">
        <v>84</v>
      </c>
      <c r="D3" s="838" t="str">
        <f>+CONCATENATE(LEFT(KV_ÖSSZEFÜGGÉSEK!A5,4)," előtti kifizetés")</f>
        <v>2020 előtti kifizetés</v>
      </c>
      <c r="E3" s="835" t="s">
        <v>66</v>
      </c>
      <c r="F3" s="836"/>
      <c r="G3" s="836"/>
      <c r="H3" s="837"/>
      <c r="I3" s="833" t="s">
        <v>49</v>
      </c>
      <c r="J3" s="830"/>
    </row>
    <row r="4" spans="1:10" s="453" customFormat="1" ht="32.25" customHeight="1" thickBot="1">
      <c r="A4" s="839"/>
      <c r="B4" s="834"/>
      <c r="C4" s="834"/>
      <c r="D4" s="839"/>
      <c r="E4" s="246" t="str">
        <f>+CONCATENATE(LEFT(KV_ÖSSZEFÜGGÉSEK!A5,4),".")</f>
        <v>2020.</v>
      </c>
      <c r="F4" s="246" t="str">
        <f>+CONCATENATE(LEFT(KV_ÖSSZEFÜGGÉSEK!A5,4)+1,".")</f>
        <v>2021.</v>
      </c>
      <c r="G4" s="246" t="str">
        <f>+CONCATENATE(LEFT(KV_ÖSSZEFÜGGÉSEK!A5,4)+2,".")</f>
        <v>2022.</v>
      </c>
      <c r="H4" s="247" t="str">
        <f>+CONCATENATE(LEFT(KV_ÖSSZEFÜGGÉSEK!A5,4)+2,".",CHAR(10)," után")</f>
        <v>2022.
 után</v>
      </c>
      <c r="I4" s="834"/>
      <c r="J4" s="830"/>
    </row>
    <row r="5" spans="1:10" s="454" customFormat="1" ht="12.75" customHeight="1" thickBot="1">
      <c r="A5" s="248" t="s">
        <v>473</v>
      </c>
      <c r="B5" s="249" t="s">
        <v>474</v>
      </c>
      <c r="C5" s="250" t="s">
        <v>475</v>
      </c>
      <c r="D5" s="249" t="s">
        <v>477</v>
      </c>
      <c r="E5" s="248" t="s">
        <v>476</v>
      </c>
      <c r="F5" s="250" t="s">
        <v>478</v>
      </c>
      <c r="G5" s="250" t="s">
        <v>479</v>
      </c>
      <c r="H5" s="251" t="s">
        <v>480</v>
      </c>
      <c r="I5" s="252" t="s">
        <v>481</v>
      </c>
      <c r="J5" s="830"/>
    </row>
    <row r="6" spans="1:10" ht="24.75" customHeight="1" thickBot="1">
      <c r="A6" s="253" t="s">
        <v>16</v>
      </c>
      <c r="B6" s="254" t="s">
        <v>5</v>
      </c>
      <c r="C6" s="497"/>
      <c r="D6" s="498">
        <f>+D7+D8</f>
        <v>0</v>
      </c>
      <c r="E6" s="499">
        <f>+E7+E8</f>
        <v>0</v>
      </c>
      <c r="F6" s="500">
        <f>+F7+F8</f>
        <v>0</v>
      </c>
      <c r="G6" s="500">
        <f>+G7+G8</f>
        <v>0</v>
      </c>
      <c r="H6" s="501">
        <f>+H7+H8</f>
        <v>0</v>
      </c>
      <c r="I6" s="69">
        <f aca="true" t="shared" si="0" ref="I6:I17">SUM(D6:H6)</f>
        <v>0</v>
      </c>
      <c r="J6" s="830"/>
    </row>
    <row r="7" spans="1:10" ht="19.5" customHeight="1">
      <c r="A7" s="255" t="s">
        <v>17</v>
      </c>
      <c r="B7" s="70" t="s">
        <v>68</v>
      </c>
      <c r="C7" s="502"/>
      <c r="D7" s="503"/>
      <c r="E7" s="504"/>
      <c r="F7" s="505"/>
      <c r="G7" s="505"/>
      <c r="H7" s="506"/>
      <c r="I7" s="256">
        <f t="shared" si="0"/>
        <v>0</v>
      </c>
      <c r="J7" s="830"/>
    </row>
    <row r="8" spans="1:10" ht="19.5" customHeight="1" thickBot="1">
      <c r="A8" s="255" t="s">
        <v>18</v>
      </c>
      <c r="B8" s="70" t="s">
        <v>68</v>
      </c>
      <c r="C8" s="502"/>
      <c r="D8" s="503"/>
      <c r="E8" s="504"/>
      <c r="F8" s="505"/>
      <c r="G8" s="505"/>
      <c r="H8" s="506"/>
      <c r="I8" s="256">
        <f t="shared" si="0"/>
        <v>0</v>
      </c>
      <c r="J8" s="830"/>
    </row>
    <row r="9" spans="1:10" ht="25.5" customHeight="1" thickBot="1">
      <c r="A9" s="253" t="s">
        <v>19</v>
      </c>
      <c r="B9" s="254" t="s">
        <v>6</v>
      </c>
      <c r="C9" s="497"/>
      <c r="D9" s="498">
        <f>+D10+D11</f>
        <v>0</v>
      </c>
      <c r="E9" s="499">
        <f>+E10+E11</f>
        <v>0</v>
      </c>
      <c r="F9" s="500">
        <f>+F10+F11</f>
        <v>0</v>
      </c>
      <c r="G9" s="500">
        <f>+G10+G11</f>
        <v>0</v>
      </c>
      <c r="H9" s="501">
        <f>+H10+H11</f>
        <v>0</v>
      </c>
      <c r="I9" s="69">
        <f t="shared" si="0"/>
        <v>0</v>
      </c>
      <c r="J9" s="830"/>
    </row>
    <row r="10" spans="1:10" ht="19.5" customHeight="1">
      <c r="A10" s="255" t="s">
        <v>20</v>
      </c>
      <c r="B10" s="70" t="s">
        <v>68</v>
      </c>
      <c r="C10" s="502"/>
      <c r="D10" s="503"/>
      <c r="E10" s="504"/>
      <c r="F10" s="505"/>
      <c r="G10" s="505"/>
      <c r="H10" s="506"/>
      <c r="I10" s="256">
        <f t="shared" si="0"/>
        <v>0</v>
      </c>
      <c r="J10" s="830"/>
    </row>
    <row r="11" spans="1:10" ht="19.5" customHeight="1" thickBot="1">
      <c r="A11" s="255" t="s">
        <v>21</v>
      </c>
      <c r="B11" s="70" t="s">
        <v>68</v>
      </c>
      <c r="C11" s="502"/>
      <c r="D11" s="503"/>
      <c r="E11" s="504"/>
      <c r="F11" s="505"/>
      <c r="G11" s="505"/>
      <c r="H11" s="506"/>
      <c r="I11" s="256">
        <f t="shared" si="0"/>
        <v>0</v>
      </c>
      <c r="J11" s="830"/>
    </row>
    <row r="12" spans="1:10" ht="19.5" customHeight="1" thickBot="1">
      <c r="A12" s="253" t="s">
        <v>22</v>
      </c>
      <c r="B12" s="254" t="s">
        <v>190</v>
      </c>
      <c r="C12" s="497"/>
      <c r="D12" s="498">
        <f>+D13</f>
        <v>5588000</v>
      </c>
      <c r="E12" s="499">
        <f>+E13</f>
        <v>122005862</v>
      </c>
      <c r="F12" s="500">
        <f>+F13</f>
        <v>0</v>
      </c>
      <c r="G12" s="500">
        <f>+G13</f>
        <v>0</v>
      </c>
      <c r="H12" s="501">
        <f>+H13</f>
        <v>0</v>
      </c>
      <c r="I12" s="69">
        <f t="shared" si="0"/>
        <v>127593862</v>
      </c>
      <c r="J12" s="830"/>
    </row>
    <row r="13" spans="1:10" ht="26.25" customHeight="1" thickBot="1">
      <c r="A13" s="255" t="s">
        <v>23</v>
      </c>
      <c r="B13" s="740" t="s">
        <v>764</v>
      </c>
      <c r="C13" s="743">
        <v>2019</v>
      </c>
      <c r="D13" s="743">
        <v>5588000</v>
      </c>
      <c r="E13" s="740">
        <v>122005862</v>
      </c>
      <c r="F13" s="741"/>
      <c r="G13" s="741"/>
      <c r="H13" s="742"/>
      <c r="I13" s="256">
        <f t="shared" si="0"/>
        <v>127593862</v>
      </c>
      <c r="J13" s="830"/>
    </row>
    <row r="14" spans="1:10" ht="19.5" customHeight="1" thickBot="1">
      <c r="A14" s="253" t="s">
        <v>24</v>
      </c>
      <c r="B14" s="254" t="s">
        <v>191</v>
      </c>
      <c r="C14" s="497"/>
      <c r="D14" s="498">
        <f>+D15</f>
        <v>0</v>
      </c>
      <c r="E14" s="499">
        <f>+E15</f>
        <v>40510079</v>
      </c>
      <c r="F14" s="500">
        <f>+F15</f>
        <v>0</v>
      </c>
      <c r="G14" s="500">
        <f>+G15</f>
        <v>0</v>
      </c>
      <c r="H14" s="501">
        <f>+H15</f>
        <v>0</v>
      </c>
      <c r="I14" s="69">
        <f t="shared" si="0"/>
        <v>40510079</v>
      </c>
      <c r="J14" s="830"/>
    </row>
    <row r="15" spans="1:10" ht="25.5" customHeight="1" thickBot="1">
      <c r="A15" s="257" t="s">
        <v>25</v>
      </c>
      <c r="B15" s="740" t="s">
        <v>764</v>
      </c>
      <c r="C15" s="507"/>
      <c r="D15" s="508"/>
      <c r="E15" s="509">
        <v>40510079</v>
      </c>
      <c r="F15" s="510"/>
      <c r="G15" s="510"/>
      <c r="H15" s="511"/>
      <c r="I15" s="258">
        <f t="shared" si="0"/>
        <v>40510079</v>
      </c>
      <c r="J15" s="830"/>
    </row>
    <row r="16" spans="1:10" ht="19.5" customHeight="1" thickBot="1">
      <c r="A16" s="253" t="s">
        <v>26</v>
      </c>
      <c r="B16" s="259" t="s">
        <v>192</v>
      </c>
      <c r="C16" s="497"/>
      <c r="D16" s="498">
        <f>+D17</f>
        <v>0</v>
      </c>
      <c r="E16" s="499">
        <f>+E17</f>
        <v>0</v>
      </c>
      <c r="F16" s="500">
        <f>+F17</f>
        <v>0</v>
      </c>
      <c r="G16" s="500">
        <f>+G17</f>
        <v>0</v>
      </c>
      <c r="H16" s="501">
        <f>+H17</f>
        <v>0</v>
      </c>
      <c r="I16" s="69">
        <f t="shared" si="0"/>
        <v>0</v>
      </c>
      <c r="J16" s="830"/>
    </row>
    <row r="17" spans="1:10" ht="19.5" customHeight="1" thickBot="1">
      <c r="A17" s="260" t="s">
        <v>27</v>
      </c>
      <c r="B17" s="71" t="s">
        <v>68</v>
      </c>
      <c r="C17" s="512"/>
      <c r="D17" s="513"/>
      <c r="E17" s="514"/>
      <c r="F17" s="515"/>
      <c r="G17" s="515"/>
      <c r="H17" s="516"/>
      <c r="I17" s="261">
        <f t="shared" si="0"/>
        <v>0</v>
      </c>
      <c r="J17" s="830"/>
    </row>
    <row r="18" spans="1:10" ht="19.5" customHeight="1" thickBot="1">
      <c r="A18" s="831" t="s">
        <v>137</v>
      </c>
      <c r="B18" s="832"/>
      <c r="C18" s="517"/>
      <c r="D18" s="498">
        <f aca="true" t="shared" si="1" ref="D18:I18">+D6+D9+D12+D14+D16</f>
        <v>5588000</v>
      </c>
      <c r="E18" s="499">
        <f t="shared" si="1"/>
        <v>162515941</v>
      </c>
      <c r="F18" s="500">
        <f t="shared" si="1"/>
        <v>0</v>
      </c>
      <c r="G18" s="500">
        <f t="shared" si="1"/>
        <v>0</v>
      </c>
      <c r="H18" s="501">
        <f t="shared" si="1"/>
        <v>0</v>
      </c>
      <c r="I18" s="69">
        <f t="shared" si="1"/>
        <v>168103941</v>
      </c>
      <c r="J18" s="830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C25" sqref="C25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20" t="str">
        <f>CONCATENATE("3. tájékoztató tábla ",ALAPADATOK!A7," ",ALAPADATOK!B7," ",ALAPADATOK!C7," ",ALAPADATOK!D7," ",ALAPADATOK!E7," ",ALAPADATOK!F7," ",ALAPADATOK!G7," ",ALAPADATOK!H7)</f>
        <v>3. tájékoztató tábla a 4 / 2020 ( II.25. ) önkormányzati rendelethez</v>
      </c>
    </row>
    <row r="3" spans="2:4" ht="31.5" customHeight="1">
      <c r="B3" s="841" t="s">
        <v>7</v>
      </c>
      <c r="C3" s="841"/>
      <c r="D3" s="841"/>
    </row>
    <row r="4" spans="1:4" s="73" customFormat="1" ht="16.5" thickBot="1">
      <c r="A4" s="72"/>
      <c r="B4" s="351"/>
      <c r="D4" s="43" t="str">
        <f>'KV_2.sz.tájékoztató_t.'!I2</f>
        <v>Forintban!</v>
      </c>
    </row>
    <row r="5" spans="1:4" s="75" customFormat="1" ht="48" customHeight="1" thickBot="1">
      <c r="A5" s="74" t="s">
        <v>14</v>
      </c>
      <c r="B5" s="181" t="s">
        <v>15</v>
      </c>
      <c r="C5" s="181" t="s">
        <v>69</v>
      </c>
      <c r="D5" s="182" t="s">
        <v>70</v>
      </c>
    </row>
    <row r="6" spans="1:4" s="75" customFormat="1" ht="13.5" customHeight="1" thickBot="1">
      <c r="A6" s="35" t="s">
        <v>473</v>
      </c>
      <c r="B6" s="184" t="s">
        <v>474</v>
      </c>
      <c r="C6" s="184" t="s">
        <v>475</v>
      </c>
      <c r="D6" s="185" t="s">
        <v>477</v>
      </c>
    </row>
    <row r="7" spans="1:4" ht="18" customHeight="1">
      <c r="A7" s="125" t="s">
        <v>16</v>
      </c>
      <c r="B7" s="745" t="s">
        <v>151</v>
      </c>
      <c r="C7" s="746">
        <v>8474000</v>
      </c>
      <c r="D7" s="747">
        <v>474000</v>
      </c>
    </row>
    <row r="8" spans="1:4" ht="18" customHeight="1">
      <c r="A8" s="77" t="s">
        <v>17</v>
      </c>
      <c r="B8" s="748" t="s">
        <v>152</v>
      </c>
      <c r="C8" s="749">
        <v>8774000</v>
      </c>
      <c r="D8" s="750">
        <v>474000</v>
      </c>
    </row>
    <row r="9" spans="1:4" ht="18" customHeight="1">
      <c r="A9" s="77" t="s">
        <v>18</v>
      </c>
      <c r="B9" s="745" t="s">
        <v>765</v>
      </c>
      <c r="C9" s="751">
        <f>C11</f>
        <v>21031300</v>
      </c>
      <c r="D9" s="752">
        <f>D11</f>
        <v>176000</v>
      </c>
    </row>
    <row r="10" spans="1:4" ht="18" customHeight="1">
      <c r="A10" s="77" t="s">
        <v>19</v>
      </c>
      <c r="B10" s="753" t="s">
        <v>766</v>
      </c>
      <c r="C10" s="749"/>
      <c r="D10" s="750"/>
    </row>
    <row r="11" spans="1:4" ht="27" customHeight="1">
      <c r="A11" s="77" t="s">
        <v>20</v>
      </c>
      <c r="B11" s="753" t="s">
        <v>767</v>
      </c>
      <c r="C11" s="749">
        <v>21031300</v>
      </c>
      <c r="D11" s="750">
        <v>176000</v>
      </c>
    </row>
    <row r="12" spans="1:4" ht="18" customHeight="1">
      <c r="A12" s="77" t="s">
        <v>21</v>
      </c>
      <c r="B12" s="186"/>
      <c r="C12" s="124"/>
      <c r="D12" s="79"/>
    </row>
    <row r="13" spans="1:4" ht="18" customHeight="1">
      <c r="A13" s="77" t="s">
        <v>22</v>
      </c>
      <c r="B13" s="187"/>
      <c r="C13" s="124"/>
      <c r="D13" s="79"/>
    </row>
    <row r="14" spans="1:4" ht="18" customHeight="1">
      <c r="A14" s="77" t="s">
        <v>24</v>
      </c>
      <c r="B14" s="187"/>
      <c r="C14" s="124"/>
      <c r="D14" s="79"/>
    </row>
    <row r="15" spans="1:4" ht="18" customHeight="1">
      <c r="A15" s="77" t="s">
        <v>25</v>
      </c>
      <c r="B15" s="187"/>
      <c r="C15" s="124"/>
      <c r="D15" s="79"/>
    </row>
    <row r="16" spans="1:4" ht="18" customHeight="1">
      <c r="A16" s="77" t="s">
        <v>26</v>
      </c>
      <c r="B16" s="187"/>
      <c r="C16" s="124"/>
      <c r="D16" s="79"/>
    </row>
    <row r="17" spans="1:4" ht="22.5" customHeight="1">
      <c r="A17" s="77" t="s">
        <v>27</v>
      </c>
      <c r="B17" s="187"/>
      <c r="C17" s="124"/>
      <c r="D17" s="79"/>
    </row>
    <row r="18" spans="1:4" ht="18" customHeight="1">
      <c r="A18" s="77" t="s">
        <v>28</v>
      </c>
      <c r="B18" s="186"/>
      <c r="C18" s="124"/>
      <c r="D18" s="79"/>
    </row>
    <row r="19" spans="1:4" ht="18" customHeight="1">
      <c r="A19" s="77" t="s">
        <v>29</v>
      </c>
      <c r="B19" s="186"/>
      <c r="C19" s="124"/>
      <c r="D19" s="79"/>
    </row>
    <row r="20" spans="1:4" ht="18" customHeight="1">
      <c r="A20" s="77" t="s">
        <v>30</v>
      </c>
      <c r="B20" s="186"/>
      <c r="C20" s="124"/>
      <c r="D20" s="79"/>
    </row>
    <row r="21" spans="1:4" ht="18" customHeight="1">
      <c r="A21" s="77" t="s">
        <v>31</v>
      </c>
      <c r="B21" s="186"/>
      <c r="C21" s="124"/>
      <c r="D21" s="79"/>
    </row>
    <row r="22" spans="1:4" ht="18" customHeight="1">
      <c r="A22" s="77" t="s">
        <v>32</v>
      </c>
      <c r="B22" s="186"/>
      <c r="C22" s="124"/>
      <c r="D22" s="79"/>
    </row>
    <row r="23" spans="1:4" ht="18" customHeight="1">
      <c r="A23" s="77" t="s">
        <v>33</v>
      </c>
      <c r="B23" s="115"/>
      <c r="C23" s="78"/>
      <c r="D23" s="79"/>
    </row>
    <row r="24" spans="1:4" ht="18" customHeight="1">
      <c r="A24" s="77" t="s">
        <v>34</v>
      </c>
      <c r="B24" s="80"/>
      <c r="C24" s="78"/>
      <c r="D24" s="79"/>
    </row>
    <row r="25" spans="1:4" ht="18" customHeight="1">
      <c r="A25" s="77" t="s">
        <v>35</v>
      </c>
      <c r="B25" s="80"/>
      <c r="C25" s="78"/>
      <c r="D25" s="79"/>
    </row>
    <row r="26" spans="1:4" ht="18" customHeight="1">
      <c r="A26" s="77" t="s">
        <v>36</v>
      </c>
      <c r="B26" s="80"/>
      <c r="C26" s="78"/>
      <c r="D26" s="79"/>
    </row>
    <row r="27" spans="1:4" ht="18" customHeight="1">
      <c r="A27" s="77" t="s">
        <v>37</v>
      </c>
      <c r="B27" s="80"/>
      <c r="C27" s="78"/>
      <c r="D27" s="79"/>
    </row>
    <row r="28" spans="1:4" ht="18" customHeight="1">
      <c r="A28" s="77" t="s">
        <v>38</v>
      </c>
      <c r="B28" s="80"/>
      <c r="C28" s="78"/>
      <c r="D28" s="79"/>
    </row>
    <row r="29" spans="1:4" ht="18" customHeight="1">
      <c r="A29" s="77" t="s">
        <v>39</v>
      </c>
      <c r="B29" s="80"/>
      <c r="C29" s="78"/>
      <c r="D29" s="79"/>
    </row>
    <row r="30" spans="1:4" ht="18" customHeight="1">
      <c r="A30" s="77" t="s">
        <v>40</v>
      </c>
      <c r="B30" s="80"/>
      <c r="C30" s="78"/>
      <c r="D30" s="79"/>
    </row>
    <row r="31" spans="1:4" ht="18" customHeight="1" thickBot="1">
      <c r="A31" s="126" t="s">
        <v>41</v>
      </c>
      <c r="B31" s="81"/>
      <c r="C31" s="82"/>
      <c r="D31" s="83"/>
    </row>
    <row r="32" spans="1:4" ht="18" customHeight="1" thickBot="1">
      <c r="A32" s="36" t="s">
        <v>42</v>
      </c>
      <c r="B32" s="191" t="s">
        <v>51</v>
      </c>
      <c r="C32" s="192">
        <f>C9+C7</f>
        <v>29505300</v>
      </c>
      <c r="D32" s="193">
        <f>D9+D7</f>
        <v>650000</v>
      </c>
    </row>
    <row r="33" spans="1:4" ht="8.25" customHeight="1">
      <c r="A33" s="84"/>
      <c r="B33" s="840"/>
      <c r="C33" s="840"/>
      <c r="D33" s="840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zoomScale="120" zoomScaleNormal="120" workbookViewId="0" topLeftCell="A13">
      <selection activeCell="O27" sqref="O27"/>
    </sheetView>
  </sheetViews>
  <sheetFormatPr defaultColWidth="9.00390625" defaultRowHeight="12.75"/>
  <cols>
    <col min="1" max="1" width="4.875" style="95" customWidth="1"/>
    <col min="2" max="2" width="31.125" style="107" customWidth="1"/>
    <col min="3" max="4" width="9.00390625" style="107" customWidth="1"/>
    <col min="5" max="5" width="9.50390625" style="107" customWidth="1"/>
    <col min="6" max="6" width="8.875" style="107" customWidth="1"/>
    <col min="7" max="7" width="8.625" style="107" customWidth="1"/>
    <col min="8" max="8" width="8.875" style="107" customWidth="1"/>
    <col min="9" max="9" width="8.125" style="107" customWidth="1"/>
    <col min="10" max="14" width="9.50390625" style="107" customWidth="1"/>
    <col min="15" max="15" width="12.625" style="95" customWidth="1"/>
    <col min="16" max="16384" width="9.375" style="107" customWidth="1"/>
  </cols>
  <sheetData>
    <row r="1" spans="13:15" ht="15.75">
      <c r="M1" s="614"/>
      <c r="N1" s="558"/>
      <c r="O1" s="620" t="str">
        <f>CONCATENATE("4. tájékoztató tábla ",ALAPADATOK!A7," ",ALAPADATOK!B7," ",ALAPADATOK!C7," ",ALAPADATOK!D7," ",ALAPADATOK!E7," ",ALAPADATOK!F7," ",ALAPADATOK!G7," ",ALAPADATOK!H7)</f>
        <v>4. tájékoztató tábla a 4 / 2020 ( II.25. ) önkormányzati rendelethez</v>
      </c>
    </row>
    <row r="2" spans="1:15" ht="31.5" customHeight="1">
      <c r="A2" s="845" t="str">
        <f>+CONCATENATE("Előirányzat-felhasználási terv",CHAR(10),LEFT(KV_ÖSSZEFÜGGÉSEK!A5,4),". évre")</f>
        <v>Előirányzat-felhasználási terv
2020. évre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</row>
    <row r="3" ht="16.5" thickBot="1">
      <c r="O3" s="4" t="str">
        <f>'KV_3.sz.tájékoztató_t.'!D4</f>
        <v>Forintban!</v>
      </c>
    </row>
    <row r="4" spans="1:15" s="95" customFormat="1" ht="25.5" customHeight="1" thickBot="1">
      <c r="A4" s="92" t="s">
        <v>14</v>
      </c>
      <c r="B4" s="93" t="s">
        <v>59</v>
      </c>
      <c r="C4" s="93" t="s">
        <v>71</v>
      </c>
      <c r="D4" s="93" t="s">
        <v>72</v>
      </c>
      <c r="E4" s="93" t="s">
        <v>73</v>
      </c>
      <c r="F4" s="93" t="s">
        <v>74</v>
      </c>
      <c r="G4" s="93" t="s">
        <v>75</v>
      </c>
      <c r="H4" s="93" t="s">
        <v>76</v>
      </c>
      <c r="I4" s="93" t="s">
        <v>77</v>
      </c>
      <c r="J4" s="93" t="s">
        <v>78</v>
      </c>
      <c r="K4" s="93" t="s">
        <v>79</v>
      </c>
      <c r="L4" s="93" t="s">
        <v>80</v>
      </c>
      <c r="M4" s="93" t="s">
        <v>81</v>
      </c>
      <c r="N4" s="93" t="s">
        <v>82</v>
      </c>
      <c r="O4" s="94" t="s">
        <v>51</v>
      </c>
    </row>
    <row r="5" spans="1:15" s="97" customFormat="1" ht="15" customHeight="1" thickBot="1">
      <c r="A5" s="96" t="s">
        <v>16</v>
      </c>
      <c r="B5" s="842" t="s">
        <v>54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4"/>
    </row>
    <row r="6" spans="1:17" s="97" customFormat="1" ht="22.5">
      <c r="A6" s="98" t="s">
        <v>17</v>
      </c>
      <c r="B6" s="455" t="s">
        <v>355</v>
      </c>
      <c r="C6" s="729">
        <v>11518354</v>
      </c>
      <c r="D6" s="729">
        <v>14801000</v>
      </c>
      <c r="E6" s="729">
        <v>14977580</v>
      </c>
      <c r="F6" s="729">
        <v>13801000</v>
      </c>
      <c r="G6" s="729">
        <v>13821000</v>
      </c>
      <c r="H6" s="729">
        <v>13801000</v>
      </c>
      <c r="I6" s="729">
        <v>13801000</v>
      </c>
      <c r="J6" s="729">
        <v>13301000</v>
      </c>
      <c r="K6" s="729">
        <v>13801000</v>
      </c>
      <c r="L6" s="729">
        <v>13801000</v>
      </c>
      <c r="M6" s="729">
        <v>13801000</v>
      </c>
      <c r="N6" s="729">
        <v>13685363</v>
      </c>
      <c r="O6" s="99">
        <f aca="true" t="shared" si="0" ref="O6:O14">SUM(C6:N6)</f>
        <v>164910297</v>
      </c>
      <c r="Q6" s="618"/>
    </row>
    <row r="7" spans="1:15" s="102" customFormat="1" ht="22.5">
      <c r="A7" s="100" t="s">
        <v>18</v>
      </c>
      <c r="B7" s="264" t="s">
        <v>400</v>
      </c>
      <c r="C7" s="730">
        <v>2642283</v>
      </c>
      <c r="D7" s="730">
        <v>1950000</v>
      </c>
      <c r="E7" s="730">
        <v>1727545</v>
      </c>
      <c r="F7" s="730">
        <v>1570000</v>
      </c>
      <c r="G7" s="730">
        <v>1570000</v>
      </c>
      <c r="H7" s="730">
        <v>1570000</v>
      </c>
      <c r="I7" s="730">
        <v>1570000</v>
      </c>
      <c r="J7" s="730">
        <v>1570000</v>
      </c>
      <c r="K7" s="730">
        <v>1570000</v>
      </c>
      <c r="L7" s="730">
        <v>1570000</v>
      </c>
      <c r="M7" s="730">
        <v>1570000</v>
      </c>
      <c r="N7" s="730">
        <v>1570000</v>
      </c>
      <c r="O7" s="101">
        <f t="shared" si="0"/>
        <v>20449828</v>
      </c>
    </row>
    <row r="8" spans="1:15" s="102" customFormat="1" ht="22.5">
      <c r="A8" s="100" t="s">
        <v>19</v>
      </c>
      <c r="B8" s="263" t="s">
        <v>401</v>
      </c>
      <c r="C8" s="731"/>
      <c r="D8" s="731"/>
      <c r="E8" s="731"/>
      <c r="F8" s="731"/>
      <c r="G8" s="731"/>
      <c r="H8" s="731">
        <v>60000000</v>
      </c>
      <c r="I8" s="731"/>
      <c r="J8" s="731"/>
      <c r="K8" s="731">
        <v>60000000</v>
      </c>
      <c r="L8" s="731">
        <v>59629826</v>
      </c>
      <c r="M8" s="731"/>
      <c r="N8" s="731"/>
      <c r="O8" s="103">
        <f t="shared" si="0"/>
        <v>179629826</v>
      </c>
    </row>
    <row r="9" spans="1:15" s="102" customFormat="1" ht="13.5" customHeight="1">
      <c r="A9" s="100" t="s">
        <v>20</v>
      </c>
      <c r="B9" s="262" t="s">
        <v>158</v>
      </c>
      <c r="C9" s="730">
        <v>247296</v>
      </c>
      <c r="D9" s="730">
        <v>350600</v>
      </c>
      <c r="E9" s="730">
        <v>16816243</v>
      </c>
      <c r="F9" s="730">
        <v>689000</v>
      </c>
      <c r="G9" s="730">
        <v>1125000</v>
      </c>
      <c r="H9" s="730">
        <v>268000</v>
      </c>
      <c r="I9" s="730">
        <v>155000</v>
      </c>
      <c r="J9" s="730">
        <v>180000</v>
      </c>
      <c r="K9" s="730">
        <v>17558204</v>
      </c>
      <c r="L9" s="730">
        <v>1255000</v>
      </c>
      <c r="M9" s="730">
        <v>360000</v>
      </c>
      <c r="N9" s="730">
        <v>1165657</v>
      </c>
      <c r="O9" s="101">
        <f t="shared" si="0"/>
        <v>40170000</v>
      </c>
    </row>
    <row r="10" spans="1:15" s="102" customFormat="1" ht="13.5" customHeight="1">
      <c r="A10" s="100" t="s">
        <v>21</v>
      </c>
      <c r="B10" s="262" t="s">
        <v>402</v>
      </c>
      <c r="C10" s="730">
        <v>5800789</v>
      </c>
      <c r="D10" s="730">
        <v>4850000</v>
      </c>
      <c r="E10" s="730">
        <v>4560000</v>
      </c>
      <c r="F10" s="730">
        <v>4900000</v>
      </c>
      <c r="G10" s="730">
        <v>4750000</v>
      </c>
      <c r="H10" s="730">
        <v>4560000</v>
      </c>
      <c r="I10" s="730">
        <v>3560000</v>
      </c>
      <c r="J10" s="730">
        <v>2250000</v>
      </c>
      <c r="K10" s="730">
        <v>3780000</v>
      </c>
      <c r="L10" s="730">
        <v>4350000</v>
      </c>
      <c r="M10" s="730">
        <v>4850000</v>
      </c>
      <c r="N10" s="730">
        <v>5581831</v>
      </c>
      <c r="O10" s="101">
        <f t="shared" si="0"/>
        <v>53792620</v>
      </c>
    </row>
    <row r="11" spans="1:15" s="102" customFormat="1" ht="13.5" customHeight="1">
      <c r="A11" s="100" t="s">
        <v>22</v>
      </c>
      <c r="B11" s="262" t="s">
        <v>8</v>
      </c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101">
        <f t="shared" si="0"/>
        <v>0</v>
      </c>
    </row>
    <row r="12" spans="1:15" s="102" customFormat="1" ht="13.5" customHeight="1">
      <c r="A12" s="100" t="s">
        <v>23</v>
      </c>
      <c r="B12" s="262" t="s">
        <v>357</v>
      </c>
      <c r="C12" s="730">
        <v>160000</v>
      </c>
      <c r="D12" s="730">
        <v>760000</v>
      </c>
      <c r="E12" s="730">
        <v>60000</v>
      </c>
      <c r="F12" s="730"/>
      <c r="G12" s="730"/>
      <c r="H12" s="730"/>
      <c r="I12" s="730"/>
      <c r="J12" s="730"/>
      <c r="K12" s="730"/>
      <c r="L12" s="730"/>
      <c r="M12" s="730"/>
      <c r="N12" s="730"/>
      <c r="O12" s="101">
        <f t="shared" si="0"/>
        <v>980000</v>
      </c>
    </row>
    <row r="13" spans="1:15" s="102" customFormat="1" ht="22.5">
      <c r="A13" s="100" t="s">
        <v>24</v>
      </c>
      <c r="B13" s="264" t="s">
        <v>388</v>
      </c>
      <c r="C13" s="730">
        <v>3750</v>
      </c>
      <c r="D13" s="730">
        <v>6250</v>
      </c>
      <c r="E13" s="730">
        <v>33750</v>
      </c>
      <c r="F13" s="730">
        <v>6250</v>
      </c>
      <c r="G13" s="730">
        <v>6250</v>
      </c>
      <c r="H13" s="730">
        <v>6250</v>
      </c>
      <c r="I13" s="730">
        <v>6250</v>
      </c>
      <c r="J13" s="730">
        <v>6250</v>
      </c>
      <c r="K13" s="730">
        <v>6250</v>
      </c>
      <c r="L13" s="730">
        <v>6250</v>
      </c>
      <c r="M13" s="730">
        <v>6250</v>
      </c>
      <c r="N13" s="730">
        <v>6250</v>
      </c>
      <c r="O13" s="101">
        <f t="shared" si="0"/>
        <v>100000</v>
      </c>
    </row>
    <row r="14" spans="1:15" s="102" customFormat="1" ht="13.5" customHeight="1" thickBot="1">
      <c r="A14" s="100" t="s">
        <v>25</v>
      </c>
      <c r="B14" s="262" t="s">
        <v>9</v>
      </c>
      <c r="C14" s="730">
        <v>55854055</v>
      </c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101">
        <f t="shared" si="0"/>
        <v>55854055</v>
      </c>
    </row>
    <row r="15" spans="1:15" s="97" customFormat="1" ht="15.75" customHeight="1" thickBot="1">
      <c r="A15" s="96" t="s">
        <v>26</v>
      </c>
      <c r="B15" s="37" t="s">
        <v>107</v>
      </c>
      <c r="C15" s="518">
        <f aca="true" t="shared" si="1" ref="C15:N15">SUM(C6:C14)</f>
        <v>76226527</v>
      </c>
      <c r="D15" s="518">
        <f t="shared" si="1"/>
        <v>22717850</v>
      </c>
      <c r="E15" s="518">
        <f t="shared" si="1"/>
        <v>38175118</v>
      </c>
      <c r="F15" s="518">
        <f t="shared" si="1"/>
        <v>20966250</v>
      </c>
      <c r="G15" s="518">
        <f t="shared" si="1"/>
        <v>21272250</v>
      </c>
      <c r="H15" s="518">
        <f t="shared" si="1"/>
        <v>80205250</v>
      </c>
      <c r="I15" s="518">
        <f t="shared" si="1"/>
        <v>19092250</v>
      </c>
      <c r="J15" s="518">
        <f t="shared" si="1"/>
        <v>17307250</v>
      </c>
      <c r="K15" s="518">
        <f t="shared" si="1"/>
        <v>96715454</v>
      </c>
      <c r="L15" s="518">
        <f t="shared" si="1"/>
        <v>80612076</v>
      </c>
      <c r="M15" s="518">
        <f t="shared" si="1"/>
        <v>20587250</v>
      </c>
      <c r="N15" s="518">
        <f t="shared" si="1"/>
        <v>22009101</v>
      </c>
      <c r="O15" s="104">
        <f>SUM(C15:N15)</f>
        <v>515886626</v>
      </c>
    </row>
    <row r="16" spans="1:15" s="97" customFormat="1" ht="15" customHeight="1" thickBot="1">
      <c r="A16" s="96" t="s">
        <v>27</v>
      </c>
      <c r="B16" s="842" t="s">
        <v>55</v>
      </c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4"/>
    </row>
    <row r="17" spans="1:15" s="102" customFormat="1" ht="13.5" customHeight="1">
      <c r="A17" s="105" t="s">
        <v>28</v>
      </c>
      <c r="B17" s="265" t="s">
        <v>60</v>
      </c>
      <c r="C17" s="731">
        <v>10698557</v>
      </c>
      <c r="D17" s="731">
        <v>11850000</v>
      </c>
      <c r="E17" s="731">
        <v>11850000</v>
      </c>
      <c r="F17" s="731">
        <v>11850000</v>
      </c>
      <c r="G17" s="731">
        <v>11850000</v>
      </c>
      <c r="H17" s="731">
        <v>11850000</v>
      </c>
      <c r="I17" s="731">
        <v>11850000</v>
      </c>
      <c r="J17" s="731">
        <v>12850000</v>
      </c>
      <c r="K17" s="731">
        <v>12900000</v>
      </c>
      <c r="L17" s="731">
        <v>11850000</v>
      </c>
      <c r="M17" s="731">
        <v>11850000</v>
      </c>
      <c r="N17" s="731">
        <v>11871310</v>
      </c>
      <c r="O17" s="732">
        <f aca="true" t="shared" si="2" ref="O17:O26">SUM(C17:N17)</f>
        <v>143119867</v>
      </c>
    </row>
    <row r="18" spans="1:15" s="102" customFormat="1" ht="27" customHeight="1">
      <c r="A18" s="100" t="s">
        <v>29</v>
      </c>
      <c r="B18" s="264" t="s">
        <v>167</v>
      </c>
      <c r="C18" s="730">
        <f>C17*16.93/100</f>
        <v>1811265.7001</v>
      </c>
      <c r="D18" s="730">
        <f aca="true" t="shared" si="3" ref="D18:M18">D17*16.93/100</f>
        <v>2006205</v>
      </c>
      <c r="E18" s="730">
        <f t="shared" si="3"/>
        <v>2006205</v>
      </c>
      <c r="F18" s="730">
        <f t="shared" si="3"/>
        <v>2006205</v>
      </c>
      <c r="G18" s="730">
        <f t="shared" si="3"/>
        <v>2006205</v>
      </c>
      <c r="H18" s="730">
        <f t="shared" si="3"/>
        <v>2006205</v>
      </c>
      <c r="I18" s="730">
        <f t="shared" si="3"/>
        <v>2006205</v>
      </c>
      <c r="J18" s="730">
        <f t="shared" si="3"/>
        <v>2175505</v>
      </c>
      <c r="K18" s="730">
        <f t="shared" si="3"/>
        <v>2183970</v>
      </c>
      <c r="L18" s="730">
        <f t="shared" si="3"/>
        <v>2006205</v>
      </c>
      <c r="M18" s="730">
        <f t="shared" si="3"/>
        <v>2006205</v>
      </c>
      <c r="N18" s="730">
        <v>2011434</v>
      </c>
      <c r="O18" s="733">
        <f t="shared" si="2"/>
        <v>24231814.7001</v>
      </c>
    </row>
    <row r="19" spans="1:15" s="102" customFormat="1" ht="13.5" customHeight="1">
      <c r="A19" s="100" t="s">
        <v>30</v>
      </c>
      <c r="B19" s="262" t="s">
        <v>131</v>
      </c>
      <c r="C19" s="730">
        <v>7544000</v>
      </c>
      <c r="D19" s="730">
        <v>8200000</v>
      </c>
      <c r="E19" s="730">
        <v>9100000</v>
      </c>
      <c r="F19" s="730">
        <v>9500000</v>
      </c>
      <c r="G19" s="730">
        <v>9900000</v>
      </c>
      <c r="H19" s="730">
        <v>9500000</v>
      </c>
      <c r="I19" s="730">
        <v>9200000</v>
      </c>
      <c r="J19" s="730">
        <v>9700000</v>
      </c>
      <c r="K19" s="730">
        <v>9850000</v>
      </c>
      <c r="L19" s="730">
        <v>9310470</v>
      </c>
      <c r="M19" s="730">
        <v>9800000</v>
      </c>
      <c r="N19" s="730">
        <v>9950000</v>
      </c>
      <c r="O19" s="733">
        <f t="shared" si="2"/>
        <v>111554470</v>
      </c>
    </row>
    <row r="20" spans="1:15" s="102" customFormat="1" ht="13.5" customHeight="1">
      <c r="A20" s="100" t="s">
        <v>31</v>
      </c>
      <c r="B20" s="262" t="s">
        <v>168</v>
      </c>
      <c r="C20" s="730">
        <v>51000</v>
      </c>
      <c r="D20" s="730">
        <v>100000</v>
      </c>
      <c r="E20" s="730">
        <v>100000</v>
      </c>
      <c r="F20" s="730">
        <v>100000</v>
      </c>
      <c r="G20" s="730">
        <v>150000</v>
      </c>
      <c r="H20" s="730">
        <v>150000</v>
      </c>
      <c r="I20" s="730">
        <v>130000</v>
      </c>
      <c r="J20" s="730">
        <v>140000</v>
      </c>
      <c r="K20" s="730">
        <v>110000</v>
      </c>
      <c r="L20" s="730">
        <v>110000</v>
      </c>
      <c r="M20" s="730">
        <v>150000</v>
      </c>
      <c r="N20" s="730">
        <v>584000</v>
      </c>
      <c r="O20" s="733">
        <f t="shared" si="2"/>
        <v>1875000</v>
      </c>
    </row>
    <row r="21" spans="1:15" s="102" customFormat="1" ht="13.5" customHeight="1">
      <c r="A21" s="100" t="s">
        <v>32</v>
      </c>
      <c r="B21" s="262" t="s">
        <v>10</v>
      </c>
      <c r="C21" s="730">
        <v>1379700</v>
      </c>
      <c r="D21" s="730">
        <v>240000</v>
      </c>
      <c r="E21" s="730">
        <v>2550000</v>
      </c>
      <c r="F21" s="730">
        <v>240000</v>
      </c>
      <c r="G21" s="730">
        <v>240000</v>
      </c>
      <c r="H21" s="730">
        <v>2400000</v>
      </c>
      <c r="I21" s="730">
        <v>240000</v>
      </c>
      <c r="J21" s="730">
        <v>212000</v>
      </c>
      <c r="K21" s="730">
        <v>2500000</v>
      </c>
      <c r="L21" s="730">
        <v>240000</v>
      </c>
      <c r="M21" s="730">
        <v>240000</v>
      </c>
      <c r="N21" s="730">
        <v>240212</v>
      </c>
      <c r="O21" s="733">
        <f t="shared" si="2"/>
        <v>10721912</v>
      </c>
    </row>
    <row r="22" spans="1:15" s="102" customFormat="1" ht="13.5" customHeight="1">
      <c r="A22" s="100" t="s">
        <v>33</v>
      </c>
      <c r="B22" s="262" t="s">
        <v>213</v>
      </c>
      <c r="C22" s="730">
        <v>28000</v>
      </c>
      <c r="D22" s="730"/>
      <c r="E22" s="730">
        <v>200000</v>
      </c>
      <c r="F22" s="730"/>
      <c r="G22" s="730">
        <v>3665000</v>
      </c>
      <c r="H22" s="730"/>
      <c r="I22" s="730">
        <v>60000000</v>
      </c>
      <c r="J22" s="730"/>
      <c r="K22" s="730"/>
      <c r="L22" s="730">
        <v>62085862</v>
      </c>
      <c r="M22" s="730"/>
      <c r="N22" s="730">
        <v>200000</v>
      </c>
      <c r="O22" s="733">
        <f t="shared" si="2"/>
        <v>126178862</v>
      </c>
    </row>
    <row r="23" spans="1:15" s="102" customFormat="1" ht="15.75">
      <c r="A23" s="100" t="s">
        <v>34</v>
      </c>
      <c r="B23" s="264" t="s">
        <v>171</v>
      </c>
      <c r="C23" s="730"/>
      <c r="D23" s="730"/>
      <c r="E23" s="730">
        <v>1270000</v>
      </c>
      <c r="F23" s="730"/>
      <c r="G23" s="730"/>
      <c r="H23" s="730"/>
      <c r="I23" s="730">
        <v>20000000</v>
      </c>
      <c r="J23" s="730"/>
      <c r="K23" s="730"/>
      <c r="L23" s="730">
        <v>20510079</v>
      </c>
      <c r="M23" s="730"/>
      <c r="N23" s="730">
        <v>40513789</v>
      </c>
      <c r="O23" s="733">
        <f t="shared" si="2"/>
        <v>82293868</v>
      </c>
    </row>
    <row r="24" spans="1:15" s="102" customFormat="1" ht="13.5" customHeight="1">
      <c r="A24" s="100" t="s">
        <v>35</v>
      </c>
      <c r="B24" s="262" t="s">
        <v>215</v>
      </c>
      <c r="C24" s="730"/>
      <c r="D24" s="730"/>
      <c r="E24" s="730">
        <v>3500000</v>
      </c>
      <c r="F24" s="730"/>
      <c r="G24" s="730"/>
      <c r="H24" s="730"/>
      <c r="I24" s="730">
        <v>50000</v>
      </c>
      <c r="J24" s="730"/>
      <c r="K24" s="730"/>
      <c r="L24" s="730"/>
      <c r="M24" s="730"/>
      <c r="N24" s="730"/>
      <c r="O24" s="733">
        <f t="shared" si="2"/>
        <v>3550000</v>
      </c>
    </row>
    <row r="25" spans="1:15" s="102" customFormat="1" ht="13.5" customHeight="1">
      <c r="A25" s="100" t="s">
        <v>36</v>
      </c>
      <c r="B25" s="262" t="s">
        <v>11</v>
      </c>
      <c r="C25" s="734">
        <v>5661116</v>
      </c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5">
        <f t="shared" si="2"/>
        <v>5661116</v>
      </c>
    </row>
    <row r="26" spans="1:15" s="102" customFormat="1" ht="13.5" customHeight="1" thickBot="1">
      <c r="A26" s="98"/>
      <c r="B26" s="737" t="s">
        <v>48</v>
      </c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>
        <v>6699716</v>
      </c>
      <c r="O26" s="735">
        <f t="shared" si="2"/>
        <v>6699716</v>
      </c>
    </row>
    <row r="27" spans="1:15" s="97" customFormat="1" ht="15.75" customHeight="1" thickBot="1">
      <c r="A27" s="106" t="s">
        <v>37</v>
      </c>
      <c r="B27" s="37" t="s">
        <v>108</v>
      </c>
      <c r="C27" s="518">
        <f aca="true" t="shared" si="4" ref="C27:N27">SUM(C17:C25)</f>
        <v>27173638.7001</v>
      </c>
      <c r="D27" s="518">
        <f t="shared" si="4"/>
        <v>22396205</v>
      </c>
      <c r="E27" s="518">
        <f t="shared" si="4"/>
        <v>30576205</v>
      </c>
      <c r="F27" s="518">
        <f t="shared" si="4"/>
        <v>23696205</v>
      </c>
      <c r="G27" s="518">
        <f t="shared" si="4"/>
        <v>27811205</v>
      </c>
      <c r="H27" s="518">
        <f t="shared" si="4"/>
        <v>25906205</v>
      </c>
      <c r="I27" s="518">
        <f t="shared" si="4"/>
        <v>103476205</v>
      </c>
      <c r="J27" s="518">
        <f t="shared" si="4"/>
        <v>25077505</v>
      </c>
      <c r="K27" s="518">
        <f t="shared" si="4"/>
        <v>27543970</v>
      </c>
      <c r="L27" s="518">
        <f t="shared" si="4"/>
        <v>106112616</v>
      </c>
      <c r="M27" s="518">
        <f t="shared" si="4"/>
        <v>24046205</v>
      </c>
      <c r="N27" s="518">
        <f t="shared" si="4"/>
        <v>65370745</v>
      </c>
      <c r="O27" s="739">
        <f>O17+O18+O19+O20+O21+O22+O23+O24+O25+O26</f>
        <v>515886625.7001</v>
      </c>
    </row>
    <row r="28" spans="1:15" ht="16.5" thickBot="1">
      <c r="A28" s="106" t="s">
        <v>38</v>
      </c>
      <c r="B28" s="266" t="s">
        <v>109</v>
      </c>
      <c r="C28" s="736">
        <f>C14-C27</f>
        <v>28680416.2999</v>
      </c>
      <c r="D28" s="736">
        <f>D15-D27</f>
        <v>321645</v>
      </c>
      <c r="E28" s="736">
        <f aca="true" t="shared" si="5" ref="E28:O28">E15-E27</f>
        <v>7598913</v>
      </c>
      <c r="F28" s="736">
        <f t="shared" si="5"/>
        <v>-2729955</v>
      </c>
      <c r="G28" s="736">
        <f t="shared" si="5"/>
        <v>-6538955</v>
      </c>
      <c r="H28" s="736">
        <f t="shared" si="5"/>
        <v>54299045</v>
      </c>
      <c r="I28" s="736">
        <f t="shared" si="5"/>
        <v>-84383955</v>
      </c>
      <c r="J28" s="736">
        <f t="shared" si="5"/>
        <v>-7770255</v>
      </c>
      <c r="K28" s="736">
        <f t="shared" si="5"/>
        <v>69171484</v>
      </c>
      <c r="L28" s="736">
        <f t="shared" si="5"/>
        <v>-25500540</v>
      </c>
      <c r="M28" s="736">
        <f t="shared" si="5"/>
        <v>-3458955</v>
      </c>
      <c r="N28" s="736">
        <f t="shared" si="5"/>
        <v>-43361644</v>
      </c>
      <c r="O28" s="736">
        <f t="shared" si="5"/>
        <v>0.29989999532699585</v>
      </c>
    </row>
    <row r="29" ht="15.75">
      <c r="A29" s="108"/>
    </row>
    <row r="30" spans="2:15" ht="15.75">
      <c r="B30" s="109"/>
      <c r="C30" s="110"/>
      <c r="D30" s="110"/>
      <c r="O30" s="107"/>
    </row>
    <row r="31" ht="15.75">
      <c r="O31" s="107"/>
    </row>
    <row r="32" ht="15.75">
      <c r="O32" s="107"/>
    </row>
    <row r="33" ht="15.75">
      <c r="O33" s="107"/>
    </row>
    <row r="34" ht="15.75">
      <c r="O34" s="107"/>
    </row>
    <row r="35" ht="15.75">
      <c r="O35" s="107"/>
    </row>
    <row r="36" ht="15.75">
      <c r="O36" s="107"/>
    </row>
    <row r="37" ht="15.75">
      <c r="O37" s="107"/>
    </row>
    <row r="38" ht="15.75">
      <c r="O38" s="107"/>
    </row>
    <row r="39" ht="15.75">
      <c r="O39" s="107"/>
    </row>
    <row r="40" ht="15.75">
      <c r="O40" s="107"/>
    </row>
    <row r="41" ht="15.75">
      <c r="O41" s="107"/>
    </row>
    <row r="42" ht="15.75">
      <c r="O42" s="107"/>
    </row>
    <row r="43" ht="15.75">
      <c r="O43" s="107"/>
    </row>
    <row r="44" ht="15.75">
      <c r="O44" s="107"/>
    </row>
    <row r="45" ht="15.75">
      <c r="O45" s="107"/>
    </row>
    <row r="46" ht="15.75">
      <c r="O46" s="107"/>
    </row>
    <row r="47" ht="15.75">
      <c r="O47" s="107"/>
    </row>
    <row r="48" ht="15.75">
      <c r="O48" s="107"/>
    </row>
    <row r="49" ht="15.75">
      <c r="O49" s="107"/>
    </row>
    <row r="50" ht="15.75">
      <c r="O50" s="107"/>
    </row>
    <row r="51" ht="15.75">
      <c r="O51" s="107"/>
    </row>
    <row r="52" ht="15.75">
      <c r="O52" s="107"/>
    </row>
    <row r="53" ht="15.75">
      <c r="O53" s="107"/>
    </row>
    <row r="54" ht="15.75">
      <c r="O54" s="107"/>
    </row>
    <row r="55" ht="15.75">
      <c r="O55" s="107"/>
    </row>
    <row r="56" ht="15.75">
      <c r="O56" s="107"/>
    </row>
    <row r="57" ht="15.75">
      <c r="O57" s="107"/>
    </row>
    <row r="58" ht="15.75">
      <c r="O58" s="107"/>
    </row>
    <row r="59" ht="15.75">
      <c r="O59" s="107"/>
    </row>
    <row r="60" ht="15.75">
      <c r="O60" s="107"/>
    </row>
    <row r="61" ht="15.75">
      <c r="O61" s="107"/>
    </row>
    <row r="62" ht="15.75">
      <c r="O62" s="107"/>
    </row>
    <row r="63" ht="15.75">
      <c r="O63" s="107"/>
    </row>
    <row r="64" ht="15.75">
      <c r="O64" s="107"/>
    </row>
    <row r="65" ht="15.75">
      <c r="O65" s="107"/>
    </row>
    <row r="66" ht="15.75">
      <c r="O66" s="107"/>
    </row>
    <row r="67" ht="15.75">
      <c r="O67" s="107"/>
    </row>
    <row r="68" ht="15.75">
      <c r="O68" s="107"/>
    </row>
    <row r="69" ht="15.75">
      <c r="O69" s="107"/>
    </row>
    <row r="70" ht="15.75">
      <c r="O70" s="107"/>
    </row>
    <row r="71" ht="15.75">
      <c r="O71" s="107"/>
    </row>
    <row r="72" ht="15.75">
      <c r="O72" s="107"/>
    </row>
    <row r="73" ht="15.75">
      <c r="O73" s="107"/>
    </row>
    <row r="74" ht="15.75">
      <c r="O74" s="107"/>
    </row>
    <row r="75" ht="15.75">
      <c r="O75" s="107"/>
    </row>
    <row r="76" ht="15.75">
      <c r="O76" s="107"/>
    </row>
    <row r="77" ht="15.75">
      <c r="O77" s="107"/>
    </row>
    <row r="78" ht="15.75">
      <c r="O78" s="107"/>
    </row>
    <row r="79" ht="15.75">
      <c r="O79" s="107"/>
    </row>
    <row r="80" ht="15.75">
      <c r="O80" s="107"/>
    </row>
    <row r="81" ht="15.75">
      <c r="O81" s="107"/>
    </row>
    <row r="82" ht="15.75">
      <c r="O82" s="107"/>
    </row>
    <row r="83" ht="15.75">
      <c r="O83" s="107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="120" zoomScaleNormal="120" zoomScalePageLayoutView="120" workbookViewId="0" topLeftCell="A13">
      <selection activeCell="B38" sqref="B38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42" customWidth="1"/>
    <col min="5" max="16384" width="9.375" style="46" customWidth="1"/>
  </cols>
  <sheetData>
    <row r="1" spans="2:4" ht="47.25" customHeight="1">
      <c r="B1" s="847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847"/>
      <c r="D1" s="848" t="str">
        <f>CONCATENATE("5. tájékoztató tábla ",ALAPADATOK!A7," ",ALAPADATOK!B7," ",ALAPADATOK!C7," ",ALAPADATOK!D7," ",ALAPADATOK!E7," ",ALAPADATOK!F7," ",ALAPADATOK!G7," ",ALAPADATOK!H7)</f>
        <v>5. tájékoztató tábla a 4 / 2020 ( II.25. ) önkormányzati rendelethez</v>
      </c>
    </row>
    <row r="2" spans="2:4" ht="22.5" customHeight="1" thickBot="1">
      <c r="B2" s="353"/>
      <c r="C2" s="639" t="s">
        <v>648</v>
      </c>
      <c r="D2" s="848"/>
    </row>
    <row r="3" spans="1:8" s="47" customFormat="1" ht="62.25" customHeight="1" thickBot="1">
      <c r="A3" s="640" t="s">
        <v>654</v>
      </c>
      <c r="B3" s="268" t="s">
        <v>50</v>
      </c>
      <c r="C3" s="624" t="str">
        <f>+CONCATENATE(LEFT(KV_ÖSSZEFÜGGÉSEK!A5,4),". évi tervezett támogatás összesen")</f>
        <v>2020. évi tervezett támogatás összesen</v>
      </c>
      <c r="D3" s="848"/>
      <c r="H3" s="620"/>
    </row>
    <row r="4" spans="1:4" s="48" customFormat="1" ht="13.5" thickBot="1">
      <c r="A4" s="641" t="s">
        <v>473</v>
      </c>
      <c r="B4" s="173" t="s">
        <v>474</v>
      </c>
      <c r="C4" s="174" t="s">
        <v>475</v>
      </c>
      <c r="D4" s="848"/>
    </row>
    <row r="5" spans="1:4" ht="12.75">
      <c r="A5" s="718" t="s">
        <v>710</v>
      </c>
      <c r="B5" s="719" t="s">
        <v>711</v>
      </c>
      <c r="C5" s="720"/>
      <c r="D5" s="848"/>
    </row>
    <row r="6" spans="1:4" ht="12.75" customHeight="1">
      <c r="A6" s="721" t="s">
        <v>712</v>
      </c>
      <c r="B6" s="722" t="s">
        <v>713</v>
      </c>
      <c r="C6" s="720">
        <v>58969000</v>
      </c>
      <c r="D6" s="848"/>
    </row>
    <row r="7" spans="1:4" ht="12.75">
      <c r="A7" s="721" t="s">
        <v>714</v>
      </c>
      <c r="B7" s="723" t="s">
        <v>715</v>
      </c>
      <c r="C7" s="720">
        <v>3963960</v>
      </c>
      <c r="D7" s="848"/>
    </row>
    <row r="8" spans="1:4" ht="12.75">
      <c r="A8" s="721" t="s">
        <v>716</v>
      </c>
      <c r="B8" s="723" t="s">
        <v>717</v>
      </c>
      <c r="C8" s="720">
        <v>4256000</v>
      </c>
      <c r="D8" s="848"/>
    </row>
    <row r="9" spans="1:4" ht="12.75">
      <c r="A9" s="721" t="s">
        <v>718</v>
      </c>
      <c r="B9" s="723" t="s">
        <v>719</v>
      </c>
      <c r="C9" s="720">
        <v>1016163</v>
      </c>
      <c r="D9" s="848"/>
    </row>
    <row r="10" spans="1:4" ht="12.75">
      <c r="A10" s="721" t="s">
        <v>720</v>
      </c>
      <c r="B10" s="723" t="s">
        <v>721</v>
      </c>
      <c r="C10" s="720">
        <v>2594610</v>
      </c>
      <c r="D10" s="848"/>
    </row>
    <row r="11" spans="1:4" ht="12.75">
      <c r="A11" s="721" t="s">
        <v>722</v>
      </c>
      <c r="B11" s="723" t="s">
        <v>723</v>
      </c>
      <c r="C11" s="720">
        <v>7000000</v>
      </c>
      <c r="D11" s="848"/>
    </row>
    <row r="12" spans="1:4" ht="12.75">
      <c r="A12" s="721" t="s">
        <v>724</v>
      </c>
      <c r="B12" s="723" t="s">
        <v>725</v>
      </c>
      <c r="C12" s="720">
        <v>5100</v>
      </c>
      <c r="D12" s="848"/>
    </row>
    <row r="13" spans="1:4" ht="12.75">
      <c r="A13" s="721" t="s">
        <v>753</v>
      </c>
      <c r="B13" s="723" t="s">
        <v>726</v>
      </c>
      <c r="C13" s="720">
        <v>15277841</v>
      </c>
      <c r="D13" s="848"/>
    </row>
    <row r="14" spans="1:4" ht="12.75">
      <c r="A14" s="721" t="s">
        <v>20</v>
      </c>
      <c r="B14" s="723" t="s">
        <v>754</v>
      </c>
      <c r="C14" s="720">
        <v>142200</v>
      </c>
      <c r="D14" s="848"/>
    </row>
    <row r="15" spans="1:4" ht="12.75">
      <c r="A15" s="721"/>
      <c r="B15" s="724" t="s">
        <v>727</v>
      </c>
      <c r="C15" s="725">
        <f>C6+C7+C8+C9+C10+C11+C12+C13+C14</f>
        <v>93224874</v>
      </c>
      <c r="D15" s="848"/>
    </row>
    <row r="16" spans="1:4" ht="12.75">
      <c r="A16" s="721"/>
      <c r="B16" s="724"/>
      <c r="C16" s="720"/>
      <c r="D16" s="848"/>
    </row>
    <row r="17" spans="1:4" ht="12.75">
      <c r="A17" s="721" t="s">
        <v>728</v>
      </c>
      <c r="B17" s="724" t="s">
        <v>729</v>
      </c>
      <c r="C17" s="720"/>
      <c r="D17" s="848"/>
    </row>
    <row r="18" spans="1:4" ht="12.75">
      <c r="A18" s="721" t="s">
        <v>756</v>
      </c>
      <c r="B18" s="723" t="s">
        <v>730</v>
      </c>
      <c r="C18" s="720">
        <v>16174550</v>
      </c>
      <c r="D18" s="848"/>
    </row>
    <row r="19" spans="1:4" ht="12.75">
      <c r="A19" s="721" t="s">
        <v>755</v>
      </c>
      <c r="B19" s="723" t="s">
        <v>731</v>
      </c>
      <c r="C19" s="720">
        <v>4800000</v>
      </c>
      <c r="D19" s="848"/>
    </row>
    <row r="20" spans="1:4" ht="12.75">
      <c r="A20" s="721" t="s">
        <v>758</v>
      </c>
      <c r="B20" s="723" t="s">
        <v>732</v>
      </c>
      <c r="C20" s="720">
        <v>793400</v>
      </c>
      <c r="D20" s="848"/>
    </row>
    <row r="21" spans="1:4" ht="12.75">
      <c r="A21" s="721" t="s">
        <v>757</v>
      </c>
      <c r="B21" s="723" t="s">
        <v>733</v>
      </c>
      <c r="C21" s="720">
        <v>3671980</v>
      </c>
      <c r="D21" s="848"/>
    </row>
    <row r="22" spans="1:4" ht="12.75">
      <c r="A22" s="721" t="s">
        <v>759</v>
      </c>
      <c r="B22" s="723" t="s">
        <v>734</v>
      </c>
      <c r="C22" s="720">
        <v>3246400</v>
      </c>
      <c r="D22" s="848"/>
    </row>
    <row r="23" spans="1:4" ht="12.75">
      <c r="A23" s="721"/>
      <c r="B23" s="724" t="s">
        <v>735</v>
      </c>
      <c r="C23" s="725">
        <f>C18+C19+C20+C21+C22</f>
        <v>28686330</v>
      </c>
      <c r="D23" s="848"/>
    </row>
    <row r="24" spans="1:4" ht="12.75">
      <c r="A24" s="721"/>
      <c r="B24" s="724"/>
      <c r="C24" s="720"/>
      <c r="D24" s="848"/>
    </row>
    <row r="25" spans="1:4" ht="12.75">
      <c r="A25" s="721" t="s">
        <v>736</v>
      </c>
      <c r="B25" s="724" t="s">
        <v>737</v>
      </c>
      <c r="C25" s="720"/>
      <c r="D25" s="848"/>
    </row>
    <row r="26" spans="1:4" ht="12.75">
      <c r="A26" s="721" t="s">
        <v>16</v>
      </c>
      <c r="B26" s="723" t="s">
        <v>738</v>
      </c>
      <c r="C26" s="720">
        <v>10313190</v>
      </c>
      <c r="D26" s="848"/>
    </row>
    <row r="27" spans="1:4" ht="12.75">
      <c r="A27" s="721" t="s">
        <v>760</v>
      </c>
      <c r="B27" s="723" t="s">
        <v>739</v>
      </c>
      <c r="C27" s="720">
        <v>3400000</v>
      </c>
      <c r="D27" s="848"/>
    </row>
    <row r="28" spans="1:4" ht="12.75">
      <c r="A28" s="721" t="s">
        <v>761</v>
      </c>
      <c r="B28" s="723" t="s">
        <v>740</v>
      </c>
      <c r="C28" s="720">
        <v>4575200</v>
      </c>
      <c r="D28" s="848"/>
    </row>
    <row r="29" spans="1:4" ht="12.75" customHeight="1">
      <c r="A29" s="721" t="s">
        <v>762</v>
      </c>
      <c r="B29" s="723" t="s">
        <v>741</v>
      </c>
      <c r="C29" s="720">
        <v>1140000</v>
      </c>
      <c r="D29" s="848"/>
    </row>
    <row r="30" spans="1:4" ht="12.75">
      <c r="A30" s="721" t="s">
        <v>742</v>
      </c>
      <c r="B30" s="723" t="s">
        <v>743</v>
      </c>
      <c r="C30" s="720">
        <v>11946000</v>
      </c>
      <c r="D30" s="848"/>
    </row>
    <row r="31" spans="1:4" ht="12.75">
      <c r="A31" s="721" t="s">
        <v>744</v>
      </c>
      <c r="B31" s="723" t="s">
        <v>745</v>
      </c>
      <c r="C31" s="720">
        <v>9203913</v>
      </c>
      <c r="D31" s="848"/>
    </row>
    <row r="32" spans="1:4" ht="12.75">
      <c r="A32" s="721" t="s">
        <v>746</v>
      </c>
      <c r="B32" s="723" t="s">
        <v>747</v>
      </c>
      <c r="C32" s="720">
        <v>281580</v>
      </c>
      <c r="D32" s="848"/>
    </row>
    <row r="33" spans="1:4" ht="12.75">
      <c r="A33" s="721"/>
      <c r="B33" s="724" t="s">
        <v>748</v>
      </c>
      <c r="C33" s="725">
        <f>C26+C27+C28+C29+C30+C32+C31</f>
        <v>40859883</v>
      </c>
      <c r="D33" s="848"/>
    </row>
    <row r="34" spans="1:4" ht="12.75">
      <c r="A34" s="721"/>
      <c r="B34" s="724"/>
      <c r="C34" s="725"/>
      <c r="D34" s="848"/>
    </row>
    <row r="35" spans="1:4" ht="12.75">
      <c r="A35" s="721" t="s">
        <v>749</v>
      </c>
      <c r="B35" s="724" t="s">
        <v>750</v>
      </c>
      <c r="C35" s="720"/>
      <c r="D35" s="848"/>
    </row>
    <row r="36" spans="1:4" ht="12.75">
      <c r="A36" s="721" t="s">
        <v>763</v>
      </c>
      <c r="B36" s="726" t="s">
        <v>751</v>
      </c>
      <c r="C36" s="720">
        <v>2139210</v>
      </c>
      <c r="D36" s="848"/>
    </row>
    <row r="37" spans="1:4" ht="13.5" thickBot="1">
      <c r="A37" s="727"/>
      <c r="B37" s="728" t="s">
        <v>752</v>
      </c>
      <c r="C37" s="725">
        <f>C36</f>
        <v>2139210</v>
      </c>
      <c r="D37" s="848"/>
    </row>
    <row r="38" spans="1:4" s="50" customFormat="1" ht="19.5" customHeight="1" thickBot="1">
      <c r="A38" s="644"/>
      <c r="B38" s="34" t="s">
        <v>51</v>
      </c>
      <c r="C38" s="49">
        <f>C15+C23+C33+C37</f>
        <v>164910297</v>
      </c>
      <c r="D38" s="848"/>
    </row>
    <row r="39" spans="1:2" ht="12.75">
      <c r="A39" s="849"/>
      <c r="B39" s="849"/>
    </row>
  </sheetData>
  <sheetProtection/>
  <mergeCells count="3">
    <mergeCell ref="B1:C1"/>
    <mergeCell ref="D1:D38"/>
    <mergeCell ref="A39:B39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95" t="s">
        <v>142</v>
      </c>
    </row>
    <row r="4" spans="1:2" ht="12.75">
      <c r="A4" s="127"/>
      <c r="B4" s="127"/>
    </row>
    <row r="5" spans="1:2" s="138" customFormat="1" ht="15.75">
      <c r="A5" s="86" t="str">
        <f>CONCATENATE(ALAPADATOK!D7,". évi előirányzat BEVÉTELEK")</f>
        <v>2020. évi előirányzat BEVÉTELEK</v>
      </c>
      <c r="B5" s="137"/>
    </row>
    <row r="6" spans="1:2" ht="12.75">
      <c r="A6" s="127"/>
      <c r="B6" s="127"/>
    </row>
    <row r="7" spans="1:2" ht="12.75">
      <c r="A7" s="127" t="s">
        <v>522</v>
      </c>
      <c r="B7" s="127" t="s">
        <v>467</v>
      </c>
    </row>
    <row r="8" spans="1:2" ht="12.75">
      <c r="A8" s="127" t="s">
        <v>523</v>
      </c>
      <c r="B8" s="127" t="s">
        <v>468</v>
      </c>
    </row>
    <row r="9" spans="1:2" ht="12.75">
      <c r="A9" s="127" t="s">
        <v>524</v>
      </c>
      <c r="B9" s="127" t="s">
        <v>469</v>
      </c>
    </row>
    <row r="10" spans="1:2" ht="12.75">
      <c r="A10" s="127"/>
      <c r="B10" s="127"/>
    </row>
    <row r="11" spans="1:2" ht="12.75">
      <c r="A11" s="127"/>
      <c r="B11" s="127"/>
    </row>
    <row r="12" spans="1:2" s="138" customFormat="1" ht="15.75">
      <c r="A12" s="86" t="str">
        <f>+CONCATENATE(LEFT(A5,4),". évi előirányzat KIADÁSOK")</f>
        <v>2020. évi előirányzat KIADÁSOK</v>
      </c>
      <c r="B12" s="137"/>
    </row>
    <row r="13" spans="1:2" ht="12.75">
      <c r="A13" s="127"/>
      <c r="B13" s="127"/>
    </row>
    <row r="14" spans="1:2" ht="12.75">
      <c r="A14" s="127" t="s">
        <v>525</v>
      </c>
      <c r="B14" s="127" t="s">
        <v>470</v>
      </c>
    </row>
    <row r="15" spans="1:2" ht="12.75">
      <c r="A15" s="127" t="s">
        <v>526</v>
      </c>
      <c r="B15" s="127" t="s">
        <v>471</v>
      </c>
    </row>
    <row r="16" spans="1:2" ht="12.75">
      <c r="A16" s="127" t="s">
        <v>527</v>
      </c>
      <c r="B16" s="127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8">
      <selection activeCell="D40" sqref="D4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12"/>
      <c r="D1" s="619" t="str">
        <f>CONCATENATE("6. tájékoztató tábla ",ALAPADATOK!A7," ",ALAPADATOK!B7," ",ALAPADATOK!C7," ",ALAPADATOK!D7," ",ALAPADATOK!E7," ",ALAPADATOK!F7," ",ALAPADATOK!G7," ",ALAPADATOK!H7)</f>
        <v>6. tájékoztató tábla a 4 / 2020 ( II.25. ) önkormányzati rendelethez</v>
      </c>
    </row>
    <row r="2" spans="1:4" ht="45" customHeight="1">
      <c r="A2" s="853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853"/>
      <c r="C2" s="853"/>
      <c r="D2" s="853"/>
    </row>
    <row r="3" spans="1:4" ht="17.25" customHeight="1">
      <c r="A3" s="352"/>
      <c r="B3" s="352"/>
      <c r="C3" s="352"/>
      <c r="D3" s="352"/>
    </row>
    <row r="4" spans="1:4" ht="13.5" thickBot="1">
      <c r="A4" s="194"/>
      <c r="B4" s="194"/>
      <c r="C4" s="850" t="str">
        <f>'KV_4.sz.tájékoztató_t.'!O3</f>
        <v>Forintban!</v>
      </c>
      <c r="D4" s="850"/>
    </row>
    <row r="5" spans="1:4" ht="42.75" customHeight="1" thickBot="1">
      <c r="A5" s="354" t="s">
        <v>67</v>
      </c>
      <c r="B5" s="355" t="s">
        <v>118</v>
      </c>
      <c r="C5" s="355" t="s">
        <v>119</v>
      </c>
      <c r="D5" s="356" t="s">
        <v>12</v>
      </c>
    </row>
    <row r="6" spans="1:4" ht="15.75" customHeight="1">
      <c r="A6" s="195" t="s">
        <v>16</v>
      </c>
      <c r="B6" s="694" t="s">
        <v>686</v>
      </c>
      <c r="C6" s="29"/>
      <c r="D6" s="519"/>
    </row>
    <row r="7" spans="1:4" ht="15.75" customHeight="1">
      <c r="A7" s="196" t="s">
        <v>17</v>
      </c>
      <c r="B7" s="30" t="s">
        <v>687</v>
      </c>
      <c r="C7" s="30" t="s">
        <v>688</v>
      </c>
      <c r="D7" s="520">
        <v>282150</v>
      </c>
    </row>
    <row r="8" spans="1:4" ht="15.75" customHeight="1">
      <c r="A8" s="196" t="s">
        <v>18</v>
      </c>
      <c r="B8" s="30" t="s">
        <v>689</v>
      </c>
      <c r="C8" s="30" t="s">
        <v>688</v>
      </c>
      <c r="D8" s="520">
        <v>342000</v>
      </c>
    </row>
    <row r="9" spans="1:4" ht="15.75" customHeight="1">
      <c r="A9" s="196" t="s">
        <v>19</v>
      </c>
      <c r="B9" s="30" t="s">
        <v>690</v>
      </c>
      <c r="C9" s="695" t="s">
        <v>691</v>
      </c>
      <c r="D9" s="520">
        <v>1553970</v>
      </c>
    </row>
    <row r="10" spans="1:4" ht="15.75" customHeight="1">
      <c r="A10" s="196" t="s">
        <v>20</v>
      </c>
      <c r="B10" s="30" t="s">
        <v>692</v>
      </c>
      <c r="C10" s="30" t="s">
        <v>693</v>
      </c>
      <c r="D10" s="520">
        <v>290000</v>
      </c>
    </row>
    <row r="11" spans="1:4" ht="15.75" customHeight="1">
      <c r="A11" s="196" t="s">
        <v>21</v>
      </c>
      <c r="B11" s="30" t="s">
        <v>694</v>
      </c>
      <c r="C11" s="30" t="s">
        <v>688</v>
      </c>
      <c r="D11" s="520">
        <v>2346492</v>
      </c>
    </row>
    <row r="12" spans="1:4" ht="15.75" customHeight="1">
      <c r="A12" s="196" t="s">
        <v>22</v>
      </c>
      <c r="B12" s="30" t="s">
        <v>708</v>
      </c>
      <c r="C12" s="30" t="s">
        <v>688</v>
      </c>
      <c r="D12" s="520">
        <v>30000</v>
      </c>
    </row>
    <row r="13" spans="1:4" ht="15.75" customHeight="1">
      <c r="A13" s="196" t="s">
        <v>23</v>
      </c>
      <c r="B13" s="30"/>
      <c r="C13" s="30"/>
      <c r="D13" s="520"/>
    </row>
    <row r="14" spans="1:4" ht="15.75" customHeight="1">
      <c r="A14" s="196" t="s">
        <v>24</v>
      </c>
      <c r="B14" s="696" t="s">
        <v>695</v>
      </c>
      <c r="C14" s="696"/>
      <c r="D14" s="697">
        <f>D7+D8+D9+D10+D11+D12+D13</f>
        <v>4844612</v>
      </c>
    </row>
    <row r="15" spans="1:4" ht="15.75" customHeight="1">
      <c r="A15" s="196" t="s">
        <v>25</v>
      </c>
      <c r="B15" s="30"/>
      <c r="C15" s="30"/>
      <c r="D15" s="520"/>
    </row>
    <row r="16" spans="1:4" ht="15.75" customHeight="1">
      <c r="A16" s="196" t="s">
        <v>26</v>
      </c>
      <c r="B16" s="696" t="s">
        <v>696</v>
      </c>
      <c r="C16" s="696"/>
      <c r="D16" s="520"/>
    </row>
    <row r="17" spans="1:4" ht="15.75" customHeight="1">
      <c r="A17" s="196" t="s">
        <v>27</v>
      </c>
      <c r="B17" s="30" t="s">
        <v>697</v>
      </c>
      <c r="C17" s="30" t="s">
        <v>688</v>
      </c>
      <c r="D17" s="520">
        <v>700000</v>
      </c>
    </row>
    <row r="18" spans="1:4" ht="15.75" customHeight="1">
      <c r="A18" s="196" t="s">
        <v>28</v>
      </c>
      <c r="B18" s="30" t="s">
        <v>698</v>
      </c>
      <c r="C18" s="30" t="s">
        <v>688</v>
      </c>
      <c r="D18" s="520">
        <v>100000</v>
      </c>
    </row>
    <row r="19" spans="1:4" ht="15.75" customHeight="1">
      <c r="A19" s="196" t="s">
        <v>29</v>
      </c>
      <c r="B19" s="30" t="s">
        <v>699</v>
      </c>
      <c r="C19" s="30" t="s">
        <v>688</v>
      </c>
      <c r="D19" s="520">
        <v>200000</v>
      </c>
    </row>
    <row r="20" spans="1:4" ht="15.75" customHeight="1">
      <c r="A20" s="196" t="s">
        <v>30</v>
      </c>
      <c r="B20" s="30" t="s">
        <v>700</v>
      </c>
      <c r="C20" s="30" t="s">
        <v>688</v>
      </c>
      <c r="D20" s="520">
        <v>700000</v>
      </c>
    </row>
    <row r="21" spans="1:4" ht="15.75" customHeight="1">
      <c r="A21" s="196" t="s">
        <v>31</v>
      </c>
      <c r="B21" s="30" t="s">
        <v>701</v>
      </c>
      <c r="C21" s="30" t="s">
        <v>688</v>
      </c>
      <c r="D21" s="520">
        <v>200000</v>
      </c>
    </row>
    <row r="22" spans="1:4" ht="15.75" customHeight="1">
      <c r="A22" s="196" t="s">
        <v>32</v>
      </c>
      <c r="B22" s="30" t="s">
        <v>702</v>
      </c>
      <c r="C22" s="30" t="s">
        <v>688</v>
      </c>
      <c r="D22" s="520">
        <v>100000</v>
      </c>
    </row>
    <row r="23" spans="1:4" ht="15.75" customHeight="1">
      <c r="A23" s="196" t="s">
        <v>33</v>
      </c>
      <c r="B23" s="30" t="s">
        <v>703</v>
      </c>
      <c r="C23" s="30" t="s">
        <v>688</v>
      </c>
      <c r="D23" s="520">
        <v>400000</v>
      </c>
    </row>
    <row r="24" spans="1:4" ht="15.75" customHeight="1">
      <c r="A24" s="196" t="s">
        <v>34</v>
      </c>
      <c r="B24" s="30" t="s">
        <v>704</v>
      </c>
      <c r="C24" s="30" t="s">
        <v>705</v>
      </c>
      <c r="D24" s="520">
        <v>45900</v>
      </c>
    </row>
    <row r="25" spans="1:4" ht="15.75" customHeight="1">
      <c r="A25" s="196" t="s">
        <v>35</v>
      </c>
      <c r="B25" s="30" t="s">
        <v>709</v>
      </c>
      <c r="C25" s="30" t="s">
        <v>706</v>
      </c>
      <c r="D25" s="520">
        <v>3431400</v>
      </c>
    </row>
    <row r="26" spans="1:4" ht="15.75" customHeight="1">
      <c r="A26" s="196" t="s">
        <v>36</v>
      </c>
      <c r="B26" s="30"/>
      <c r="C26" s="30"/>
      <c r="D26" s="520"/>
    </row>
    <row r="27" spans="1:4" ht="15.75" customHeight="1">
      <c r="A27" s="196" t="s">
        <v>37</v>
      </c>
      <c r="B27" s="696" t="s">
        <v>707</v>
      </c>
      <c r="C27" s="30"/>
      <c r="D27" s="697">
        <f>D17+D18+D19+D20+D21+D22+D23+D24+D25+D26</f>
        <v>5877300</v>
      </c>
    </row>
    <row r="28" spans="1:4" ht="15.75" customHeight="1">
      <c r="A28" s="196" t="s">
        <v>38</v>
      </c>
      <c r="B28" s="30"/>
      <c r="C28" s="30"/>
      <c r="D28" s="520"/>
    </row>
    <row r="29" spans="1:4" ht="15.75" customHeight="1">
      <c r="A29" s="196" t="s">
        <v>39</v>
      </c>
      <c r="B29" s="30"/>
      <c r="C29" s="30"/>
      <c r="D29" s="520"/>
    </row>
    <row r="30" spans="1:4" ht="15.75" customHeight="1">
      <c r="A30" s="196" t="s">
        <v>40</v>
      </c>
      <c r="B30" s="30"/>
      <c r="C30" s="30"/>
      <c r="D30" s="520"/>
    </row>
    <row r="31" spans="1:4" ht="15.75" customHeight="1">
      <c r="A31" s="196" t="s">
        <v>41</v>
      </c>
      <c r="B31" s="30"/>
      <c r="C31" s="30"/>
      <c r="D31" s="520"/>
    </row>
    <row r="32" spans="1:4" ht="15.75" customHeight="1">
      <c r="A32" s="196" t="s">
        <v>42</v>
      </c>
      <c r="B32" s="30"/>
      <c r="C32" s="30"/>
      <c r="D32" s="520"/>
    </row>
    <row r="33" spans="1:4" ht="15.75" customHeight="1">
      <c r="A33" s="196" t="s">
        <v>43</v>
      </c>
      <c r="B33" s="30"/>
      <c r="C33" s="30"/>
      <c r="D33" s="520"/>
    </row>
    <row r="34" spans="1:4" ht="15.75" customHeight="1">
      <c r="A34" s="196" t="s">
        <v>44</v>
      </c>
      <c r="B34" s="30"/>
      <c r="C34" s="30"/>
      <c r="D34" s="520"/>
    </row>
    <row r="35" spans="1:4" ht="15.75" customHeight="1">
      <c r="A35" s="196" t="s">
        <v>120</v>
      </c>
      <c r="B35" s="30"/>
      <c r="C35" s="30"/>
      <c r="D35" s="521"/>
    </row>
    <row r="36" spans="1:4" ht="15.75" customHeight="1">
      <c r="A36" s="196" t="s">
        <v>121</v>
      </c>
      <c r="B36" s="30"/>
      <c r="C36" s="30"/>
      <c r="D36" s="521"/>
    </row>
    <row r="37" spans="1:4" ht="15.75" customHeight="1">
      <c r="A37" s="196" t="s">
        <v>122</v>
      </c>
      <c r="B37" s="30"/>
      <c r="C37" s="30"/>
      <c r="D37" s="521"/>
    </row>
    <row r="38" spans="1:4" ht="15.75" customHeight="1" thickBot="1">
      <c r="A38" s="197" t="s">
        <v>123</v>
      </c>
      <c r="B38" s="31"/>
      <c r="C38" s="31"/>
      <c r="D38" s="522"/>
    </row>
    <row r="39" spans="1:4" ht="15.75" customHeight="1" thickBot="1">
      <c r="A39" s="851" t="s">
        <v>51</v>
      </c>
      <c r="B39" s="852"/>
      <c r="C39" s="198"/>
      <c r="D39" s="523">
        <f>D14+D27</f>
        <v>10721912</v>
      </c>
    </row>
    <row r="40" ht="12.75">
      <c r="A40" t="s">
        <v>185</v>
      </c>
    </row>
  </sheetData>
  <sheetProtection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tabSelected="1" zoomScale="120" zoomScaleNormal="120" zoomScaleSheetLayoutView="100" workbookViewId="0" topLeftCell="A1">
      <selection activeCell="D5" sqref="D5"/>
    </sheetView>
  </sheetViews>
  <sheetFormatPr defaultColWidth="9.00390625" defaultRowHeight="12.75"/>
  <cols>
    <col min="1" max="1" width="9.00390625" style="358" customWidth="1"/>
    <col min="2" max="2" width="66.375" style="358" bestFit="1" customWidth="1"/>
    <col min="3" max="3" width="15.50390625" style="359" customWidth="1"/>
    <col min="4" max="5" width="15.50390625" style="358" customWidth="1"/>
    <col min="6" max="6" width="9.00390625" style="388" customWidth="1"/>
    <col min="7" max="16384" width="9.375" style="388" customWidth="1"/>
  </cols>
  <sheetData>
    <row r="1" spans="3:5" ht="15.75">
      <c r="C1" s="615"/>
      <c r="D1" s="612"/>
      <c r="E1" s="619" t="str">
        <f>CONCATENATE("7. tájékoztató tábla ",ALAPADATOK!A7," ",ALAPADATOK!B7," ",ALAPADATOK!C7," ",ALAPADATOK!D7," ",ALAPADATOK!E7," ",ALAPADATOK!F7," ",ALAPADATOK!G7," ",ALAPADATOK!H7)</f>
        <v>7. tájékoztató tábla a 4 / 2020 ( II.25. ) önkormányzati rendelethez</v>
      </c>
    </row>
    <row r="2" spans="1:5" ht="15.75">
      <c r="A2" s="854" t="str">
        <f>CONCATENATE(ALAPADATOK!A3)</f>
        <v>MURAKERESZTÚR KÖZSÉG ÖNKORMÁNYZATA</v>
      </c>
      <c r="B2" s="855"/>
      <c r="C2" s="855"/>
      <c r="D2" s="855"/>
      <c r="E2" s="855"/>
    </row>
    <row r="3" spans="1:5" ht="15.75">
      <c r="A3" s="828" t="str">
        <f>CONCATENATE(ALAPADATOK!D7,". ÉVI KÖLTSÉGVETÉSI ÉVET KÖVETŐ 3 ÉV TERVEZETT")</f>
        <v>2020. ÉVI KÖLTSÉGVETÉSI ÉVET KÖVETŐ 3 ÉV TERVEZETT</v>
      </c>
      <c r="B3" s="856"/>
      <c r="C3" s="856"/>
      <c r="D3" s="856"/>
      <c r="E3" s="856"/>
    </row>
    <row r="4" spans="1:5" ht="15.75" customHeight="1">
      <c r="A4" s="771" t="s">
        <v>579</v>
      </c>
      <c r="B4" s="771"/>
      <c r="C4" s="771"/>
      <c r="D4" s="771"/>
      <c r="E4" s="771"/>
    </row>
    <row r="5" spans="1:5" ht="15.75" customHeight="1" thickBot="1">
      <c r="A5" s="770" t="s">
        <v>143</v>
      </c>
      <c r="B5" s="770"/>
      <c r="D5" s="131"/>
      <c r="E5" s="284" t="str">
        <f>'KV_4.sz.tájékoztató_t.'!O3</f>
        <v>Forintban!</v>
      </c>
    </row>
    <row r="6" spans="1:5" ht="37.5" customHeight="1" thickBot="1">
      <c r="A6" s="23" t="s">
        <v>67</v>
      </c>
      <c r="B6" s="24" t="s">
        <v>15</v>
      </c>
      <c r="C6" s="24" t="str">
        <f>+CONCATENATE(LEFT(KV_ÖSSZEFÜGGÉSEK!A5,4)+1,". évi")</f>
        <v>2021. évi</v>
      </c>
      <c r="D6" s="382" t="str">
        <f>+CONCATENATE(LEFT(KV_ÖSSZEFÜGGÉSEK!A5,4)+2,". évi")</f>
        <v>2022. évi</v>
      </c>
      <c r="E6" s="149" t="str">
        <f>+CONCATENATE(LEFT(KV_ÖSSZEFÜGGÉSEK!A5,4)+3,". évi")</f>
        <v>2023. évi</v>
      </c>
    </row>
    <row r="7" spans="1:5" s="389" customFormat="1" ht="12" customHeight="1" thickBot="1">
      <c r="A7" s="32" t="s">
        <v>473</v>
      </c>
      <c r="B7" s="33" t="s">
        <v>474</v>
      </c>
      <c r="C7" s="33" t="s">
        <v>475</v>
      </c>
      <c r="D7" s="33" t="s">
        <v>477</v>
      </c>
      <c r="E7" s="423" t="s">
        <v>476</v>
      </c>
    </row>
    <row r="8" spans="1:5" s="390" customFormat="1" ht="12" customHeight="1" thickBot="1">
      <c r="A8" s="20" t="s">
        <v>16</v>
      </c>
      <c r="B8" s="21" t="s">
        <v>509</v>
      </c>
      <c r="C8" s="698">
        <v>165500000</v>
      </c>
      <c r="D8" s="698">
        <v>166000000</v>
      </c>
      <c r="E8" s="699">
        <v>166300000</v>
      </c>
    </row>
    <row r="9" spans="1:5" s="390" customFormat="1" ht="12" customHeight="1" thickBot="1">
      <c r="A9" s="20" t="s">
        <v>17</v>
      </c>
      <c r="B9" s="269" t="s">
        <v>356</v>
      </c>
      <c r="C9" s="698">
        <v>25000000</v>
      </c>
      <c r="D9" s="698">
        <v>25500000</v>
      </c>
      <c r="E9" s="699">
        <v>26000000</v>
      </c>
    </row>
    <row r="10" spans="1:5" s="390" customFormat="1" ht="12" customHeight="1" thickBot="1">
      <c r="A10" s="20" t="s">
        <v>18</v>
      </c>
      <c r="B10" s="21" t="s">
        <v>363</v>
      </c>
      <c r="C10" s="698"/>
      <c r="D10" s="698"/>
      <c r="E10" s="699"/>
    </row>
    <row r="11" spans="1:5" s="390" customFormat="1" ht="12" customHeight="1" thickBot="1">
      <c r="A11" s="20" t="s">
        <v>157</v>
      </c>
      <c r="B11" s="21" t="s">
        <v>250</v>
      </c>
      <c r="C11" s="700">
        <f>SUM(C12:C18)</f>
        <v>40200000</v>
      </c>
      <c r="D11" s="700">
        <f>SUM(D12:D18)</f>
        <v>40250000</v>
      </c>
      <c r="E11" s="701">
        <f>SUM(E12:E18)</f>
        <v>40400000</v>
      </c>
    </row>
    <row r="12" spans="1:5" s="390" customFormat="1" ht="12" customHeight="1">
      <c r="A12" s="15" t="s">
        <v>251</v>
      </c>
      <c r="B12" s="391" t="str">
        <f>'KV_1.1.sz.mell.'!B32</f>
        <v>Magánszemélyek kommunális adója</v>
      </c>
      <c r="C12" s="702"/>
      <c r="D12" s="702"/>
      <c r="E12" s="703"/>
    </row>
    <row r="13" spans="1:5" s="390" customFormat="1" ht="12" customHeight="1">
      <c r="A13" s="14" t="s">
        <v>252</v>
      </c>
      <c r="B13" s="392" t="str">
        <f>'KV_1.1.sz.mell.'!B33</f>
        <v>Idegenforgalmi adó</v>
      </c>
      <c r="C13" s="704">
        <v>8500000</v>
      </c>
      <c r="D13" s="704">
        <v>8500000</v>
      </c>
      <c r="E13" s="705">
        <v>8500000</v>
      </c>
    </row>
    <row r="14" spans="1:5" s="390" customFormat="1" ht="12" customHeight="1">
      <c r="A14" s="14" t="s">
        <v>253</v>
      </c>
      <c r="B14" s="392" t="str">
        <f>'KV_1.1.sz.mell.'!B34</f>
        <v>Iparűzési adó</v>
      </c>
      <c r="C14" s="704">
        <v>27000000</v>
      </c>
      <c r="D14" s="704">
        <v>27000000</v>
      </c>
      <c r="E14" s="705">
        <v>27000000</v>
      </c>
    </row>
    <row r="15" spans="1:5" s="390" customFormat="1" ht="12" customHeight="1">
      <c r="A15" s="14" t="s">
        <v>254</v>
      </c>
      <c r="B15" s="392" t="str">
        <f>'KV_1.1.sz.mell.'!B35</f>
        <v>Talajterhelési díj</v>
      </c>
      <c r="C15" s="704"/>
      <c r="D15" s="704"/>
      <c r="E15" s="705"/>
    </row>
    <row r="16" spans="1:5" s="390" customFormat="1" ht="12" customHeight="1">
      <c r="A16" s="14" t="s">
        <v>530</v>
      </c>
      <c r="B16" s="392" t="str">
        <f>'KV_1.1.sz.mell.'!B36</f>
        <v>Gépjárműadó</v>
      </c>
      <c r="C16" s="704">
        <v>4200000</v>
      </c>
      <c r="D16" s="704">
        <v>4300000</v>
      </c>
      <c r="E16" s="705">
        <v>4500000</v>
      </c>
    </row>
    <row r="17" spans="1:5" s="390" customFormat="1" ht="12" customHeight="1">
      <c r="A17" s="14" t="s">
        <v>531</v>
      </c>
      <c r="B17" s="392" t="str">
        <f>'KV_1.1.sz.mell.'!B37</f>
        <v>Telekadó</v>
      </c>
      <c r="C17" s="704"/>
      <c r="D17" s="704"/>
      <c r="E17" s="705"/>
    </row>
    <row r="18" spans="1:5" s="390" customFormat="1" ht="12" customHeight="1" thickBot="1">
      <c r="A18" s="16" t="s">
        <v>532</v>
      </c>
      <c r="B18" s="393" t="s">
        <v>672</v>
      </c>
      <c r="C18" s="706">
        <v>500000</v>
      </c>
      <c r="D18" s="706">
        <v>450000</v>
      </c>
      <c r="E18" s="707">
        <v>400000</v>
      </c>
    </row>
    <row r="19" spans="1:5" s="390" customFormat="1" ht="12" customHeight="1" thickBot="1">
      <c r="A19" s="20" t="s">
        <v>20</v>
      </c>
      <c r="B19" s="21" t="s">
        <v>512</v>
      </c>
      <c r="C19" s="698">
        <v>47500000</v>
      </c>
      <c r="D19" s="698">
        <v>48000000</v>
      </c>
      <c r="E19" s="699">
        <v>48500000</v>
      </c>
    </row>
    <row r="20" spans="1:5" s="390" customFormat="1" ht="12" customHeight="1" thickBot="1">
      <c r="A20" s="20" t="s">
        <v>21</v>
      </c>
      <c r="B20" s="21" t="s">
        <v>8</v>
      </c>
      <c r="C20" s="698"/>
      <c r="D20" s="698"/>
      <c r="E20" s="699"/>
    </row>
    <row r="21" spans="1:5" s="390" customFormat="1" ht="12" customHeight="1" thickBot="1">
      <c r="A21" s="20" t="s">
        <v>164</v>
      </c>
      <c r="B21" s="21" t="s">
        <v>511</v>
      </c>
      <c r="C21" s="698"/>
      <c r="D21" s="698"/>
      <c r="E21" s="699"/>
    </row>
    <row r="22" spans="1:5" s="390" customFormat="1" ht="12" customHeight="1" thickBot="1">
      <c r="A22" s="20" t="s">
        <v>23</v>
      </c>
      <c r="B22" s="269" t="s">
        <v>510</v>
      </c>
      <c r="C22" s="698">
        <v>100000</v>
      </c>
      <c r="D22" s="698">
        <v>50000</v>
      </c>
      <c r="E22" s="699">
        <v>50000</v>
      </c>
    </row>
    <row r="23" spans="1:5" s="390" customFormat="1" ht="12" customHeight="1" thickBot="1">
      <c r="A23" s="20" t="s">
        <v>24</v>
      </c>
      <c r="B23" s="21" t="s">
        <v>288</v>
      </c>
      <c r="C23" s="700">
        <f>+C8+C9+C10+C11+C19+C20+C21+C22</f>
        <v>278300000</v>
      </c>
      <c r="D23" s="700">
        <f>+D8+D9+D10+D11+D19+D20+D21+D22</f>
        <v>279800000</v>
      </c>
      <c r="E23" s="708">
        <f>+E8+E9+E10+E11+E19+E20+E21+E22</f>
        <v>281250000</v>
      </c>
    </row>
    <row r="24" spans="1:5" s="390" customFormat="1" ht="12" customHeight="1" thickBot="1">
      <c r="A24" s="20" t="s">
        <v>25</v>
      </c>
      <c r="B24" s="21" t="s">
        <v>513</v>
      </c>
      <c r="C24" s="709">
        <v>15000000</v>
      </c>
      <c r="D24" s="709">
        <v>16000000</v>
      </c>
      <c r="E24" s="710">
        <v>17000000</v>
      </c>
    </row>
    <row r="25" spans="1:5" s="390" customFormat="1" ht="12" customHeight="1" thickBot="1">
      <c r="A25" s="20" t="s">
        <v>26</v>
      </c>
      <c r="B25" s="21" t="s">
        <v>514</v>
      </c>
      <c r="C25" s="700">
        <f>+C23+C24</f>
        <v>293300000</v>
      </c>
      <c r="D25" s="700">
        <f>+D23+D24</f>
        <v>295800000</v>
      </c>
      <c r="E25" s="701">
        <f>+E23+E24</f>
        <v>298250000</v>
      </c>
    </row>
    <row r="26" spans="1:5" s="390" customFormat="1" ht="12" customHeight="1">
      <c r="A26" s="346"/>
      <c r="B26" s="347"/>
      <c r="C26" s="348"/>
      <c r="D26" s="481"/>
      <c r="E26" s="482"/>
    </row>
    <row r="27" spans="1:5" s="390" customFormat="1" ht="12" customHeight="1">
      <c r="A27" s="771" t="s">
        <v>45</v>
      </c>
      <c r="B27" s="771"/>
      <c r="C27" s="771"/>
      <c r="D27" s="771"/>
      <c r="E27" s="771"/>
    </row>
    <row r="28" spans="1:5" s="390" customFormat="1" ht="12" customHeight="1" thickBot="1">
      <c r="A28" s="768" t="s">
        <v>144</v>
      </c>
      <c r="B28" s="768"/>
      <c r="C28" s="359"/>
      <c r="D28" s="131"/>
      <c r="E28" s="284" t="str">
        <f>E5</f>
        <v>Forintban!</v>
      </c>
    </row>
    <row r="29" spans="1:6" s="390" customFormat="1" ht="24" customHeight="1" thickBot="1">
      <c r="A29" s="23" t="s">
        <v>14</v>
      </c>
      <c r="B29" s="24" t="s">
        <v>46</v>
      </c>
      <c r="C29" s="24" t="str">
        <f>+C6</f>
        <v>2021. évi</v>
      </c>
      <c r="D29" s="24" t="str">
        <f>+D6</f>
        <v>2022. évi</v>
      </c>
      <c r="E29" s="149" t="str">
        <f>+E6</f>
        <v>2023. évi</v>
      </c>
      <c r="F29" s="483"/>
    </row>
    <row r="30" spans="1:6" s="390" customFormat="1" ht="12" customHeight="1" thickBot="1">
      <c r="A30" s="385" t="s">
        <v>473</v>
      </c>
      <c r="B30" s="386" t="s">
        <v>474</v>
      </c>
      <c r="C30" s="386" t="s">
        <v>475</v>
      </c>
      <c r="D30" s="386" t="s">
        <v>477</v>
      </c>
      <c r="E30" s="479" t="s">
        <v>476</v>
      </c>
      <c r="F30" s="483"/>
    </row>
    <row r="31" spans="1:6" s="390" customFormat="1" ht="15" customHeight="1" thickBot="1">
      <c r="A31" s="20" t="s">
        <v>16</v>
      </c>
      <c r="B31" s="27" t="s">
        <v>515</v>
      </c>
      <c r="C31" s="698">
        <v>285000000</v>
      </c>
      <c r="D31" s="698">
        <v>286800000</v>
      </c>
      <c r="E31" s="711">
        <v>289250000</v>
      </c>
      <c r="F31" s="483"/>
    </row>
    <row r="32" spans="1:5" ht="12" customHeight="1" thickBot="1">
      <c r="A32" s="458" t="s">
        <v>17</v>
      </c>
      <c r="B32" s="480" t="s">
        <v>520</v>
      </c>
      <c r="C32" s="712">
        <f>+C33+C34+C35</f>
        <v>8300000</v>
      </c>
      <c r="D32" s="712">
        <f>+D33+D34+D35</f>
        <v>9000000</v>
      </c>
      <c r="E32" s="713">
        <f>+E33+E34+E35</f>
        <v>9000000</v>
      </c>
    </row>
    <row r="33" spans="1:5" ht="12" customHeight="1">
      <c r="A33" s="15" t="s">
        <v>102</v>
      </c>
      <c r="B33" s="8" t="s">
        <v>213</v>
      </c>
      <c r="C33" s="702">
        <v>8300000</v>
      </c>
      <c r="D33" s="702">
        <v>9000000</v>
      </c>
      <c r="E33" s="703">
        <v>9000000</v>
      </c>
    </row>
    <row r="34" spans="1:5" ht="12" customHeight="1">
      <c r="A34" s="15" t="s">
        <v>103</v>
      </c>
      <c r="B34" s="12" t="s">
        <v>171</v>
      </c>
      <c r="C34" s="704"/>
      <c r="D34" s="704"/>
      <c r="E34" s="705"/>
    </row>
    <row r="35" spans="1:5" ht="12" customHeight="1" thickBot="1">
      <c r="A35" s="15" t="s">
        <v>104</v>
      </c>
      <c r="B35" s="271" t="s">
        <v>215</v>
      </c>
      <c r="C35" s="704"/>
      <c r="D35" s="704"/>
      <c r="E35" s="705"/>
    </row>
    <row r="36" spans="1:5" ht="12" customHeight="1" thickBot="1">
      <c r="A36" s="20" t="s">
        <v>18</v>
      </c>
      <c r="B36" s="116" t="s">
        <v>428</v>
      </c>
      <c r="C36" s="714">
        <f>+C31+C32</f>
        <v>293300000</v>
      </c>
      <c r="D36" s="714">
        <f>+D31+D32</f>
        <v>295800000</v>
      </c>
      <c r="E36" s="715">
        <f>+E31+E32</f>
        <v>298250000</v>
      </c>
    </row>
    <row r="37" spans="1:6" ht="15" customHeight="1" thickBot="1">
      <c r="A37" s="20" t="s">
        <v>19</v>
      </c>
      <c r="B37" s="116" t="s">
        <v>516</v>
      </c>
      <c r="C37" s="484"/>
      <c r="D37" s="484"/>
      <c r="E37" s="485"/>
      <c r="F37" s="403"/>
    </row>
    <row r="38" spans="1:5" s="390" customFormat="1" ht="12.75" customHeight="1" thickBot="1">
      <c r="A38" s="272" t="s">
        <v>20</v>
      </c>
      <c r="B38" s="357" t="s">
        <v>517</v>
      </c>
      <c r="C38" s="716">
        <f>+C36+C37</f>
        <v>293300000</v>
      </c>
      <c r="D38" s="716">
        <f>+D36+D37</f>
        <v>295800000</v>
      </c>
      <c r="E38" s="717">
        <f>+E36+E37</f>
        <v>298250000</v>
      </c>
    </row>
    <row r="39" spans="3:5" ht="15.75">
      <c r="C39" s="625">
        <f>C25-C38</f>
        <v>0</v>
      </c>
      <c r="D39" s="625">
        <f>D25-D38</f>
        <v>0</v>
      </c>
      <c r="E39" s="625">
        <f>E25-E38</f>
        <v>0</v>
      </c>
    </row>
    <row r="40" ht="15.75">
      <c r="C40" s="358"/>
    </row>
    <row r="41" ht="15.75">
      <c r="C41" s="358"/>
    </row>
    <row r="42" ht="16.5" customHeight="1">
      <c r="C42" s="358"/>
    </row>
    <row r="43" ht="15.75">
      <c r="C43" s="358"/>
    </row>
    <row r="44" ht="15.75">
      <c r="C44" s="358"/>
    </row>
    <row r="45" spans="6:7" s="358" customFormat="1" ht="15.75">
      <c r="F45" s="388"/>
      <c r="G45" s="388"/>
    </row>
    <row r="46" spans="6:7" s="358" customFormat="1" ht="15.75">
      <c r="F46" s="388"/>
      <c r="G46" s="388"/>
    </row>
    <row r="47" spans="6:7" s="358" customFormat="1" ht="15.75">
      <c r="F47" s="388"/>
      <c r="G47" s="388"/>
    </row>
    <row r="48" spans="6:7" s="358" customFormat="1" ht="15.75">
      <c r="F48" s="388"/>
      <c r="G48" s="388"/>
    </row>
    <row r="49" spans="6:7" s="358" customFormat="1" ht="15.75">
      <c r="F49" s="388"/>
      <c r="G49" s="388"/>
    </row>
    <row r="50" spans="6:7" s="358" customFormat="1" ht="15.75">
      <c r="F50" s="388"/>
      <c r="G50" s="388"/>
    </row>
    <row r="51" spans="6:7" s="358" customFormat="1" ht="15.75">
      <c r="F51" s="388"/>
      <c r="G51" s="38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5" sqref="B15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8" customWidth="1"/>
    <col min="5" max="16384" width="9.375" style="388" customWidth="1"/>
  </cols>
  <sheetData>
    <row r="1" spans="1:3" ht="18.75" customHeight="1">
      <c r="A1" s="596"/>
      <c r="B1" s="764" t="str">
        <f>CONCATENATE("1.1. melléklet ",ALAPADATOK!A7," ",ALAPADATOK!B7," ",ALAPADATOK!C7," ",ALAPADATOK!D7," ",ALAPADATOK!E7," ",ALAPADATOK!F7," ",ALAPADATOK!G7," ",ALAPADATOK!H7)</f>
        <v>1.1. melléklet a 4 / 2020 ( II.25. ) önkormányzati rendelethez</v>
      </c>
      <c r="C1" s="765"/>
    </row>
    <row r="2" spans="1:3" ht="21.75" customHeight="1">
      <c r="A2" s="597"/>
      <c r="B2" s="598" t="str">
        <f>CONCATENATE(ALAPADATOK!A3)</f>
        <v>MURAKERESZTÚR KÖZSÉG ÖNKORMÁNYZATA</v>
      </c>
      <c r="C2" s="599"/>
    </row>
    <row r="3" spans="1:3" ht="21.75" customHeight="1">
      <c r="A3" s="599"/>
      <c r="B3" s="598" t="str">
        <f>CONCATENATE(ALAPADATOK!D7,". ÉVI KÖLTSÉGVETÉS")</f>
        <v>2020. ÉVI KÖLTSÉGVETÉS</v>
      </c>
      <c r="C3" s="599"/>
    </row>
    <row r="4" spans="1:3" ht="21.75" customHeight="1">
      <c r="A4" s="599"/>
      <c r="B4" s="598" t="s">
        <v>555</v>
      </c>
      <c r="C4" s="599"/>
    </row>
    <row r="5" spans="1:3" ht="21.75" customHeight="1">
      <c r="A5" s="596"/>
      <c r="B5" s="596"/>
      <c r="C5" s="600"/>
    </row>
    <row r="6" spans="1:3" ht="15" customHeight="1">
      <c r="A6" s="766" t="s">
        <v>13</v>
      </c>
      <c r="B6" s="766"/>
      <c r="C6" s="766"/>
    </row>
    <row r="7" spans="1:3" ht="15" customHeight="1" thickBot="1">
      <c r="A7" s="767" t="s">
        <v>143</v>
      </c>
      <c r="B7" s="767"/>
      <c r="C7" s="548" t="s">
        <v>541</v>
      </c>
    </row>
    <row r="8" spans="1:3" ht="24" customHeight="1" thickBot="1">
      <c r="A8" s="601" t="s">
        <v>67</v>
      </c>
      <c r="B8" s="602" t="s">
        <v>15</v>
      </c>
      <c r="C8" s="603" t="str">
        <f>+CONCATENATE(LEFT(KV_ÖSSZEFÜGGÉSEK!A5,4),". évi előirányzat")</f>
        <v>2020. évi előirányzat</v>
      </c>
    </row>
    <row r="9" spans="1:3" s="389" customFormat="1" ht="12" customHeight="1" thickBot="1">
      <c r="A9" s="533"/>
      <c r="B9" s="534" t="s">
        <v>473</v>
      </c>
      <c r="C9" s="535" t="s">
        <v>474</v>
      </c>
    </row>
    <row r="10" spans="1:3" s="390" customFormat="1" ht="12" customHeight="1" thickBot="1">
      <c r="A10" s="20" t="s">
        <v>16</v>
      </c>
      <c r="B10" s="21" t="s">
        <v>235</v>
      </c>
      <c r="C10" s="274">
        <f>+C11+C12+C13+C14+C15+C16</f>
        <v>164910297</v>
      </c>
    </row>
    <row r="11" spans="1:3" s="390" customFormat="1" ht="12" customHeight="1">
      <c r="A11" s="15" t="s">
        <v>96</v>
      </c>
      <c r="B11" s="391" t="s">
        <v>236</v>
      </c>
      <c r="C11" s="277">
        <v>93224874</v>
      </c>
    </row>
    <row r="12" spans="1:3" s="390" customFormat="1" ht="12" customHeight="1">
      <c r="A12" s="14" t="s">
        <v>97</v>
      </c>
      <c r="B12" s="392" t="s">
        <v>237</v>
      </c>
      <c r="C12" s="276">
        <v>28686330</v>
      </c>
    </row>
    <row r="13" spans="1:3" s="390" customFormat="1" ht="12" customHeight="1">
      <c r="A13" s="14" t="s">
        <v>98</v>
      </c>
      <c r="B13" s="392" t="s">
        <v>528</v>
      </c>
      <c r="C13" s="276">
        <v>40859883</v>
      </c>
    </row>
    <row r="14" spans="1:3" s="390" customFormat="1" ht="12" customHeight="1">
      <c r="A14" s="14" t="s">
        <v>99</v>
      </c>
      <c r="B14" s="392" t="s">
        <v>239</v>
      </c>
      <c r="C14" s="276">
        <v>2139210</v>
      </c>
    </row>
    <row r="15" spans="1:3" s="390" customFormat="1" ht="12" customHeight="1">
      <c r="A15" s="14" t="s">
        <v>139</v>
      </c>
      <c r="B15" s="270" t="s">
        <v>412</v>
      </c>
      <c r="C15" s="276"/>
    </row>
    <row r="16" spans="1:3" s="390" customFormat="1" ht="12" customHeight="1" thickBot="1">
      <c r="A16" s="16" t="s">
        <v>100</v>
      </c>
      <c r="B16" s="271" t="s">
        <v>413</v>
      </c>
      <c r="C16" s="276"/>
    </row>
    <row r="17" spans="1:3" s="390" customFormat="1" ht="12" customHeight="1" thickBot="1">
      <c r="A17" s="20" t="s">
        <v>17</v>
      </c>
      <c r="B17" s="269" t="s">
        <v>240</v>
      </c>
      <c r="C17" s="274">
        <f>+C18+C19+C20+C21+C22</f>
        <v>20449828</v>
      </c>
    </row>
    <row r="18" spans="1:3" s="390" customFormat="1" ht="12" customHeight="1">
      <c r="A18" s="15" t="s">
        <v>102</v>
      </c>
      <c r="B18" s="391" t="s">
        <v>241</v>
      </c>
      <c r="C18" s="277"/>
    </row>
    <row r="19" spans="1:3" s="390" customFormat="1" ht="12" customHeight="1">
      <c r="A19" s="14" t="s">
        <v>103</v>
      </c>
      <c r="B19" s="392" t="s">
        <v>242</v>
      </c>
      <c r="C19" s="276"/>
    </row>
    <row r="20" spans="1:3" s="390" customFormat="1" ht="12" customHeight="1">
      <c r="A20" s="14" t="s">
        <v>104</v>
      </c>
      <c r="B20" s="392" t="s">
        <v>403</v>
      </c>
      <c r="C20" s="276"/>
    </row>
    <row r="21" spans="1:3" s="390" customFormat="1" ht="12" customHeight="1">
      <c r="A21" s="14" t="s">
        <v>105</v>
      </c>
      <c r="B21" s="392" t="s">
        <v>404</v>
      </c>
      <c r="C21" s="276"/>
    </row>
    <row r="22" spans="1:3" s="390" customFormat="1" ht="12" customHeight="1">
      <c r="A22" s="14" t="s">
        <v>106</v>
      </c>
      <c r="B22" s="392" t="s">
        <v>550</v>
      </c>
      <c r="C22" s="276">
        <v>20449828</v>
      </c>
    </row>
    <row r="23" spans="1:3" s="390" customFormat="1" ht="12" customHeight="1" thickBot="1">
      <c r="A23" s="16" t="s">
        <v>115</v>
      </c>
      <c r="B23" s="271" t="s">
        <v>244</v>
      </c>
      <c r="C23" s="278"/>
    </row>
    <row r="24" spans="1:3" s="390" customFormat="1" ht="12" customHeight="1" thickBot="1">
      <c r="A24" s="20" t="s">
        <v>18</v>
      </c>
      <c r="B24" s="21" t="s">
        <v>245</v>
      </c>
      <c r="C24" s="274">
        <f>+C25+C26+C27+C28+C29</f>
        <v>179629826</v>
      </c>
    </row>
    <row r="25" spans="1:3" s="390" customFormat="1" ht="12" customHeight="1">
      <c r="A25" s="15" t="s">
        <v>85</v>
      </c>
      <c r="B25" s="391" t="s">
        <v>246</v>
      </c>
      <c r="C25" s="277"/>
    </row>
    <row r="26" spans="1:3" s="390" customFormat="1" ht="12" customHeight="1">
      <c r="A26" s="14" t="s">
        <v>86</v>
      </c>
      <c r="B26" s="392" t="s">
        <v>247</v>
      </c>
      <c r="C26" s="276"/>
    </row>
    <row r="27" spans="1:3" s="390" customFormat="1" ht="12" customHeight="1">
      <c r="A27" s="14" t="s">
        <v>87</v>
      </c>
      <c r="B27" s="392" t="s">
        <v>405</v>
      </c>
      <c r="C27" s="276"/>
    </row>
    <row r="28" spans="1:3" s="390" customFormat="1" ht="12" customHeight="1">
      <c r="A28" s="14" t="s">
        <v>88</v>
      </c>
      <c r="B28" s="392" t="s">
        <v>406</v>
      </c>
      <c r="C28" s="276"/>
    </row>
    <row r="29" spans="1:3" s="390" customFormat="1" ht="12" customHeight="1">
      <c r="A29" s="14" t="s">
        <v>155</v>
      </c>
      <c r="B29" s="392" t="s">
        <v>248</v>
      </c>
      <c r="C29" s="276">
        <v>179629826</v>
      </c>
    </row>
    <row r="30" spans="1:3" s="526" customFormat="1" ht="12" customHeight="1" thickBot="1">
      <c r="A30" s="536" t="s">
        <v>156</v>
      </c>
      <c r="B30" s="524" t="s">
        <v>545</v>
      </c>
      <c r="C30" s="525">
        <v>179629826</v>
      </c>
    </row>
    <row r="31" spans="1:3" s="390" customFormat="1" ht="12" customHeight="1" thickBot="1">
      <c r="A31" s="20" t="s">
        <v>157</v>
      </c>
      <c r="B31" s="21" t="s">
        <v>529</v>
      </c>
      <c r="C31" s="280">
        <f>SUM(C32:C38)</f>
        <v>40170000</v>
      </c>
    </row>
    <row r="32" spans="1:3" s="390" customFormat="1" ht="12" customHeight="1">
      <c r="A32" s="15" t="s">
        <v>251</v>
      </c>
      <c r="B32" s="391" t="s">
        <v>671</v>
      </c>
      <c r="C32" s="277">
        <v>8300000</v>
      </c>
    </row>
    <row r="33" spans="1:3" s="390" customFormat="1" ht="12" customHeight="1">
      <c r="A33" s="14" t="s">
        <v>252</v>
      </c>
      <c r="B33" s="392" t="s">
        <v>533</v>
      </c>
      <c r="C33" s="276"/>
    </row>
    <row r="34" spans="1:3" s="390" customFormat="1" ht="12" customHeight="1">
      <c r="A34" s="14" t="s">
        <v>253</v>
      </c>
      <c r="B34" s="392" t="s">
        <v>534</v>
      </c>
      <c r="C34" s="276">
        <v>27000000</v>
      </c>
    </row>
    <row r="35" spans="1:3" s="390" customFormat="1" ht="12" customHeight="1">
      <c r="A35" s="14" t="s">
        <v>254</v>
      </c>
      <c r="B35" s="392" t="s">
        <v>535</v>
      </c>
      <c r="C35" s="276"/>
    </row>
    <row r="36" spans="1:3" s="390" customFormat="1" ht="12" customHeight="1">
      <c r="A36" s="14" t="s">
        <v>530</v>
      </c>
      <c r="B36" s="392" t="s">
        <v>255</v>
      </c>
      <c r="C36" s="276">
        <v>4300000</v>
      </c>
    </row>
    <row r="37" spans="1:3" s="390" customFormat="1" ht="12" customHeight="1">
      <c r="A37" s="14" t="s">
        <v>531</v>
      </c>
      <c r="B37" s="392" t="s">
        <v>650</v>
      </c>
      <c r="C37" s="276"/>
    </row>
    <row r="38" spans="1:3" s="390" customFormat="1" ht="12" customHeight="1" thickBot="1">
      <c r="A38" s="16" t="s">
        <v>532</v>
      </c>
      <c r="B38" s="645" t="s">
        <v>651</v>
      </c>
      <c r="C38" s="278">
        <v>570000</v>
      </c>
    </row>
    <row r="39" spans="1:3" s="390" customFormat="1" ht="12" customHeight="1" thickBot="1">
      <c r="A39" s="20" t="s">
        <v>20</v>
      </c>
      <c r="B39" s="21" t="s">
        <v>414</v>
      </c>
      <c r="C39" s="274">
        <f>SUM(C40:C50)</f>
        <v>53792620</v>
      </c>
    </row>
    <row r="40" spans="1:3" s="390" customFormat="1" ht="12" customHeight="1">
      <c r="A40" s="15" t="s">
        <v>89</v>
      </c>
      <c r="B40" s="391" t="s">
        <v>258</v>
      </c>
      <c r="C40" s="277"/>
    </row>
    <row r="41" spans="1:3" s="390" customFormat="1" ht="12" customHeight="1">
      <c r="A41" s="14" t="s">
        <v>90</v>
      </c>
      <c r="B41" s="392" t="s">
        <v>259</v>
      </c>
      <c r="C41" s="276">
        <v>20855300</v>
      </c>
    </row>
    <row r="42" spans="1:3" s="390" customFormat="1" ht="12" customHeight="1">
      <c r="A42" s="14" t="s">
        <v>91</v>
      </c>
      <c r="B42" s="392" t="s">
        <v>260</v>
      </c>
      <c r="C42" s="276">
        <v>285000</v>
      </c>
    </row>
    <row r="43" spans="1:3" s="390" customFormat="1" ht="12" customHeight="1">
      <c r="A43" s="14" t="s">
        <v>159</v>
      </c>
      <c r="B43" s="392" t="s">
        <v>261</v>
      </c>
      <c r="C43" s="276">
        <v>2615840</v>
      </c>
    </row>
    <row r="44" spans="1:3" s="390" customFormat="1" ht="12" customHeight="1">
      <c r="A44" s="14" t="s">
        <v>160</v>
      </c>
      <c r="B44" s="392" t="s">
        <v>262</v>
      </c>
      <c r="C44" s="276">
        <v>14364996</v>
      </c>
    </row>
    <row r="45" spans="1:3" s="390" customFormat="1" ht="12" customHeight="1">
      <c r="A45" s="14" t="s">
        <v>161</v>
      </c>
      <c r="B45" s="392" t="s">
        <v>263</v>
      </c>
      <c r="C45" s="276">
        <v>9776980</v>
      </c>
    </row>
    <row r="46" spans="1:3" s="390" customFormat="1" ht="12" customHeight="1">
      <c r="A46" s="14" t="s">
        <v>162</v>
      </c>
      <c r="B46" s="392" t="s">
        <v>264</v>
      </c>
      <c r="C46" s="276">
        <v>736830</v>
      </c>
    </row>
    <row r="47" spans="1:3" s="390" customFormat="1" ht="12" customHeight="1">
      <c r="A47" s="14" t="s">
        <v>163</v>
      </c>
      <c r="B47" s="392" t="s">
        <v>536</v>
      </c>
      <c r="C47" s="276"/>
    </row>
    <row r="48" spans="1:3" s="390" customFormat="1" ht="12" customHeight="1">
      <c r="A48" s="14" t="s">
        <v>256</v>
      </c>
      <c r="B48" s="392" t="s">
        <v>266</v>
      </c>
      <c r="C48" s="279"/>
    </row>
    <row r="49" spans="1:3" s="390" customFormat="1" ht="12" customHeight="1">
      <c r="A49" s="16" t="s">
        <v>257</v>
      </c>
      <c r="B49" s="393" t="s">
        <v>416</v>
      </c>
      <c r="C49" s="380"/>
    </row>
    <row r="50" spans="1:3" s="390" customFormat="1" ht="12" customHeight="1" thickBot="1">
      <c r="A50" s="16" t="s">
        <v>415</v>
      </c>
      <c r="B50" s="271" t="s">
        <v>267</v>
      </c>
      <c r="C50" s="380">
        <v>5157674</v>
      </c>
    </row>
    <row r="51" spans="1:3" s="390" customFormat="1" ht="12" customHeight="1" thickBot="1">
      <c r="A51" s="20" t="s">
        <v>21</v>
      </c>
      <c r="B51" s="21" t="s">
        <v>268</v>
      </c>
      <c r="C51" s="274">
        <f>SUM(C52:C56)</f>
        <v>0</v>
      </c>
    </row>
    <row r="52" spans="1:3" s="390" customFormat="1" ht="12" customHeight="1">
      <c r="A52" s="15" t="s">
        <v>92</v>
      </c>
      <c r="B52" s="391" t="s">
        <v>272</v>
      </c>
      <c r="C52" s="435"/>
    </row>
    <row r="53" spans="1:3" s="390" customFormat="1" ht="12" customHeight="1">
      <c r="A53" s="14" t="s">
        <v>93</v>
      </c>
      <c r="B53" s="392" t="s">
        <v>273</v>
      </c>
      <c r="C53" s="279"/>
    </row>
    <row r="54" spans="1:3" s="390" customFormat="1" ht="12" customHeight="1">
      <c r="A54" s="14" t="s">
        <v>269</v>
      </c>
      <c r="B54" s="392" t="s">
        <v>274</v>
      </c>
      <c r="C54" s="279"/>
    </row>
    <row r="55" spans="1:3" s="390" customFormat="1" ht="12" customHeight="1">
      <c r="A55" s="14" t="s">
        <v>270</v>
      </c>
      <c r="B55" s="392" t="s">
        <v>275</v>
      </c>
      <c r="C55" s="279"/>
    </row>
    <row r="56" spans="1:3" s="390" customFormat="1" ht="12" customHeight="1" thickBot="1">
      <c r="A56" s="16" t="s">
        <v>271</v>
      </c>
      <c r="B56" s="271" t="s">
        <v>276</v>
      </c>
      <c r="C56" s="380"/>
    </row>
    <row r="57" spans="1:3" s="390" customFormat="1" ht="12" customHeight="1" thickBot="1">
      <c r="A57" s="20" t="s">
        <v>164</v>
      </c>
      <c r="B57" s="21" t="s">
        <v>277</v>
      </c>
      <c r="C57" s="274">
        <f>SUM(C58:C60)</f>
        <v>980000</v>
      </c>
    </row>
    <row r="58" spans="1:3" s="390" customFormat="1" ht="12" customHeight="1">
      <c r="A58" s="15" t="s">
        <v>94</v>
      </c>
      <c r="B58" s="391" t="s">
        <v>278</v>
      </c>
      <c r="C58" s="277"/>
    </row>
    <row r="59" spans="1:3" s="390" customFormat="1" ht="12" customHeight="1">
      <c r="A59" s="14" t="s">
        <v>95</v>
      </c>
      <c r="B59" s="392" t="s">
        <v>407</v>
      </c>
      <c r="C59" s="276"/>
    </row>
    <row r="60" spans="1:3" s="390" customFormat="1" ht="12" customHeight="1">
      <c r="A60" s="14" t="s">
        <v>281</v>
      </c>
      <c r="B60" s="392" t="s">
        <v>279</v>
      </c>
      <c r="C60" s="276">
        <v>980000</v>
      </c>
    </row>
    <row r="61" spans="1:3" s="390" customFormat="1" ht="12" customHeight="1" thickBot="1">
      <c r="A61" s="16" t="s">
        <v>282</v>
      </c>
      <c r="B61" s="271" t="s">
        <v>280</v>
      </c>
      <c r="C61" s="278"/>
    </row>
    <row r="62" spans="1:3" s="390" customFormat="1" ht="12" customHeight="1" thickBot="1">
      <c r="A62" s="20" t="s">
        <v>23</v>
      </c>
      <c r="B62" s="269" t="s">
        <v>283</v>
      </c>
      <c r="C62" s="274">
        <f>SUM(C63:C65)</f>
        <v>100000</v>
      </c>
    </row>
    <row r="63" spans="1:3" s="390" customFormat="1" ht="12" customHeight="1">
      <c r="A63" s="15" t="s">
        <v>165</v>
      </c>
      <c r="B63" s="391" t="s">
        <v>285</v>
      </c>
      <c r="C63" s="279"/>
    </row>
    <row r="64" spans="1:3" s="390" customFormat="1" ht="12" customHeight="1">
      <c r="A64" s="14" t="s">
        <v>166</v>
      </c>
      <c r="B64" s="392" t="s">
        <v>408</v>
      </c>
      <c r="C64" s="279">
        <v>100000</v>
      </c>
    </row>
    <row r="65" spans="1:3" s="390" customFormat="1" ht="12" customHeight="1">
      <c r="A65" s="14" t="s">
        <v>214</v>
      </c>
      <c r="B65" s="392" t="s">
        <v>286</v>
      </c>
      <c r="C65" s="279"/>
    </row>
    <row r="66" spans="1:3" s="390" customFormat="1" ht="12" customHeight="1" thickBot="1">
      <c r="A66" s="16" t="s">
        <v>284</v>
      </c>
      <c r="B66" s="271" t="s">
        <v>287</v>
      </c>
      <c r="C66" s="279"/>
    </row>
    <row r="67" spans="1:3" s="390" customFormat="1" ht="12" customHeight="1" thickBot="1">
      <c r="A67" s="463" t="s">
        <v>456</v>
      </c>
      <c r="B67" s="21" t="s">
        <v>288</v>
      </c>
      <c r="C67" s="280">
        <f>+C10+C17+C24+C31+C39+C51+C57+C62</f>
        <v>460032571</v>
      </c>
    </row>
    <row r="68" spans="1:3" s="390" customFormat="1" ht="12" customHeight="1" thickBot="1">
      <c r="A68" s="438" t="s">
        <v>289</v>
      </c>
      <c r="B68" s="269" t="s">
        <v>290</v>
      </c>
      <c r="C68" s="274">
        <f>SUM(C69:C71)</f>
        <v>0</v>
      </c>
    </row>
    <row r="69" spans="1:3" s="390" customFormat="1" ht="12" customHeight="1">
      <c r="A69" s="15" t="s">
        <v>318</v>
      </c>
      <c r="B69" s="391" t="s">
        <v>291</v>
      </c>
      <c r="C69" s="279"/>
    </row>
    <row r="70" spans="1:3" s="390" customFormat="1" ht="12" customHeight="1">
      <c r="A70" s="14" t="s">
        <v>327</v>
      </c>
      <c r="B70" s="392" t="s">
        <v>292</v>
      </c>
      <c r="C70" s="279"/>
    </row>
    <row r="71" spans="1:3" s="390" customFormat="1" ht="12" customHeight="1" thickBot="1">
      <c r="A71" s="16" t="s">
        <v>328</v>
      </c>
      <c r="B71" s="457" t="s">
        <v>546</v>
      </c>
      <c r="C71" s="279"/>
    </row>
    <row r="72" spans="1:3" s="390" customFormat="1" ht="12" customHeight="1" thickBot="1">
      <c r="A72" s="438" t="s">
        <v>294</v>
      </c>
      <c r="B72" s="269" t="s">
        <v>295</v>
      </c>
      <c r="C72" s="274">
        <f>SUM(C73:C76)</f>
        <v>0</v>
      </c>
    </row>
    <row r="73" spans="1:3" s="390" customFormat="1" ht="12" customHeight="1">
      <c r="A73" s="15" t="s">
        <v>140</v>
      </c>
      <c r="B73" s="391" t="s">
        <v>296</v>
      </c>
      <c r="C73" s="279"/>
    </row>
    <row r="74" spans="1:3" s="390" customFormat="1" ht="12" customHeight="1">
      <c r="A74" s="14" t="s">
        <v>141</v>
      </c>
      <c r="B74" s="392" t="s">
        <v>547</v>
      </c>
      <c r="C74" s="279"/>
    </row>
    <row r="75" spans="1:3" s="390" customFormat="1" ht="12" customHeight="1" thickBot="1">
      <c r="A75" s="16" t="s">
        <v>319</v>
      </c>
      <c r="B75" s="393" t="s">
        <v>297</v>
      </c>
      <c r="C75" s="380"/>
    </row>
    <row r="76" spans="1:3" s="390" customFormat="1" ht="12" customHeight="1" thickBot="1">
      <c r="A76" s="538" t="s">
        <v>320</v>
      </c>
      <c r="B76" s="539" t="s">
        <v>548</v>
      </c>
      <c r="C76" s="540"/>
    </row>
    <row r="77" spans="1:3" s="390" customFormat="1" ht="12" customHeight="1" thickBot="1">
      <c r="A77" s="438" t="s">
        <v>298</v>
      </c>
      <c r="B77" s="269" t="s">
        <v>299</v>
      </c>
      <c r="C77" s="274">
        <f>SUM(C78:C79)</f>
        <v>55854055</v>
      </c>
    </row>
    <row r="78" spans="1:3" s="390" customFormat="1" ht="12" customHeight="1" thickBot="1">
      <c r="A78" s="13" t="s">
        <v>321</v>
      </c>
      <c r="B78" s="537" t="s">
        <v>300</v>
      </c>
      <c r="C78" s="380">
        <v>55854055</v>
      </c>
    </row>
    <row r="79" spans="1:3" s="390" customFormat="1" ht="12" customHeight="1" thickBot="1">
      <c r="A79" s="538" t="s">
        <v>322</v>
      </c>
      <c r="B79" s="539" t="s">
        <v>301</v>
      </c>
      <c r="C79" s="540"/>
    </row>
    <row r="80" spans="1:3" s="390" customFormat="1" ht="12" customHeight="1" thickBot="1">
      <c r="A80" s="438" t="s">
        <v>302</v>
      </c>
      <c r="B80" s="269" t="s">
        <v>303</v>
      </c>
      <c r="C80" s="274">
        <f>SUM(C81:C83)</f>
        <v>0</v>
      </c>
    </row>
    <row r="81" spans="1:3" s="390" customFormat="1" ht="12" customHeight="1">
      <c r="A81" s="15" t="s">
        <v>323</v>
      </c>
      <c r="B81" s="391" t="s">
        <v>304</v>
      </c>
      <c r="C81" s="279"/>
    </row>
    <row r="82" spans="1:3" s="390" customFormat="1" ht="12" customHeight="1">
      <c r="A82" s="14" t="s">
        <v>324</v>
      </c>
      <c r="B82" s="392" t="s">
        <v>305</v>
      </c>
      <c r="C82" s="279"/>
    </row>
    <row r="83" spans="1:3" s="390" customFormat="1" ht="12" customHeight="1" thickBot="1">
      <c r="A83" s="18" t="s">
        <v>325</v>
      </c>
      <c r="B83" s="541" t="s">
        <v>549</v>
      </c>
      <c r="C83" s="542"/>
    </row>
    <row r="84" spans="1:3" s="390" customFormat="1" ht="12" customHeight="1" thickBot="1">
      <c r="A84" s="438" t="s">
        <v>306</v>
      </c>
      <c r="B84" s="269" t="s">
        <v>326</v>
      </c>
      <c r="C84" s="274">
        <f>SUM(C85:C88)</f>
        <v>0</v>
      </c>
    </row>
    <row r="85" spans="1:3" s="390" customFormat="1" ht="12" customHeight="1">
      <c r="A85" s="395" t="s">
        <v>307</v>
      </c>
      <c r="B85" s="391" t="s">
        <v>308</v>
      </c>
      <c r="C85" s="279"/>
    </row>
    <row r="86" spans="1:3" s="390" customFormat="1" ht="12" customHeight="1">
      <c r="A86" s="396" t="s">
        <v>309</v>
      </c>
      <c r="B86" s="392" t="s">
        <v>310</v>
      </c>
      <c r="C86" s="279"/>
    </row>
    <row r="87" spans="1:3" s="390" customFormat="1" ht="12" customHeight="1">
      <c r="A87" s="396" t="s">
        <v>311</v>
      </c>
      <c r="B87" s="392" t="s">
        <v>312</v>
      </c>
      <c r="C87" s="279"/>
    </row>
    <row r="88" spans="1:3" s="390" customFormat="1" ht="12" customHeight="1" thickBot="1">
      <c r="A88" s="397" t="s">
        <v>313</v>
      </c>
      <c r="B88" s="271" t="s">
        <v>314</v>
      </c>
      <c r="C88" s="279"/>
    </row>
    <row r="89" spans="1:3" s="390" customFormat="1" ht="12" customHeight="1" thickBot="1">
      <c r="A89" s="438" t="s">
        <v>315</v>
      </c>
      <c r="B89" s="269" t="s">
        <v>455</v>
      </c>
      <c r="C89" s="436"/>
    </row>
    <row r="90" spans="1:3" s="390" customFormat="1" ht="13.5" customHeight="1" thickBot="1">
      <c r="A90" s="438" t="s">
        <v>317</v>
      </c>
      <c r="B90" s="269" t="s">
        <v>316</v>
      </c>
      <c r="C90" s="436"/>
    </row>
    <row r="91" spans="1:3" s="390" customFormat="1" ht="15.75" customHeight="1" thickBot="1">
      <c r="A91" s="438" t="s">
        <v>329</v>
      </c>
      <c r="B91" s="398" t="s">
        <v>458</v>
      </c>
      <c r="C91" s="280">
        <f>+C68+C72+C77+C80+C84+C90+C89</f>
        <v>55854055</v>
      </c>
    </row>
    <row r="92" spans="1:3" s="390" customFormat="1" ht="16.5" customHeight="1" thickBot="1">
      <c r="A92" s="439" t="s">
        <v>457</v>
      </c>
      <c r="B92" s="399" t="s">
        <v>459</v>
      </c>
      <c r="C92" s="280">
        <f>+C67+C91</f>
        <v>515886626</v>
      </c>
    </row>
    <row r="93" spans="1:3" s="390" customFormat="1" ht="10.5" customHeight="1">
      <c r="A93" s="5"/>
      <c r="B93" s="6"/>
      <c r="C93" s="281"/>
    </row>
    <row r="94" spans="1:3" ht="16.5" customHeight="1">
      <c r="A94" s="771" t="s">
        <v>45</v>
      </c>
      <c r="B94" s="771"/>
      <c r="C94" s="771"/>
    </row>
    <row r="95" spans="1:3" s="400" customFormat="1" ht="16.5" customHeight="1" thickBot="1">
      <c r="A95" s="768" t="s">
        <v>144</v>
      </c>
      <c r="B95" s="768"/>
      <c r="C95" s="549" t="str">
        <f>C7</f>
        <v>Forintban!</v>
      </c>
    </row>
    <row r="96" spans="1:3" ht="30" customHeight="1" thickBot="1">
      <c r="A96" s="530" t="s">
        <v>67</v>
      </c>
      <c r="B96" s="531" t="s">
        <v>46</v>
      </c>
      <c r="C96" s="532" t="str">
        <f>+C8</f>
        <v>2020. évi előirányzat</v>
      </c>
    </row>
    <row r="97" spans="1:3" s="389" customFormat="1" ht="12" customHeight="1" thickBot="1">
      <c r="A97" s="530"/>
      <c r="B97" s="531" t="s">
        <v>473</v>
      </c>
      <c r="C97" s="532" t="s">
        <v>474</v>
      </c>
    </row>
    <row r="98" spans="1:3" ht="12" customHeight="1" thickBot="1">
      <c r="A98" s="22" t="s">
        <v>16</v>
      </c>
      <c r="B98" s="28" t="s">
        <v>417</v>
      </c>
      <c r="C98" s="273">
        <f>C99+C100+C101+C102+C103+C116</f>
        <v>298202780</v>
      </c>
    </row>
    <row r="99" spans="1:3" ht="12" customHeight="1">
      <c r="A99" s="17" t="s">
        <v>96</v>
      </c>
      <c r="B99" s="10" t="s">
        <v>47</v>
      </c>
      <c r="C99" s="275">
        <v>143119867</v>
      </c>
    </row>
    <row r="100" spans="1:3" ht="12" customHeight="1">
      <c r="A100" s="14" t="s">
        <v>97</v>
      </c>
      <c r="B100" s="8" t="s">
        <v>167</v>
      </c>
      <c r="C100" s="276">
        <v>24231815</v>
      </c>
    </row>
    <row r="101" spans="1:3" ht="12" customHeight="1">
      <c r="A101" s="14" t="s">
        <v>98</v>
      </c>
      <c r="B101" s="8" t="s">
        <v>131</v>
      </c>
      <c r="C101" s="278">
        <v>111554470</v>
      </c>
    </row>
    <row r="102" spans="1:3" ht="12" customHeight="1">
      <c r="A102" s="14" t="s">
        <v>99</v>
      </c>
      <c r="B102" s="11" t="s">
        <v>168</v>
      </c>
      <c r="C102" s="278">
        <v>1875000</v>
      </c>
    </row>
    <row r="103" spans="1:3" ht="12" customHeight="1">
      <c r="A103" s="14" t="s">
        <v>110</v>
      </c>
      <c r="B103" s="19" t="s">
        <v>169</v>
      </c>
      <c r="C103" s="278">
        <f>C107+C115</f>
        <v>10721912</v>
      </c>
    </row>
    <row r="104" spans="1:3" ht="12" customHeight="1">
      <c r="A104" s="14" t="s">
        <v>100</v>
      </c>
      <c r="B104" s="8" t="s">
        <v>422</v>
      </c>
      <c r="C104" s="278"/>
    </row>
    <row r="105" spans="1:3" ht="12" customHeight="1">
      <c r="A105" s="14" t="s">
        <v>101</v>
      </c>
      <c r="B105" s="135" t="s">
        <v>421</v>
      </c>
      <c r="C105" s="278"/>
    </row>
    <row r="106" spans="1:3" ht="12" customHeight="1">
      <c r="A106" s="14" t="s">
        <v>111</v>
      </c>
      <c r="B106" s="135" t="s">
        <v>420</v>
      </c>
      <c r="C106" s="278"/>
    </row>
    <row r="107" spans="1:3" ht="12" customHeight="1">
      <c r="A107" s="14" t="s">
        <v>112</v>
      </c>
      <c r="B107" s="133" t="s">
        <v>332</v>
      </c>
      <c r="C107" s="278">
        <v>4844612</v>
      </c>
    </row>
    <row r="108" spans="1:3" ht="12" customHeight="1">
      <c r="A108" s="14" t="s">
        <v>113</v>
      </c>
      <c r="B108" s="134" t="s">
        <v>333</v>
      </c>
      <c r="C108" s="278"/>
    </row>
    <row r="109" spans="1:3" ht="12" customHeight="1">
      <c r="A109" s="14" t="s">
        <v>114</v>
      </c>
      <c r="B109" s="134" t="s">
        <v>334</v>
      </c>
      <c r="C109" s="278"/>
    </row>
    <row r="110" spans="1:3" ht="12" customHeight="1">
      <c r="A110" s="14" t="s">
        <v>116</v>
      </c>
      <c r="B110" s="133" t="s">
        <v>335</v>
      </c>
      <c r="C110" s="278"/>
    </row>
    <row r="111" spans="1:3" ht="12" customHeight="1">
      <c r="A111" s="14" t="s">
        <v>170</v>
      </c>
      <c r="B111" s="133" t="s">
        <v>336</v>
      </c>
      <c r="C111" s="278"/>
    </row>
    <row r="112" spans="1:3" ht="12" customHeight="1">
      <c r="A112" s="14" t="s">
        <v>330</v>
      </c>
      <c r="B112" s="134" t="s">
        <v>337</v>
      </c>
      <c r="C112" s="278"/>
    </row>
    <row r="113" spans="1:3" ht="12" customHeight="1">
      <c r="A113" s="13" t="s">
        <v>331</v>
      </c>
      <c r="B113" s="135" t="s">
        <v>338</v>
      </c>
      <c r="C113" s="278"/>
    </row>
    <row r="114" spans="1:3" ht="12" customHeight="1">
      <c r="A114" s="14" t="s">
        <v>418</v>
      </c>
      <c r="B114" s="135" t="s">
        <v>339</v>
      </c>
      <c r="C114" s="278"/>
    </row>
    <row r="115" spans="1:3" ht="12" customHeight="1">
      <c r="A115" s="16" t="s">
        <v>419</v>
      </c>
      <c r="B115" s="135" t="s">
        <v>340</v>
      </c>
      <c r="C115" s="278">
        <v>5877300</v>
      </c>
    </row>
    <row r="116" spans="1:3" ht="12" customHeight="1">
      <c r="A116" s="14" t="s">
        <v>423</v>
      </c>
      <c r="B116" s="11" t="s">
        <v>48</v>
      </c>
      <c r="C116" s="276">
        <f>C117+C118</f>
        <v>6699716</v>
      </c>
    </row>
    <row r="117" spans="1:3" ht="12" customHeight="1">
      <c r="A117" s="14" t="s">
        <v>424</v>
      </c>
      <c r="B117" s="8" t="s">
        <v>426</v>
      </c>
      <c r="C117" s="276">
        <v>1898823</v>
      </c>
    </row>
    <row r="118" spans="1:3" ht="12" customHeight="1" thickBot="1">
      <c r="A118" s="18" t="s">
        <v>425</v>
      </c>
      <c r="B118" s="461" t="s">
        <v>427</v>
      </c>
      <c r="C118" s="282">
        <v>4800893</v>
      </c>
    </row>
    <row r="119" spans="1:3" ht="12" customHeight="1" thickBot="1">
      <c r="A119" s="458" t="s">
        <v>17</v>
      </c>
      <c r="B119" s="459" t="s">
        <v>341</v>
      </c>
      <c r="C119" s="460">
        <f>+C120+C122+C124</f>
        <v>212022730</v>
      </c>
    </row>
    <row r="120" spans="1:3" ht="12" customHeight="1">
      <c r="A120" s="15" t="s">
        <v>102</v>
      </c>
      <c r="B120" s="8" t="s">
        <v>213</v>
      </c>
      <c r="C120" s="277">
        <v>126178862</v>
      </c>
    </row>
    <row r="121" spans="1:3" ht="12" customHeight="1">
      <c r="A121" s="15" t="s">
        <v>103</v>
      </c>
      <c r="B121" s="12" t="s">
        <v>345</v>
      </c>
      <c r="C121" s="277">
        <v>122005862</v>
      </c>
    </row>
    <row r="122" spans="1:3" ht="12" customHeight="1">
      <c r="A122" s="15" t="s">
        <v>104</v>
      </c>
      <c r="B122" s="12" t="s">
        <v>171</v>
      </c>
      <c r="C122" s="276">
        <v>82293868</v>
      </c>
    </row>
    <row r="123" spans="1:3" ht="12" customHeight="1">
      <c r="A123" s="15" t="s">
        <v>105</v>
      </c>
      <c r="B123" s="12" t="s">
        <v>346</v>
      </c>
      <c r="C123" s="241">
        <v>40510079</v>
      </c>
    </row>
    <row r="124" spans="1:3" ht="12" customHeight="1">
      <c r="A124" s="15" t="s">
        <v>106</v>
      </c>
      <c r="B124" s="271" t="s">
        <v>551</v>
      </c>
      <c r="C124" s="241">
        <f>C128+C132</f>
        <v>3550000</v>
      </c>
    </row>
    <row r="125" spans="1:3" ht="12" customHeight="1">
      <c r="A125" s="15" t="s">
        <v>115</v>
      </c>
      <c r="B125" s="270" t="s">
        <v>409</v>
      </c>
      <c r="C125" s="241"/>
    </row>
    <row r="126" spans="1:3" ht="12" customHeight="1">
      <c r="A126" s="15" t="s">
        <v>117</v>
      </c>
      <c r="B126" s="387" t="s">
        <v>351</v>
      </c>
      <c r="C126" s="241"/>
    </row>
    <row r="127" spans="1:3" ht="15.75">
      <c r="A127" s="15" t="s">
        <v>172</v>
      </c>
      <c r="B127" s="134" t="s">
        <v>334</v>
      </c>
      <c r="C127" s="241"/>
    </row>
    <row r="128" spans="1:3" ht="12" customHeight="1">
      <c r="A128" s="15" t="s">
        <v>173</v>
      </c>
      <c r="B128" s="134" t="s">
        <v>350</v>
      </c>
      <c r="C128" s="241">
        <v>50000</v>
      </c>
    </row>
    <row r="129" spans="1:3" ht="12" customHeight="1">
      <c r="A129" s="15" t="s">
        <v>174</v>
      </c>
      <c r="B129" s="134" t="s">
        <v>349</v>
      </c>
      <c r="C129" s="241"/>
    </row>
    <row r="130" spans="1:3" ht="12" customHeight="1">
      <c r="A130" s="15" t="s">
        <v>342</v>
      </c>
      <c r="B130" s="134" t="s">
        <v>337</v>
      </c>
      <c r="C130" s="241"/>
    </row>
    <row r="131" spans="1:3" ht="12" customHeight="1">
      <c r="A131" s="15" t="s">
        <v>343</v>
      </c>
      <c r="B131" s="134" t="s">
        <v>348</v>
      </c>
      <c r="C131" s="241"/>
    </row>
    <row r="132" spans="1:3" ht="16.5" thickBot="1">
      <c r="A132" s="13" t="s">
        <v>344</v>
      </c>
      <c r="B132" s="134" t="s">
        <v>347</v>
      </c>
      <c r="C132" s="243">
        <v>3500000</v>
      </c>
    </row>
    <row r="133" spans="1:3" ht="12" customHeight="1" thickBot="1">
      <c r="A133" s="20" t="s">
        <v>18</v>
      </c>
      <c r="B133" s="116" t="s">
        <v>428</v>
      </c>
      <c r="C133" s="274">
        <f>+C98+C119</f>
        <v>510225510</v>
      </c>
    </row>
    <row r="134" spans="1:3" ht="12" customHeight="1" thickBot="1">
      <c r="A134" s="20" t="s">
        <v>19</v>
      </c>
      <c r="B134" s="116" t="s">
        <v>429</v>
      </c>
      <c r="C134" s="274">
        <f>+C135+C136+C137</f>
        <v>0</v>
      </c>
    </row>
    <row r="135" spans="1:3" ht="12" customHeight="1">
      <c r="A135" s="15" t="s">
        <v>251</v>
      </c>
      <c r="B135" s="12" t="s">
        <v>436</v>
      </c>
      <c r="C135" s="241"/>
    </row>
    <row r="136" spans="1:3" ht="12" customHeight="1">
      <c r="A136" s="15" t="s">
        <v>252</v>
      </c>
      <c r="B136" s="12" t="s">
        <v>437</v>
      </c>
      <c r="C136" s="241"/>
    </row>
    <row r="137" spans="1:3" ht="12" customHeight="1" thickBot="1">
      <c r="A137" s="13" t="s">
        <v>253</v>
      </c>
      <c r="B137" s="12" t="s">
        <v>438</v>
      </c>
      <c r="C137" s="241"/>
    </row>
    <row r="138" spans="1:3" ht="12" customHeight="1" thickBot="1">
      <c r="A138" s="20" t="s">
        <v>20</v>
      </c>
      <c r="B138" s="116" t="s">
        <v>430</v>
      </c>
      <c r="C138" s="274">
        <f>SUM(C139:C144)</f>
        <v>0</v>
      </c>
    </row>
    <row r="139" spans="1:3" ht="12" customHeight="1">
      <c r="A139" s="15" t="s">
        <v>89</v>
      </c>
      <c r="B139" s="9" t="s">
        <v>439</v>
      </c>
      <c r="C139" s="241"/>
    </row>
    <row r="140" spans="1:3" ht="12" customHeight="1">
      <c r="A140" s="15" t="s">
        <v>90</v>
      </c>
      <c r="B140" s="9" t="s">
        <v>431</v>
      </c>
      <c r="C140" s="241"/>
    </row>
    <row r="141" spans="1:3" ht="12" customHeight="1">
      <c r="A141" s="15" t="s">
        <v>91</v>
      </c>
      <c r="B141" s="9" t="s">
        <v>432</v>
      </c>
      <c r="C141" s="241"/>
    </row>
    <row r="142" spans="1:3" ht="12" customHeight="1">
      <c r="A142" s="15" t="s">
        <v>159</v>
      </c>
      <c r="B142" s="9" t="s">
        <v>433</v>
      </c>
      <c r="C142" s="241"/>
    </row>
    <row r="143" spans="1:3" ht="12" customHeight="1">
      <c r="A143" s="13" t="s">
        <v>160</v>
      </c>
      <c r="B143" s="7" t="s">
        <v>434</v>
      </c>
      <c r="C143" s="243"/>
    </row>
    <row r="144" spans="1:3" ht="12" customHeight="1" thickBot="1">
      <c r="A144" s="18" t="s">
        <v>161</v>
      </c>
      <c r="B144" s="687" t="s">
        <v>435</v>
      </c>
      <c r="C144" s="468"/>
    </row>
    <row r="145" spans="1:3" ht="12" customHeight="1" thickBot="1">
      <c r="A145" s="20" t="s">
        <v>21</v>
      </c>
      <c r="B145" s="116" t="s">
        <v>443</v>
      </c>
      <c r="C145" s="280">
        <f>+C146+C147+C148+C149</f>
        <v>5661116</v>
      </c>
    </row>
    <row r="146" spans="1:3" ht="12" customHeight="1">
      <c r="A146" s="15" t="s">
        <v>92</v>
      </c>
      <c r="B146" s="9" t="s">
        <v>352</v>
      </c>
      <c r="C146" s="241"/>
    </row>
    <row r="147" spans="1:3" ht="12" customHeight="1">
      <c r="A147" s="15" t="s">
        <v>93</v>
      </c>
      <c r="B147" s="9" t="s">
        <v>353</v>
      </c>
      <c r="C147" s="241">
        <v>5661116</v>
      </c>
    </row>
    <row r="148" spans="1:3" ht="12" customHeight="1" thickBot="1">
      <c r="A148" s="13" t="s">
        <v>269</v>
      </c>
      <c r="B148" s="7" t="s">
        <v>444</v>
      </c>
      <c r="C148" s="243"/>
    </row>
    <row r="149" spans="1:3" ht="12" customHeight="1" thickBot="1">
      <c r="A149" s="538" t="s">
        <v>270</v>
      </c>
      <c r="B149" s="543" t="s">
        <v>371</v>
      </c>
      <c r="C149" s="544"/>
    </row>
    <row r="150" spans="1:3" ht="12" customHeight="1" thickBot="1">
      <c r="A150" s="20" t="s">
        <v>22</v>
      </c>
      <c r="B150" s="116" t="s">
        <v>445</v>
      </c>
      <c r="C150" s="283">
        <f>SUM(C151:C155)</f>
        <v>0</v>
      </c>
    </row>
    <row r="151" spans="1:3" ht="12" customHeight="1">
      <c r="A151" s="15" t="s">
        <v>94</v>
      </c>
      <c r="B151" s="9" t="s">
        <v>440</v>
      </c>
      <c r="C151" s="241"/>
    </row>
    <row r="152" spans="1:3" ht="12" customHeight="1">
      <c r="A152" s="15" t="s">
        <v>95</v>
      </c>
      <c r="B152" s="9" t="s">
        <v>447</v>
      </c>
      <c r="C152" s="241"/>
    </row>
    <row r="153" spans="1:3" ht="12" customHeight="1">
      <c r="A153" s="15" t="s">
        <v>281</v>
      </c>
      <c r="B153" s="9" t="s">
        <v>442</v>
      </c>
      <c r="C153" s="241"/>
    </row>
    <row r="154" spans="1:3" ht="12" customHeight="1">
      <c r="A154" s="15" t="s">
        <v>282</v>
      </c>
      <c r="B154" s="9" t="s">
        <v>498</v>
      </c>
      <c r="C154" s="241"/>
    </row>
    <row r="155" spans="1:3" ht="12" customHeight="1" thickBot="1">
      <c r="A155" s="15" t="s">
        <v>446</v>
      </c>
      <c r="B155" s="9" t="s">
        <v>449</v>
      </c>
      <c r="C155" s="241"/>
    </row>
    <row r="156" spans="1:3" ht="12" customHeight="1" thickBot="1">
      <c r="A156" s="20" t="s">
        <v>23</v>
      </c>
      <c r="B156" s="116" t="s">
        <v>450</v>
      </c>
      <c r="C156" s="462"/>
    </row>
    <row r="157" spans="1:3" ht="12" customHeight="1" thickBot="1">
      <c r="A157" s="20" t="s">
        <v>24</v>
      </c>
      <c r="B157" s="116" t="s">
        <v>451</v>
      </c>
      <c r="C157" s="462"/>
    </row>
    <row r="158" spans="1:9" ht="15" customHeight="1" thickBot="1">
      <c r="A158" s="20" t="s">
        <v>25</v>
      </c>
      <c r="B158" s="116" t="s">
        <v>453</v>
      </c>
      <c r="C158" s="545">
        <f>+C134+C138+C145+C150+C156+C157</f>
        <v>5661116</v>
      </c>
      <c r="F158" s="402"/>
      <c r="G158" s="403"/>
      <c r="H158" s="403"/>
      <c r="I158" s="403"/>
    </row>
    <row r="159" spans="1:3" s="390" customFormat="1" ht="17.25" customHeight="1" thickBot="1">
      <c r="A159" s="272" t="s">
        <v>26</v>
      </c>
      <c r="B159" s="546" t="s">
        <v>452</v>
      </c>
      <c r="C159" s="545">
        <f>+C133+C158</f>
        <v>515886626</v>
      </c>
    </row>
    <row r="160" spans="1:3" ht="15.75" customHeight="1">
      <c r="A160" s="604"/>
      <c r="B160" s="604"/>
      <c r="C160" s="605">
        <f>C92-C159</f>
        <v>0</v>
      </c>
    </row>
    <row r="161" spans="1:3" ht="15.75">
      <c r="A161" s="769" t="s">
        <v>354</v>
      </c>
      <c r="B161" s="769"/>
      <c r="C161" s="769"/>
    </row>
    <row r="162" spans="1:3" ht="15" customHeight="1" thickBot="1">
      <c r="A162" s="770" t="s">
        <v>145</v>
      </c>
      <c r="B162" s="770"/>
      <c r="C162" s="550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74">
        <f>+C67-C133</f>
        <v>-50192939</v>
      </c>
      <c r="D163" s="404"/>
    </row>
    <row r="164" spans="1:3" ht="27.75" customHeight="1" thickBot="1">
      <c r="A164" s="20" t="s">
        <v>17</v>
      </c>
      <c r="B164" s="27" t="s">
        <v>460</v>
      </c>
      <c r="C164" s="274">
        <f>+C91-C158</f>
        <v>50192939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49" sqref="B149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8" customWidth="1"/>
    <col min="5" max="16384" width="9.375" style="388" customWidth="1"/>
  </cols>
  <sheetData>
    <row r="1" spans="1:3" ht="18.75" customHeight="1">
      <c r="A1" s="596"/>
      <c r="B1" s="764" t="str">
        <f>CONCATENATE("1.2. melléklet ",ALAPADATOK!A7," ",ALAPADATOK!B7," ",ALAPADATOK!C7," ",ALAPADATOK!D7," ",ALAPADATOK!E7," ",ALAPADATOK!F7," ",ALAPADATOK!G7," ",ALAPADATOK!H7)</f>
        <v>1.2. melléklet a 4 / 2020 ( II.25. ) önkormányzati rendelethez</v>
      </c>
      <c r="C1" s="765"/>
    </row>
    <row r="2" spans="1:3" ht="21.75" customHeight="1">
      <c r="A2" s="597"/>
      <c r="B2" s="598" t="str">
        <f>CONCATENATE(ALAPADATOK!A3)</f>
        <v>MURAKERESZTÚR KÖZSÉG ÖNKORMÁNYZATA</v>
      </c>
      <c r="C2" s="599"/>
    </row>
    <row r="3" spans="1:3" ht="21.75" customHeight="1">
      <c r="A3" s="599"/>
      <c r="B3" s="598" t="str">
        <f>'KV_1.1.sz.mell.'!B3</f>
        <v>2020. ÉVI KÖLTSÉGVETÉS</v>
      </c>
      <c r="C3" s="599"/>
    </row>
    <row r="4" spans="1:3" ht="21.75" customHeight="1">
      <c r="A4" s="599"/>
      <c r="B4" s="598" t="s">
        <v>556</v>
      </c>
      <c r="C4" s="599"/>
    </row>
    <row r="5" spans="1:3" ht="21.75" customHeight="1">
      <c r="A5" s="596"/>
      <c r="B5" s="596"/>
      <c r="C5" s="600"/>
    </row>
    <row r="6" spans="1:3" ht="15" customHeight="1">
      <c r="A6" s="766" t="s">
        <v>13</v>
      </c>
      <c r="B6" s="766"/>
      <c r="C6" s="766"/>
    </row>
    <row r="7" spans="1:3" ht="15" customHeight="1" thickBot="1">
      <c r="A7" s="767" t="s">
        <v>143</v>
      </c>
      <c r="B7" s="767"/>
      <c r="C7" s="548" t="str">
        <f>CONCATENATE('KV_1.1.sz.mell.'!C7)</f>
        <v>Forintban!</v>
      </c>
    </row>
    <row r="8" spans="1:3" ht="24" customHeight="1" thickBot="1">
      <c r="A8" s="601" t="s">
        <v>67</v>
      </c>
      <c r="B8" s="602" t="s">
        <v>15</v>
      </c>
      <c r="C8" s="603" t="str">
        <f>+CONCATENATE(LEFT(KV_ÖSSZEFÜGGÉSEK!A5,4),". évi előirányzat")</f>
        <v>2020. évi előirányzat</v>
      </c>
    </row>
    <row r="9" spans="1:3" s="389" customFormat="1" ht="12" customHeight="1" thickBot="1">
      <c r="A9" s="533"/>
      <c r="B9" s="534" t="s">
        <v>473</v>
      </c>
      <c r="C9" s="535" t="s">
        <v>474</v>
      </c>
    </row>
    <row r="10" spans="1:3" s="390" customFormat="1" ht="12" customHeight="1" thickBot="1">
      <c r="A10" s="20" t="s">
        <v>16</v>
      </c>
      <c r="B10" s="21" t="s">
        <v>235</v>
      </c>
      <c r="C10" s="274">
        <f>+C11+C12+C13+C14+C15+C16</f>
        <v>164910297</v>
      </c>
    </row>
    <row r="11" spans="1:3" s="390" customFormat="1" ht="12" customHeight="1">
      <c r="A11" s="15" t="s">
        <v>96</v>
      </c>
      <c r="B11" s="391" t="s">
        <v>236</v>
      </c>
      <c r="C11" s="277">
        <v>93224874</v>
      </c>
    </row>
    <row r="12" spans="1:3" s="390" customFormat="1" ht="12" customHeight="1">
      <c r="A12" s="14" t="s">
        <v>97</v>
      </c>
      <c r="B12" s="392" t="s">
        <v>237</v>
      </c>
      <c r="C12" s="276">
        <v>28686330</v>
      </c>
    </row>
    <row r="13" spans="1:3" s="390" customFormat="1" ht="12" customHeight="1">
      <c r="A13" s="14" t="s">
        <v>98</v>
      </c>
      <c r="B13" s="392" t="s">
        <v>528</v>
      </c>
      <c r="C13" s="276">
        <v>40859883</v>
      </c>
    </row>
    <row r="14" spans="1:3" s="390" customFormat="1" ht="12" customHeight="1">
      <c r="A14" s="14" t="s">
        <v>99</v>
      </c>
      <c r="B14" s="392" t="s">
        <v>239</v>
      </c>
      <c r="C14" s="276">
        <v>2139210</v>
      </c>
    </row>
    <row r="15" spans="1:3" s="390" customFormat="1" ht="12" customHeight="1">
      <c r="A15" s="14" t="s">
        <v>139</v>
      </c>
      <c r="B15" s="270" t="s">
        <v>412</v>
      </c>
      <c r="C15" s="276"/>
    </row>
    <row r="16" spans="1:3" s="390" customFormat="1" ht="12" customHeight="1" thickBot="1">
      <c r="A16" s="16" t="s">
        <v>100</v>
      </c>
      <c r="B16" s="271" t="s">
        <v>413</v>
      </c>
      <c r="C16" s="276"/>
    </row>
    <row r="17" spans="1:3" s="390" customFormat="1" ht="12" customHeight="1" thickBot="1">
      <c r="A17" s="20" t="s">
        <v>17</v>
      </c>
      <c r="B17" s="269" t="s">
        <v>240</v>
      </c>
      <c r="C17" s="274">
        <f>+C18+C19+C20+C21+C22</f>
        <v>19574453</v>
      </c>
    </row>
    <row r="18" spans="1:3" s="390" customFormat="1" ht="12" customHeight="1">
      <c r="A18" s="15" t="s">
        <v>102</v>
      </c>
      <c r="B18" s="391" t="s">
        <v>241</v>
      </c>
      <c r="C18" s="277"/>
    </row>
    <row r="19" spans="1:3" s="390" customFormat="1" ht="12" customHeight="1">
      <c r="A19" s="14" t="s">
        <v>103</v>
      </c>
      <c r="B19" s="392" t="s">
        <v>242</v>
      </c>
      <c r="C19" s="276"/>
    </row>
    <row r="20" spans="1:3" s="390" customFormat="1" ht="12" customHeight="1">
      <c r="A20" s="14" t="s">
        <v>104</v>
      </c>
      <c r="B20" s="392" t="s">
        <v>403</v>
      </c>
      <c r="C20" s="276"/>
    </row>
    <row r="21" spans="1:3" s="390" customFormat="1" ht="12" customHeight="1">
      <c r="A21" s="14" t="s">
        <v>105</v>
      </c>
      <c r="B21" s="392" t="s">
        <v>404</v>
      </c>
      <c r="C21" s="276"/>
    </row>
    <row r="22" spans="1:3" s="390" customFormat="1" ht="12" customHeight="1">
      <c r="A22" s="14" t="s">
        <v>106</v>
      </c>
      <c r="B22" s="392" t="s">
        <v>550</v>
      </c>
      <c r="C22" s="276">
        <v>19574453</v>
      </c>
    </row>
    <row r="23" spans="1:3" s="390" customFormat="1" ht="12" customHeight="1" thickBot="1">
      <c r="A23" s="16" t="s">
        <v>115</v>
      </c>
      <c r="B23" s="271" t="s">
        <v>244</v>
      </c>
      <c r="C23" s="278"/>
    </row>
    <row r="24" spans="1:3" s="390" customFormat="1" ht="12" customHeight="1" thickBot="1">
      <c r="A24" s="20" t="s">
        <v>18</v>
      </c>
      <c r="B24" s="21" t="s">
        <v>245</v>
      </c>
      <c r="C24" s="274">
        <f>+C25+C26+C27+C28+C29</f>
        <v>179629826</v>
      </c>
    </row>
    <row r="25" spans="1:3" s="390" customFormat="1" ht="12" customHeight="1">
      <c r="A25" s="15" t="s">
        <v>85</v>
      </c>
      <c r="B25" s="391" t="s">
        <v>246</v>
      </c>
      <c r="C25" s="277"/>
    </row>
    <row r="26" spans="1:3" s="390" customFormat="1" ht="12" customHeight="1">
      <c r="A26" s="14" t="s">
        <v>86</v>
      </c>
      <c r="B26" s="392" t="s">
        <v>247</v>
      </c>
      <c r="C26" s="276"/>
    </row>
    <row r="27" spans="1:3" s="390" customFormat="1" ht="12" customHeight="1">
      <c r="A27" s="14" t="s">
        <v>87</v>
      </c>
      <c r="B27" s="392" t="s">
        <v>405</v>
      </c>
      <c r="C27" s="276"/>
    </row>
    <row r="28" spans="1:3" s="390" customFormat="1" ht="12" customHeight="1">
      <c r="A28" s="14" t="s">
        <v>88</v>
      </c>
      <c r="B28" s="392" t="s">
        <v>406</v>
      </c>
      <c r="C28" s="276"/>
    </row>
    <row r="29" spans="1:3" s="390" customFormat="1" ht="12" customHeight="1">
      <c r="A29" s="14" t="s">
        <v>155</v>
      </c>
      <c r="B29" s="392" t="s">
        <v>248</v>
      </c>
      <c r="C29" s="276">
        <v>179629826</v>
      </c>
    </row>
    <row r="30" spans="1:3" s="526" customFormat="1" ht="12" customHeight="1" thickBot="1">
      <c r="A30" s="536" t="s">
        <v>156</v>
      </c>
      <c r="B30" s="524" t="s">
        <v>545</v>
      </c>
      <c r="C30" s="525">
        <v>179629826</v>
      </c>
    </row>
    <row r="31" spans="1:3" s="390" customFormat="1" ht="12" customHeight="1" thickBot="1">
      <c r="A31" s="20" t="s">
        <v>157</v>
      </c>
      <c r="B31" s="21" t="s">
        <v>529</v>
      </c>
      <c r="C31" s="280">
        <f>SUM(C32:C38)</f>
        <v>31923508</v>
      </c>
    </row>
    <row r="32" spans="1:3" s="390" customFormat="1" ht="12" customHeight="1">
      <c r="A32" s="15" t="s">
        <v>251</v>
      </c>
      <c r="B32" s="391" t="str">
        <f>'KV_1.1.sz.mell.'!B32</f>
        <v>Magánszemélyek kommunális adója</v>
      </c>
      <c r="C32" s="277">
        <v>8300000</v>
      </c>
    </row>
    <row r="33" spans="1:3" s="390" customFormat="1" ht="12" customHeight="1">
      <c r="A33" s="14" t="s">
        <v>252</v>
      </c>
      <c r="B33" s="391" t="str">
        <f>'KV_1.1.sz.mell.'!B33</f>
        <v>Idegenforgalmi adó</v>
      </c>
      <c r="C33" s="276"/>
    </row>
    <row r="34" spans="1:3" s="390" customFormat="1" ht="12" customHeight="1">
      <c r="A34" s="14" t="s">
        <v>253</v>
      </c>
      <c r="B34" s="391" t="str">
        <f>'KV_1.1.sz.mell.'!B34</f>
        <v>Iparűzési adó</v>
      </c>
      <c r="C34" s="276">
        <v>18753508</v>
      </c>
    </row>
    <row r="35" spans="1:3" s="390" customFormat="1" ht="12" customHeight="1">
      <c r="A35" s="14" t="s">
        <v>254</v>
      </c>
      <c r="B35" s="391" t="str">
        <f>'KV_1.1.sz.mell.'!B35</f>
        <v>Talajterhelési díj</v>
      </c>
      <c r="C35" s="276"/>
    </row>
    <row r="36" spans="1:3" s="390" customFormat="1" ht="12" customHeight="1">
      <c r="A36" s="14" t="s">
        <v>530</v>
      </c>
      <c r="B36" s="391" t="str">
        <f>'KV_1.1.sz.mell.'!B36</f>
        <v>Gépjárműadó</v>
      </c>
      <c r="C36" s="276">
        <v>4300000</v>
      </c>
    </row>
    <row r="37" spans="1:3" s="390" customFormat="1" ht="12" customHeight="1">
      <c r="A37" s="14" t="s">
        <v>531</v>
      </c>
      <c r="B37" s="391" t="str">
        <f>'KV_1.1.sz.mell.'!B37</f>
        <v>Telekadó</v>
      </c>
      <c r="C37" s="276"/>
    </row>
    <row r="38" spans="1:3" s="390" customFormat="1" ht="12" customHeight="1" thickBot="1">
      <c r="A38" s="16" t="s">
        <v>532</v>
      </c>
      <c r="B38" s="391" t="s">
        <v>672</v>
      </c>
      <c r="C38" s="278">
        <v>570000</v>
      </c>
    </row>
    <row r="39" spans="1:3" s="390" customFormat="1" ht="12" customHeight="1" thickBot="1">
      <c r="A39" s="20" t="s">
        <v>20</v>
      </c>
      <c r="B39" s="21" t="s">
        <v>414</v>
      </c>
      <c r="C39" s="274">
        <f>SUM(C40:C50)</f>
        <v>44111410</v>
      </c>
    </row>
    <row r="40" spans="1:3" s="390" customFormat="1" ht="12" customHeight="1">
      <c r="A40" s="15" t="s">
        <v>89</v>
      </c>
      <c r="B40" s="391" t="s">
        <v>258</v>
      </c>
      <c r="C40" s="277"/>
    </row>
    <row r="41" spans="1:3" s="390" customFormat="1" ht="12" customHeight="1">
      <c r="A41" s="14" t="s">
        <v>90</v>
      </c>
      <c r="B41" s="392" t="s">
        <v>259</v>
      </c>
      <c r="C41" s="276">
        <v>13232300</v>
      </c>
    </row>
    <row r="42" spans="1:3" s="390" customFormat="1" ht="12" customHeight="1">
      <c r="A42" s="14" t="s">
        <v>91</v>
      </c>
      <c r="B42" s="392" t="s">
        <v>260</v>
      </c>
      <c r="C42" s="276">
        <v>285000</v>
      </c>
    </row>
    <row r="43" spans="1:3" s="390" customFormat="1" ht="12" customHeight="1">
      <c r="A43" s="14" t="s">
        <v>159</v>
      </c>
      <c r="B43" s="392" t="s">
        <v>261</v>
      </c>
      <c r="C43" s="276">
        <v>2615840</v>
      </c>
    </row>
    <row r="44" spans="1:3" s="390" customFormat="1" ht="12" customHeight="1">
      <c r="A44" s="14" t="s">
        <v>160</v>
      </c>
      <c r="B44" s="392" t="s">
        <v>262</v>
      </c>
      <c r="C44" s="276">
        <v>14364996</v>
      </c>
    </row>
    <row r="45" spans="1:3" s="390" customFormat="1" ht="12" customHeight="1">
      <c r="A45" s="14" t="s">
        <v>161</v>
      </c>
      <c r="B45" s="392" t="s">
        <v>263</v>
      </c>
      <c r="C45" s="276">
        <v>7718770</v>
      </c>
    </row>
    <row r="46" spans="1:3" s="390" customFormat="1" ht="12" customHeight="1">
      <c r="A46" s="14" t="s">
        <v>162</v>
      </c>
      <c r="B46" s="392" t="s">
        <v>264</v>
      </c>
      <c r="C46" s="276">
        <v>736830</v>
      </c>
    </row>
    <row r="47" spans="1:3" s="390" customFormat="1" ht="12" customHeight="1">
      <c r="A47" s="14" t="s">
        <v>163</v>
      </c>
      <c r="B47" s="392" t="s">
        <v>536</v>
      </c>
      <c r="C47" s="276"/>
    </row>
    <row r="48" spans="1:3" s="390" customFormat="1" ht="12" customHeight="1">
      <c r="A48" s="14" t="s">
        <v>256</v>
      </c>
      <c r="B48" s="392" t="s">
        <v>266</v>
      </c>
      <c r="C48" s="279"/>
    </row>
    <row r="49" spans="1:3" s="390" customFormat="1" ht="12" customHeight="1">
      <c r="A49" s="16" t="s">
        <v>257</v>
      </c>
      <c r="B49" s="393" t="s">
        <v>416</v>
      </c>
      <c r="C49" s="380"/>
    </row>
    <row r="50" spans="1:3" s="390" customFormat="1" ht="12" customHeight="1" thickBot="1">
      <c r="A50" s="16" t="s">
        <v>415</v>
      </c>
      <c r="B50" s="271" t="s">
        <v>267</v>
      </c>
      <c r="C50" s="380">
        <v>5157674</v>
      </c>
    </row>
    <row r="51" spans="1:3" s="390" customFormat="1" ht="12" customHeight="1" thickBot="1">
      <c r="A51" s="20" t="s">
        <v>21</v>
      </c>
      <c r="B51" s="21" t="s">
        <v>268</v>
      </c>
      <c r="C51" s="274">
        <f>SUM(C52:C56)</f>
        <v>0</v>
      </c>
    </row>
    <row r="52" spans="1:3" s="390" customFormat="1" ht="12" customHeight="1">
      <c r="A52" s="15" t="s">
        <v>92</v>
      </c>
      <c r="B52" s="391" t="s">
        <v>272</v>
      </c>
      <c r="C52" s="435"/>
    </row>
    <row r="53" spans="1:3" s="390" customFormat="1" ht="12" customHeight="1">
      <c r="A53" s="14" t="s">
        <v>93</v>
      </c>
      <c r="B53" s="392" t="s">
        <v>273</v>
      </c>
      <c r="C53" s="279"/>
    </row>
    <row r="54" spans="1:3" s="390" customFormat="1" ht="12" customHeight="1">
      <c r="A54" s="14" t="s">
        <v>269</v>
      </c>
      <c r="B54" s="392" t="s">
        <v>274</v>
      </c>
      <c r="C54" s="279"/>
    </row>
    <row r="55" spans="1:3" s="390" customFormat="1" ht="12" customHeight="1">
      <c r="A55" s="14" t="s">
        <v>270</v>
      </c>
      <c r="B55" s="392" t="s">
        <v>275</v>
      </c>
      <c r="C55" s="279"/>
    </row>
    <row r="56" spans="1:3" s="390" customFormat="1" ht="12" customHeight="1" thickBot="1">
      <c r="A56" s="16" t="s">
        <v>271</v>
      </c>
      <c r="B56" s="271" t="s">
        <v>276</v>
      </c>
      <c r="C56" s="380"/>
    </row>
    <row r="57" spans="1:3" s="390" customFormat="1" ht="12" customHeight="1" thickBot="1">
      <c r="A57" s="20" t="s">
        <v>164</v>
      </c>
      <c r="B57" s="21" t="s">
        <v>277</v>
      </c>
      <c r="C57" s="274">
        <f>SUM(C58:C60)</f>
        <v>980000</v>
      </c>
    </row>
    <row r="58" spans="1:3" s="390" customFormat="1" ht="12" customHeight="1">
      <c r="A58" s="15" t="s">
        <v>94</v>
      </c>
      <c r="B58" s="391" t="s">
        <v>278</v>
      </c>
      <c r="C58" s="277"/>
    </row>
    <row r="59" spans="1:3" s="390" customFormat="1" ht="12" customHeight="1">
      <c r="A59" s="14" t="s">
        <v>95</v>
      </c>
      <c r="B59" s="392" t="s">
        <v>407</v>
      </c>
      <c r="C59" s="276"/>
    </row>
    <row r="60" spans="1:3" s="390" customFormat="1" ht="12" customHeight="1">
      <c r="A60" s="14" t="s">
        <v>281</v>
      </c>
      <c r="B60" s="392" t="s">
        <v>279</v>
      </c>
      <c r="C60" s="276">
        <v>980000</v>
      </c>
    </row>
    <row r="61" spans="1:3" s="390" customFormat="1" ht="12" customHeight="1" thickBot="1">
      <c r="A61" s="16" t="s">
        <v>282</v>
      </c>
      <c r="B61" s="271" t="s">
        <v>280</v>
      </c>
      <c r="C61" s="278"/>
    </row>
    <row r="62" spans="1:3" s="390" customFormat="1" ht="12" customHeight="1" thickBot="1">
      <c r="A62" s="20" t="s">
        <v>23</v>
      </c>
      <c r="B62" s="269" t="s">
        <v>283</v>
      </c>
      <c r="C62" s="274">
        <f>SUM(C63:C65)</f>
        <v>100000</v>
      </c>
    </row>
    <row r="63" spans="1:3" s="390" customFormat="1" ht="12" customHeight="1">
      <c r="A63" s="15" t="s">
        <v>165</v>
      </c>
      <c r="B63" s="391" t="s">
        <v>285</v>
      </c>
      <c r="C63" s="279"/>
    </row>
    <row r="64" spans="1:3" s="390" customFormat="1" ht="12" customHeight="1">
      <c r="A64" s="14" t="s">
        <v>166</v>
      </c>
      <c r="B64" s="392" t="s">
        <v>408</v>
      </c>
      <c r="C64" s="279">
        <v>100000</v>
      </c>
    </row>
    <row r="65" spans="1:3" s="390" customFormat="1" ht="12" customHeight="1">
      <c r="A65" s="14" t="s">
        <v>214</v>
      </c>
      <c r="B65" s="392" t="s">
        <v>286</v>
      </c>
      <c r="C65" s="279"/>
    </row>
    <row r="66" spans="1:3" s="390" customFormat="1" ht="12" customHeight="1" thickBot="1">
      <c r="A66" s="16" t="s">
        <v>284</v>
      </c>
      <c r="B66" s="271" t="s">
        <v>287</v>
      </c>
      <c r="C66" s="279"/>
    </row>
    <row r="67" spans="1:3" s="390" customFormat="1" ht="12" customHeight="1" thickBot="1">
      <c r="A67" s="463" t="s">
        <v>456</v>
      </c>
      <c r="B67" s="21" t="s">
        <v>288</v>
      </c>
      <c r="C67" s="280">
        <f>+C10+C17+C24+C31+C39+C51+C57+C62</f>
        <v>441229494</v>
      </c>
    </row>
    <row r="68" spans="1:3" s="390" customFormat="1" ht="12" customHeight="1" thickBot="1">
      <c r="A68" s="438" t="s">
        <v>289</v>
      </c>
      <c r="B68" s="269" t="s">
        <v>290</v>
      </c>
      <c r="C68" s="274">
        <f>SUM(C69:C71)</f>
        <v>0</v>
      </c>
    </row>
    <row r="69" spans="1:3" s="390" customFormat="1" ht="12" customHeight="1">
      <c r="A69" s="15" t="s">
        <v>318</v>
      </c>
      <c r="B69" s="391" t="s">
        <v>291</v>
      </c>
      <c r="C69" s="279"/>
    </row>
    <row r="70" spans="1:3" s="390" customFormat="1" ht="12" customHeight="1">
      <c r="A70" s="14" t="s">
        <v>327</v>
      </c>
      <c r="B70" s="392" t="s">
        <v>292</v>
      </c>
      <c r="C70" s="279"/>
    </row>
    <row r="71" spans="1:3" s="390" customFormat="1" ht="12" customHeight="1" thickBot="1">
      <c r="A71" s="16" t="s">
        <v>328</v>
      </c>
      <c r="B71" s="457" t="s">
        <v>546</v>
      </c>
      <c r="C71" s="279"/>
    </row>
    <row r="72" spans="1:3" s="390" customFormat="1" ht="12" customHeight="1" thickBot="1">
      <c r="A72" s="438" t="s">
        <v>294</v>
      </c>
      <c r="B72" s="269" t="s">
        <v>295</v>
      </c>
      <c r="C72" s="274">
        <f>SUM(C73:C76)</f>
        <v>0</v>
      </c>
    </row>
    <row r="73" spans="1:3" s="390" customFormat="1" ht="12" customHeight="1">
      <c r="A73" s="15" t="s">
        <v>140</v>
      </c>
      <c r="B73" s="391" t="s">
        <v>296</v>
      </c>
      <c r="C73" s="279"/>
    </row>
    <row r="74" spans="1:3" s="390" customFormat="1" ht="12" customHeight="1">
      <c r="A74" s="14" t="s">
        <v>141</v>
      </c>
      <c r="B74" s="392" t="s">
        <v>547</v>
      </c>
      <c r="C74" s="279"/>
    </row>
    <row r="75" spans="1:3" s="390" customFormat="1" ht="12" customHeight="1" thickBot="1">
      <c r="A75" s="16" t="s">
        <v>319</v>
      </c>
      <c r="B75" s="393" t="s">
        <v>297</v>
      </c>
      <c r="C75" s="380"/>
    </row>
    <row r="76" spans="1:3" s="390" customFormat="1" ht="12" customHeight="1" thickBot="1">
      <c r="A76" s="538" t="s">
        <v>320</v>
      </c>
      <c r="B76" s="539" t="s">
        <v>548</v>
      </c>
      <c r="C76" s="540"/>
    </row>
    <row r="77" spans="1:3" s="390" customFormat="1" ht="12" customHeight="1" thickBot="1">
      <c r="A77" s="438" t="s">
        <v>298</v>
      </c>
      <c r="B77" s="269" t="s">
        <v>299</v>
      </c>
      <c r="C77" s="274">
        <f>SUM(C78:C79)</f>
        <v>55854055</v>
      </c>
    </row>
    <row r="78" spans="1:3" s="390" customFormat="1" ht="12" customHeight="1" thickBot="1">
      <c r="A78" s="13" t="s">
        <v>321</v>
      </c>
      <c r="B78" s="537" t="s">
        <v>300</v>
      </c>
      <c r="C78" s="380">
        <v>55854055</v>
      </c>
    </row>
    <row r="79" spans="1:3" s="390" customFormat="1" ht="12" customHeight="1" thickBot="1">
      <c r="A79" s="538" t="s">
        <v>322</v>
      </c>
      <c r="B79" s="539" t="s">
        <v>301</v>
      </c>
      <c r="C79" s="540"/>
    </row>
    <row r="80" spans="1:3" s="390" customFormat="1" ht="12" customHeight="1" thickBot="1">
      <c r="A80" s="438" t="s">
        <v>302</v>
      </c>
      <c r="B80" s="269" t="s">
        <v>303</v>
      </c>
      <c r="C80" s="274">
        <f>SUM(C81:C83)</f>
        <v>0</v>
      </c>
    </row>
    <row r="81" spans="1:3" s="390" customFormat="1" ht="12" customHeight="1">
      <c r="A81" s="15" t="s">
        <v>323</v>
      </c>
      <c r="B81" s="391" t="s">
        <v>304</v>
      </c>
      <c r="C81" s="279"/>
    </row>
    <row r="82" spans="1:3" s="390" customFormat="1" ht="12" customHeight="1">
      <c r="A82" s="14" t="s">
        <v>324</v>
      </c>
      <c r="B82" s="392" t="s">
        <v>305</v>
      </c>
      <c r="C82" s="279"/>
    </row>
    <row r="83" spans="1:3" s="390" customFormat="1" ht="12" customHeight="1" thickBot="1">
      <c r="A83" s="18" t="s">
        <v>325</v>
      </c>
      <c r="B83" s="541" t="s">
        <v>549</v>
      </c>
      <c r="C83" s="542"/>
    </row>
    <row r="84" spans="1:3" s="390" customFormat="1" ht="12" customHeight="1" thickBot="1">
      <c r="A84" s="438" t="s">
        <v>306</v>
      </c>
      <c r="B84" s="269" t="s">
        <v>326</v>
      </c>
      <c r="C84" s="274">
        <f>SUM(C85:C88)</f>
        <v>0</v>
      </c>
    </row>
    <row r="85" spans="1:3" s="390" customFormat="1" ht="12" customHeight="1">
      <c r="A85" s="395" t="s">
        <v>307</v>
      </c>
      <c r="B85" s="391" t="s">
        <v>308</v>
      </c>
      <c r="C85" s="279"/>
    </row>
    <row r="86" spans="1:3" s="390" customFormat="1" ht="12" customHeight="1">
      <c r="A86" s="396" t="s">
        <v>309</v>
      </c>
      <c r="B86" s="392" t="s">
        <v>310</v>
      </c>
      <c r="C86" s="279"/>
    </row>
    <row r="87" spans="1:3" s="390" customFormat="1" ht="12" customHeight="1">
      <c r="A87" s="396" t="s">
        <v>311</v>
      </c>
      <c r="B87" s="392" t="s">
        <v>312</v>
      </c>
      <c r="C87" s="279"/>
    </row>
    <row r="88" spans="1:3" s="390" customFormat="1" ht="12" customHeight="1" thickBot="1">
      <c r="A88" s="397" t="s">
        <v>313</v>
      </c>
      <c r="B88" s="271" t="s">
        <v>314</v>
      </c>
      <c r="C88" s="279"/>
    </row>
    <row r="89" spans="1:3" s="390" customFormat="1" ht="12" customHeight="1" thickBot="1">
      <c r="A89" s="438" t="s">
        <v>315</v>
      </c>
      <c r="B89" s="269" t="s">
        <v>455</v>
      </c>
      <c r="C89" s="436"/>
    </row>
    <row r="90" spans="1:3" s="390" customFormat="1" ht="13.5" customHeight="1" thickBot="1">
      <c r="A90" s="438" t="s">
        <v>317</v>
      </c>
      <c r="B90" s="269" t="s">
        <v>316</v>
      </c>
      <c r="C90" s="436"/>
    </row>
    <row r="91" spans="1:3" s="390" customFormat="1" ht="15.75" customHeight="1" thickBot="1">
      <c r="A91" s="438" t="s">
        <v>329</v>
      </c>
      <c r="B91" s="398" t="s">
        <v>458</v>
      </c>
      <c r="C91" s="280">
        <f>+C68+C72+C77+C80+C84+C90+C89</f>
        <v>55854055</v>
      </c>
    </row>
    <row r="92" spans="1:3" s="390" customFormat="1" ht="16.5" customHeight="1" thickBot="1">
      <c r="A92" s="439" t="s">
        <v>457</v>
      </c>
      <c r="B92" s="399" t="s">
        <v>459</v>
      </c>
      <c r="C92" s="280">
        <f>+C67+C91</f>
        <v>497083549</v>
      </c>
    </row>
    <row r="93" spans="1:3" s="390" customFormat="1" ht="10.5" customHeight="1">
      <c r="A93" s="5"/>
      <c r="B93" s="6"/>
      <c r="C93" s="281"/>
    </row>
    <row r="94" spans="1:3" ht="16.5" customHeight="1">
      <c r="A94" s="771" t="s">
        <v>45</v>
      </c>
      <c r="B94" s="771"/>
      <c r="C94" s="771"/>
    </row>
    <row r="95" spans="1:3" s="400" customFormat="1" ht="16.5" customHeight="1" thickBot="1">
      <c r="A95" s="768" t="s">
        <v>144</v>
      </c>
      <c r="B95" s="768"/>
      <c r="C95" s="549" t="str">
        <f>C7</f>
        <v>Forintban!</v>
      </c>
    </row>
    <row r="96" spans="1:3" ht="30" customHeight="1" thickBot="1">
      <c r="A96" s="530" t="s">
        <v>67</v>
      </c>
      <c r="B96" s="531" t="s">
        <v>46</v>
      </c>
      <c r="C96" s="532" t="str">
        <f>+C8</f>
        <v>2020. évi előirányzat</v>
      </c>
    </row>
    <row r="97" spans="1:3" s="389" customFormat="1" ht="12" customHeight="1" thickBot="1">
      <c r="A97" s="530"/>
      <c r="B97" s="531" t="s">
        <v>473</v>
      </c>
      <c r="C97" s="532" t="s">
        <v>474</v>
      </c>
    </row>
    <row r="98" spans="1:3" ht="12" customHeight="1" thickBot="1">
      <c r="A98" s="22" t="s">
        <v>16</v>
      </c>
      <c r="B98" s="28" t="s">
        <v>417</v>
      </c>
      <c r="C98" s="273">
        <f>C99+C100+C101+C102+C103+C116</f>
        <v>282899703</v>
      </c>
    </row>
    <row r="99" spans="1:3" ht="12" customHeight="1">
      <c r="A99" s="17" t="s">
        <v>96</v>
      </c>
      <c r="B99" s="10" t="s">
        <v>47</v>
      </c>
      <c r="C99" s="275">
        <v>138910267</v>
      </c>
    </row>
    <row r="100" spans="1:3" ht="12" customHeight="1">
      <c r="A100" s="14" t="s">
        <v>97</v>
      </c>
      <c r="B100" s="8" t="s">
        <v>167</v>
      </c>
      <c r="C100" s="276">
        <v>23095223</v>
      </c>
    </row>
    <row r="101" spans="1:3" ht="12" customHeight="1">
      <c r="A101" s="14" t="s">
        <v>98</v>
      </c>
      <c r="B101" s="8" t="s">
        <v>131</v>
      </c>
      <c r="C101" s="278">
        <v>106344077</v>
      </c>
    </row>
    <row r="102" spans="1:3" ht="12" customHeight="1">
      <c r="A102" s="14" t="s">
        <v>99</v>
      </c>
      <c r="B102" s="11" t="s">
        <v>168</v>
      </c>
      <c r="C102" s="278">
        <v>1875000</v>
      </c>
    </row>
    <row r="103" spans="1:3" ht="12" customHeight="1">
      <c r="A103" s="14" t="s">
        <v>110</v>
      </c>
      <c r="B103" s="19" t="s">
        <v>169</v>
      </c>
      <c r="C103" s="278">
        <f>C107+C115</f>
        <v>5975420</v>
      </c>
    </row>
    <row r="104" spans="1:3" ht="12" customHeight="1">
      <c r="A104" s="14" t="s">
        <v>100</v>
      </c>
      <c r="B104" s="8" t="s">
        <v>422</v>
      </c>
      <c r="C104" s="278"/>
    </row>
    <row r="105" spans="1:3" ht="12" customHeight="1">
      <c r="A105" s="14" t="s">
        <v>101</v>
      </c>
      <c r="B105" s="135" t="s">
        <v>421</v>
      </c>
      <c r="C105" s="278"/>
    </row>
    <row r="106" spans="1:3" ht="12" customHeight="1">
      <c r="A106" s="14" t="s">
        <v>111</v>
      </c>
      <c r="B106" s="135" t="s">
        <v>420</v>
      </c>
      <c r="C106" s="278"/>
    </row>
    <row r="107" spans="1:3" ht="12" customHeight="1">
      <c r="A107" s="14" t="s">
        <v>112</v>
      </c>
      <c r="B107" s="133" t="s">
        <v>332</v>
      </c>
      <c r="C107" s="278">
        <v>2498120</v>
      </c>
    </row>
    <row r="108" spans="1:3" ht="12" customHeight="1">
      <c r="A108" s="14" t="s">
        <v>113</v>
      </c>
      <c r="B108" s="134" t="s">
        <v>333</v>
      </c>
      <c r="C108" s="278"/>
    </row>
    <row r="109" spans="1:3" ht="12" customHeight="1">
      <c r="A109" s="14" t="s">
        <v>114</v>
      </c>
      <c r="B109" s="134" t="s">
        <v>334</v>
      </c>
      <c r="C109" s="278"/>
    </row>
    <row r="110" spans="1:3" ht="12" customHeight="1">
      <c r="A110" s="14" t="s">
        <v>116</v>
      </c>
      <c r="B110" s="133" t="s">
        <v>335</v>
      </c>
      <c r="C110" s="278"/>
    </row>
    <row r="111" spans="1:3" ht="12" customHeight="1">
      <c r="A111" s="14" t="s">
        <v>170</v>
      </c>
      <c r="B111" s="133" t="s">
        <v>336</v>
      </c>
      <c r="C111" s="278"/>
    </row>
    <row r="112" spans="1:3" ht="12" customHeight="1">
      <c r="A112" s="14" t="s">
        <v>330</v>
      </c>
      <c r="B112" s="134" t="s">
        <v>337</v>
      </c>
      <c r="C112" s="278"/>
    </row>
    <row r="113" spans="1:3" ht="12" customHeight="1">
      <c r="A113" s="13" t="s">
        <v>331</v>
      </c>
      <c r="B113" s="135" t="s">
        <v>338</v>
      </c>
      <c r="C113" s="278"/>
    </row>
    <row r="114" spans="1:3" ht="12" customHeight="1">
      <c r="A114" s="14" t="s">
        <v>418</v>
      </c>
      <c r="B114" s="135" t="s">
        <v>339</v>
      </c>
      <c r="C114" s="278"/>
    </row>
    <row r="115" spans="1:3" ht="12" customHeight="1">
      <c r="A115" s="16" t="s">
        <v>419</v>
      </c>
      <c r="B115" s="135" t="s">
        <v>340</v>
      </c>
      <c r="C115" s="278">
        <v>3477300</v>
      </c>
    </row>
    <row r="116" spans="1:3" ht="12" customHeight="1">
      <c r="A116" s="14" t="s">
        <v>423</v>
      </c>
      <c r="B116" s="11" t="s">
        <v>48</v>
      </c>
      <c r="C116" s="276">
        <f>C117+C118</f>
        <v>6699716</v>
      </c>
    </row>
    <row r="117" spans="1:3" ht="12" customHeight="1">
      <c r="A117" s="14" t="s">
        <v>424</v>
      </c>
      <c r="B117" s="8" t="s">
        <v>426</v>
      </c>
      <c r="C117" s="276">
        <v>1898823</v>
      </c>
    </row>
    <row r="118" spans="1:3" ht="12" customHeight="1" thickBot="1">
      <c r="A118" s="18" t="s">
        <v>425</v>
      </c>
      <c r="B118" s="461" t="s">
        <v>427</v>
      </c>
      <c r="C118" s="282">
        <v>4800893</v>
      </c>
    </row>
    <row r="119" spans="1:3" ht="12" customHeight="1" thickBot="1">
      <c r="A119" s="458" t="s">
        <v>17</v>
      </c>
      <c r="B119" s="459" t="s">
        <v>341</v>
      </c>
      <c r="C119" s="460">
        <f>+C120+C122+C124</f>
        <v>208522730</v>
      </c>
    </row>
    <row r="120" spans="1:3" ht="12" customHeight="1">
      <c r="A120" s="15" t="s">
        <v>102</v>
      </c>
      <c r="B120" s="8" t="s">
        <v>213</v>
      </c>
      <c r="C120" s="277">
        <v>126178862</v>
      </c>
    </row>
    <row r="121" spans="1:3" ht="12" customHeight="1">
      <c r="A121" s="15" t="s">
        <v>103</v>
      </c>
      <c r="B121" s="12" t="s">
        <v>345</v>
      </c>
      <c r="C121" s="277">
        <v>122005862</v>
      </c>
    </row>
    <row r="122" spans="1:3" ht="12" customHeight="1">
      <c r="A122" s="15" t="s">
        <v>104</v>
      </c>
      <c r="B122" s="12" t="s">
        <v>171</v>
      </c>
      <c r="C122" s="276">
        <v>82293868</v>
      </c>
    </row>
    <row r="123" spans="1:3" ht="12" customHeight="1">
      <c r="A123" s="15" t="s">
        <v>105</v>
      </c>
      <c r="B123" s="12" t="s">
        <v>346</v>
      </c>
      <c r="C123" s="241">
        <v>40510079</v>
      </c>
    </row>
    <row r="124" spans="1:3" ht="12" customHeight="1">
      <c r="A124" s="15" t="s">
        <v>106</v>
      </c>
      <c r="B124" s="271" t="s">
        <v>551</v>
      </c>
      <c r="C124" s="241">
        <f>C128+C132</f>
        <v>50000</v>
      </c>
    </row>
    <row r="125" spans="1:3" ht="12" customHeight="1">
      <c r="A125" s="15" t="s">
        <v>115</v>
      </c>
      <c r="B125" s="270" t="s">
        <v>409</v>
      </c>
      <c r="C125" s="241"/>
    </row>
    <row r="126" spans="1:3" ht="12" customHeight="1">
      <c r="A126" s="15" t="s">
        <v>117</v>
      </c>
      <c r="B126" s="387" t="s">
        <v>351</v>
      </c>
      <c r="C126" s="241"/>
    </row>
    <row r="127" spans="1:3" ht="15.75">
      <c r="A127" s="15" t="s">
        <v>172</v>
      </c>
      <c r="B127" s="134" t="s">
        <v>334</v>
      </c>
      <c r="C127" s="241"/>
    </row>
    <row r="128" spans="1:3" ht="12" customHeight="1">
      <c r="A128" s="15" t="s">
        <v>173</v>
      </c>
      <c r="B128" s="134" t="s">
        <v>350</v>
      </c>
      <c r="C128" s="241">
        <v>50000</v>
      </c>
    </row>
    <row r="129" spans="1:3" ht="12" customHeight="1">
      <c r="A129" s="15" t="s">
        <v>174</v>
      </c>
      <c r="B129" s="134" t="s">
        <v>349</v>
      </c>
      <c r="C129" s="241"/>
    </row>
    <row r="130" spans="1:3" ht="12" customHeight="1">
      <c r="A130" s="15" t="s">
        <v>342</v>
      </c>
      <c r="B130" s="134" t="s">
        <v>337</v>
      </c>
      <c r="C130" s="241"/>
    </row>
    <row r="131" spans="1:3" ht="12" customHeight="1">
      <c r="A131" s="15" t="s">
        <v>343</v>
      </c>
      <c r="B131" s="134" t="s">
        <v>348</v>
      </c>
      <c r="C131" s="241"/>
    </row>
    <row r="132" spans="1:3" ht="16.5" thickBot="1">
      <c r="A132" s="13" t="s">
        <v>344</v>
      </c>
      <c r="B132" s="134" t="s">
        <v>347</v>
      </c>
      <c r="C132" s="243"/>
    </row>
    <row r="133" spans="1:3" ht="12" customHeight="1" thickBot="1">
      <c r="A133" s="20" t="s">
        <v>18</v>
      </c>
      <c r="B133" s="116" t="s">
        <v>428</v>
      </c>
      <c r="C133" s="274">
        <f>+C98+C119</f>
        <v>491422433</v>
      </c>
    </row>
    <row r="134" spans="1:3" ht="12" customHeight="1" thickBot="1">
      <c r="A134" s="20" t="s">
        <v>19</v>
      </c>
      <c r="B134" s="116" t="s">
        <v>429</v>
      </c>
      <c r="C134" s="274">
        <f>+C135+C136+C137</f>
        <v>0</v>
      </c>
    </row>
    <row r="135" spans="1:3" ht="12" customHeight="1">
      <c r="A135" s="15" t="s">
        <v>251</v>
      </c>
      <c r="B135" s="12" t="s">
        <v>436</v>
      </c>
      <c r="C135" s="241"/>
    </row>
    <row r="136" spans="1:3" ht="12" customHeight="1">
      <c r="A136" s="15" t="s">
        <v>252</v>
      </c>
      <c r="B136" s="12" t="s">
        <v>437</v>
      </c>
      <c r="C136" s="241"/>
    </row>
    <row r="137" spans="1:3" ht="12" customHeight="1" thickBot="1">
      <c r="A137" s="13" t="s">
        <v>253</v>
      </c>
      <c r="B137" s="12" t="s">
        <v>438</v>
      </c>
      <c r="C137" s="241"/>
    </row>
    <row r="138" spans="1:3" ht="12" customHeight="1" thickBot="1">
      <c r="A138" s="20" t="s">
        <v>20</v>
      </c>
      <c r="B138" s="116" t="s">
        <v>430</v>
      </c>
      <c r="C138" s="274">
        <f>SUM(C139:C144)</f>
        <v>0</v>
      </c>
    </row>
    <row r="139" spans="1:3" ht="12" customHeight="1">
      <c r="A139" s="15" t="s">
        <v>89</v>
      </c>
      <c r="B139" s="9" t="s">
        <v>439</v>
      </c>
      <c r="C139" s="241"/>
    </row>
    <row r="140" spans="1:3" ht="12" customHeight="1">
      <c r="A140" s="15" t="s">
        <v>90</v>
      </c>
      <c r="B140" s="9" t="s">
        <v>431</v>
      </c>
      <c r="C140" s="241"/>
    </row>
    <row r="141" spans="1:3" ht="12" customHeight="1">
      <c r="A141" s="15" t="s">
        <v>91</v>
      </c>
      <c r="B141" s="9" t="s">
        <v>432</v>
      </c>
      <c r="C141" s="241"/>
    </row>
    <row r="142" spans="1:3" ht="12" customHeight="1">
      <c r="A142" s="15" t="s">
        <v>159</v>
      </c>
      <c r="B142" s="9" t="s">
        <v>433</v>
      </c>
      <c r="C142" s="241"/>
    </row>
    <row r="143" spans="1:3" ht="12" customHeight="1">
      <c r="A143" s="13" t="s">
        <v>160</v>
      </c>
      <c r="B143" s="7" t="s">
        <v>434</v>
      </c>
      <c r="C143" s="243"/>
    </row>
    <row r="144" spans="1:3" ht="12" customHeight="1" thickBot="1">
      <c r="A144" s="18" t="s">
        <v>161</v>
      </c>
      <c r="B144" s="687" t="s">
        <v>435</v>
      </c>
      <c r="C144" s="468"/>
    </row>
    <row r="145" spans="1:3" ht="12" customHeight="1" thickBot="1">
      <c r="A145" s="20" t="s">
        <v>21</v>
      </c>
      <c r="B145" s="116" t="s">
        <v>443</v>
      </c>
      <c r="C145" s="280">
        <f>+C146+C147+C148+C149</f>
        <v>5661116</v>
      </c>
    </row>
    <row r="146" spans="1:3" ht="12" customHeight="1">
      <c r="A146" s="15" t="s">
        <v>92</v>
      </c>
      <c r="B146" s="9" t="s">
        <v>352</v>
      </c>
      <c r="C146" s="241"/>
    </row>
    <row r="147" spans="1:3" ht="12" customHeight="1">
      <c r="A147" s="15" t="s">
        <v>93</v>
      </c>
      <c r="B147" s="9" t="s">
        <v>353</v>
      </c>
      <c r="C147" s="241">
        <v>5661116</v>
      </c>
    </row>
    <row r="148" spans="1:3" ht="12" customHeight="1" thickBot="1">
      <c r="A148" s="13" t="s">
        <v>269</v>
      </c>
      <c r="B148" s="7" t="s">
        <v>444</v>
      </c>
      <c r="C148" s="243"/>
    </row>
    <row r="149" spans="1:3" ht="12" customHeight="1" thickBot="1">
      <c r="A149" s="538" t="s">
        <v>270</v>
      </c>
      <c r="B149" s="543" t="s">
        <v>371</v>
      </c>
      <c r="C149" s="544"/>
    </row>
    <row r="150" spans="1:3" ht="12" customHeight="1" thickBot="1">
      <c r="A150" s="20" t="s">
        <v>22</v>
      </c>
      <c r="B150" s="116" t="s">
        <v>445</v>
      </c>
      <c r="C150" s="283">
        <f>SUM(C151:C155)</f>
        <v>0</v>
      </c>
    </row>
    <row r="151" spans="1:3" ht="12" customHeight="1">
      <c r="A151" s="15" t="s">
        <v>94</v>
      </c>
      <c r="B151" s="9" t="s">
        <v>440</v>
      </c>
      <c r="C151" s="241"/>
    </row>
    <row r="152" spans="1:3" ht="12" customHeight="1">
      <c r="A152" s="15" t="s">
        <v>95</v>
      </c>
      <c r="B152" s="9" t="s">
        <v>447</v>
      </c>
      <c r="C152" s="241"/>
    </row>
    <row r="153" spans="1:3" ht="12" customHeight="1">
      <c r="A153" s="15" t="s">
        <v>281</v>
      </c>
      <c r="B153" s="9" t="s">
        <v>442</v>
      </c>
      <c r="C153" s="241"/>
    </row>
    <row r="154" spans="1:3" ht="12" customHeight="1">
      <c r="A154" s="15" t="s">
        <v>282</v>
      </c>
      <c r="B154" s="9" t="s">
        <v>498</v>
      </c>
      <c r="C154" s="241"/>
    </row>
    <row r="155" spans="1:3" ht="12" customHeight="1" thickBot="1">
      <c r="A155" s="15" t="s">
        <v>446</v>
      </c>
      <c r="B155" s="9" t="s">
        <v>449</v>
      </c>
      <c r="C155" s="241"/>
    </row>
    <row r="156" spans="1:3" ht="12" customHeight="1" thickBot="1">
      <c r="A156" s="20" t="s">
        <v>23</v>
      </c>
      <c r="B156" s="116" t="s">
        <v>450</v>
      </c>
      <c r="C156" s="462"/>
    </row>
    <row r="157" spans="1:3" ht="12" customHeight="1" thickBot="1">
      <c r="A157" s="20" t="s">
        <v>24</v>
      </c>
      <c r="B157" s="116" t="s">
        <v>451</v>
      </c>
      <c r="C157" s="462"/>
    </row>
    <row r="158" spans="1:9" ht="15" customHeight="1" thickBot="1">
      <c r="A158" s="20" t="s">
        <v>25</v>
      </c>
      <c r="B158" s="116" t="s">
        <v>453</v>
      </c>
      <c r="C158" s="545">
        <f>+C134+C138+C145+C150+C156+C157</f>
        <v>5661116</v>
      </c>
      <c r="F158" s="402"/>
      <c r="G158" s="403"/>
      <c r="H158" s="403"/>
      <c r="I158" s="403"/>
    </row>
    <row r="159" spans="1:3" s="390" customFormat="1" ht="17.25" customHeight="1" thickBot="1">
      <c r="A159" s="272" t="s">
        <v>26</v>
      </c>
      <c r="B159" s="546" t="s">
        <v>452</v>
      </c>
      <c r="C159" s="545">
        <f>+C133+C158</f>
        <v>497083549</v>
      </c>
    </row>
    <row r="160" spans="1:3" ht="15.75" customHeight="1">
      <c r="A160" s="547"/>
      <c r="B160" s="547"/>
      <c r="C160" s="605">
        <f>C92-C159</f>
        <v>0</v>
      </c>
    </row>
    <row r="161" spans="1:3" ht="15.75">
      <c r="A161" s="769" t="s">
        <v>354</v>
      </c>
      <c r="B161" s="769"/>
      <c r="C161" s="769"/>
    </row>
    <row r="162" spans="1:3" ht="15" customHeight="1" thickBot="1">
      <c r="A162" s="770" t="s">
        <v>145</v>
      </c>
      <c r="B162" s="770"/>
      <c r="C162" s="550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74">
        <f>+C67-C133</f>
        <v>-50192939</v>
      </c>
      <c r="D163" s="404"/>
    </row>
    <row r="164" spans="1:3" ht="27.75" customHeight="1" thickBot="1">
      <c r="A164" s="20" t="s">
        <v>17</v>
      </c>
      <c r="B164" s="27" t="s">
        <v>460</v>
      </c>
      <c r="C164" s="274">
        <f>+C91-C158</f>
        <v>50192939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5">
      <selection activeCell="F159" sqref="F159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8" customWidth="1"/>
    <col min="5" max="16384" width="9.375" style="388" customWidth="1"/>
  </cols>
  <sheetData>
    <row r="1" spans="1:3" ht="18.75" customHeight="1">
      <c r="A1" s="596"/>
      <c r="B1" s="764" t="str">
        <f>CONCATENATE("1.3. melléklet ",ALAPADATOK!A7," ",ALAPADATOK!B7," ",ALAPADATOK!C7," ",ALAPADATOK!D7," ",ALAPADATOK!E7," ",ALAPADATOK!F7," ",ALAPADATOK!G7," ",ALAPADATOK!H7)</f>
        <v>1.3. melléklet a 4 / 2020 ( II.25. ) önkormányzati rendelethez</v>
      </c>
      <c r="C1" s="765"/>
    </row>
    <row r="2" spans="1:3" ht="21.75" customHeight="1">
      <c r="A2" s="597"/>
      <c r="B2" s="598" t="str">
        <f>CONCATENATE(ALAPADATOK!A3)</f>
        <v>MURAKERESZTÚR KÖZSÉG ÖNKORMÁNYZATA</v>
      </c>
      <c r="C2" s="599"/>
    </row>
    <row r="3" spans="1:3" ht="21.75" customHeight="1">
      <c r="A3" s="599"/>
      <c r="B3" s="598" t="str">
        <f>'KV_1.2.sz.mell.'!B3</f>
        <v>2020. ÉVI KÖLTSÉGVETÉS</v>
      </c>
      <c r="C3" s="599"/>
    </row>
    <row r="4" spans="1:3" ht="21.75" customHeight="1">
      <c r="A4" s="599"/>
      <c r="B4" s="598" t="s">
        <v>557</v>
      </c>
      <c r="C4" s="599"/>
    </row>
    <row r="5" spans="1:3" ht="21.75" customHeight="1">
      <c r="A5" s="596"/>
      <c r="B5" s="596"/>
      <c r="C5" s="600"/>
    </row>
    <row r="6" spans="1:3" ht="15" customHeight="1">
      <c r="A6" s="766" t="s">
        <v>13</v>
      </c>
      <c r="B6" s="766"/>
      <c r="C6" s="766"/>
    </row>
    <row r="7" spans="1:3" ht="15" customHeight="1" thickBot="1">
      <c r="A7" s="767" t="s">
        <v>143</v>
      </c>
      <c r="B7" s="767"/>
      <c r="C7" s="548" t="str">
        <f>CONCATENATE('KV_1.1.sz.mell.'!C7)</f>
        <v>Forintban!</v>
      </c>
    </row>
    <row r="8" spans="1:3" ht="24" customHeight="1" thickBot="1">
      <c r="A8" s="601" t="s">
        <v>67</v>
      </c>
      <c r="B8" s="602" t="s">
        <v>15</v>
      </c>
      <c r="C8" s="603" t="str">
        <f>+CONCATENATE(LEFT(KV_ÖSSZEFÜGGÉSEK!A5,4),". évi előirányzat")</f>
        <v>2020. évi előirányzat</v>
      </c>
    </row>
    <row r="9" spans="1:3" s="389" customFormat="1" ht="12" customHeight="1" thickBot="1">
      <c r="A9" s="533"/>
      <c r="B9" s="534" t="s">
        <v>473</v>
      </c>
      <c r="C9" s="535" t="s">
        <v>474</v>
      </c>
    </row>
    <row r="10" spans="1:3" s="390" customFormat="1" ht="12" customHeight="1" thickBot="1">
      <c r="A10" s="20" t="s">
        <v>16</v>
      </c>
      <c r="B10" s="21" t="s">
        <v>235</v>
      </c>
      <c r="C10" s="274">
        <f>+C11+C12+C13+C14+C15+C16</f>
        <v>0</v>
      </c>
    </row>
    <row r="11" spans="1:3" s="390" customFormat="1" ht="12" customHeight="1">
      <c r="A11" s="15" t="s">
        <v>96</v>
      </c>
      <c r="B11" s="391" t="s">
        <v>236</v>
      </c>
      <c r="C11" s="277"/>
    </row>
    <row r="12" spans="1:3" s="390" customFormat="1" ht="12" customHeight="1">
      <c r="A12" s="14" t="s">
        <v>97</v>
      </c>
      <c r="B12" s="392" t="s">
        <v>237</v>
      </c>
      <c r="C12" s="276"/>
    </row>
    <row r="13" spans="1:3" s="390" customFormat="1" ht="12" customHeight="1">
      <c r="A13" s="14" t="s">
        <v>98</v>
      </c>
      <c r="B13" s="392" t="s">
        <v>528</v>
      </c>
      <c r="C13" s="276"/>
    </row>
    <row r="14" spans="1:3" s="390" customFormat="1" ht="12" customHeight="1">
      <c r="A14" s="14" t="s">
        <v>99</v>
      </c>
      <c r="B14" s="392" t="s">
        <v>239</v>
      </c>
      <c r="C14" s="276"/>
    </row>
    <row r="15" spans="1:3" s="390" customFormat="1" ht="12" customHeight="1">
      <c r="A15" s="14" t="s">
        <v>139</v>
      </c>
      <c r="B15" s="270" t="s">
        <v>412</v>
      </c>
      <c r="C15" s="276"/>
    </row>
    <row r="16" spans="1:3" s="390" customFormat="1" ht="12" customHeight="1" thickBot="1">
      <c r="A16" s="16" t="s">
        <v>100</v>
      </c>
      <c r="B16" s="271" t="s">
        <v>413</v>
      </c>
      <c r="C16" s="276"/>
    </row>
    <row r="17" spans="1:3" s="390" customFormat="1" ht="12" customHeight="1" thickBot="1">
      <c r="A17" s="20" t="s">
        <v>17</v>
      </c>
      <c r="B17" s="269" t="s">
        <v>240</v>
      </c>
      <c r="C17" s="274">
        <f>+C18+C19+C20+C21+C22</f>
        <v>875375</v>
      </c>
    </row>
    <row r="18" spans="1:3" s="390" customFormat="1" ht="12" customHeight="1">
      <c r="A18" s="15" t="s">
        <v>102</v>
      </c>
      <c r="B18" s="391" t="s">
        <v>241</v>
      </c>
      <c r="C18" s="277"/>
    </row>
    <row r="19" spans="1:3" s="390" customFormat="1" ht="12" customHeight="1">
      <c r="A19" s="14" t="s">
        <v>103</v>
      </c>
      <c r="B19" s="392" t="s">
        <v>242</v>
      </c>
      <c r="C19" s="276"/>
    </row>
    <row r="20" spans="1:3" s="390" customFormat="1" ht="12" customHeight="1">
      <c r="A20" s="14" t="s">
        <v>104</v>
      </c>
      <c r="B20" s="392" t="s">
        <v>403</v>
      </c>
      <c r="C20" s="276"/>
    </row>
    <row r="21" spans="1:3" s="390" customFormat="1" ht="12" customHeight="1">
      <c r="A21" s="14" t="s">
        <v>105</v>
      </c>
      <c r="B21" s="392" t="s">
        <v>404</v>
      </c>
      <c r="C21" s="276"/>
    </row>
    <row r="22" spans="1:3" s="390" customFormat="1" ht="12" customHeight="1">
      <c r="A22" s="14" t="s">
        <v>106</v>
      </c>
      <c r="B22" s="392" t="s">
        <v>550</v>
      </c>
      <c r="C22" s="276">
        <v>875375</v>
      </c>
    </row>
    <row r="23" spans="1:3" s="390" customFormat="1" ht="12" customHeight="1" thickBot="1">
      <c r="A23" s="16" t="s">
        <v>115</v>
      </c>
      <c r="B23" s="271" t="s">
        <v>244</v>
      </c>
      <c r="C23" s="278"/>
    </row>
    <row r="24" spans="1:3" s="390" customFormat="1" ht="12" customHeight="1" thickBot="1">
      <c r="A24" s="20" t="s">
        <v>18</v>
      </c>
      <c r="B24" s="21" t="s">
        <v>245</v>
      </c>
      <c r="C24" s="274">
        <f>+C25+C26+C27+C28+C29</f>
        <v>0</v>
      </c>
    </row>
    <row r="25" spans="1:3" s="390" customFormat="1" ht="12" customHeight="1">
      <c r="A25" s="15" t="s">
        <v>85</v>
      </c>
      <c r="B25" s="391" t="s">
        <v>246</v>
      </c>
      <c r="C25" s="277"/>
    </row>
    <row r="26" spans="1:3" s="390" customFormat="1" ht="12" customHeight="1">
      <c r="A26" s="14" t="s">
        <v>86</v>
      </c>
      <c r="B26" s="392" t="s">
        <v>247</v>
      </c>
      <c r="C26" s="276"/>
    </row>
    <row r="27" spans="1:3" s="390" customFormat="1" ht="12" customHeight="1">
      <c r="A27" s="14" t="s">
        <v>87</v>
      </c>
      <c r="B27" s="392" t="s">
        <v>405</v>
      </c>
      <c r="C27" s="276"/>
    </row>
    <row r="28" spans="1:3" s="390" customFormat="1" ht="12" customHeight="1">
      <c r="A28" s="14" t="s">
        <v>88</v>
      </c>
      <c r="B28" s="392" t="s">
        <v>406</v>
      </c>
      <c r="C28" s="276"/>
    </row>
    <row r="29" spans="1:3" s="390" customFormat="1" ht="12" customHeight="1">
      <c r="A29" s="14" t="s">
        <v>155</v>
      </c>
      <c r="B29" s="392" t="s">
        <v>248</v>
      </c>
      <c r="C29" s="276"/>
    </row>
    <row r="30" spans="1:3" s="526" customFormat="1" ht="12" customHeight="1" thickBot="1">
      <c r="A30" s="536" t="s">
        <v>156</v>
      </c>
      <c r="B30" s="524" t="s">
        <v>545</v>
      </c>
      <c r="C30" s="525"/>
    </row>
    <row r="31" spans="1:3" s="390" customFormat="1" ht="12" customHeight="1" thickBot="1">
      <c r="A31" s="20" t="s">
        <v>157</v>
      </c>
      <c r="B31" s="21" t="s">
        <v>529</v>
      </c>
      <c r="C31" s="280">
        <f>SUM(C32:C38)</f>
        <v>8246492</v>
      </c>
    </row>
    <row r="32" spans="1:3" s="390" customFormat="1" ht="12" customHeight="1">
      <c r="A32" s="15" t="s">
        <v>251</v>
      </c>
      <c r="B32" s="391" t="str">
        <f>'KV_1.1.sz.mell.'!B32</f>
        <v>Magánszemélyek kommunális adója</v>
      </c>
      <c r="C32" s="277"/>
    </row>
    <row r="33" spans="1:3" s="390" customFormat="1" ht="12" customHeight="1">
      <c r="A33" s="14" t="s">
        <v>252</v>
      </c>
      <c r="B33" s="391" t="str">
        <f>'KV_1.1.sz.mell.'!B33</f>
        <v>Idegenforgalmi adó</v>
      </c>
      <c r="C33" s="276"/>
    </row>
    <row r="34" spans="1:3" s="390" customFormat="1" ht="12" customHeight="1">
      <c r="A34" s="14" t="s">
        <v>253</v>
      </c>
      <c r="B34" s="391" t="str">
        <f>'KV_1.1.sz.mell.'!B34</f>
        <v>Iparűzési adó</v>
      </c>
      <c r="C34" s="276">
        <v>8246492</v>
      </c>
    </row>
    <row r="35" spans="1:3" s="390" customFormat="1" ht="12" customHeight="1">
      <c r="A35" s="14" t="s">
        <v>254</v>
      </c>
      <c r="B35" s="391" t="str">
        <f>'KV_1.1.sz.mell.'!B35</f>
        <v>Talajterhelési díj</v>
      </c>
      <c r="C35" s="276"/>
    </row>
    <row r="36" spans="1:3" s="390" customFormat="1" ht="12" customHeight="1">
      <c r="A36" s="14" t="s">
        <v>530</v>
      </c>
      <c r="B36" s="391" t="str">
        <f>'KV_1.1.sz.mell.'!B36</f>
        <v>Gépjárműadó</v>
      </c>
      <c r="C36" s="276"/>
    </row>
    <row r="37" spans="1:3" s="390" customFormat="1" ht="12" customHeight="1">
      <c r="A37" s="14" t="s">
        <v>531</v>
      </c>
      <c r="B37" s="391" t="str">
        <f>'KV_1.1.sz.mell.'!B37</f>
        <v>Telekadó</v>
      </c>
      <c r="C37" s="276"/>
    </row>
    <row r="38" spans="1:3" s="390" customFormat="1" ht="12" customHeight="1" thickBot="1">
      <c r="A38" s="16" t="s">
        <v>532</v>
      </c>
      <c r="B38" s="391" t="str">
        <f>'KV_1.1.sz.mell.'!B38</f>
        <v>Kommunális adó</v>
      </c>
      <c r="C38" s="278"/>
    </row>
    <row r="39" spans="1:3" s="390" customFormat="1" ht="12" customHeight="1" thickBot="1">
      <c r="A39" s="20" t="s">
        <v>20</v>
      </c>
      <c r="B39" s="21" t="s">
        <v>414</v>
      </c>
      <c r="C39" s="274">
        <f>SUM(C40:C50)</f>
        <v>9681210</v>
      </c>
    </row>
    <row r="40" spans="1:3" s="390" customFormat="1" ht="12" customHeight="1">
      <c r="A40" s="15" t="s">
        <v>89</v>
      </c>
      <c r="B40" s="391" t="s">
        <v>258</v>
      </c>
      <c r="C40" s="277"/>
    </row>
    <row r="41" spans="1:3" s="390" customFormat="1" ht="12" customHeight="1">
      <c r="A41" s="14" t="s">
        <v>90</v>
      </c>
      <c r="B41" s="392" t="s">
        <v>259</v>
      </c>
      <c r="C41" s="276">
        <v>7623000</v>
      </c>
    </row>
    <row r="42" spans="1:3" s="390" customFormat="1" ht="12" customHeight="1">
      <c r="A42" s="14" t="s">
        <v>91</v>
      </c>
      <c r="B42" s="392" t="s">
        <v>260</v>
      </c>
      <c r="C42" s="276"/>
    </row>
    <row r="43" spans="1:3" s="390" customFormat="1" ht="12" customHeight="1">
      <c r="A43" s="14" t="s">
        <v>159</v>
      </c>
      <c r="B43" s="392" t="s">
        <v>261</v>
      </c>
      <c r="C43" s="276"/>
    </row>
    <row r="44" spans="1:3" s="390" customFormat="1" ht="12" customHeight="1">
      <c r="A44" s="14" t="s">
        <v>160</v>
      </c>
      <c r="B44" s="392" t="s">
        <v>262</v>
      </c>
      <c r="C44" s="276"/>
    </row>
    <row r="45" spans="1:3" s="390" customFormat="1" ht="12" customHeight="1">
      <c r="A45" s="14" t="s">
        <v>161</v>
      </c>
      <c r="B45" s="392" t="s">
        <v>263</v>
      </c>
      <c r="C45" s="276">
        <v>2058210</v>
      </c>
    </row>
    <row r="46" spans="1:3" s="390" customFormat="1" ht="12" customHeight="1">
      <c r="A46" s="14" t="s">
        <v>162</v>
      </c>
      <c r="B46" s="392" t="s">
        <v>264</v>
      </c>
      <c r="C46" s="276"/>
    </row>
    <row r="47" spans="1:3" s="390" customFormat="1" ht="12" customHeight="1">
      <c r="A47" s="14" t="s">
        <v>163</v>
      </c>
      <c r="B47" s="392" t="s">
        <v>536</v>
      </c>
      <c r="C47" s="276"/>
    </row>
    <row r="48" spans="1:3" s="390" customFormat="1" ht="12" customHeight="1">
      <c r="A48" s="14" t="s">
        <v>256</v>
      </c>
      <c r="B48" s="392" t="s">
        <v>266</v>
      </c>
      <c r="C48" s="279"/>
    </row>
    <row r="49" spans="1:3" s="390" customFormat="1" ht="12" customHeight="1">
      <c r="A49" s="16" t="s">
        <v>257</v>
      </c>
      <c r="B49" s="393" t="s">
        <v>416</v>
      </c>
      <c r="C49" s="380"/>
    </row>
    <row r="50" spans="1:3" s="390" customFormat="1" ht="12" customHeight="1" thickBot="1">
      <c r="A50" s="16" t="s">
        <v>415</v>
      </c>
      <c r="B50" s="271" t="s">
        <v>267</v>
      </c>
      <c r="C50" s="380"/>
    </row>
    <row r="51" spans="1:3" s="390" customFormat="1" ht="12" customHeight="1" thickBot="1">
      <c r="A51" s="20" t="s">
        <v>21</v>
      </c>
      <c r="B51" s="21" t="s">
        <v>268</v>
      </c>
      <c r="C51" s="274">
        <f>SUM(C52:C56)</f>
        <v>0</v>
      </c>
    </row>
    <row r="52" spans="1:3" s="390" customFormat="1" ht="12" customHeight="1">
      <c r="A52" s="15" t="s">
        <v>92</v>
      </c>
      <c r="B52" s="391" t="s">
        <v>272</v>
      </c>
      <c r="C52" s="435"/>
    </row>
    <row r="53" spans="1:3" s="390" customFormat="1" ht="12" customHeight="1">
      <c r="A53" s="14" t="s">
        <v>93</v>
      </c>
      <c r="B53" s="392" t="s">
        <v>273</v>
      </c>
      <c r="C53" s="279"/>
    </row>
    <row r="54" spans="1:3" s="390" customFormat="1" ht="12" customHeight="1">
      <c r="A54" s="14" t="s">
        <v>269</v>
      </c>
      <c r="B54" s="392" t="s">
        <v>274</v>
      </c>
      <c r="C54" s="279"/>
    </row>
    <row r="55" spans="1:3" s="390" customFormat="1" ht="12" customHeight="1">
      <c r="A55" s="14" t="s">
        <v>270</v>
      </c>
      <c r="B55" s="392" t="s">
        <v>275</v>
      </c>
      <c r="C55" s="279"/>
    </row>
    <row r="56" spans="1:3" s="390" customFormat="1" ht="12" customHeight="1" thickBot="1">
      <c r="A56" s="16" t="s">
        <v>271</v>
      </c>
      <c r="B56" s="271" t="s">
        <v>276</v>
      </c>
      <c r="C56" s="380"/>
    </row>
    <row r="57" spans="1:3" s="390" customFormat="1" ht="12" customHeight="1" thickBot="1">
      <c r="A57" s="20" t="s">
        <v>164</v>
      </c>
      <c r="B57" s="21" t="s">
        <v>277</v>
      </c>
      <c r="C57" s="274">
        <f>SUM(C58:C60)</f>
        <v>0</v>
      </c>
    </row>
    <row r="58" spans="1:3" s="390" customFormat="1" ht="12" customHeight="1">
      <c r="A58" s="15" t="s">
        <v>94</v>
      </c>
      <c r="B58" s="391" t="s">
        <v>278</v>
      </c>
      <c r="C58" s="277"/>
    </row>
    <row r="59" spans="1:3" s="390" customFormat="1" ht="12" customHeight="1">
      <c r="A59" s="14" t="s">
        <v>95</v>
      </c>
      <c r="B59" s="392" t="s">
        <v>407</v>
      </c>
      <c r="C59" s="276"/>
    </row>
    <row r="60" spans="1:3" s="390" customFormat="1" ht="12" customHeight="1">
      <c r="A60" s="14" t="s">
        <v>281</v>
      </c>
      <c r="B60" s="392" t="s">
        <v>279</v>
      </c>
      <c r="C60" s="276"/>
    </row>
    <row r="61" spans="1:3" s="390" customFormat="1" ht="12" customHeight="1" thickBot="1">
      <c r="A61" s="16" t="s">
        <v>282</v>
      </c>
      <c r="B61" s="271" t="s">
        <v>280</v>
      </c>
      <c r="C61" s="278"/>
    </row>
    <row r="62" spans="1:3" s="390" customFormat="1" ht="12" customHeight="1" thickBot="1">
      <c r="A62" s="20" t="s">
        <v>23</v>
      </c>
      <c r="B62" s="269" t="s">
        <v>283</v>
      </c>
      <c r="C62" s="274">
        <f>SUM(C63:C65)</f>
        <v>0</v>
      </c>
    </row>
    <row r="63" spans="1:3" s="390" customFormat="1" ht="12" customHeight="1">
      <c r="A63" s="15" t="s">
        <v>165</v>
      </c>
      <c r="B63" s="391" t="s">
        <v>285</v>
      </c>
      <c r="C63" s="279"/>
    </row>
    <row r="64" spans="1:3" s="390" customFormat="1" ht="12" customHeight="1">
      <c r="A64" s="14" t="s">
        <v>166</v>
      </c>
      <c r="B64" s="392" t="s">
        <v>408</v>
      </c>
      <c r="C64" s="279"/>
    </row>
    <row r="65" spans="1:3" s="390" customFormat="1" ht="12" customHeight="1">
      <c r="A65" s="14" t="s">
        <v>214</v>
      </c>
      <c r="B65" s="392" t="s">
        <v>286</v>
      </c>
      <c r="C65" s="279"/>
    </row>
    <row r="66" spans="1:3" s="390" customFormat="1" ht="12" customHeight="1" thickBot="1">
      <c r="A66" s="16" t="s">
        <v>284</v>
      </c>
      <c r="B66" s="271" t="s">
        <v>287</v>
      </c>
      <c r="C66" s="279"/>
    </row>
    <row r="67" spans="1:3" s="390" customFormat="1" ht="12" customHeight="1" thickBot="1">
      <c r="A67" s="463" t="s">
        <v>456</v>
      </c>
      <c r="B67" s="21" t="s">
        <v>288</v>
      </c>
      <c r="C67" s="280">
        <f>+C10+C17+C24+C31+C39+C51+C57+C62</f>
        <v>18803077</v>
      </c>
    </row>
    <row r="68" spans="1:3" s="390" customFormat="1" ht="12" customHeight="1" thickBot="1">
      <c r="A68" s="438" t="s">
        <v>289</v>
      </c>
      <c r="B68" s="269" t="s">
        <v>290</v>
      </c>
      <c r="C68" s="274">
        <f>SUM(C69:C71)</f>
        <v>0</v>
      </c>
    </row>
    <row r="69" spans="1:3" s="390" customFormat="1" ht="12" customHeight="1">
      <c r="A69" s="15" t="s">
        <v>318</v>
      </c>
      <c r="B69" s="391" t="s">
        <v>291</v>
      </c>
      <c r="C69" s="279"/>
    </row>
    <row r="70" spans="1:3" s="390" customFormat="1" ht="12" customHeight="1">
      <c r="A70" s="14" t="s">
        <v>327</v>
      </c>
      <c r="B70" s="392" t="s">
        <v>292</v>
      </c>
      <c r="C70" s="279"/>
    </row>
    <row r="71" spans="1:3" s="390" customFormat="1" ht="12" customHeight="1" thickBot="1">
      <c r="A71" s="16" t="s">
        <v>328</v>
      </c>
      <c r="B71" s="457" t="s">
        <v>546</v>
      </c>
      <c r="C71" s="279"/>
    </row>
    <row r="72" spans="1:3" s="390" customFormat="1" ht="12" customHeight="1" thickBot="1">
      <c r="A72" s="438" t="s">
        <v>294</v>
      </c>
      <c r="B72" s="269" t="s">
        <v>295</v>
      </c>
      <c r="C72" s="274">
        <f>SUM(C73:C76)</f>
        <v>0</v>
      </c>
    </row>
    <row r="73" spans="1:3" s="390" customFormat="1" ht="12" customHeight="1">
      <c r="A73" s="15" t="s">
        <v>140</v>
      </c>
      <c r="B73" s="391" t="s">
        <v>296</v>
      </c>
      <c r="C73" s="279"/>
    </row>
    <row r="74" spans="1:3" s="390" customFormat="1" ht="12" customHeight="1">
      <c r="A74" s="14" t="s">
        <v>141</v>
      </c>
      <c r="B74" s="392" t="s">
        <v>547</v>
      </c>
      <c r="C74" s="279"/>
    </row>
    <row r="75" spans="1:3" s="390" customFormat="1" ht="12" customHeight="1" thickBot="1">
      <c r="A75" s="16" t="s">
        <v>319</v>
      </c>
      <c r="B75" s="393" t="s">
        <v>297</v>
      </c>
      <c r="C75" s="380"/>
    </row>
    <row r="76" spans="1:3" s="390" customFormat="1" ht="12" customHeight="1" thickBot="1">
      <c r="A76" s="538" t="s">
        <v>320</v>
      </c>
      <c r="B76" s="539" t="s">
        <v>548</v>
      </c>
      <c r="C76" s="540"/>
    </row>
    <row r="77" spans="1:3" s="390" customFormat="1" ht="12" customHeight="1" thickBot="1">
      <c r="A77" s="438" t="s">
        <v>298</v>
      </c>
      <c r="B77" s="269" t="s">
        <v>299</v>
      </c>
      <c r="C77" s="274">
        <f>SUM(C78:C79)</f>
        <v>0</v>
      </c>
    </row>
    <row r="78" spans="1:3" s="390" customFormat="1" ht="12" customHeight="1" thickBot="1">
      <c r="A78" s="13" t="s">
        <v>321</v>
      </c>
      <c r="B78" s="537" t="s">
        <v>300</v>
      </c>
      <c r="C78" s="380"/>
    </row>
    <row r="79" spans="1:3" s="390" customFormat="1" ht="12" customHeight="1" thickBot="1">
      <c r="A79" s="538" t="s">
        <v>322</v>
      </c>
      <c r="B79" s="539" t="s">
        <v>301</v>
      </c>
      <c r="C79" s="540"/>
    </row>
    <row r="80" spans="1:3" s="390" customFormat="1" ht="12" customHeight="1" thickBot="1">
      <c r="A80" s="438" t="s">
        <v>302</v>
      </c>
      <c r="B80" s="269" t="s">
        <v>303</v>
      </c>
      <c r="C80" s="274">
        <f>SUM(C81:C83)</f>
        <v>0</v>
      </c>
    </row>
    <row r="81" spans="1:3" s="390" customFormat="1" ht="12" customHeight="1">
      <c r="A81" s="15" t="s">
        <v>323</v>
      </c>
      <c r="B81" s="391" t="s">
        <v>304</v>
      </c>
      <c r="C81" s="279"/>
    </row>
    <row r="82" spans="1:3" s="390" customFormat="1" ht="12" customHeight="1">
      <c r="A82" s="14" t="s">
        <v>324</v>
      </c>
      <c r="B82" s="392" t="s">
        <v>305</v>
      </c>
      <c r="C82" s="279"/>
    </row>
    <row r="83" spans="1:3" s="390" customFormat="1" ht="12" customHeight="1" thickBot="1">
      <c r="A83" s="18" t="s">
        <v>325</v>
      </c>
      <c r="B83" s="541" t="s">
        <v>549</v>
      </c>
      <c r="C83" s="542"/>
    </row>
    <row r="84" spans="1:3" s="390" customFormat="1" ht="12" customHeight="1" thickBot="1">
      <c r="A84" s="438" t="s">
        <v>306</v>
      </c>
      <c r="B84" s="269" t="s">
        <v>326</v>
      </c>
      <c r="C84" s="274">
        <f>SUM(C85:C88)</f>
        <v>0</v>
      </c>
    </row>
    <row r="85" spans="1:3" s="390" customFormat="1" ht="12" customHeight="1">
      <c r="A85" s="395" t="s">
        <v>307</v>
      </c>
      <c r="B85" s="391" t="s">
        <v>308</v>
      </c>
      <c r="C85" s="279"/>
    </row>
    <row r="86" spans="1:3" s="390" customFormat="1" ht="12" customHeight="1">
      <c r="A86" s="396" t="s">
        <v>309</v>
      </c>
      <c r="B86" s="392" t="s">
        <v>310</v>
      </c>
      <c r="C86" s="279"/>
    </row>
    <row r="87" spans="1:3" s="390" customFormat="1" ht="12" customHeight="1">
      <c r="A87" s="396" t="s">
        <v>311</v>
      </c>
      <c r="B87" s="392" t="s">
        <v>312</v>
      </c>
      <c r="C87" s="279"/>
    </row>
    <row r="88" spans="1:3" s="390" customFormat="1" ht="12" customHeight="1" thickBot="1">
      <c r="A88" s="397" t="s">
        <v>313</v>
      </c>
      <c r="B88" s="271" t="s">
        <v>314</v>
      </c>
      <c r="C88" s="279"/>
    </row>
    <row r="89" spans="1:3" s="390" customFormat="1" ht="12" customHeight="1" thickBot="1">
      <c r="A89" s="438" t="s">
        <v>315</v>
      </c>
      <c r="B89" s="269" t="s">
        <v>455</v>
      </c>
      <c r="C89" s="436"/>
    </row>
    <row r="90" spans="1:3" s="390" customFormat="1" ht="13.5" customHeight="1" thickBot="1">
      <c r="A90" s="438" t="s">
        <v>317</v>
      </c>
      <c r="B90" s="269" t="s">
        <v>316</v>
      </c>
      <c r="C90" s="436"/>
    </row>
    <row r="91" spans="1:3" s="390" customFormat="1" ht="15.75" customHeight="1" thickBot="1">
      <c r="A91" s="438" t="s">
        <v>329</v>
      </c>
      <c r="B91" s="398" t="s">
        <v>458</v>
      </c>
      <c r="C91" s="280">
        <f>+C68+C72+C77+C80+C84+C90+C89</f>
        <v>0</v>
      </c>
    </row>
    <row r="92" spans="1:3" s="390" customFormat="1" ht="16.5" customHeight="1" thickBot="1">
      <c r="A92" s="439" t="s">
        <v>457</v>
      </c>
      <c r="B92" s="399" t="s">
        <v>459</v>
      </c>
      <c r="C92" s="280">
        <f>+C67+C91</f>
        <v>18803077</v>
      </c>
    </row>
    <row r="93" spans="1:3" s="390" customFormat="1" ht="10.5" customHeight="1">
      <c r="A93" s="5"/>
      <c r="B93" s="6"/>
      <c r="C93" s="281"/>
    </row>
    <row r="94" spans="1:3" ht="16.5" customHeight="1">
      <c r="A94" s="771" t="s">
        <v>45</v>
      </c>
      <c r="B94" s="771"/>
      <c r="C94" s="771"/>
    </row>
    <row r="95" spans="1:3" s="400" customFormat="1" ht="16.5" customHeight="1" thickBot="1">
      <c r="A95" s="768" t="s">
        <v>144</v>
      </c>
      <c r="B95" s="768"/>
      <c r="C95" s="549" t="str">
        <f>C7</f>
        <v>Forintban!</v>
      </c>
    </row>
    <row r="96" spans="1:3" ht="30" customHeight="1" thickBot="1">
      <c r="A96" s="530" t="s">
        <v>67</v>
      </c>
      <c r="B96" s="531" t="s">
        <v>46</v>
      </c>
      <c r="C96" s="532" t="str">
        <f>+C8</f>
        <v>2020. évi előirányzat</v>
      </c>
    </row>
    <row r="97" spans="1:3" s="389" customFormat="1" ht="12" customHeight="1" thickBot="1">
      <c r="A97" s="530"/>
      <c r="B97" s="531" t="s">
        <v>473</v>
      </c>
      <c r="C97" s="532" t="s">
        <v>474</v>
      </c>
    </row>
    <row r="98" spans="1:3" ht="12" customHeight="1" thickBot="1">
      <c r="A98" s="22" t="s">
        <v>16</v>
      </c>
      <c r="B98" s="28" t="s">
        <v>417</v>
      </c>
      <c r="C98" s="273">
        <f>C99+C100+C101+C102+C103+C116</f>
        <v>15303077</v>
      </c>
    </row>
    <row r="99" spans="1:3" ht="12" customHeight="1">
      <c r="A99" s="17" t="s">
        <v>96</v>
      </c>
      <c r="B99" s="10" t="s">
        <v>47</v>
      </c>
      <c r="C99" s="275">
        <v>4209600</v>
      </c>
    </row>
    <row r="100" spans="1:3" ht="12" customHeight="1">
      <c r="A100" s="14" t="s">
        <v>97</v>
      </c>
      <c r="B100" s="8" t="s">
        <v>167</v>
      </c>
      <c r="C100" s="276">
        <v>1136592</v>
      </c>
    </row>
    <row r="101" spans="1:3" ht="12" customHeight="1">
      <c r="A101" s="14" t="s">
        <v>98</v>
      </c>
      <c r="B101" s="8" t="s">
        <v>131</v>
      </c>
      <c r="C101" s="278">
        <v>5210393</v>
      </c>
    </row>
    <row r="102" spans="1:3" ht="12" customHeight="1">
      <c r="A102" s="14" t="s">
        <v>99</v>
      </c>
      <c r="B102" s="11" t="s">
        <v>168</v>
      </c>
      <c r="C102" s="278"/>
    </row>
    <row r="103" spans="1:3" ht="12" customHeight="1">
      <c r="A103" s="14" t="s">
        <v>110</v>
      </c>
      <c r="B103" s="19" t="s">
        <v>169</v>
      </c>
      <c r="C103" s="278">
        <f>C110+C115</f>
        <v>4746492</v>
      </c>
    </row>
    <row r="104" spans="1:3" ht="12" customHeight="1">
      <c r="A104" s="14" t="s">
        <v>100</v>
      </c>
      <c r="B104" s="8" t="s">
        <v>422</v>
      </c>
      <c r="C104" s="278"/>
    </row>
    <row r="105" spans="1:3" ht="12" customHeight="1">
      <c r="A105" s="14" t="s">
        <v>101</v>
      </c>
      <c r="B105" s="135" t="s">
        <v>421</v>
      </c>
      <c r="C105" s="278"/>
    </row>
    <row r="106" spans="1:3" ht="12" customHeight="1">
      <c r="A106" s="14" t="s">
        <v>111</v>
      </c>
      <c r="B106" s="135" t="s">
        <v>420</v>
      </c>
      <c r="C106" s="278"/>
    </row>
    <row r="107" spans="1:3" ht="12" customHeight="1">
      <c r="A107" s="14" t="s">
        <v>112</v>
      </c>
      <c r="B107" s="133" t="s">
        <v>332</v>
      </c>
      <c r="C107" s="278"/>
    </row>
    <row r="108" spans="1:3" ht="12" customHeight="1">
      <c r="A108" s="14" t="s">
        <v>113</v>
      </c>
      <c r="B108" s="134" t="s">
        <v>333</v>
      </c>
      <c r="C108" s="278"/>
    </row>
    <row r="109" spans="1:3" ht="12" customHeight="1">
      <c r="A109" s="14" t="s">
        <v>114</v>
      </c>
      <c r="B109" s="134" t="s">
        <v>334</v>
      </c>
      <c r="C109" s="278"/>
    </row>
    <row r="110" spans="1:3" ht="12" customHeight="1">
      <c r="A110" s="14" t="s">
        <v>116</v>
      </c>
      <c r="B110" s="133" t="s">
        <v>335</v>
      </c>
      <c r="C110" s="278">
        <v>2346492</v>
      </c>
    </row>
    <row r="111" spans="1:3" ht="12" customHeight="1">
      <c r="A111" s="14" t="s">
        <v>170</v>
      </c>
      <c r="B111" s="133" t="s">
        <v>336</v>
      </c>
      <c r="C111" s="278"/>
    </row>
    <row r="112" spans="1:3" ht="12" customHeight="1">
      <c r="A112" s="14" t="s">
        <v>330</v>
      </c>
      <c r="B112" s="134" t="s">
        <v>337</v>
      </c>
      <c r="C112" s="278"/>
    </row>
    <row r="113" spans="1:3" ht="12" customHeight="1">
      <c r="A113" s="13" t="s">
        <v>331</v>
      </c>
      <c r="B113" s="135" t="s">
        <v>338</v>
      </c>
      <c r="C113" s="278"/>
    </row>
    <row r="114" spans="1:3" ht="12" customHeight="1">
      <c r="A114" s="14" t="s">
        <v>418</v>
      </c>
      <c r="B114" s="135" t="s">
        <v>339</v>
      </c>
      <c r="C114" s="278"/>
    </row>
    <row r="115" spans="1:3" ht="12" customHeight="1">
      <c r="A115" s="16" t="s">
        <v>419</v>
      </c>
      <c r="B115" s="135" t="s">
        <v>340</v>
      </c>
      <c r="C115" s="278">
        <v>2400000</v>
      </c>
    </row>
    <row r="116" spans="1:3" ht="12" customHeight="1">
      <c r="A116" s="14" t="s">
        <v>423</v>
      </c>
      <c r="B116" s="11" t="s">
        <v>48</v>
      </c>
      <c r="C116" s="276"/>
    </row>
    <row r="117" spans="1:3" ht="12" customHeight="1">
      <c r="A117" s="14" t="s">
        <v>424</v>
      </c>
      <c r="B117" s="8" t="s">
        <v>426</v>
      </c>
      <c r="C117" s="276"/>
    </row>
    <row r="118" spans="1:3" ht="12" customHeight="1" thickBot="1">
      <c r="A118" s="18" t="s">
        <v>425</v>
      </c>
      <c r="B118" s="461" t="s">
        <v>427</v>
      </c>
      <c r="C118" s="282"/>
    </row>
    <row r="119" spans="1:3" ht="12" customHeight="1" thickBot="1">
      <c r="A119" s="458" t="s">
        <v>17</v>
      </c>
      <c r="B119" s="459" t="s">
        <v>341</v>
      </c>
      <c r="C119" s="460">
        <f>+C120+C122+C124</f>
        <v>3500000</v>
      </c>
    </row>
    <row r="120" spans="1:3" ht="12" customHeight="1">
      <c r="A120" s="15" t="s">
        <v>102</v>
      </c>
      <c r="B120" s="8" t="s">
        <v>213</v>
      </c>
      <c r="C120" s="277"/>
    </row>
    <row r="121" spans="1:3" ht="12" customHeight="1">
      <c r="A121" s="15" t="s">
        <v>103</v>
      </c>
      <c r="B121" s="12" t="s">
        <v>345</v>
      </c>
      <c r="C121" s="277"/>
    </row>
    <row r="122" spans="1:3" ht="12" customHeight="1">
      <c r="A122" s="15" t="s">
        <v>104</v>
      </c>
      <c r="B122" s="12" t="s">
        <v>171</v>
      </c>
      <c r="C122" s="276"/>
    </row>
    <row r="123" spans="1:3" ht="12" customHeight="1">
      <c r="A123" s="15" t="s">
        <v>105</v>
      </c>
      <c r="B123" s="12" t="s">
        <v>346</v>
      </c>
      <c r="C123" s="241"/>
    </row>
    <row r="124" spans="1:3" ht="12" customHeight="1">
      <c r="A124" s="15" t="s">
        <v>106</v>
      </c>
      <c r="B124" s="271" t="s">
        <v>551</v>
      </c>
      <c r="C124" s="241">
        <f>C132</f>
        <v>3500000</v>
      </c>
    </row>
    <row r="125" spans="1:3" ht="12" customHeight="1">
      <c r="A125" s="15" t="s">
        <v>115</v>
      </c>
      <c r="B125" s="270" t="s">
        <v>409</v>
      </c>
      <c r="C125" s="241"/>
    </row>
    <row r="126" spans="1:3" ht="12" customHeight="1">
      <c r="A126" s="15" t="s">
        <v>117</v>
      </c>
      <c r="B126" s="387" t="s">
        <v>351</v>
      </c>
      <c r="C126" s="241"/>
    </row>
    <row r="127" spans="1:3" ht="15.75">
      <c r="A127" s="15" t="s">
        <v>172</v>
      </c>
      <c r="B127" s="134" t="s">
        <v>334</v>
      </c>
      <c r="C127" s="241"/>
    </row>
    <row r="128" spans="1:3" ht="12" customHeight="1">
      <c r="A128" s="15" t="s">
        <v>173</v>
      </c>
      <c r="B128" s="134" t="s">
        <v>350</v>
      </c>
      <c r="C128" s="241"/>
    </row>
    <row r="129" spans="1:3" ht="12" customHeight="1">
      <c r="A129" s="15" t="s">
        <v>174</v>
      </c>
      <c r="B129" s="134" t="s">
        <v>349</v>
      </c>
      <c r="C129" s="241"/>
    </row>
    <row r="130" spans="1:3" ht="12" customHeight="1">
      <c r="A130" s="15" t="s">
        <v>342</v>
      </c>
      <c r="B130" s="134" t="s">
        <v>337</v>
      </c>
      <c r="C130" s="241"/>
    </row>
    <row r="131" spans="1:3" ht="12" customHeight="1">
      <c r="A131" s="15" t="s">
        <v>343</v>
      </c>
      <c r="B131" s="134" t="s">
        <v>348</v>
      </c>
      <c r="C131" s="241"/>
    </row>
    <row r="132" spans="1:3" ht="16.5" thickBot="1">
      <c r="A132" s="13" t="s">
        <v>344</v>
      </c>
      <c r="B132" s="134" t="s">
        <v>347</v>
      </c>
      <c r="C132" s="243">
        <v>3500000</v>
      </c>
    </row>
    <row r="133" spans="1:3" ht="12" customHeight="1" thickBot="1">
      <c r="A133" s="20" t="s">
        <v>18</v>
      </c>
      <c r="B133" s="116" t="s">
        <v>428</v>
      </c>
      <c r="C133" s="274">
        <f>+C98+C119</f>
        <v>18803077</v>
      </c>
    </row>
    <row r="134" spans="1:3" ht="12" customHeight="1" thickBot="1">
      <c r="A134" s="20" t="s">
        <v>19</v>
      </c>
      <c r="B134" s="116" t="s">
        <v>429</v>
      </c>
      <c r="C134" s="274">
        <f>+C135+C136+C137</f>
        <v>0</v>
      </c>
    </row>
    <row r="135" spans="1:3" ht="12" customHeight="1">
      <c r="A135" s="15" t="s">
        <v>251</v>
      </c>
      <c r="B135" s="12" t="s">
        <v>436</v>
      </c>
      <c r="C135" s="241"/>
    </row>
    <row r="136" spans="1:3" ht="12" customHeight="1">
      <c r="A136" s="15" t="s">
        <v>252</v>
      </c>
      <c r="B136" s="12" t="s">
        <v>437</v>
      </c>
      <c r="C136" s="241"/>
    </row>
    <row r="137" spans="1:3" ht="12" customHeight="1" thickBot="1">
      <c r="A137" s="13" t="s">
        <v>253</v>
      </c>
      <c r="B137" s="12" t="s">
        <v>438</v>
      </c>
      <c r="C137" s="241"/>
    </row>
    <row r="138" spans="1:3" ht="12" customHeight="1" thickBot="1">
      <c r="A138" s="20" t="s">
        <v>20</v>
      </c>
      <c r="B138" s="116" t="s">
        <v>430</v>
      </c>
      <c r="C138" s="274">
        <f>SUM(C139:C144)</f>
        <v>0</v>
      </c>
    </row>
    <row r="139" spans="1:3" ht="12" customHeight="1">
      <c r="A139" s="15" t="s">
        <v>89</v>
      </c>
      <c r="B139" s="9" t="s">
        <v>439</v>
      </c>
      <c r="C139" s="241"/>
    </row>
    <row r="140" spans="1:3" ht="12" customHeight="1">
      <c r="A140" s="15" t="s">
        <v>90</v>
      </c>
      <c r="B140" s="9" t="s">
        <v>431</v>
      </c>
      <c r="C140" s="241"/>
    </row>
    <row r="141" spans="1:3" ht="12" customHeight="1">
      <c r="A141" s="15" t="s">
        <v>91</v>
      </c>
      <c r="B141" s="9" t="s">
        <v>432</v>
      </c>
      <c r="C141" s="241"/>
    </row>
    <row r="142" spans="1:3" ht="12" customHeight="1">
      <c r="A142" s="15" t="s">
        <v>159</v>
      </c>
      <c r="B142" s="9" t="s">
        <v>433</v>
      </c>
      <c r="C142" s="241"/>
    </row>
    <row r="143" spans="1:3" ht="12" customHeight="1">
      <c r="A143" s="13" t="s">
        <v>160</v>
      </c>
      <c r="B143" s="7" t="s">
        <v>434</v>
      </c>
      <c r="C143" s="243"/>
    </row>
    <row r="144" spans="1:3" ht="12" customHeight="1" thickBot="1">
      <c r="A144" s="18" t="s">
        <v>161</v>
      </c>
      <c r="B144" s="687" t="s">
        <v>435</v>
      </c>
      <c r="C144" s="468"/>
    </row>
    <row r="145" spans="1:3" ht="12" customHeight="1" thickBot="1">
      <c r="A145" s="20" t="s">
        <v>21</v>
      </c>
      <c r="B145" s="116" t="s">
        <v>443</v>
      </c>
      <c r="C145" s="280">
        <f>+C146+C147+C148+C149</f>
        <v>0</v>
      </c>
    </row>
    <row r="146" spans="1:3" ht="12" customHeight="1">
      <c r="A146" s="15" t="s">
        <v>92</v>
      </c>
      <c r="B146" s="9" t="s">
        <v>352</v>
      </c>
      <c r="C146" s="241"/>
    </row>
    <row r="147" spans="1:3" ht="12" customHeight="1">
      <c r="A147" s="15" t="s">
        <v>93</v>
      </c>
      <c r="B147" s="9" t="s">
        <v>353</v>
      </c>
      <c r="C147" s="241"/>
    </row>
    <row r="148" spans="1:3" ht="12" customHeight="1" thickBot="1">
      <c r="A148" s="13" t="s">
        <v>269</v>
      </c>
      <c r="B148" s="7" t="s">
        <v>444</v>
      </c>
      <c r="C148" s="243"/>
    </row>
    <row r="149" spans="1:3" ht="12" customHeight="1" thickBot="1">
      <c r="A149" s="538" t="s">
        <v>270</v>
      </c>
      <c r="B149" s="543" t="s">
        <v>371</v>
      </c>
      <c r="C149" s="544"/>
    </row>
    <row r="150" spans="1:3" ht="12" customHeight="1" thickBot="1">
      <c r="A150" s="20" t="s">
        <v>22</v>
      </c>
      <c r="B150" s="116" t="s">
        <v>445</v>
      </c>
      <c r="C150" s="283">
        <f>SUM(C151:C155)</f>
        <v>0</v>
      </c>
    </row>
    <row r="151" spans="1:3" ht="12" customHeight="1">
      <c r="A151" s="15" t="s">
        <v>94</v>
      </c>
      <c r="B151" s="9" t="s">
        <v>440</v>
      </c>
      <c r="C151" s="241"/>
    </row>
    <row r="152" spans="1:3" ht="12" customHeight="1">
      <c r="A152" s="15" t="s">
        <v>95</v>
      </c>
      <c r="B152" s="9" t="s">
        <v>447</v>
      </c>
      <c r="C152" s="241"/>
    </row>
    <row r="153" spans="1:3" ht="12" customHeight="1">
      <c r="A153" s="15" t="s">
        <v>281</v>
      </c>
      <c r="B153" s="9" t="s">
        <v>442</v>
      </c>
      <c r="C153" s="241"/>
    </row>
    <row r="154" spans="1:3" ht="12" customHeight="1">
      <c r="A154" s="15" t="s">
        <v>282</v>
      </c>
      <c r="B154" s="9" t="s">
        <v>498</v>
      </c>
      <c r="C154" s="241"/>
    </row>
    <row r="155" spans="1:3" ht="12" customHeight="1" thickBot="1">
      <c r="A155" s="15" t="s">
        <v>446</v>
      </c>
      <c r="B155" s="9" t="s">
        <v>449</v>
      </c>
      <c r="C155" s="241"/>
    </row>
    <row r="156" spans="1:3" ht="12" customHeight="1" thickBot="1">
      <c r="A156" s="20" t="s">
        <v>23</v>
      </c>
      <c r="B156" s="116" t="s">
        <v>450</v>
      </c>
      <c r="C156" s="462"/>
    </row>
    <row r="157" spans="1:3" ht="12" customHeight="1" thickBot="1">
      <c r="A157" s="20" t="s">
        <v>24</v>
      </c>
      <c r="B157" s="116" t="s">
        <v>451</v>
      </c>
      <c r="C157" s="462"/>
    </row>
    <row r="158" spans="1:9" ht="15" customHeight="1" thickBot="1">
      <c r="A158" s="20" t="s">
        <v>25</v>
      </c>
      <c r="B158" s="116" t="s">
        <v>453</v>
      </c>
      <c r="C158" s="545">
        <f>+C134+C138+C145+C150+C156+C157</f>
        <v>0</v>
      </c>
      <c r="F158" s="402"/>
      <c r="G158" s="403"/>
      <c r="H158" s="403"/>
      <c r="I158" s="403"/>
    </row>
    <row r="159" spans="1:3" s="390" customFormat="1" ht="17.25" customHeight="1" thickBot="1">
      <c r="A159" s="272" t="s">
        <v>26</v>
      </c>
      <c r="B159" s="546" t="s">
        <v>452</v>
      </c>
      <c r="C159" s="545">
        <f>+C133+C158</f>
        <v>18803077</v>
      </c>
    </row>
    <row r="160" spans="1:3" ht="15.75" customHeight="1">
      <c r="A160" s="547"/>
      <c r="B160" s="547"/>
      <c r="C160" s="605">
        <f>C92-C159</f>
        <v>0</v>
      </c>
    </row>
    <row r="161" spans="1:3" ht="15.75">
      <c r="A161" s="769" t="s">
        <v>354</v>
      </c>
      <c r="B161" s="769"/>
      <c r="C161" s="769"/>
    </row>
    <row r="162" spans="1:3" ht="15" customHeight="1" thickBot="1">
      <c r="A162" s="770" t="s">
        <v>145</v>
      </c>
      <c r="B162" s="770"/>
      <c r="C162" s="550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74">
        <f>+C67-C133</f>
        <v>0</v>
      </c>
      <c r="D163" s="404"/>
    </row>
    <row r="164" spans="1:3" ht="27.75" customHeight="1" thickBot="1">
      <c r="A164" s="20" t="s">
        <v>17</v>
      </c>
      <c r="B164" s="27" t="s">
        <v>460</v>
      </c>
      <c r="C164" s="274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6">
      <selection activeCell="C25" sqref="C25"/>
    </sheetView>
  </sheetViews>
  <sheetFormatPr defaultColWidth="9.00390625" defaultRowHeight="12.75"/>
  <cols>
    <col min="1" max="1" width="6.875" style="54" customWidth="1"/>
    <col min="2" max="2" width="55.125" style="175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296" t="s">
        <v>149</v>
      </c>
      <c r="C1" s="297"/>
      <c r="D1" s="297"/>
      <c r="E1" s="297"/>
      <c r="F1" s="774" t="str">
        <f>CONCATENATE("2.1. melléklet ",ALAPADATOK!A7," ",ALAPADATOK!B7," ",ALAPADATOK!C7," ",ALAPADATOK!D7," ",ALAPADATOK!E7," ",ALAPADATOK!F7," ",ALAPADATOK!G7," ",ALAPADATOK!H7)</f>
        <v>2.1. melléklet a 4 / 2020 ( II.25. ) önkormányzati rendelethez</v>
      </c>
    </row>
    <row r="2" spans="5:6" ht="13.5" thickBot="1">
      <c r="E2" s="552" t="str">
        <f>CONCATENATE('KV_1.1.sz.mell.'!C7)</f>
        <v>Forintban!</v>
      </c>
      <c r="F2" s="774"/>
    </row>
    <row r="3" spans="1:6" ht="18" customHeight="1" thickBot="1">
      <c r="A3" s="772" t="s">
        <v>67</v>
      </c>
      <c r="B3" s="298" t="s">
        <v>54</v>
      </c>
      <c r="C3" s="299"/>
      <c r="D3" s="298" t="s">
        <v>55</v>
      </c>
      <c r="E3" s="300"/>
      <c r="F3" s="774"/>
    </row>
    <row r="4" spans="1:6" s="301" customFormat="1" ht="35.25" customHeight="1" thickBot="1">
      <c r="A4" s="773"/>
      <c r="B4" s="176" t="s">
        <v>59</v>
      </c>
      <c r="C4" s="177" t="str">
        <f>+'KV_1.1.sz.mell.'!C8</f>
        <v>2020. évi előirányzat</v>
      </c>
      <c r="D4" s="176" t="s">
        <v>59</v>
      </c>
      <c r="E4" s="51" t="str">
        <f>+C4</f>
        <v>2020. évi előirányzat</v>
      </c>
      <c r="F4" s="774"/>
    </row>
    <row r="5" spans="1:6" s="306" customFormat="1" ht="12" customHeight="1" thickBot="1">
      <c r="A5" s="302"/>
      <c r="B5" s="303" t="s">
        <v>473</v>
      </c>
      <c r="C5" s="304" t="s">
        <v>474</v>
      </c>
      <c r="D5" s="303" t="s">
        <v>475</v>
      </c>
      <c r="E5" s="305" t="s">
        <v>477</v>
      </c>
      <c r="F5" s="774"/>
    </row>
    <row r="6" spans="1:6" ht="12.75" customHeight="1">
      <c r="A6" s="307" t="s">
        <v>16</v>
      </c>
      <c r="B6" s="308" t="s">
        <v>355</v>
      </c>
      <c r="C6" s="285">
        <v>164910297</v>
      </c>
      <c r="D6" s="308" t="s">
        <v>60</v>
      </c>
      <c r="E6" s="291">
        <v>143119867</v>
      </c>
      <c r="F6" s="774"/>
    </row>
    <row r="7" spans="1:6" ht="12.75" customHeight="1">
      <c r="A7" s="309" t="s">
        <v>17</v>
      </c>
      <c r="B7" s="310" t="s">
        <v>356</v>
      </c>
      <c r="C7" s="286">
        <v>20449828</v>
      </c>
      <c r="D7" s="310" t="s">
        <v>167</v>
      </c>
      <c r="E7" s="292">
        <v>24231815</v>
      </c>
      <c r="F7" s="774"/>
    </row>
    <row r="8" spans="1:6" ht="12.75" customHeight="1">
      <c r="A8" s="309" t="s">
        <v>18</v>
      </c>
      <c r="B8" s="310" t="s">
        <v>376</v>
      </c>
      <c r="C8" s="286"/>
      <c r="D8" s="310" t="s">
        <v>217</v>
      </c>
      <c r="E8" s="292">
        <v>111554470</v>
      </c>
      <c r="F8" s="774"/>
    </row>
    <row r="9" spans="1:6" ht="12.75" customHeight="1">
      <c r="A9" s="309" t="s">
        <v>19</v>
      </c>
      <c r="B9" s="310" t="s">
        <v>158</v>
      </c>
      <c r="C9" s="286">
        <v>40170000</v>
      </c>
      <c r="D9" s="310" t="s">
        <v>168</v>
      </c>
      <c r="E9" s="292">
        <v>1875000</v>
      </c>
      <c r="F9" s="774"/>
    </row>
    <row r="10" spans="1:6" ht="12.75" customHeight="1">
      <c r="A10" s="309" t="s">
        <v>20</v>
      </c>
      <c r="B10" s="311" t="s">
        <v>402</v>
      </c>
      <c r="C10" s="286">
        <v>53792620</v>
      </c>
      <c r="D10" s="310" t="s">
        <v>169</v>
      </c>
      <c r="E10" s="292">
        <v>10721912</v>
      </c>
      <c r="F10" s="774"/>
    </row>
    <row r="11" spans="1:6" ht="12.75" customHeight="1">
      <c r="A11" s="309" t="s">
        <v>21</v>
      </c>
      <c r="B11" s="310" t="s">
        <v>357</v>
      </c>
      <c r="C11" s="287">
        <v>980000</v>
      </c>
      <c r="D11" s="310" t="s">
        <v>48</v>
      </c>
      <c r="E11" s="292">
        <v>1898823</v>
      </c>
      <c r="F11" s="774"/>
    </row>
    <row r="12" spans="1:6" ht="12.75" customHeight="1">
      <c r="A12" s="309" t="s">
        <v>22</v>
      </c>
      <c r="B12" s="310" t="s">
        <v>461</v>
      </c>
      <c r="C12" s="286"/>
      <c r="D12" s="45"/>
      <c r="E12" s="292"/>
      <c r="F12" s="774"/>
    </row>
    <row r="13" spans="1:6" ht="12.75" customHeight="1">
      <c r="A13" s="309" t="s">
        <v>23</v>
      </c>
      <c r="B13" s="45"/>
      <c r="C13" s="286"/>
      <c r="D13" s="45"/>
      <c r="E13" s="292"/>
      <c r="F13" s="774"/>
    </row>
    <row r="14" spans="1:6" ht="12.75" customHeight="1">
      <c r="A14" s="309" t="s">
        <v>24</v>
      </c>
      <c r="B14" s="405"/>
      <c r="C14" s="287"/>
      <c r="D14" s="45"/>
      <c r="E14" s="292"/>
      <c r="F14" s="774"/>
    </row>
    <row r="15" spans="1:6" ht="12.75" customHeight="1">
      <c r="A15" s="309" t="s">
        <v>25</v>
      </c>
      <c r="B15" s="45"/>
      <c r="C15" s="286"/>
      <c r="D15" s="45"/>
      <c r="E15" s="292"/>
      <c r="F15" s="774"/>
    </row>
    <row r="16" spans="1:6" ht="12.75" customHeight="1">
      <c r="A16" s="309" t="s">
        <v>26</v>
      </c>
      <c r="B16" s="45"/>
      <c r="C16" s="286"/>
      <c r="D16" s="45"/>
      <c r="E16" s="292"/>
      <c r="F16" s="774"/>
    </row>
    <row r="17" spans="1:6" ht="12.75" customHeight="1" thickBot="1">
      <c r="A17" s="309" t="s">
        <v>27</v>
      </c>
      <c r="B17" s="56"/>
      <c r="C17" s="288"/>
      <c r="D17" s="45"/>
      <c r="E17" s="293"/>
      <c r="F17" s="774"/>
    </row>
    <row r="18" spans="1:6" ht="15.75" customHeight="1" thickBot="1">
      <c r="A18" s="312" t="s">
        <v>28</v>
      </c>
      <c r="B18" s="118" t="s">
        <v>462</v>
      </c>
      <c r="C18" s="289">
        <f>C6+C7+C9+C10+C11+C13+C14+C15+C16+C17</f>
        <v>280302745</v>
      </c>
      <c r="D18" s="118" t="s">
        <v>362</v>
      </c>
      <c r="E18" s="294">
        <f>SUM(E6:E17)</f>
        <v>293401887</v>
      </c>
      <c r="F18" s="774"/>
    </row>
    <row r="19" spans="1:6" ht="12.75" customHeight="1">
      <c r="A19" s="313" t="s">
        <v>29</v>
      </c>
      <c r="B19" s="314" t="s">
        <v>359</v>
      </c>
      <c r="C19" s="464">
        <f>+C20+C21+C22+C23</f>
        <v>18760258</v>
      </c>
      <c r="D19" s="315" t="s">
        <v>175</v>
      </c>
      <c r="E19" s="295"/>
      <c r="F19" s="774"/>
    </row>
    <row r="20" spans="1:6" ht="12.75" customHeight="1">
      <c r="A20" s="316" t="s">
        <v>30</v>
      </c>
      <c r="B20" s="315" t="s">
        <v>211</v>
      </c>
      <c r="C20" s="78">
        <v>18760258</v>
      </c>
      <c r="D20" s="315" t="s">
        <v>361</v>
      </c>
      <c r="E20" s="79"/>
      <c r="F20" s="774"/>
    </row>
    <row r="21" spans="1:6" ht="12.75" customHeight="1">
      <c r="A21" s="316" t="s">
        <v>31</v>
      </c>
      <c r="B21" s="315" t="s">
        <v>212</v>
      </c>
      <c r="C21" s="78"/>
      <c r="D21" s="315" t="s">
        <v>147</v>
      </c>
      <c r="E21" s="79"/>
      <c r="F21" s="774"/>
    </row>
    <row r="22" spans="1:6" ht="12.75" customHeight="1">
      <c r="A22" s="316" t="s">
        <v>32</v>
      </c>
      <c r="B22" s="315" t="s">
        <v>216</v>
      </c>
      <c r="C22" s="78"/>
      <c r="D22" s="315" t="s">
        <v>148</v>
      </c>
      <c r="E22" s="79"/>
      <c r="F22" s="774"/>
    </row>
    <row r="23" spans="1:6" ht="12.75" customHeight="1">
      <c r="A23" s="316" t="s">
        <v>33</v>
      </c>
      <c r="B23" s="323" t="s">
        <v>222</v>
      </c>
      <c r="C23" s="78"/>
      <c r="D23" s="314" t="s">
        <v>218</v>
      </c>
      <c r="E23" s="79"/>
      <c r="F23" s="774"/>
    </row>
    <row r="24" spans="1:6" ht="12.75" customHeight="1">
      <c r="A24" s="316" t="s">
        <v>34</v>
      </c>
      <c r="B24" s="315" t="s">
        <v>360</v>
      </c>
      <c r="C24" s="317">
        <f>+C25+C26</f>
        <v>0</v>
      </c>
      <c r="D24" s="315" t="s">
        <v>176</v>
      </c>
      <c r="E24" s="79"/>
      <c r="F24" s="774"/>
    </row>
    <row r="25" spans="1:6" ht="12.75" customHeight="1">
      <c r="A25" s="313" t="s">
        <v>35</v>
      </c>
      <c r="B25" s="314" t="s">
        <v>358</v>
      </c>
      <c r="C25" s="290"/>
      <c r="D25" s="308" t="s">
        <v>444</v>
      </c>
      <c r="E25" s="295"/>
      <c r="F25" s="774"/>
    </row>
    <row r="26" spans="1:6" ht="12.75" customHeight="1">
      <c r="A26" s="316" t="s">
        <v>36</v>
      </c>
      <c r="B26" s="323" t="s">
        <v>649</v>
      </c>
      <c r="C26" s="78"/>
      <c r="D26" s="310" t="s">
        <v>450</v>
      </c>
      <c r="E26" s="79"/>
      <c r="F26" s="774"/>
    </row>
    <row r="27" spans="1:6" ht="12.75" customHeight="1">
      <c r="A27" s="309" t="s">
        <v>37</v>
      </c>
      <c r="B27" s="315" t="s">
        <v>455</v>
      </c>
      <c r="C27" s="78"/>
      <c r="D27" s="310" t="s">
        <v>451</v>
      </c>
      <c r="E27" s="79"/>
      <c r="F27" s="774"/>
    </row>
    <row r="28" spans="1:6" ht="12.75" customHeight="1" thickBot="1">
      <c r="A28" s="370" t="s">
        <v>38</v>
      </c>
      <c r="B28" s="314" t="s">
        <v>316</v>
      </c>
      <c r="C28" s="290"/>
      <c r="D28" s="407" t="s">
        <v>353</v>
      </c>
      <c r="E28" s="295">
        <v>5661116</v>
      </c>
      <c r="F28" s="774"/>
    </row>
    <row r="29" spans="1:6" ht="15.75" customHeight="1" thickBot="1">
      <c r="A29" s="312" t="s">
        <v>39</v>
      </c>
      <c r="B29" s="118" t="s">
        <v>463</v>
      </c>
      <c r="C29" s="289">
        <f>+C19+C24+C27+C28</f>
        <v>18760258</v>
      </c>
      <c r="D29" s="118" t="s">
        <v>465</v>
      </c>
      <c r="E29" s="294">
        <f>SUM(E19:E28)</f>
        <v>5661116</v>
      </c>
      <c r="F29" s="774"/>
    </row>
    <row r="30" spans="1:6" ht="13.5" thickBot="1">
      <c r="A30" s="312" t="s">
        <v>40</v>
      </c>
      <c r="B30" s="318" t="s">
        <v>464</v>
      </c>
      <c r="C30" s="319">
        <f>+C18+C29</f>
        <v>299063003</v>
      </c>
      <c r="D30" s="318" t="s">
        <v>466</v>
      </c>
      <c r="E30" s="319">
        <f>+E18+E29</f>
        <v>299063003</v>
      </c>
      <c r="F30" s="774"/>
    </row>
    <row r="31" spans="1:6" ht="13.5" thickBot="1">
      <c r="A31" s="312" t="s">
        <v>41</v>
      </c>
      <c r="B31" s="318" t="s">
        <v>153</v>
      </c>
      <c r="C31" s="319">
        <f>IF(C18-E18&lt;0,E18-C18,"-")</f>
        <v>13099142</v>
      </c>
      <c r="D31" s="318" t="s">
        <v>154</v>
      </c>
      <c r="E31" s="319" t="str">
        <f>IF(C18-E18&gt;0,C18-E18,"-")</f>
        <v>-</v>
      </c>
      <c r="F31" s="774"/>
    </row>
    <row r="32" spans="1:6" ht="13.5" thickBot="1">
      <c r="A32" s="312" t="s">
        <v>42</v>
      </c>
      <c r="B32" s="318" t="s">
        <v>543</v>
      </c>
      <c r="C32" s="319" t="str">
        <f>IF(C30-E30&lt;0,E30-C30,"-")</f>
        <v>-</v>
      </c>
      <c r="D32" s="318" t="s">
        <v>544</v>
      </c>
      <c r="E32" s="319" t="str">
        <f>IF(C30-E30&gt;0,C30-E30,"-")</f>
        <v>-</v>
      </c>
      <c r="F32" s="774"/>
    </row>
    <row r="33" spans="1:5" ht="15.75">
      <c r="A33" s="775">
        <f>IF(C32&lt;&gt;"-","Nem lehet bruttó hiány, mert az Mötv. 111. § (4) bekezédse szerint A költségvetési rendeletben működési hiány nem tervezhető.","")</f>
      </c>
      <c r="B33" s="775"/>
      <c r="C33" s="775"/>
      <c r="D33" s="775"/>
      <c r="E33" s="775"/>
    </row>
  </sheetData>
  <sheetProtection sheet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3">
      <selection activeCell="C22" sqref="C22"/>
    </sheetView>
  </sheetViews>
  <sheetFormatPr defaultColWidth="9.00390625" defaultRowHeight="12.75"/>
  <cols>
    <col min="1" max="1" width="6.875" style="54" customWidth="1"/>
    <col min="2" max="2" width="55.125" style="175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296" t="s">
        <v>150</v>
      </c>
      <c r="C1" s="297"/>
      <c r="D1" s="297"/>
      <c r="E1" s="297"/>
      <c r="F1" s="774" t="str">
        <f>CONCATENATE("2.2. melléklet ",ALAPADATOK!A7," ",ALAPADATOK!B7," ",ALAPADATOK!C7," ",ALAPADATOK!D7," ",ALAPADATOK!E7," ",ALAPADATOK!F7," ",ALAPADATOK!G7," ",ALAPADATOK!H7)</f>
        <v>2.2. melléklet a 4 / 2020 ( II.25. ) önkormányzati rendelethez</v>
      </c>
    </row>
    <row r="2" spans="5:6" ht="13.5" thickBot="1">
      <c r="E2" s="551" t="str">
        <f>CONCATENATE('KV_1.1.sz.mell.'!C7)</f>
        <v>Forintban!</v>
      </c>
      <c r="F2" s="774"/>
    </row>
    <row r="3" spans="1:6" ht="13.5" thickBot="1">
      <c r="A3" s="776" t="s">
        <v>67</v>
      </c>
      <c r="B3" s="298" t="s">
        <v>54</v>
      </c>
      <c r="C3" s="299"/>
      <c r="D3" s="298" t="s">
        <v>55</v>
      </c>
      <c r="E3" s="300"/>
      <c r="F3" s="774"/>
    </row>
    <row r="4" spans="1:6" s="301" customFormat="1" ht="24.75" thickBot="1">
      <c r="A4" s="777"/>
      <c r="B4" s="176" t="s">
        <v>59</v>
      </c>
      <c r="C4" s="177" t="str">
        <f>+'KV_2.1.sz.mell.'!C4</f>
        <v>2020. évi előirányzat</v>
      </c>
      <c r="D4" s="176" t="s">
        <v>59</v>
      </c>
      <c r="E4" s="51" t="str">
        <f>+'KV_2.1.sz.mell.'!C4</f>
        <v>2020. évi előirányzat</v>
      </c>
      <c r="F4" s="774"/>
    </row>
    <row r="5" spans="1:6" s="301" customFormat="1" ht="13.5" thickBot="1">
      <c r="A5" s="302"/>
      <c r="B5" s="303" t="s">
        <v>473</v>
      </c>
      <c r="C5" s="304" t="s">
        <v>474</v>
      </c>
      <c r="D5" s="303" t="s">
        <v>475</v>
      </c>
      <c r="E5" s="305" t="s">
        <v>477</v>
      </c>
      <c r="F5" s="774"/>
    </row>
    <row r="6" spans="1:6" ht="12.75" customHeight="1">
      <c r="A6" s="307" t="s">
        <v>16</v>
      </c>
      <c r="B6" s="308" t="s">
        <v>363</v>
      </c>
      <c r="C6" s="285">
        <v>179629826</v>
      </c>
      <c r="D6" s="308" t="s">
        <v>213</v>
      </c>
      <c r="E6" s="291">
        <v>126178862</v>
      </c>
      <c r="F6" s="774"/>
    </row>
    <row r="7" spans="1:6" ht="12.75">
      <c r="A7" s="309" t="s">
        <v>17</v>
      </c>
      <c r="B7" s="310" t="s">
        <v>364</v>
      </c>
      <c r="C7" s="286">
        <v>179629826</v>
      </c>
      <c r="D7" s="310" t="s">
        <v>369</v>
      </c>
      <c r="E7" s="292">
        <v>122005862</v>
      </c>
      <c r="F7" s="774"/>
    </row>
    <row r="8" spans="1:6" ht="12.75" customHeight="1">
      <c r="A8" s="309" t="s">
        <v>18</v>
      </c>
      <c r="B8" s="310" t="s">
        <v>8</v>
      </c>
      <c r="C8" s="286"/>
      <c r="D8" s="310" t="s">
        <v>171</v>
      </c>
      <c r="E8" s="292">
        <v>82293868</v>
      </c>
      <c r="F8" s="774"/>
    </row>
    <row r="9" spans="1:6" ht="12.75" customHeight="1">
      <c r="A9" s="309" t="s">
        <v>19</v>
      </c>
      <c r="B9" s="310" t="s">
        <v>365</v>
      </c>
      <c r="C9" s="286"/>
      <c r="D9" s="310" t="s">
        <v>370</v>
      </c>
      <c r="E9" s="292">
        <v>40510079</v>
      </c>
      <c r="F9" s="774"/>
    </row>
    <row r="10" spans="1:6" ht="12.75" customHeight="1">
      <c r="A10" s="309" t="s">
        <v>20</v>
      </c>
      <c r="B10" s="310" t="s">
        <v>366</v>
      </c>
      <c r="C10" s="286"/>
      <c r="D10" s="310" t="s">
        <v>215</v>
      </c>
      <c r="E10" s="292">
        <v>3550000</v>
      </c>
      <c r="F10" s="774"/>
    </row>
    <row r="11" spans="1:6" ht="12.75" customHeight="1">
      <c r="A11" s="309" t="s">
        <v>21</v>
      </c>
      <c r="B11" s="310" t="s">
        <v>367</v>
      </c>
      <c r="C11" s="287">
        <v>100000</v>
      </c>
      <c r="D11" s="408"/>
      <c r="E11" s="292"/>
      <c r="F11" s="774"/>
    </row>
    <row r="12" spans="1:6" ht="12.75" customHeight="1">
      <c r="A12" s="309" t="s">
        <v>22</v>
      </c>
      <c r="B12" s="45"/>
      <c r="C12" s="286"/>
      <c r="D12" s="408"/>
      <c r="E12" s="292"/>
      <c r="F12" s="774"/>
    </row>
    <row r="13" spans="1:6" ht="12.75" customHeight="1">
      <c r="A13" s="309" t="s">
        <v>23</v>
      </c>
      <c r="B13" s="45"/>
      <c r="C13" s="286"/>
      <c r="D13" s="409"/>
      <c r="E13" s="292"/>
      <c r="F13" s="774"/>
    </row>
    <row r="14" spans="1:6" ht="12.75" customHeight="1">
      <c r="A14" s="309" t="s">
        <v>24</v>
      </c>
      <c r="B14" s="406"/>
      <c r="C14" s="287"/>
      <c r="D14" s="408"/>
      <c r="E14" s="292"/>
      <c r="F14" s="774"/>
    </row>
    <row r="15" spans="1:6" ht="12.75">
      <c r="A15" s="309" t="s">
        <v>25</v>
      </c>
      <c r="B15" s="45"/>
      <c r="C15" s="287"/>
      <c r="D15" s="408"/>
      <c r="E15" s="292"/>
      <c r="F15" s="774"/>
    </row>
    <row r="16" spans="1:6" ht="12.75" customHeight="1" thickBot="1">
      <c r="A16" s="370" t="s">
        <v>26</v>
      </c>
      <c r="B16" s="407"/>
      <c r="C16" s="372"/>
      <c r="D16" s="371" t="s">
        <v>48</v>
      </c>
      <c r="E16" s="336">
        <v>4800893</v>
      </c>
      <c r="F16" s="774"/>
    </row>
    <row r="17" spans="1:6" ht="15.75" customHeight="1" thickBot="1">
      <c r="A17" s="312" t="s">
        <v>27</v>
      </c>
      <c r="B17" s="118" t="s">
        <v>377</v>
      </c>
      <c r="C17" s="289">
        <f>+C6+C8+C9+C11+C12+C13+C14+C15+C16</f>
        <v>179729826</v>
      </c>
      <c r="D17" s="118" t="s">
        <v>378</v>
      </c>
      <c r="E17" s="294">
        <f>+E6+E8+E10+E11+E12+E13+E14+E15+E16</f>
        <v>216823623</v>
      </c>
      <c r="F17" s="774"/>
    </row>
    <row r="18" spans="1:6" ht="12.75" customHeight="1">
      <c r="A18" s="307" t="s">
        <v>28</v>
      </c>
      <c r="B18" s="322" t="s">
        <v>230</v>
      </c>
      <c r="C18" s="329">
        <f>SUM(C19:C23)</f>
        <v>37093797</v>
      </c>
      <c r="D18" s="315" t="s">
        <v>175</v>
      </c>
      <c r="E18" s="76"/>
      <c r="F18" s="774"/>
    </row>
    <row r="19" spans="1:6" ht="12.75" customHeight="1">
      <c r="A19" s="309" t="s">
        <v>29</v>
      </c>
      <c r="B19" s="323" t="s">
        <v>219</v>
      </c>
      <c r="C19" s="78">
        <v>37093797</v>
      </c>
      <c r="D19" s="315" t="s">
        <v>178</v>
      </c>
      <c r="E19" s="79"/>
      <c r="F19" s="774"/>
    </row>
    <row r="20" spans="1:6" ht="12.75" customHeight="1">
      <c r="A20" s="307" t="s">
        <v>30</v>
      </c>
      <c r="B20" s="323" t="s">
        <v>220</v>
      </c>
      <c r="C20" s="78"/>
      <c r="D20" s="315" t="s">
        <v>147</v>
      </c>
      <c r="E20" s="79"/>
      <c r="F20" s="774"/>
    </row>
    <row r="21" spans="1:6" ht="12.75" customHeight="1">
      <c r="A21" s="309" t="s">
        <v>31</v>
      </c>
      <c r="B21" s="323" t="s">
        <v>221</v>
      </c>
      <c r="C21" s="78"/>
      <c r="D21" s="315" t="s">
        <v>148</v>
      </c>
      <c r="E21" s="79"/>
      <c r="F21" s="774"/>
    </row>
    <row r="22" spans="1:6" ht="12.75" customHeight="1">
      <c r="A22" s="307" t="s">
        <v>32</v>
      </c>
      <c r="B22" s="323" t="s">
        <v>222</v>
      </c>
      <c r="C22" s="78"/>
      <c r="D22" s="314" t="s">
        <v>218</v>
      </c>
      <c r="E22" s="79"/>
      <c r="F22" s="774"/>
    </row>
    <row r="23" spans="1:6" ht="12.75" customHeight="1">
      <c r="A23" s="309" t="s">
        <v>33</v>
      </c>
      <c r="B23" s="324" t="s">
        <v>223</v>
      </c>
      <c r="C23" s="78"/>
      <c r="D23" s="315" t="s">
        <v>179</v>
      </c>
      <c r="E23" s="79"/>
      <c r="F23" s="774"/>
    </row>
    <row r="24" spans="1:6" ht="12.75" customHeight="1">
      <c r="A24" s="307" t="s">
        <v>34</v>
      </c>
      <c r="B24" s="325" t="s">
        <v>224</v>
      </c>
      <c r="C24" s="317">
        <f>+C25+C26+C27+C28+C29</f>
        <v>0</v>
      </c>
      <c r="D24" s="326" t="s">
        <v>177</v>
      </c>
      <c r="E24" s="79"/>
      <c r="F24" s="774"/>
    </row>
    <row r="25" spans="1:6" ht="12.75" customHeight="1">
      <c r="A25" s="309" t="s">
        <v>35</v>
      </c>
      <c r="B25" s="324" t="s">
        <v>225</v>
      </c>
      <c r="C25" s="78"/>
      <c r="D25" s="326" t="s">
        <v>371</v>
      </c>
      <c r="E25" s="79"/>
      <c r="F25" s="774"/>
    </row>
    <row r="26" spans="1:6" ht="12.75" customHeight="1">
      <c r="A26" s="307" t="s">
        <v>36</v>
      </c>
      <c r="B26" s="324" t="s">
        <v>226</v>
      </c>
      <c r="C26" s="78"/>
      <c r="D26" s="321"/>
      <c r="E26" s="79"/>
      <c r="F26" s="774"/>
    </row>
    <row r="27" spans="1:6" ht="12.75" customHeight="1">
      <c r="A27" s="309" t="s">
        <v>37</v>
      </c>
      <c r="B27" s="323" t="s">
        <v>227</v>
      </c>
      <c r="C27" s="78"/>
      <c r="D27" s="114"/>
      <c r="E27" s="79"/>
      <c r="F27" s="774"/>
    </row>
    <row r="28" spans="1:6" ht="12.75" customHeight="1">
      <c r="A28" s="307" t="s">
        <v>38</v>
      </c>
      <c r="B28" s="327" t="s">
        <v>228</v>
      </c>
      <c r="C28" s="78"/>
      <c r="D28" s="45"/>
      <c r="E28" s="79"/>
      <c r="F28" s="774"/>
    </row>
    <row r="29" spans="1:6" ht="12.75" customHeight="1" thickBot="1">
      <c r="A29" s="309" t="s">
        <v>39</v>
      </c>
      <c r="B29" s="328" t="s">
        <v>229</v>
      </c>
      <c r="C29" s="78"/>
      <c r="D29" s="114"/>
      <c r="E29" s="79"/>
      <c r="F29" s="774"/>
    </row>
    <row r="30" spans="1:6" ht="21.75" customHeight="1" thickBot="1">
      <c r="A30" s="312" t="s">
        <v>40</v>
      </c>
      <c r="B30" s="118" t="s">
        <v>368</v>
      </c>
      <c r="C30" s="289">
        <f>+C18+C24</f>
        <v>37093797</v>
      </c>
      <c r="D30" s="118" t="s">
        <v>372</v>
      </c>
      <c r="E30" s="294">
        <f>SUM(E18:E29)</f>
        <v>0</v>
      </c>
      <c r="F30" s="774"/>
    </row>
    <row r="31" spans="1:6" ht="13.5" thickBot="1">
      <c r="A31" s="312" t="s">
        <v>41</v>
      </c>
      <c r="B31" s="318" t="s">
        <v>373</v>
      </c>
      <c r="C31" s="319">
        <f>+C17+C30</f>
        <v>216823623</v>
      </c>
      <c r="D31" s="318" t="s">
        <v>374</v>
      </c>
      <c r="E31" s="319">
        <f>+E17+E30</f>
        <v>216823623</v>
      </c>
      <c r="F31" s="774"/>
    </row>
    <row r="32" spans="1:6" ht="13.5" thickBot="1">
      <c r="A32" s="312" t="s">
        <v>42</v>
      </c>
      <c r="B32" s="318" t="s">
        <v>153</v>
      </c>
      <c r="C32" s="319">
        <f>IF(C17-E17&lt;0,E17-C17,"-")</f>
        <v>37093797</v>
      </c>
      <c r="D32" s="318" t="s">
        <v>154</v>
      </c>
      <c r="E32" s="319" t="str">
        <f>IF(C17-E17&gt;0,C17-E17,"-")</f>
        <v>-</v>
      </c>
      <c r="F32" s="774"/>
    </row>
    <row r="33" spans="1:6" ht="13.5" thickBot="1">
      <c r="A33" s="312" t="s">
        <v>43</v>
      </c>
      <c r="B33" s="318" t="s">
        <v>543</v>
      </c>
      <c r="C33" s="319" t="str">
        <f>IF(C31-E31&lt;0,E31-C31,"-")</f>
        <v>-</v>
      </c>
      <c r="D33" s="318" t="s">
        <v>544</v>
      </c>
      <c r="E33" s="319" t="str">
        <f>IF(C31-E31&gt;0,C31-E31,"-")</f>
        <v>-</v>
      </c>
      <c r="F33" s="774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19" t="s">
        <v>142</v>
      </c>
      <c r="E1" s="122" t="s">
        <v>146</v>
      </c>
    </row>
    <row r="3" spans="1:5" ht="12.75">
      <c r="A3" s="127"/>
      <c r="B3" s="128"/>
      <c r="C3" s="127"/>
      <c r="D3" s="130"/>
      <c r="E3" s="128"/>
    </row>
    <row r="4" spans="1:5" ht="15.75">
      <c r="A4" s="86" t="str">
        <f>+KV_ÖSSZEFÜGGÉSEK!A5</f>
        <v>2020. évi előirányzat BEVÉTELEK</v>
      </c>
      <c r="B4" s="129"/>
      <c r="C4" s="137"/>
      <c r="D4" s="130"/>
      <c r="E4" s="128"/>
    </row>
    <row r="5" spans="1:5" ht="12.75">
      <c r="A5" s="127"/>
      <c r="B5" s="128"/>
      <c r="C5" s="127"/>
      <c r="D5" s="130"/>
      <c r="E5" s="128"/>
    </row>
    <row r="6" spans="1:5" ht="12.75">
      <c r="A6" s="127" t="s">
        <v>522</v>
      </c>
      <c r="B6" s="128">
        <f>+'KV_1.1.sz.mell.'!C67</f>
        <v>460032571</v>
      </c>
      <c r="C6" s="127" t="s">
        <v>467</v>
      </c>
      <c r="D6" s="130">
        <f>+'KV_2.1.sz.mell.'!C18+'KV_2.2.sz.mell.'!C17</f>
        <v>460032571</v>
      </c>
      <c r="E6" s="128">
        <f aca="true" t="shared" si="0" ref="E6:E15">+B6-D6</f>
        <v>0</v>
      </c>
    </row>
    <row r="7" spans="1:5" ht="12.75">
      <c r="A7" s="127" t="s">
        <v>523</v>
      </c>
      <c r="B7" s="128">
        <f>+'KV_1.1.sz.mell.'!C91</f>
        <v>55854055</v>
      </c>
      <c r="C7" s="127" t="s">
        <v>468</v>
      </c>
      <c r="D7" s="130">
        <f>+'KV_2.1.sz.mell.'!C29+'KV_2.2.sz.mell.'!C30</f>
        <v>55854055</v>
      </c>
      <c r="E7" s="128">
        <f t="shared" si="0"/>
        <v>0</v>
      </c>
    </row>
    <row r="8" spans="1:5" ht="12.75">
      <c r="A8" s="127" t="s">
        <v>524</v>
      </c>
      <c r="B8" s="128">
        <f>+'KV_1.1.sz.mell.'!C92</f>
        <v>515886626</v>
      </c>
      <c r="C8" s="127" t="s">
        <v>469</v>
      </c>
      <c r="D8" s="130">
        <f>+'KV_2.1.sz.mell.'!C30+'KV_2.2.sz.mell.'!C31</f>
        <v>515886626</v>
      </c>
      <c r="E8" s="128">
        <f t="shared" si="0"/>
        <v>0</v>
      </c>
    </row>
    <row r="9" spans="1:5" ht="12.75">
      <c r="A9" s="127"/>
      <c r="B9" s="128"/>
      <c r="C9" s="127"/>
      <c r="D9" s="130"/>
      <c r="E9" s="128"/>
    </row>
    <row r="10" spans="1:5" ht="12.75">
      <c r="A10" s="127"/>
      <c r="B10" s="128"/>
      <c r="C10" s="127"/>
      <c r="D10" s="130"/>
      <c r="E10" s="128"/>
    </row>
    <row r="11" spans="1:5" ht="15.75">
      <c r="A11" s="86" t="str">
        <f>+KV_ÖSSZEFÜGGÉSEK!A12</f>
        <v>2020. évi előirányzat KIADÁSOK</v>
      </c>
      <c r="B11" s="129"/>
      <c r="C11" s="137"/>
      <c r="D11" s="130"/>
      <c r="E11" s="128"/>
    </row>
    <row r="12" spans="1:5" ht="12.75">
      <c r="A12" s="127"/>
      <c r="B12" s="128"/>
      <c r="C12" s="127"/>
      <c r="D12" s="130"/>
      <c r="E12" s="128"/>
    </row>
    <row r="13" spans="1:5" ht="12.75">
      <c r="A13" s="127" t="s">
        <v>525</v>
      </c>
      <c r="B13" s="128">
        <f>+'KV_1.1.sz.mell.'!C133</f>
        <v>510225510</v>
      </c>
      <c r="C13" s="127" t="s">
        <v>470</v>
      </c>
      <c r="D13" s="130">
        <f>+'KV_2.1.sz.mell.'!E18+'KV_2.2.sz.mell.'!E17</f>
        <v>510225510</v>
      </c>
      <c r="E13" s="128">
        <f t="shared" si="0"/>
        <v>0</v>
      </c>
    </row>
    <row r="14" spans="1:5" ht="12.75">
      <c r="A14" s="127" t="s">
        <v>526</v>
      </c>
      <c r="B14" s="128">
        <f>+'KV_1.1.sz.mell.'!C158</f>
        <v>5661116</v>
      </c>
      <c r="C14" s="127" t="s">
        <v>471</v>
      </c>
      <c r="D14" s="130">
        <f>+'KV_2.1.sz.mell.'!E29+'KV_2.2.sz.mell.'!E30</f>
        <v>5661116</v>
      </c>
      <c r="E14" s="128">
        <f t="shared" si="0"/>
        <v>0</v>
      </c>
    </row>
    <row r="15" spans="1:5" ht="12.75">
      <c r="A15" s="127" t="s">
        <v>527</v>
      </c>
      <c r="B15" s="128">
        <f>+'KV_1.1.sz.mell.'!C159</f>
        <v>515886626</v>
      </c>
      <c r="C15" s="127" t="s">
        <v>472</v>
      </c>
      <c r="D15" s="130">
        <f>+'KV_2.1.sz.mell.'!E30+'KV_2.2.sz.mell.'!E31</f>
        <v>515886626</v>
      </c>
      <c r="E15" s="128">
        <f t="shared" si="0"/>
        <v>0</v>
      </c>
    </row>
    <row r="16" spans="1:5" ht="12.75">
      <c r="A16" s="120"/>
      <c r="B16" s="120"/>
      <c r="C16" s="127"/>
      <c r="D16" s="130"/>
      <c r="E16" s="121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2020-03-13T10:56:03Z</cp:lastPrinted>
  <dcterms:created xsi:type="dcterms:W3CDTF">1999-10-30T10:30:45Z</dcterms:created>
  <dcterms:modified xsi:type="dcterms:W3CDTF">2020-03-13T10:56:09Z</dcterms:modified>
  <cp:category/>
  <cp:version/>
  <cp:contentType/>
  <cp:contentStatus/>
</cp:coreProperties>
</file>