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táj.1." sheetId="14" r:id="rId14"/>
    <sheet name="táj.2." sheetId="15" r:id="rId15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'12'!$A$1:$Q$203</definedName>
  </definedNames>
  <calcPr fullCalcOnLoad="1"/>
</workbook>
</file>

<file path=xl/sharedStrings.xml><?xml version="1.0" encoding="utf-8"?>
<sst xmlns="http://schemas.openxmlformats.org/spreadsheetml/2006/main" count="2059" uniqueCount="1289">
  <si>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</si>
  <si>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</si>
  <si>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</si>
  <si>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</si>
  <si>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</si>
  <si>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</si>
  <si>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6./9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</si>
  <si>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</si>
  <si>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</si>
  <si>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</si>
  <si>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</si>
  <si>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</si>
  <si>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</si>
  <si>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</si>
  <si>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</si>
  <si>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</si>
  <si>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</si>
  <si>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</si>
  <si>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</si>
  <si>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</si>
  <si>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</si>
  <si>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</si>
  <si>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</si>
  <si>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</si>
  <si>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</si>
  <si>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</si>
  <si>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</si>
  <si>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</si>
  <si>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</si>
  <si>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</si>
  <si>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</si>
  <si>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</si>
  <si>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</si>
  <si>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</si>
  <si>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előző évek tartalékának bevonása</t>
  </si>
  <si>
    <t>082091 Közművelődés-közösségi és társadalmi részvétel fejl.</t>
  </si>
  <si>
    <t xml:space="preserve"> - Z.M.Népművészeti Egyesület kölcsön visszafizetés (59/2010. kgy.hat.)</t>
  </si>
  <si>
    <t xml:space="preserve"> - átmenetileg szabad pénzeszközök befektetése utáni kamat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</si>
  <si>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</si>
  <si>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</si>
  <si>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</si>
  <si>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</si>
  <si>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</si>
  <si>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</si>
  <si>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</si>
  <si>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</si>
  <si>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</si>
  <si>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</si>
  <si>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</si>
  <si>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Széchenyi tér buszmegálló felújítása szigeteléssel együtt, nyilvános WC felúj.</t>
  </si>
  <si>
    <t>Zárda u. - Alsójánkahegyi u. közötti tereplécső felújítása</t>
  </si>
  <si>
    <t>Hitel-, kölcsönfelvétel áht-n kívülről</t>
  </si>
  <si>
    <t>Ola utcai és Rákóczi utcai járda felújítása, zöldfelület rendezése</t>
  </si>
  <si>
    <t>Járdafelújítások Páterdombon</t>
  </si>
  <si>
    <t>4./25</t>
  </si>
  <si>
    <t xml:space="preserve"> Kis utca óvoda vizesblokk felújítás</t>
  </si>
  <si>
    <t xml:space="preserve"> Napsugár úti óvoda felújítása</t>
  </si>
  <si>
    <t>Kosztolányi téri Óvoda felújítása</t>
  </si>
  <si>
    <t xml:space="preserve"> Ady iskolában nagytornatermi 2 db vizesblokk felújítása</t>
  </si>
  <si>
    <t xml:space="preserve"> Petőfi Iskolában vizesblokk felújítás II. üteme</t>
  </si>
  <si>
    <t>1./1/10.</t>
  </si>
  <si>
    <t>1./1/11.</t>
  </si>
  <si>
    <t>1./2/7.</t>
  </si>
  <si>
    <t>1./2/8.</t>
  </si>
  <si>
    <t>1./2/9.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</si>
  <si>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</si>
  <si>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</si>
  <si>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</si>
  <si>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</si>
  <si>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</si>
  <si>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</si>
  <si>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</si>
  <si>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</si>
  <si>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</si>
  <si>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</si>
  <si>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</si>
  <si>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</si>
  <si>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</si>
  <si>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</si>
  <si>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</si>
  <si>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</si>
  <si>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</si>
  <si>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</si>
  <si>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</si>
  <si>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</si>
  <si>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</si>
  <si>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</si>
  <si>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</si>
  <si>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</si>
  <si>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</si>
  <si>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</si>
  <si>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</si>
  <si>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</si>
  <si>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</si>
  <si>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</si>
  <si>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</si>
  <si>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</si>
  <si>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</si>
  <si>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</si>
  <si>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</si>
  <si>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</si>
  <si>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</si>
  <si>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</si>
  <si>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</si>
  <si>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</si>
  <si>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</si>
  <si>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</si>
  <si>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</si>
  <si>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</si>
  <si>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</si>
  <si>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</si>
  <si>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</si>
  <si>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</si>
  <si>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</si>
  <si>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</si>
  <si>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</si>
  <si>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</si>
  <si>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</si>
  <si>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</si>
  <si>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</si>
  <si>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</si>
  <si>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</si>
  <si>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</si>
  <si>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</si>
  <si>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</si>
  <si>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</si>
  <si>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</si>
  <si>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</si>
  <si>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</si>
  <si>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</si>
  <si>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</si>
  <si>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</si>
  <si>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</si>
  <si>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</si>
  <si>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</si>
  <si>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</si>
  <si>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</si>
  <si>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</si>
  <si>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</si>
  <si>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</si>
  <si>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</si>
  <si>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</si>
  <si>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</si>
  <si>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</si>
  <si>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</si>
  <si>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</si>
  <si>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ZTE Kosárlabda Klub Kft. tőketartalék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</si>
  <si>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</si>
  <si>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</si>
  <si>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</si>
  <si>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III.2. Hozzájárulás a pénzbeli szociális ellátásokhoz ( egyösszegű) beszámítás után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</si>
  <si>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</si>
  <si>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</si>
  <si>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</si>
  <si>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</si>
  <si>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</si>
  <si>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</si>
  <si>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</si>
  <si>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</si>
  <si>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</si>
  <si>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</si>
  <si>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</si>
  <si>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</si>
  <si>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</si>
  <si>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</si>
  <si>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</si>
  <si>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</si>
  <si>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</si>
  <si>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</si>
  <si>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</si>
  <si>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</si>
  <si>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</si>
  <si>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</si>
  <si>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</si>
  <si>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</si>
  <si>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</si>
  <si>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Lakossági közműfejlesztési hozzájárulás (állami)</t>
  </si>
  <si>
    <t xml:space="preserve">Céltartalék </t>
  </si>
  <si>
    <t>6./1</t>
  </si>
  <si>
    <t>6./2</t>
  </si>
  <si>
    <t>6./3</t>
  </si>
  <si>
    <t>7.</t>
  </si>
  <si>
    <t>8.</t>
  </si>
  <si>
    <t>Köztemető</t>
  </si>
  <si>
    <t>2014. évi módosított ei. a III. negyedévi módosítás után</t>
  </si>
  <si>
    <t>2014. évi IV. negyedévi módosítás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</si>
  <si>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</si>
  <si>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</si>
  <si>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</si>
  <si>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</si>
  <si>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</si>
  <si>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</si>
  <si>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</si>
  <si>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</si>
  <si>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</si>
  <si>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</si>
  <si>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</si>
  <si>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</si>
  <si>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</si>
  <si>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</si>
  <si>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</si>
  <si>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</si>
  <si>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</si>
  <si>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Ellátottak pénzbeni juttatásai</t>
  </si>
  <si>
    <t>Felújítási kiadások</t>
  </si>
  <si>
    <t>Belvárosi járdák felújítása</t>
  </si>
  <si>
    <t>Göcseji Pataki u. páros oldal parkoló aszfaltozása</t>
  </si>
  <si>
    <t>6.) Hitel felvétel</t>
  </si>
  <si>
    <t>Felújítási kiadások:</t>
  </si>
  <si>
    <t>Szennyvízberuházások és csapadékcsatornák</t>
  </si>
  <si>
    <t>pm</t>
  </si>
  <si>
    <t>Járdafelújítások Zalabesenyőben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</si>
  <si>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</si>
  <si>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</si>
  <si>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</si>
  <si>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</si>
  <si>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4./61</t>
  </si>
  <si>
    <t>3./9.</t>
  </si>
  <si>
    <t>"Ivóvízminőség javítása" KEOP pályázathoz Önerő alap támogatás átadása</t>
  </si>
  <si>
    <t xml:space="preserve"> - kiegészítő gyermekvédelmi támogatás</t>
  </si>
  <si>
    <t>107060 Egyéb szociális pénzbeli ellátások, támogatások</t>
  </si>
  <si>
    <t xml:space="preserve"> - központi támogatások</t>
  </si>
  <si>
    <t>biz.</t>
  </si>
  <si>
    <t xml:space="preserve"> - parkfenntartás</t>
  </si>
  <si>
    <t>Zöldterület kezelés</t>
  </si>
  <si>
    <t xml:space="preserve"> - helyi utak, hidak fenntartása</t>
  </si>
  <si>
    <t>Városépítészeti feladatok működési kiadásai:</t>
  </si>
  <si>
    <t xml:space="preserve"> - ÁFA befizetés</t>
  </si>
  <si>
    <t xml:space="preserve"> - Rendezvények, kommunikáció, reprezentáció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</si>
  <si>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</si>
  <si>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</si>
  <si>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</si>
  <si>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</si>
  <si>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</si>
  <si>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</si>
  <si>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</si>
  <si>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</si>
  <si>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</si>
  <si>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</si>
  <si>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</si>
  <si>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</si>
  <si>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</si>
  <si>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</si>
  <si>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</si>
  <si>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</si>
  <si>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</si>
  <si>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2014. eredeti előirányzat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</si>
  <si>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</si>
  <si>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</si>
  <si>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</si>
  <si>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</si>
  <si>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</si>
  <si>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</si>
  <si>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</si>
  <si>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</si>
  <si>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</si>
  <si>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</si>
  <si>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</si>
  <si>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</si>
  <si>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Kamatmentes kölcsön az ideiglenesen nehéz helyzetbe került zeg-i polgárok számára (Lakásalapból)</t>
  </si>
  <si>
    <t>Szociális és igazgatási feladatok össszesen:</t>
  </si>
  <si>
    <t>1./2.</t>
  </si>
  <si>
    <t xml:space="preserve">             Általános iskolák</t>
  </si>
  <si>
    <t>1./2/1.</t>
  </si>
  <si>
    <t>Izsák I. Általános Iskola eszközfejlesztés</t>
  </si>
  <si>
    <t xml:space="preserve">2. </t>
  </si>
  <si>
    <t>"Art" mozihálózat digitális fejlesztése pályázati támogatással</t>
  </si>
  <si>
    <t>Hevesi Sándor Színház tűzjelző rendszer</t>
  </si>
  <si>
    <t>Zsinagóga önálló fűtési rendszer kialakítása</t>
  </si>
  <si>
    <t xml:space="preserve">4. </t>
  </si>
  <si>
    <t>Sportfeladatok</t>
  </si>
  <si>
    <t>4./1.</t>
  </si>
  <si>
    <t>4./2.</t>
  </si>
  <si>
    <t>4./3.</t>
  </si>
  <si>
    <t xml:space="preserve">Nehézatlétikai pálya kialakítása Városi Sportcentrum területén </t>
  </si>
  <si>
    <t>4./4.</t>
  </si>
  <si>
    <t>Városi Sportcentrum atlétikai pálya kivilágítása</t>
  </si>
  <si>
    <t>4./5.</t>
  </si>
  <si>
    <t>Andráshidai LSC sportfejlesztési program támogatása</t>
  </si>
  <si>
    <t>2013. évről áthúzódó feladatok</t>
  </si>
  <si>
    <t>5.a/1</t>
  </si>
  <si>
    <t>Páterdombi LSC sportpálya igényének megoldása</t>
  </si>
  <si>
    <t>5.a/2</t>
  </si>
  <si>
    <t>5.a/3</t>
  </si>
  <si>
    <t>5.a/4</t>
  </si>
  <si>
    <t>5.a/5</t>
  </si>
  <si>
    <t>Göcseji Múzeum részére  pe. átadás kiállítóterem fejlesztéséhez pályázati támogatással</t>
  </si>
  <si>
    <t>Zala utcai árvízkapu építése</t>
  </si>
  <si>
    <t>Bazitai u. 80. sz. előtti terület csapadékvízelvezetése</t>
  </si>
  <si>
    <t>Vízelvezetési problémák megoldása Páterdombon</t>
  </si>
  <si>
    <t>1./5.</t>
  </si>
  <si>
    <t>Szennyvíztársulástól átvett viziközmű vagyon fejlesztésére pénzeszköz átadás Szennyvíztársulás részére</t>
  </si>
  <si>
    <t xml:space="preserve"> Lakásvásárlás és -építés támogatásból "Bébi kedvezmény"</t>
  </si>
  <si>
    <t xml:space="preserve">            - központosított állami támogatás</t>
  </si>
  <si>
    <t xml:space="preserve">            -  egyéb felhalmozási célú támogatás</t>
  </si>
  <si>
    <t xml:space="preserve"> - Vis maior támogatás központosított állami hozzájárulás</t>
  </si>
  <si>
    <t xml:space="preserve">  - Vis maior egyéb felhalmozási támogatás</t>
  </si>
  <si>
    <t xml:space="preserve"> - ingatlaneladás Nova Bútor Kft. részére 146/2014. kgy.hat.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</si>
  <si>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</si>
  <si>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</si>
  <si>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</si>
  <si>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</si>
  <si>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</si>
  <si>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 xml:space="preserve"> - képviselők és bizottsági tagok tiszteletdíja</t>
  </si>
  <si>
    <t>Kossuth L.u. 45.  felújítás</t>
  </si>
  <si>
    <t>082091 Közművelődés, közösségi és társadalmi részvétel fejlesztése</t>
  </si>
  <si>
    <t xml:space="preserve">                                                                                            </t>
  </si>
  <si>
    <t>Vis maior támogatás</t>
  </si>
  <si>
    <t>066010 Zöldterület kezelése</t>
  </si>
  <si>
    <t xml:space="preserve"> - fa értékesítés bevétele</t>
  </si>
  <si>
    <t xml:space="preserve"> - erdészeti szakirányítás</t>
  </si>
  <si>
    <t>Köztársaság u. 76-82. mögötti belső tér (Bóbita alatt) csapadékvízelvezetés megoldása, aszfaltozás</t>
  </si>
  <si>
    <t>Szent-István u. csapadékvízelvezetése</t>
  </si>
  <si>
    <t>Pintér M. u. nyugati oldal Lörincz b. u. és Püspöki G. u. közötti szakaszának csapadékvízelvezetése</t>
  </si>
  <si>
    <t>1./9</t>
  </si>
  <si>
    <t>Önkormányzati tulajdonú ingatlanok szennyvízbekötései</t>
  </si>
  <si>
    <t>Zalaegerszeg szennyvíz-elvezetés és tisztítás fejlesztése</t>
  </si>
  <si>
    <t>KEOP vízvezeték építéshez pályázatban nem támogatott munkák</t>
  </si>
  <si>
    <t>Ivóvízminőség javítása KEOP pályázathoz önrész Önerőalapból (KEOP-7.1.3.0/09-201-0017 )</t>
  </si>
  <si>
    <t>Szent L. u.-i közösségi ház közműhálózat leválasztása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</si>
  <si>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</si>
  <si>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</si>
  <si>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</si>
  <si>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</si>
  <si>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</si>
  <si>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</si>
  <si>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</si>
  <si>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Bánya utca aszfaltozása, csapadék víz elvezetéssel</t>
  </si>
  <si>
    <t xml:space="preserve">Babits u. 5. szám előtti parkoló bővítése </t>
  </si>
  <si>
    <t>Biológuspark útcsatlakozás kialakítása</t>
  </si>
  <si>
    <t>Csány - Zrínyi iskolák közötti belső sétány építése</t>
  </si>
  <si>
    <t>Tervek készítése, műszaki ellenőrzések és egyéb hatósági díjak</t>
  </si>
  <si>
    <t>Becsali u. gyalogos átkelőhely létesítése</t>
  </si>
  <si>
    <t>Buszváró létesítése Kaszaházán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</si>
  <si>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</si>
  <si>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</si>
  <si>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</si>
  <si>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Gébárti tó Ny-i oldal parkosítása</t>
  </si>
  <si>
    <t>5./5</t>
  </si>
  <si>
    <t>Szenterzsébethegy virágosítási munkák</t>
  </si>
  <si>
    <t>5./6</t>
  </si>
  <si>
    <t>Pózva játszótér fejlesztése</t>
  </si>
  <si>
    <t>5./7</t>
  </si>
  <si>
    <t>Ságodi játszótér fejlesztése</t>
  </si>
  <si>
    <t>5./8</t>
  </si>
  <si>
    <t>Idősek Otthona mögötti tömbbelső parkoló-zöldsáv megújítás</t>
  </si>
  <si>
    <t>5./9</t>
  </si>
  <si>
    <t>1./4/1.</t>
  </si>
  <si>
    <t xml:space="preserve">ERESCO ipari röntgengép megvásárlása TISZK-től  </t>
  </si>
  <si>
    <t>Városi középiskolai kollégiumban felújítások</t>
  </si>
  <si>
    <t>Aquacity jótékonysági nap bevételéből támogatás</t>
  </si>
  <si>
    <t>6./4.</t>
  </si>
  <si>
    <t>Vásárcsarnok felújításánek járulékos munkái</t>
  </si>
  <si>
    <t>Sport feladatok</t>
  </si>
  <si>
    <t>081043 Iskolai, diáksport-tevékenység és támogatása</t>
  </si>
  <si>
    <t xml:space="preserve"> - alapfokú versenyek rendezése és  támogatása</t>
  </si>
  <si>
    <t>Helyi közösségi közlekedés támogatása</t>
  </si>
  <si>
    <t>Játszóterek, zöldfelületek fejlesztése Páterdombon</t>
  </si>
  <si>
    <t>5./10</t>
  </si>
  <si>
    <t>Botfai sporpályához padok telepítése</t>
  </si>
  <si>
    <t>5./11</t>
  </si>
  <si>
    <t>József Attila Játszótér felújítása (növényzettel, játszóeszközökkel és térbútorokkal)</t>
  </si>
  <si>
    <t>5./12</t>
  </si>
  <si>
    <t>Landorhegyi köztéri padok beszerzése</t>
  </si>
  <si>
    <t>5./13</t>
  </si>
  <si>
    <t>Városi Középiskolai Kollégium Kaffka Margit Tagkollégium udvari pavilon építés és udvarrendezés</t>
  </si>
  <si>
    <t>5./14</t>
  </si>
  <si>
    <t>Csillagközi óvoda udvar parkosítás, füvesítés</t>
  </si>
  <si>
    <t>5./15</t>
  </si>
  <si>
    <t>Nemzetőr u. vége (Cinke park alatti) rendezetlen tér parkosítása</t>
  </si>
  <si>
    <t>5./16</t>
  </si>
  <si>
    <t>Izsák Általános Iskola melletti sportlétesítmények és környezetének fejlesztése, parkosítás</t>
  </si>
  <si>
    <t>5./17</t>
  </si>
  <si>
    <t>Berzsenyi utcai tízemeletesek közötti parkfejlesztés illetve egyéb beruházás</t>
  </si>
  <si>
    <t>5./18</t>
  </si>
  <si>
    <t>Önkormányzati erdő telepítése</t>
  </si>
  <si>
    <t>5./19</t>
  </si>
  <si>
    <t>Köztemető fenntartási feladatok ellátásához anyageszközigény biztosítása</t>
  </si>
  <si>
    <t>5./20</t>
  </si>
  <si>
    <t>Gyepmesteri feladatok ellátásához anyag -eszközigény biztosítása</t>
  </si>
  <si>
    <t>Kinizsi u. tömbbelsőben játszótér eszközbővítés</t>
  </si>
  <si>
    <t>Göcseji úti köztemető közkútjának szennyvízhálózatra való rácsatlakozása</t>
  </si>
  <si>
    <t>Zalaegerszegi Televízió Kft.felhalmozási célú pénzeszköz átadás</t>
  </si>
  <si>
    <t>Temetői fejlesztések</t>
  </si>
  <si>
    <t>Lukahegyi horhos burkolatemelés</t>
  </si>
  <si>
    <t>Bozsoki horhos partfal stabilizációk</t>
  </si>
  <si>
    <t>Szenterzsébethegyi Közösségi tér fejlesztése</t>
  </si>
  <si>
    <t>Erzsébethegy Közösségi tér kialakítás</t>
  </si>
  <si>
    <t>9.a/3</t>
  </si>
  <si>
    <t>Vis maior pályázat árvízvédelem és partfalomlás helyreállítás</t>
  </si>
  <si>
    <t>9.a/4</t>
  </si>
  <si>
    <t>Buslakpuszta bezárt szilárd hulladék-lerakó szennyezés lokalizációja</t>
  </si>
  <si>
    <t>063020 Víztermelés, -kezelés, -ellátás</t>
  </si>
  <si>
    <t>6.) Egyéb finanszírozási kiadás</t>
  </si>
  <si>
    <t>Platán sor 18.szám mögötti parkoló építés</t>
  </si>
  <si>
    <t>1./2/10.</t>
  </si>
  <si>
    <t>Petőfi Iskolában parketta csere</t>
  </si>
  <si>
    <t>3./1/2.</t>
  </si>
  <si>
    <t>Páterdombi orvosi rendelő nyílászáró felújítás</t>
  </si>
  <si>
    <t>kgy,pm</t>
  </si>
  <si>
    <t>4./62</t>
  </si>
  <si>
    <t>4./63</t>
  </si>
  <si>
    <t>4./64</t>
  </si>
  <si>
    <t>4./65</t>
  </si>
  <si>
    <t>4./66</t>
  </si>
  <si>
    <t>Termálfürdő sétány felújítása</t>
  </si>
  <si>
    <t>Zala lakópark bejárat felújítása</t>
  </si>
  <si>
    <t>Berzsenyi u.11.sz. rámpa</t>
  </si>
  <si>
    <t>Cserfa utcai átkötő járda felújítása</t>
  </si>
  <si>
    <t>Május 1. u.útburkolat felújítás</t>
  </si>
  <si>
    <t>Bartók Béla u. felújítás</t>
  </si>
  <si>
    <t>4./67</t>
  </si>
  <si>
    <t>Termálfürdő balesetveszélyes külső gyermekmedence gumiburkolat csere</t>
  </si>
  <si>
    <t>Alsójánkahegyi Közösségi Ház felújítása</t>
  </si>
  <si>
    <t>6./2.</t>
  </si>
  <si>
    <t>Előtervezés</t>
  </si>
  <si>
    <t>6./3.</t>
  </si>
  <si>
    <t>4./9.</t>
  </si>
  <si>
    <t>Parkolóépítés parkolómegváltás bevételéből</t>
  </si>
  <si>
    <t>4./10.</t>
  </si>
  <si>
    <t>Ebergény buszváró létesítés</t>
  </si>
  <si>
    <t>4./11.</t>
  </si>
  <si>
    <t>4./12.</t>
  </si>
  <si>
    <t>Páterdombon buszváró létesítése</t>
  </si>
  <si>
    <t>9./10</t>
  </si>
  <si>
    <t>Lakossági-civil kezdeményezések támogatása</t>
  </si>
  <si>
    <t>Liget utca 0651/65 hrsz.magánerős útépítés</t>
  </si>
  <si>
    <t>Egyéb szervezetek támogatása</t>
  </si>
  <si>
    <t>Holokauszt 70. évforduló emléktábla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</si>
  <si>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</si>
  <si>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</si>
  <si>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</si>
  <si>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</si>
  <si>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felsőoktatási ösztöndíj</t>
  </si>
  <si>
    <t>082010 Kultúra igazgatása</t>
  </si>
  <si>
    <t xml:space="preserve"> - 2014. évi közösségi, művészeti pályázatok</t>
  </si>
  <si>
    <t xml:space="preserve"> - játszóterek fenntartása, karbantartása</t>
  </si>
  <si>
    <t>047410 Ár- és belvízvédelemmel összefüggő tevékenység</t>
  </si>
  <si>
    <t xml:space="preserve"> - vízgazdálkodási társulati érdekeltségi hozzájárulás</t>
  </si>
  <si>
    <t xml:space="preserve"> - egyéb város- és községgazdálkoddás</t>
  </si>
  <si>
    <t xml:space="preserve">  -  környezetvéd.alap feltöltése</t>
  </si>
  <si>
    <t>064010 Közvilágítás</t>
  </si>
  <si>
    <t xml:space="preserve"> - Főépítészi keret</t>
  </si>
  <si>
    <t>Pannon Fejlesztési Alapítvány részére pénzeszköz átadás e-formaautó fejlesztési projekthez</t>
  </si>
  <si>
    <t xml:space="preserve"> -Szociális városrehabilitáció Zalaegerszegen NYDOP-3.1.1/B2-13-k2-2013-0001</t>
  </si>
  <si>
    <t xml:space="preserve"> - Holokauszt 70. évforduló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</si>
  <si>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</si>
  <si>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</si>
  <si>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</si>
  <si>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 xml:space="preserve"> - köztemetés megtérítése</t>
  </si>
  <si>
    <t>066020 Város-, községgazdálkodási egyéb szolgáltatások</t>
  </si>
  <si>
    <t xml:space="preserve">"Komplex belváros rehabilitációs program Zalaegerszegn" projekt pályázati támogatással NYDOP-3.1.1/B1-13-k-2013-0005 </t>
  </si>
  <si>
    <t xml:space="preserve"> - Településrészi Önkormányzatok 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</si>
  <si>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</si>
  <si>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</si>
  <si>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</si>
  <si>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</si>
  <si>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</si>
  <si>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</si>
  <si>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</si>
  <si>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</si>
  <si>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</si>
  <si>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</si>
  <si>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</si>
  <si>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</si>
  <si>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</si>
  <si>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</si>
  <si>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</si>
  <si>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</si>
  <si>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</si>
  <si>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</si>
  <si>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</si>
  <si>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</si>
  <si>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</si>
  <si>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</si>
  <si>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</si>
  <si>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</si>
  <si>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</si>
  <si>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</si>
  <si>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</si>
  <si>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</si>
  <si>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</si>
  <si>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</si>
  <si>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</si>
  <si>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Értékesítési és forgalmi adók ( helyi iparűzési adó)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</si>
  <si>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</si>
  <si>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</si>
  <si>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</si>
  <si>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</si>
  <si>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</si>
  <si>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</si>
  <si>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</si>
  <si>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</si>
  <si>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</si>
  <si>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</si>
  <si>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</si>
  <si>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</si>
  <si>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</si>
  <si>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</si>
  <si>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</si>
  <si>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</si>
  <si>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</si>
  <si>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</si>
  <si>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</si>
  <si>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</si>
  <si>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</si>
  <si>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</si>
  <si>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</si>
  <si>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</si>
  <si>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</si>
  <si>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</si>
  <si>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</si>
  <si>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</si>
  <si>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</si>
  <si>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</si>
  <si>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</si>
  <si>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</si>
  <si>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</si>
  <si>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</si>
  <si>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</si>
  <si>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</si>
  <si>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</si>
  <si>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</si>
  <si>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</si>
  <si>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</si>
  <si>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</si>
  <si>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</si>
  <si>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>Tüttő Gy u. 15.. és a szomszédos ingatlanok csapadékvízelvezetése</t>
  </si>
  <si>
    <t>Gébárti kézművesház tűzivízellátása</t>
  </si>
  <si>
    <t xml:space="preserve">Posta út csatornázása </t>
  </si>
  <si>
    <t>Csapadékvíz-elvezetések, vízrendezések tervezése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</si>
  <si>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</si>
  <si>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</si>
  <si>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</si>
  <si>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 xml:space="preserve">Közvilágítás korszerűsítés Zalaegerszeg I. (KEOP-5.5.0/A/12-2013-0191) </t>
  </si>
  <si>
    <t>3.a/2</t>
  </si>
  <si>
    <t xml:space="preserve">Közvilágítás korszerűsítés Zalaegerszeg II. (KEOP-5.5.0/A)/12-2013-0182 </t>
  </si>
  <si>
    <t>Zalaegerszeg, Déryné utcai gyalogátkelőhely létesítése</t>
  </si>
  <si>
    <t>Landorhegyi u. 8. sz. alatti orvosi rendelő parkoló kialakítási munkái</t>
  </si>
  <si>
    <t>Takarék köz közműcsere utáni helyreállítás</t>
  </si>
  <si>
    <t>Petőfi iskola parkoló építés</t>
  </si>
  <si>
    <t>Kertvárosi templom alsó parkoló építése</t>
  </si>
  <si>
    <t>Andráshidán járdaburkolat építés</t>
  </si>
  <si>
    <t xml:space="preserve">Újtemető parkoló bővítés </t>
  </si>
  <si>
    <t>Göcseji u.- Závoczki I.u. jobbra kanyarodó sáv kialakítási munkái pályázati önrész</t>
  </si>
  <si>
    <t>Petőfi S. Iskola mögötti tömbbelsőben parkolóépítés</t>
  </si>
  <si>
    <t>Játszótér és park kialakítása Hatházán</t>
  </si>
  <si>
    <t>Kerékpárút építésekhez kapcsolódó fásítások és területrendezések</t>
  </si>
  <si>
    <t>Előtervezésekből 2013. évről áthúzódó feladatok</t>
  </si>
  <si>
    <t>Béke utca felújításának előkészítése, tervezése</t>
  </si>
  <si>
    <t>Rákóczi u. felújításához kapcsolódó vízi-közmű kiváltások előkészítése, tervezése</t>
  </si>
  <si>
    <t>6.1.a/3</t>
  </si>
  <si>
    <t>Vizslapark funkcióbővítés és fejlesztés előkészítése, tervezése</t>
  </si>
  <si>
    <t>6.1.a/4</t>
  </si>
  <si>
    <t>062020 Területfejlesztési projektek és támogatásuk</t>
  </si>
  <si>
    <t>B53</t>
  </si>
  <si>
    <t>Egyéb tárgyi eszközök értékesítése</t>
  </si>
  <si>
    <t>Gébárti fürdőlétesítmények (Aquacity) fejlesztési koncepció terv készítés</t>
  </si>
  <si>
    <t>6.1.a/5</t>
  </si>
  <si>
    <t>Fenyő u. korszerűsítése</t>
  </si>
  <si>
    <t>Zalaegerszeg történelmi városközpont rehabilitációs és revitalizációs program NYDOP-3.1.1/B-2009-0005</t>
  </si>
  <si>
    <t>Tehermentesítő út II. ütem építéséhez kapcsolódó közműépítések</t>
  </si>
  <si>
    <t>Kosztolányi u. kétirányúsítása</t>
  </si>
  <si>
    <t>Városrehab. II. ütem kapcsolódó közműépítések</t>
  </si>
  <si>
    <t>Egyéb 2014. évi pályázatok területszerzés, -rendezés</t>
  </si>
  <si>
    <t>6./11</t>
  </si>
  <si>
    <t>Ipari környezet fejlesztése</t>
  </si>
  <si>
    <t>6./13</t>
  </si>
  <si>
    <t>Ingatlanvásárlások</t>
  </si>
  <si>
    <t>AGORA-program - Ady mozi területszerzés (pince), jogi rendezés</t>
  </si>
  <si>
    <t xml:space="preserve">Kossuth u. 50. udvari épület bontása </t>
  </si>
  <si>
    <t>Belvárosi területrendezések, nem felújítható épületek bontása</t>
  </si>
  <si>
    <t>Harasztifalu területszerzés</t>
  </si>
  <si>
    <t>Ipari parkban internet kapcsolat kiépítése</t>
  </si>
  <si>
    <t>6./20</t>
  </si>
  <si>
    <t>Labdarúgó Stadionban fejlesztési munkák</t>
  </si>
  <si>
    <t>6./21</t>
  </si>
  <si>
    <t>LÉSZ Kft. telephely útcsatlakozás és szervízút építés</t>
  </si>
  <si>
    <t>6.b/7</t>
  </si>
  <si>
    <t>6.b/8</t>
  </si>
  <si>
    <t>"Zalaegerszeg 2020-Integrált településfejlesztési stratégia megalkotása" projekt pályázati támogatással  NYDOP-3.1.1/F-13-2013-0001</t>
  </si>
  <si>
    <t>6.b/9</t>
  </si>
  <si>
    <t xml:space="preserve">"Komplex belváros rehabilitációs program Zalaegerszegen" projekt pályázati támogatással NYDOP-3.1.1/B1-13-k-2013-0005 </t>
  </si>
  <si>
    <t>6.b/10</t>
  </si>
  <si>
    <t>Barnamezős vásárlás/fejlesztés</t>
  </si>
  <si>
    <t>6.b/11</t>
  </si>
  <si>
    <t>Barnamezős területek rehabilitációja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</si>
  <si>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</si>
  <si>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</si>
  <si>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</si>
  <si>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</si>
  <si>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</si>
  <si>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</si>
  <si>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</si>
  <si>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</si>
  <si>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>Öveges ÁMK területén gázvezeték kiváltása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</si>
  <si>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</si>
  <si>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</si>
  <si>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</si>
  <si>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>Vorhotai közösségi tér fejlesztése</t>
  </si>
  <si>
    <t xml:space="preserve">Vagyonkezelési feladatok </t>
  </si>
  <si>
    <t>Területcsere É-i és D-i ipari parkban 254/2013. kgy.hat.alapján</t>
  </si>
  <si>
    <t>1.a./4</t>
  </si>
  <si>
    <t>Városrehabilitációra, valamint lakóövezetbe sorolt építési telek kialakítása, lakásvásárlás Lakásalapból</t>
  </si>
  <si>
    <t>1.a./5</t>
  </si>
  <si>
    <t>Zalavíz Zrt. részvény vásárlás</t>
  </si>
  <si>
    <t>Térfigyelő kamera felszerelése Botfán</t>
  </si>
  <si>
    <t xml:space="preserve">Stúdió Rádió fejlesztési célú támogatása </t>
  </si>
  <si>
    <t>Alcímszám</t>
  </si>
  <si>
    <t>Sorszám</t>
  </si>
  <si>
    <t>2014. évi eredeti előirányzat</t>
  </si>
  <si>
    <t>2014. évi módosított előirányzat</t>
  </si>
  <si>
    <t>Módosítás hatáskör szerint</t>
  </si>
  <si>
    <t>Felúj. célú pénzeszk. átad.és egyéb felújítási célú kiadás</t>
  </si>
  <si>
    <t xml:space="preserve">            Óvodák</t>
  </si>
  <si>
    <t>1./1/1.</t>
  </si>
  <si>
    <t>Landorhegyi óvoda ( Űrhajós u. 2. ) gyermek vizesblokk felújítás II. ütem</t>
  </si>
  <si>
    <t>1./1/2.</t>
  </si>
  <si>
    <t>Óvodák felújítása</t>
  </si>
  <si>
    <t>1./1/3.</t>
  </si>
  <si>
    <t>Petőfi Óvoda udvar felújítás</t>
  </si>
  <si>
    <t>1./1/4.</t>
  </si>
  <si>
    <t>Radnóti u. óvoda kerítés felújítása</t>
  </si>
  <si>
    <t>1./1/5.</t>
  </si>
  <si>
    <t>1./1/6.</t>
  </si>
  <si>
    <t>Kis utcai Óvodában udvarfelújítás</t>
  </si>
  <si>
    <t>1./1/7.</t>
  </si>
  <si>
    <t xml:space="preserve"> - természetbeli támogatások (Erzsébet utalvány)</t>
  </si>
  <si>
    <t xml:space="preserve"> -Ivóvízminőség javítása KEOP pályázathoz önrész (KEOP-7.1.3.0/09-201-0017 )</t>
  </si>
  <si>
    <t xml:space="preserve"> - közművesítési hozzájárulás</t>
  </si>
  <si>
    <t xml:space="preserve"> - Kaszaházi belterületbe vonás </t>
  </si>
  <si>
    <t>1./13.</t>
  </si>
  <si>
    <t>4./69.</t>
  </si>
  <si>
    <t xml:space="preserve"> - Felhalmozási célú pénzeszköz átvétel a MOL Nyrt-től</t>
  </si>
  <si>
    <t xml:space="preserve"> - önkormányzat kezelésében lévő ingatlanok hasznosításából származó bevétel</t>
  </si>
  <si>
    <t xml:space="preserve"> - Zalai Közszolgáltató Nonprofit Kft.  tagi kölcsön visszafizetése </t>
  </si>
  <si>
    <t xml:space="preserve"> - Lakásalap előző évek maradványának igénybevétele</t>
  </si>
  <si>
    <t xml:space="preserve"> - bérlakásértékesítés</t>
  </si>
  <si>
    <t xml:space="preserve"> - lakásalappal kapcsolatos bevételek</t>
  </si>
  <si>
    <t>900060 Forgatási és befektetési célú finanszírozási műveletek</t>
  </si>
  <si>
    <t xml:space="preserve"> - Fejlesztési célú hitel felvétel  áthúzódó feladatokhoz kapcsolódó hitelkeretekből</t>
  </si>
  <si>
    <t xml:space="preserve"> - Fejlesztési célú hitel felvétel  2014. évi célokhoz</t>
  </si>
  <si>
    <t xml:space="preserve"> - Áfa visszaigénylés</t>
  </si>
  <si>
    <t xml:space="preserve">  - közoktatási feladatok ellátásához önkormányzatok befizetése</t>
  </si>
  <si>
    <t xml:space="preserve"> - Nyugdíjasházi adományok</t>
  </si>
  <si>
    <t>1./1./12.</t>
  </si>
  <si>
    <t>Belvárosi I.sz.Óvoda Mikes tagóvoda részére pe.átadás belső felújításhoz</t>
  </si>
  <si>
    <t>1./3/3.</t>
  </si>
  <si>
    <t>Kölcsey Gimnázium labor tetőfelépítményeinek beázás elleni védelme</t>
  </si>
  <si>
    <t>1./4.</t>
  </si>
  <si>
    <t>4./68.</t>
  </si>
  <si>
    <t>Alsóerdei út- Gyimesi u. összekötő tereplépcső felújítása</t>
  </si>
  <si>
    <t>6./5.</t>
  </si>
  <si>
    <t>9./4.</t>
  </si>
  <si>
    <t>Aquapark felújítás</t>
  </si>
  <si>
    <t>Önk-i tulajdonú lakások iparosított tehnológiájú felújításhoz pe. átadás LÉSZ Kft. részére (Lakásalapból)</t>
  </si>
  <si>
    <t>2./5.</t>
  </si>
  <si>
    <t>Intézmények támogatása, rendezvényeik finanszírozása</t>
  </si>
  <si>
    <t>2./6.</t>
  </si>
  <si>
    <t>Hevesi Sándor Színházban szőnyeg beszerzés</t>
  </si>
  <si>
    <t>1./12.</t>
  </si>
  <si>
    <t>Állatmenhely szennyvízbekötése</t>
  </si>
  <si>
    <t>Mártírok úton és a Csácsi arborétum közelében és a Fórum körforgalmi csomópontnál autóbuszváró létesítése</t>
  </si>
  <si>
    <t>Lakásvásárlás (lakásalapból)</t>
  </si>
  <si>
    <t>Önkormányzat kezelésében lévő ingatlanok hasznosításához kapcsolódó kiadások</t>
  </si>
  <si>
    <t>Befektetés támogatás Nova Bútor Kft. részére 146/2014. kgy.hat.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</si>
  <si>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</si>
  <si>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</si>
  <si>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</si>
  <si>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 Önkormányzati segély</t>
  </si>
  <si>
    <t xml:space="preserve"> - adósságcsökkentési támogatás</t>
  </si>
  <si>
    <t xml:space="preserve"> - méltányossági közgyógyellátás</t>
  </si>
  <si>
    <t xml:space="preserve"> - peremterületről bejáró tanulók bérlettámogatása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</si>
  <si>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</si>
  <si>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</si>
  <si>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</si>
  <si>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 xml:space="preserve"> - Kvártélyház támogatása</t>
  </si>
  <si>
    <t xml:space="preserve"> - Keresztury ház Németh János dombormű</t>
  </si>
  <si>
    <t xml:space="preserve"> - Holokauszt Emlékév 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</si>
  <si>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</si>
  <si>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</si>
  <si>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</si>
  <si>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 xml:space="preserve"> -"Egymásra hangolva"projekt  TÁMOP-5.4.9-11/1-2012-0043 </t>
  </si>
  <si>
    <t>109010 Szociális szolgáltatás igazgatása</t>
  </si>
  <si>
    <t xml:space="preserve"> - Idősügyi feladatok</t>
  </si>
  <si>
    <t xml:space="preserve"> - nyári étkeztetés</t>
  </si>
  <si>
    <t>081041 Versenysport- és utánpótlás-nevelési tevékenység</t>
  </si>
  <si>
    <t>Településrészi önkorm. tárgyi eszköz beszerzés és felhalm.célú pe.átadás</t>
  </si>
  <si>
    <t xml:space="preserve"> - eredményességi támogatás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</si>
  <si>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</si>
  <si>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</si>
  <si>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</si>
  <si>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sport- és humánigazgatási feladatok</t>
  </si>
  <si>
    <t xml:space="preserve"> - Zalaegerszegi Futball utánpótlás és sport klub támogatása</t>
  </si>
  <si>
    <t xml:space="preserve">   - rendezvények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</si>
  <si>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</si>
  <si>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</si>
  <si>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</si>
  <si>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</si>
  <si>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</si>
  <si>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</si>
  <si>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</si>
  <si>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</si>
  <si>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</si>
  <si>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Vízügyi hatóságokkal kapcs. Feladatok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</si>
  <si>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</si>
  <si>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</si>
  <si>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</si>
  <si>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</si>
  <si>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</si>
  <si>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</si>
  <si>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</si>
  <si>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</si>
  <si>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ünnepi díszkivilágítás szerelés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</si>
  <si>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</si>
  <si>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</si>
  <si>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</si>
  <si>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</si>
  <si>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hulladékdepó bővítés működési kiadások</t>
  </si>
  <si>
    <t>"Települési szilárdhulladék-gazdálkodási rendszerek eszközparkjának fejlesztése, informatikai korszerűsítése"és Áfa  kiadás megelőlegezése KEOP-1.1.1/C/13.</t>
  </si>
  <si>
    <t xml:space="preserve">  -Buslakpusztai bezárt szilárd hulladéklerakó okozta szennyezés lokalizációja  pályázati támogatással KEOP-2.4.0/B/2F/10-11-2012-0005</t>
  </si>
  <si>
    <t xml:space="preserve"> - rendezési tervek működési kiadás</t>
  </si>
  <si>
    <t xml:space="preserve"> - "Zalaegerszeg 2020-Integrált településfejlesztési stratégia megalkotása" projekt pályázati támogatással  NYDOP-3.1.1/F-13-2013-0001</t>
  </si>
  <si>
    <t xml:space="preserve"> - pályázati műszaki előkészítés</t>
  </si>
  <si>
    <t xml:space="preserve"> - felhalmozási kiadásokhoz kapcsolódó dologi kiadások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</si>
  <si>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</si>
  <si>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</si>
  <si>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pályázatok előkészítése, pályázati díjak</t>
  </si>
  <si>
    <t xml:space="preserve"> -  hosszútávú fejlesztési programok,külső szakértők díja</t>
  </si>
  <si>
    <t xml:space="preserve"> - hatósági, szakhatósági eljárásokkal kapcs.kiadások</t>
  </si>
  <si>
    <t xml:space="preserve"> -  vagyongazdálkodási feladatok és szakértői díjak</t>
  </si>
  <si>
    <t>Lakásalappal kapcsolatos kiadások</t>
  </si>
  <si>
    <t xml:space="preserve"> - Bérlakásértékesítés bonyolítási díja</t>
  </si>
  <si>
    <t xml:space="preserve"> - előző évek tartalékának hasznosítása</t>
  </si>
  <si>
    <t xml:space="preserve"> - Médiával kapcsolatos szerződések, támogatások</t>
  </si>
  <si>
    <t xml:space="preserve"> - Intézményi pályázatokhoz megelőlegezett pe. </t>
  </si>
  <si>
    <t xml:space="preserve"> - Idegenforgalmi feladatok</t>
  </si>
  <si>
    <t xml:space="preserve"> - VERSO projekt pályázat önrész</t>
  </si>
  <si>
    <t>Napsugár úti óvoda udvari létesítmények és belső vizesblokk felújítás</t>
  </si>
  <si>
    <t>1./1/8.</t>
  </si>
  <si>
    <t>Űrhajós úti óvoda udvari létesítmények és belső vizesblokk felújítás</t>
  </si>
  <si>
    <t>1./1/9.</t>
  </si>
  <si>
    <t>Kodály úti tagóvodában vizesblokk felújítás</t>
  </si>
  <si>
    <t>1./2/1..</t>
  </si>
  <si>
    <t>Általános iskolákban felújítási munkák</t>
  </si>
  <si>
    <t>1./2/2..</t>
  </si>
  <si>
    <t xml:space="preserve">Dózsa Gy. tagiskola felújítás </t>
  </si>
  <si>
    <t>1./2/3..</t>
  </si>
  <si>
    <t>1./2/4.</t>
  </si>
  <si>
    <t xml:space="preserve">Ady Iskola felújítás                 </t>
  </si>
  <si>
    <t>1./2/5..</t>
  </si>
  <si>
    <t xml:space="preserve">Petőfi Iskola felújítás </t>
  </si>
  <si>
    <t>1./2/6.</t>
  </si>
  <si>
    <t>Béke ligeti Iskola felújítás</t>
  </si>
  <si>
    <t>Liszt Ferenc Tagiskola udvarának felújítása</t>
  </si>
  <si>
    <t>1./3/1.</t>
  </si>
  <si>
    <t>Kölcsey Gimnázium TÁMOP pályázatához nem támogatott munkarész költsége (labor lapostető szigetelés munkái)</t>
  </si>
  <si>
    <t>1./3/2.</t>
  </si>
  <si>
    <t>Zrínyi Gimnázium felújítás</t>
  </si>
  <si>
    <t>2./1.</t>
  </si>
  <si>
    <t>Zalaegerszegi VMK DK-i szárny belső átalakítása (Családsegítő Szolgálat és Gyermekjóléti Központ)</t>
  </si>
  <si>
    <t>2./2.</t>
  </si>
  <si>
    <t>"Települési szilárdhulladék-gazdálkodási rendszerek eszközparkjának fejlesztése, informatikai korszerűsítése" pályázati támogatással KEOP-1.1.1/C/13.</t>
  </si>
  <si>
    <t xml:space="preserve">Hevesi Sándor Színház ponthúzó hajtásrendszerének felújítása  </t>
  </si>
  <si>
    <t>3./1.</t>
  </si>
  <si>
    <t>3./1/1.</t>
  </si>
  <si>
    <t>Orvosi rendelők felújítása</t>
  </si>
  <si>
    <t>3./2.</t>
  </si>
  <si>
    <t>3./2/1.</t>
  </si>
  <si>
    <t>Bölcsődék felújítása</t>
  </si>
  <si>
    <t>3./2/2.</t>
  </si>
  <si>
    <t>Kis utcai Tipegő Bölcsődében nyílászáró csere</t>
  </si>
  <si>
    <t>3./2/3.</t>
  </si>
  <si>
    <t>Napsugár úti bölcsőde udvari létesítmények és belső vizesblokk felújítás</t>
  </si>
  <si>
    <t>3./2/4.</t>
  </si>
  <si>
    <t>Űrhajós úti bölcsőde udvari létesítmények és belső vizesblokk felújítás</t>
  </si>
  <si>
    <t>3./3.</t>
  </si>
  <si>
    <t>3./3/1.</t>
  </si>
  <si>
    <t>Landorhegyi Idősek Klubja tetőcsere</t>
  </si>
  <si>
    <t xml:space="preserve">5. </t>
  </si>
  <si>
    <t>Sportcsarnokban ZTE KK Kft. TAO-s pályázatához kapcsolódó felújítási feladatokhoz</t>
  </si>
  <si>
    <t>Kis utcai óvoda kazánház ablakcsere</t>
  </si>
  <si>
    <t>Landorhegyi u. 8. szám alatti gyermekorvosi rendelők felújítása</t>
  </si>
  <si>
    <t>Ilosvai u.-i csapadékvízelvezető műtárgyak felújítása</t>
  </si>
  <si>
    <t>Önkormányzati kezelésben lévő intézmények közműveinek felújítása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</si>
  <si>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</si>
  <si>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</si>
  <si>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</si>
  <si>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</si>
  <si>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</si>
  <si>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</si>
  <si>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</si>
  <si>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</si>
  <si>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</si>
  <si>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</si>
  <si>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</si>
  <si>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</si>
  <si>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</si>
  <si>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</si>
  <si>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</si>
  <si>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</si>
  <si>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</si>
  <si>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</si>
  <si>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</si>
  <si>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</si>
  <si>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</si>
  <si>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</si>
  <si>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</si>
  <si>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</si>
  <si>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</si>
  <si>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</si>
  <si>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</si>
  <si>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</si>
  <si>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</si>
  <si>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Landorhegyi u. 20. mögötti parkoló felújítása</t>
  </si>
  <si>
    <t>Gasparich út 11.-13. – út és parkolófelújítás</t>
  </si>
  <si>
    <t>Babits utca 2. szám előtti útszakasz burkolatfelújítás</t>
  </si>
  <si>
    <t xml:space="preserve">Zárda u. - Orsolya tér útfelújítás                         </t>
  </si>
  <si>
    <t>Hegyalja u. 11. mögötti terület parkoló bővítés, parkosítás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</si>
  <si>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</si>
  <si>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</si>
  <si>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</si>
  <si>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</si>
  <si>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</si>
  <si>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Alsóerdei u. balesetveszélyes fahíd felújítása</t>
  </si>
  <si>
    <t>4./42</t>
  </si>
  <si>
    <t>4./43</t>
  </si>
  <si>
    <t>Balesetveszélyes tereplépcsők, járdák, volt Skála melletti lépcső  felújítása</t>
  </si>
  <si>
    <t>4./44</t>
  </si>
  <si>
    <t>Neszelében a Gébárti utcai járda felújítása</t>
  </si>
  <si>
    <t>4./45</t>
  </si>
  <si>
    <t>Ságodi u. járdaburkolat felújítás</t>
  </si>
  <si>
    <t>4./46</t>
  </si>
  <si>
    <t>Kaszaházi u. Thifim közötti járdaszakasz felújítás</t>
  </si>
  <si>
    <t>4./47</t>
  </si>
  <si>
    <t>Ola utca járda felújítás és zöldfelület rendezés</t>
  </si>
  <si>
    <t>4./48</t>
  </si>
  <si>
    <t>Kosztolányi tér járda felújítás és zöldfelület rendezés:</t>
  </si>
  <si>
    <t>4./49</t>
  </si>
  <si>
    <t>Kovács Károly térről buszállomás felé az átkötő járda szélesítése és felújítása</t>
  </si>
  <si>
    <t>4./50</t>
  </si>
  <si>
    <t>4./51</t>
  </si>
  <si>
    <t>4./52</t>
  </si>
  <si>
    <t>Juhász Gy. u. útszűkület, vasúti átjáró burkolat javítás</t>
  </si>
  <si>
    <t>4./53</t>
  </si>
  <si>
    <t>Arany J.u.-tól nyugatra lévő lakóövezet járda felújítási munkái</t>
  </si>
  <si>
    <t>4./54</t>
  </si>
  <si>
    <t>Madách u. – Landorhegyi u. 37. – 51. sz. társasházakat összekötő lépcső felújítása</t>
  </si>
  <si>
    <t>4./55</t>
  </si>
  <si>
    <t>Bazita u. járdaburkolat felújítás</t>
  </si>
  <si>
    <t>4./56</t>
  </si>
  <si>
    <t>Ebergényi járdák</t>
  </si>
  <si>
    <t>4./57</t>
  </si>
  <si>
    <t>Szent László utca és környéke járdafelújítások</t>
  </si>
  <si>
    <t>4./58</t>
  </si>
  <si>
    <t>Bozsoki úti járda felújítás II. ütem</t>
  </si>
  <si>
    <t>4./59</t>
  </si>
  <si>
    <t>Kertváros  út-, járdaburkolat felújítási munkák</t>
  </si>
  <si>
    <t>4./60</t>
  </si>
  <si>
    <t>Stadion u. járdaburkolat felújítás</t>
  </si>
  <si>
    <t>Bozsok Hegy út felújítása</t>
  </si>
  <si>
    <t>Balesetveszélyes tereplépcsők, járdák  felújítása</t>
  </si>
  <si>
    <t>Hegyalja u. 11-13. parkoló burkolatfelújítás, Hegyalja  u. 9-11. között betonlapos gyalogjárda felújítás</t>
  </si>
  <si>
    <t>Lakótelepek faállományának felújítása</t>
  </si>
  <si>
    <t>Belvárosi zöldterület felújítás</t>
  </si>
  <si>
    <t>Béke liget felújítása</t>
  </si>
  <si>
    <t>Pázmány P. u. Színház hátsó bejárati zöldsáv felújítás</t>
  </si>
  <si>
    <t>Kinizsi u. fák cseréje, karbantartása</t>
  </si>
  <si>
    <t>Landorhegyi járdák, parkok felújítása</t>
  </si>
  <si>
    <t>Bazitai kilátó környékének rendbetétele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</si>
  <si>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</si>
  <si>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</si>
  <si>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</si>
  <si>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</si>
  <si>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Első világháborús történelmi emlékművek helyreállítása pályázati önrész</t>
  </si>
  <si>
    <t>8./5</t>
  </si>
  <si>
    <t>Göcseji úti köztemető hősi halottak sírjelének felújítása</t>
  </si>
  <si>
    <t>8./6</t>
  </si>
  <si>
    <t>Botfai temető kerítésének javítása</t>
  </si>
  <si>
    <t xml:space="preserve">Pózvai Közösségi Ház (a harangláb melletti) tetőfelújítása </t>
  </si>
  <si>
    <t xml:space="preserve">Idősek Otthona kialakítása </t>
  </si>
  <si>
    <t>Botfa közösségi ház festése, ajtók cseréje</t>
  </si>
  <si>
    <t xml:space="preserve">Bazitai templom felújítása </t>
  </si>
  <si>
    <t>Mozgássérültek Zm.Egyesülete részére pe. átad. a Gébárti faház felúj.</t>
  </si>
  <si>
    <t>Vorhota Közösségi Ház felújítása</t>
  </si>
  <si>
    <t>Út-járda parkoló</t>
  </si>
  <si>
    <t>Olajmunkás utca 4. szám mögött parkolóépítés</t>
  </si>
  <si>
    <t>Tüttőssy utca 6. szám előtti (Európa tér) járda felújítása</t>
  </si>
  <si>
    <t>Ady utca járda - Strand előtti szakasz felújítása</t>
  </si>
  <si>
    <t>Berzsenyi-Stadion utcai tömbbelsőben és környékén járda felújítás és zöldfelület rendezés</t>
  </si>
  <si>
    <t>Ferences Plébánia részére felújításhoz pénzeszköz átadás</t>
  </si>
  <si>
    <t>Lakásalap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</si>
  <si>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</si>
  <si>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</si>
  <si>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</si>
  <si>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</si>
  <si>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</si>
  <si>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4./8.</t>
  </si>
  <si>
    <t>Havasi gyopár u. magánerős útépítés</t>
  </si>
  <si>
    <t>Cserével vegyes ingatlanszerződések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</si>
  <si>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</si>
  <si>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</si>
  <si>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</si>
  <si>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</si>
  <si>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5.a./1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</si>
  <si>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</si>
  <si>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</si>
  <si>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</si>
  <si>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</si>
  <si>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</si>
  <si>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 xml:space="preserve">Vorhotán Újhegyi u. járdaépítés és kapcsolódó árok zárttá tétele </t>
  </si>
  <si>
    <t>2./3</t>
  </si>
  <si>
    <t>Csácsi hegy nyomásövezetek összekötése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</si>
  <si>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</si>
  <si>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</si>
  <si>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</si>
  <si>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</si>
  <si>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</si>
  <si>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</si>
  <si>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</si>
  <si>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</si>
  <si>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>1./8</t>
  </si>
  <si>
    <t>1./6</t>
  </si>
  <si>
    <t>1./7</t>
  </si>
  <si>
    <t>III. Települési önkormányzatok szociális és gyermekjóléti feladatainak támogatása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</si>
  <si>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</si>
  <si>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</si>
  <si>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</si>
  <si>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</si>
  <si>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</si>
  <si>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</si>
  <si>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</si>
  <si>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</si>
  <si>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>Helyi önkormányzatok kiegészítő támogatásai</t>
  </si>
  <si>
    <t xml:space="preserve">   f) Időskorúak nappali intézményi  ellátása</t>
  </si>
  <si>
    <t>Hitel-, kölcsöntörlesztés áht-n kívülre</t>
  </si>
  <si>
    <t>Egyéb finanszírozási kiadás</t>
  </si>
  <si>
    <t>Beruházási kiadások:</t>
  </si>
  <si>
    <t>Beruházási kiadások</t>
  </si>
  <si>
    <t>Beruházási  kiadások:</t>
  </si>
  <si>
    <t>Beruházás kiadások</t>
  </si>
  <si>
    <t>1.) Működési célú támogatások államháztartáson belülről</t>
  </si>
  <si>
    <t>2014. évi bevétel eredeti előirányzat</t>
  </si>
  <si>
    <t>2014. évi bevétel módosított előirányzat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</si>
  <si>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</si>
  <si>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</si>
  <si>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</si>
  <si>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</si>
  <si>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 xml:space="preserve"> - zöldfelületi stratégia feladatai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</si>
  <si>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</si>
  <si>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</si>
  <si>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</si>
  <si>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</si>
  <si>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</si>
  <si>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</si>
  <si>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</si>
  <si>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</si>
  <si>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</si>
  <si>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</si>
  <si>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</si>
  <si>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>2014. évi  módosított előirányzat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</si>
  <si>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</si>
  <si>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</si>
  <si>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</si>
  <si>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</si>
  <si>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</si>
  <si>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</si>
  <si>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</si>
  <si>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</si>
  <si>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</si>
  <si>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</si>
  <si>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</si>
  <si>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</si>
  <si>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</si>
  <si>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</si>
  <si>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</si>
  <si>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</si>
  <si>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</si>
  <si>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</si>
  <si>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3).Egyéb működési célú kiadások (költségvetési szervek és tartalék nélkül)</t>
  </si>
  <si>
    <t>Létszámcsökkentési pályázat (Többcélú Társulás)</t>
  </si>
  <si>
    <t>B54</t>
  </si>
  <si>
    <t>Részesedések értékesítése</t>
  </si>
  <si>
    <t>2.a) színházművészeti szervezetek támogatása</t>
  </si>
  <si>
    <t>Központosított előirányzatok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</si>
  <si>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</si>
  <si>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</si>
  <si>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</si>
  <si>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</si>
  <si>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</si>
  <si>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</si>
  <si>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</si>
  <si>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>084070 A fiatalok társ. integrációját seg. struktúra, szakmai szolgált. fejlesztése, működtetése</t>
  </si>
  <si>
    <t xml:space="preserve"> - ifjúsági rendezvények</t>
  </si>
  <si>
    <t>Nyári gyermekétkeztetés</t>
  </si>
  <si>
    <t>Jövedelempótló támogatások</t>
  </si>
  <si>
    <t>Óvodáztatási támogatás</t>
  </si>
  <si>
    <t>104051 Gyermekvédelmi pénzbeli és természetbeni ellátások</t>
  </si>
  <si>
    <t>Működési költségvetés összesen:</t>
  </si>
  <si>
    <t>Beruházások</t>
  </si>
  <si>
    <t>Felújítások</t>
  </si>
  <si>
    <t>Egyéb felhalmozási kiadások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</si>
  <si>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</si>
  <si>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</si>
  <si>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</si>
  <si>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</si>
  <si>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</si>
  <si>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 xml:space="preserve"> - helyi önkormányzatok általános működésének és ágazati feladatainak támogatása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</si>
  <si>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</si>
  <si>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</si>
  <si>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</si>
  <si>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</si>
  <si>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</si>
  <si>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</si>
  <si>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</si>
  <si>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</si>
  <si>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</si>
  <si>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</si>
  <si>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O66010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</si>
  <si>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</si>
  <si>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</si>
  <si>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</si>
  <si>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Járulékcsökkenésből eredő magtakarítás befizetési kötelezettség</t>
  </si>
  <si>
    <t xml:space="preserve"> - Zalaegerszegi Szociális és Gyermekjóléti Alapszolgáltatási Társulás működési hozzájárulás</t>
  </si>
  <si>
    <t xml:space="preserve"> - jogtalanul felvett segélyek visszafizetése</t>
  </si>
  <si>
    <t xml:space="preserve"> - Kaszaházi belterületbe vonás költségeinek megtérítése</t>
  </si>
  <si>
    <t>Telekalja u.csapadékvíz elvezetés</t>
  </si>
  <si>
    <t xml:space="preserve"> - hatósági ügyintézés</t>
  </si>
  <si>
    <t xml:space="preserve"> - Nemzedékek kézfogása</t>
  </si>
  <si>
    <t xml:space="preserve"> - óvodáztatási támogatás</t>
  </si>
  <si>
    <t>105010 Munkanélküli aktív korúak ellátásai</t>
  </si>
  <si>
    <t xml:space="preserve"> - rendszeres szociális segély</t>
  </si>
  <si>
    <t xml:space="preserve"> - foglalkoztatást helyettesítő támogatás</t>
  </si>
  <si>
    <t xml:space="preserve"> - LÉSZ Kft. bérlemény üzemeltetés</t>
  </si>
  <si>
    <t xml:space="preserve"> - belterületi fás szárú növények fenntartási munkái</t>
  </si>
  <si>
    <t>042180 Állat-egészségügy</t>
  </si>
  <si>
    <t xml:space="preserve"> - lakótelepek faállományának fenntartása</t>
  </si>
  <si>
    <t xml:space="preserve"> - állami támogatás visszafizetése</t>
  </si>
  <si>
    <t xml:space="preserve"> - információs táblák pótlása</t>
  </si>
  <si>
    <t xml:space="preserve"> - köztisztaság szerződéses munkák</t>
  </si>
  <si>
    <t>Felhalmozási célú pénzeszköz átadás a Z.M.Katasztrófavéd. Igazgatóság részére</t>
  </si>
  <si>
    <t>011320 Nemzetközi szervezetekben való részvétel</t>
  </si>
  <si>
    <t xml:space="preserve"> - Nemzetközi kapcsolatokra</t>
  </si>
  <si>
    <t xml:space="preserve">  - Kiegészítő gyemekvédelmi támogatás</t>
  </si>
  <si>
    <t>013350 Önk-i vagyonnal való gazdálkodáshoz kapcs. fa.</t>
  </si>
  <si>
    <t xml:space="preserve">018030 Támogatás célú finanszírozási műveletek </t>
  </si>
  <si>
    <t>018010 Önkormányzatok elszámolásai a központi költségvetéssel</t>
  </si>
  <si>
    <t xml:space="preserve"> - Járulékmegtakarításból eredő int-i befizetési kötelezettség</t>
  </si>
  <si>
    <t xml:space="preserve">ZTE-SPORTSZOLG Kft.törzstőke és tőketartalék </t>
  </si>
  <si>
    <t>MÜLLEX Közszolgáltató Nonprofit Kft. üzletrészének megvásárlás</t>
  </si>
  <si>
    <t>Kutilapi u. aszfaltozása</t>
  </si>
  <si>
    <t>4./7.</t>
  </si>
  <si>
    <t>Botfai sportöltöző szigetelése, fűtéskorszerűsítéspályázati önrész Botfai LSC részére</t>
  </si>
  <si>
    <t>3./8.</t>
  </si>
  <si>
    <t>Botfai közvilágítás fejlesztés</t>
  </si>
  <si>
    <t>6./1.</t>
  </si>
  <si>
    <t>4./6.</t>
  </si>
  <si>
    <t>1./11</t>
  </si>
  <si>
    <t>5./21</t>
  </si>
  <si>
    <t>5./22</t>
  </si>
  <si>
    <t xml:space="preserve">Eötvös Iskola főépület déli és keleti oldalán nyílászárók cseréje és homlokzati  hőszigetelés </t>
  </si>
  <si>
    <t>Zalabesenyő közösségi ház fejlesztéséhez pe. átadás Besenyő a 2000-es években Alapítvány részére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</si>
  <si>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</si>
  <si>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</si>
  <si>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9./8</t>
  </si>
  <si>
    <t>9./9</t>
  </si>
  <si>
    <t>Dolgozói lakásépítés és -vásárlás támogatása</t>
  </si>
  <si>
    <t>Városi középiskolai Kollégium udvari pihenő kialakítása</t>
  </si>
  <si>
    <t>Sas u. - Jánkahegy útcsatlakozás kiépítése</t>
  </si>
  <si>
    <t>4.a/1.</t>
  </si>
  <si>
    <t>Duális képzőközpont kialakítása</t>
  </si>
  <si>
    <t>2./4.</t>
  </si>
  <si>
    <t>Keresztury ház Németh János dombormű</t>
  </si>
  <si>
    <t>9./7</t>
  </si>
  <si>
    <t xml:space="preserve"> Aquaparkba kisértékű eszközök beszerzése</t>
  </si>
  <si>
    <t>Egyéb város- és községgazdálkodás kisértékű tárgyi eszközök beszerzése</t>
  </si>
  <si>
    <t>Szennyvíztársulástól átvett víziközművagyon felújítása és eseményvezérelt felújítások használati díj terhére, Társulási elszámolás</t>
  </si>
  <si>
    <t xml:space="preserve"> - Szennyvíztársulástól átvett víziközmű vagyon felújításához pénzeszköz átvétel a Szennyvíztársulástól</t>
  </si>
  <si>
    <t>Cím    szám</t>
  </si>
  <si>
    <t>2014. évi  előirányzat</t>
  </si>
  <si>
    <t>Igazga-tási dolgozó</t>
  </si>
  <si>
    <t>Orvos</t>
  </si>
  <si>
    <t>Óvoda pedagó-gus</t>
  </si>
  <si>
    <t>Népmű-velő, könyv-táros</t>
  </si>
  <si>
    <t>Egyéb szakal-kal- mazott</t>
  </si>
  <si>
    <t>Ügyvi-teli dolgo-zó</t>
  </si>
  <si>
    <t>Fizikai dolgozó</t>
  </si>
  <si>
    <t>2014. évi módos. ei.</t>
  </si>
  <si>
    <t>Változás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</si>
  <si>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</si>
  <si>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</si>
  <si>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</si>
  <si>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</si>
  <si>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>10.</t>
  </si>
  <si>
    <t>Zalaegerszegi Városrészek  Művelődési Központja és Könyvtára</t>
  </si>
  <si>
    <t>11.</t>
  </si>
  <si>
    <t>Keresztury Dezső Városi Művelődési Központ</t>
  </si>
  <si>
    <t>12.</t>
  </si>
  <si>
    <t>13.</t>
  </si>
  <si>
    <t>14.</t>
  </si>
  <si>
    <t>15.</t>
  </si>
  <si>
    <t xml:space="preserve">Hevesi Sándor Színház </t>
  </si>
  <si>
    <t>16.</t>
  </si>
  <si>
    <t>17.</t>
  </si>
  <si>
    <t>18.</t>
  </si>
  <si>
    <t>Költségvetési szervek összesen:</t>
  </si>
  <si>
    <t>Mindösszesen:</t>
  </si>
  <si>
    <t xml:space="preserve"> - ápolási díj méltányossági alapon</t>
  </si>
  <si>
    <t xml:space="preserve"> -természetbeli támogatások (Erzsébet utalvány)</t>
  </si>
  <si>
    <t xml:space="preserve"> - környezetvédelmi bírság</t>
  </si>
  <si>
    <t xml:space="preserve"> Mikes u.tagóvoda udvarára kültéri játékok beszerzése pe. Átadás "Játékvár Alapítvány a Mikes Kelemen Úti Óvodáért"részére</t>
  </si>
  <si>
    <t>Erkel F.utcai régi rönk játszótér eszközbővítés</t>
  </si>
  <si>
    <t>Környezetvédelmi Jeles napok kisértékű tárgyi eszköz beszerzés</t>
  </si>
  <si>
    <t xml:space="preserve"> Közfoglalkoztatás anyag- és eszközigény biztosítása</t>
  </si>
  <si>
    <t>Városüzemelteéssel kapcsolatos kisértékű eszköz beszerzése</t>
  </si>
  <si>
    <t>1./10</t>
  </si>
  <si>
    <t>Szennyvíztársulástól átvett viziközmű vagyon működtetésére pénzeszköz átadás Zalavíz Zrt. részére</t>
  </si>
  <si>
    <t>Ady utcai szennyvízbekötések</t>
  </si>
  <si>
    <t>011130 Önkorm. és önkorm. hivatal. jogalk. és ált.ig.tev.</t>
  </si>
  <si>
    <t>098010 Oktatás igazgatása</t>
  </si>
  <si>
    <t>082091 Közművelődés - közösségi és társ. részvétel fejleszt.</t>
  </si>
  <si>
    <t>Munkaadót terhelő járulékok és szociális hj.adó</t>
  </si>
  <si>
    <t>Önkormányzat összesen költségvetési szervek nélkül</t>
  </si>
  <si>
    <t>Szociális és igazgatási fa. működési kiadás összesen: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</si>
  <si>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</si>
  <si>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</si>
  <si>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</si>
  <si>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 xml:space="preserve">3. Szociális ágazati pótlék </t>
  </si>
  <si>
    <t>Közművelődési érdekeltségnövelő támogatás</t>
  </si>
  <si>
    <t>Könyvtári érdekeltségnövelő támogatás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</si>
  <si>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</si>
  <si>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</si>
  <si>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</si>
  <si>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</si>
  <si>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</si>
  <si>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</si>
  <si>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</si>
  <si>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>Pénzügyi lebonyolítás működési kiadásai  összesen:</t>
  </si>
  <si>
    <t>Beruházási célú pénzeszk. átadás és egyéb felhalmozási kiadás</t>
  </si>
  <si>
    <t>Összes beruh. célú kiadás</t>
  </si>
  <si>
    <t>Landorhegyi Óvoda energetikai beruházáshoz kapcsolódó kiegészítő építések</t>
  </si>
  <si>
    <t>Mikes Óvoda energetikai beruházáshoz kapcsolódó kiegészítő építések</t>
  </si>
  <si>
    <t>Természettudományos oktatás eszközrendszerének és módszertanának fejlesztése a Kölcsey F. Gimnáziumban TÁMOP 3.1.3.-11/2-2012-0023</t>
  </si>
  <si>
    <t>1.a/5</t>
  </si>
  <si>
    <t>1.a/6</t>
  </si>
  <si>
    <t>Humánigazgatási  feladatok összesen:</t>
  </si>
  <si>
    <t>Köztársaság út 92.-102. sz t.ház K.-i oldalán lévő terület vízelvezetése</t>
  </si>
  <si>
    <t>Köztársaság útja - Czobor M. u. csomópont (Szentcsalád Óvoda) korrekció és gyalogos átkelőhely létesítése</t>
  </si>
  <si>
    <t xml:space="preserve">Bekeháza temető környezetének rendezése, temetőt megközelítő út kialakítása </t>
  </si>
  <si>
    <t>8./3</t>
  </si>
  <si>
    <t>8./4</t>
  </si>
  <si>
    <t>Vízjogi engedélyezési eljárások díja</t>
  </si>
  <si>
    <t>Beruházásokhoz kapcsolódó csatornadiagnosztikák költsége</t>
  </si>
  <si>
    <t>Ivóvízvezeték építési munkák</t>
  </si>
  <si>
    <t xml:space="preserve">Útterületek rendezése, területvásárlás 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</si>
  <si>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</si>
  <si>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</si>
  <si>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</si>
  <si>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</si>
  <si>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 xml:space="preserve"> Állami ingatlanok tulajdonszerzésével kapcs. kiadások </t>
  </si>
  <si>
    <t>Egyéb területrendezések, bontások</t>
  </si>
  <si>
    <t>6./10</t>
  </si>
  <si>
    <t>Botfa sportpálya fejlesztés területrendezés, kompenzáció</t>
  </si>
  <si>
    <t>6./12</t>
  </si>
  <si>
    <t>100 %-os támogatottságú pályázatok előkészítésének költségei</t>
  </si>
  <si>
    <t>6./14</t>
  </si>
  <si>
    <t>6./15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</si>
  <si>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</si>
  <si>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</si>
  <si>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</si>
  <si>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</si>
  <si>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</si>
  <si>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6./19</t>
  </si>
  <si>
    <t>Inkubátorház villamos energia ellátásának bővítése</t>
  </si>
  <si>
    <t>Ökováros projekt</t>
  </si>
  <si>
    <t>Városrehabilitáció II. ütem folytatása Lakásalapból</t>
  </si>
  <si>
    <t>Jogi Igazgatási feladatok</t>
  </si>
  <si>
    <t>Jogi Igazgatási feladatok összesen:</t>
  </si>
  <si>
    <t>Kvártélyház Kft. részére támogatás eszközfejlesztési pályázat önrészéhez</t>
  </si>
  <si>
    <t>Önkormányzat összesen költségetési szervek nélkül</t>
  </si>
  <si>
    <t>A *-gal jelzett fejlesztési feladatok megvalósításához hitelfelvétel szükséges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</si>
  <si>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</si>
  <si>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</si>
  <si>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</si>
  <si>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Landorhegyi u. 24. parkoló felújítás</t>
  </si>
  <si>
    <t>Hegybíró u. aszfaltozása</t>
  </si>
  <si>
    <t>Madách I. u. lépcsőfelújítás</t>
  </si>
  <si>
    <t>Mártírok u. burkolatfelújítás I. ütem, ivóvízvezeték rekonstrukció</t>
  </si>
  <si>
    <t>Belvárosi járdák felújítása (Kazinczy tér É-i oldal)</t>
  </si>
  <si>
    <t>Kovács K. tér buszmegálló járdaburkolat felújítás</t>
  </si>
  <si>
    <t>Kertvárosban járdák, lépcsők felújítása</t>
  </si>
  <si>
    <t>Zalabesenyő temető kápolna állagmegóvás (építészeti érték)</t>
  </si>
  <si>
    <t>Egyéb központi támogatás</t>
  </si>
  <si>
    <t>1. 2014. évi bérkompenzáció</t>
  </si>
  <si>
    <t>2. Adósságkonszolídáció</t>
  </si>
  <si>
    <t xml:space="preserve"> Lakott külterülettel kapcsolatos feladatok</t>
  </si>
  <si>
    <t xml:space="preserve"> Üdülőhelyi feladatok</t>
  </si>
  <si>
    <t>EU Önerőalap támogatás</t>
  </si>
  <si>
    <t>Eútdíj bevezetésével kapcsolatos bevételkiesés ellentételezése</t>
  </si>
  <si>
    <t>Lakossági közműfejlesztés támogatása</t>
  </si>
  <si>
    <t>2013.évről áthúzódó bérkompenzáció</t>
  </si>
  <si>
    <t>Múzeális intézmények szakmai támoagatása</t>
  </si>
  <si>
    <t>B116</t>
  </si>
  <si>
    <t>Termálmedence csempeburkolat felújítás</t>
  </si>
  <si>
    <t>Városépítészeti  feladatok</t>
  </si>
  <si>
    <t>5./1.</t>
  </si>
  <si>
    <t>Ebergényi sport park</t>
  </si>
  <si>
    <t xml:space="preserve"> Református Egyház részére orgona felújításhoz támogatás</t>
  </si>
  <si>
    <t>A *-gal jelzett felújítási feladatok megvalósításához hitel felvétel szükséges</t>
  </si>
  <si>
    <t>1.a./1</t>
  </si>
  <si>
    <t>1.a./2</t>
  </si>
  <si>
    <t>1.a./3</t>
  </si>
  <si>
    <t xml:space="preserve"> - központosított támogatások</t>
  </si>
  <si>
    <t>Városüzemelési kiadások összesen:</t>
  </si>
  <si>
    <t>Városépítészet összesen:</t>
  </si>
  <si>
    <t>Vagyonkezelési feladatok összesen:</t>
  </si>
  <si>
    <t>Jogi és igazgatási feladatok összesen: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</si>
  <si>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</si>
  <si>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</si>
  <si>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</si>
  <si>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</si>
  <si>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</si>
  <si>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</si>
  <si>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</si>
  <si>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Jogi és közig. feladatok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</si>
  <si>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</si>
  <si>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</si>
  <si>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</si>
  <si>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</si>
  <si>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</si>
  <si>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</si>
  <si>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</si>
  <si>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</si>
  <si>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</si>
  <si>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Felújítás összesen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</si>
  <si>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</si>
  <si>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</si>
  <si>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</si>
  <si>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</si>
  <si>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</si>
  <si>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</si>
  <si>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</si>
  <si>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LÉSZ Kft.részére önk-i tulajdonú ingatlanok utáni felújítási hj.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</si>
  <si>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</si>
  <si>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</si>
  <si>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</si>
  <si>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</si>
  <si>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</si>
  <si>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</si>
  <si>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</si>
  <si>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</si>
  <si>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</si>
  <si>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</si>
  <si>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</si>
  <si>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</si>
  <si>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</si>
  <si>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</si>
  <si>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</si>
  <si>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</si>
  <si>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</si>
  <si>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Építési telek kialakítása, közművesítése (Flórián u. , Andráshida ) Lakásalap</t>
  </si>
  <si>
    <t>kgy</t>
  </si>
  <si>
    <t>Elővásárlási jog gyakorlásával történő lakóingatlan vásárlása (Lakásalap)</t>
  </si>
  <si>
    <t>841908 Fejezeti és általános tartalékok elszámolása</t>
  </si>
  <si>
    <t>1.a/1.</t>
  </si>
  <si>
    <t>1.a/1</t>
  </si>
  <si>
    <t>Deák Ferenc Megyei és Városi Könyvtár</t>
  </si>
  <si>
    <t>Göcseji Múzeum</t>
  </si>
  <si>
    <t>Városi Sportlétesítmények Gondnoksága</t>
  </si>
  <si>
    <t>Griff Bábszínház</t>
  </si>
  <si>
    <t>6./4</t>
  </si>
  <si>
    <t>6./5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</si>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</sst>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7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i/>
      <sz val="9"/>
      <name val="Times New Roman CE"/>
      <family val="1"/>
    </font>
    <font>
      <b/>
      <i/>
      <sz val="10"/>
      <color indexed="10"/>
      <name val="Times New Roman"/>
      <family val="1"/>
    </font>
    <font>
      <sz val="10"/>
      <color indexed="10"/>
      <name val="MS Sans Serif"/>
      <family val="2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z val="9"/>
      <color indexed="1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24" fillId="7" borderId="1" applyNumberFormat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1" fillId="7" borderId="1" applyNumberFormat="0" applyAlignment="0" applyProtection="0"/>
    <xf numFmtId="0" fontId="0" fillId="22" borderId="7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2" fillId="4" borderId="0" applyNumberFormat="0" applyBorder="0" applyAlignment="0" applyProtection="0"/>
    <xf numFmtId="0" fontId="33" fillId="20" borderId="8" applyNumberFormat="0" applyAlignment="0" applyProtection="0"/>
    <xf numFmtId="0" fontId="1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1" fillId="22" borderId="7" applyNumberFormat="0" applyFont="0" applyAlignment="0" applyProtection="0"/>
    <xf numFmtId="0" fontId="55" fillId="20" borderId="8" applyNumberFormat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2">
    <xf numFmtId="0" fontId="0" fillId="0" borderId="0" xfId="0" applyAlignment="1">
      <alignment/>
    </xf>
    <xf numFmtId="0" fontId="12" fillId="4" borderId="10" xfId="113" applyFont="1" applyFill="1" applyBorder="1" applyAlignment="1">
      <alignment vertical="center"/>
      <protection/>
    </xf>
    <xf numFmtId="0" fontId="12" fillId="4" borderId="11" xfId="113" applyFont="1" applyFill="1" applyBorder="1" applyAlignment="1">
      <alignment vertical="center"/>
      <protection/>
    </xf>
    <xf numFmtId="0" fontId="5" fillId="0" borderId="0" xfId="97" applyAlignment="1">
      <alignment vertical="center"/>
      <protection/>
    </xf>
    <xf numFmtId="0" fontId="5" fillId="0" borderId="0" xfId="97">
      <alignment/>
      <protection/>
    </xf>
    <xf numFmtId="0" fontId="9" fillId="4" borderId="11" xfId="113" applyFont="1" applyFill="1" applyBorder="1" applyAlignment="1">
      <alignment vertical="center"/>
      <protection/>
    </xf>
    <xf numFmtId="0" fontId="8" fillId="0" borderId="0" xfId="97" applyFont="1">
      <alignment/>
      <protection/>
    </xf>
    <xf numFmtId="0" fontId="9" fillId="4" borderId="12" xfId="113" applyFont="1" applyFill="1" applyBorder="1" applyAlignment="1">
      <alignment horizontal="center" vertical="center" wrapText="1"/>
      <protection/>
    </xf>
    <xf numFmtId="0" fontId="9" fillId="4" borderId="13" xfId="113" applyFont="1" applyFill="1" applyBorder="1" applyAlignment="1">
      <alignment horizontal="center" vertical="center" wrapText="1"/>
      <protection/>
    </xf>
    <xf numFmtId="0" fontId="8" fillId="0" borderId="14" xfId="113" applyFont="1" applyBorder="1" applyAlignment="1">
      <alignment horizontal="center" vertical="center"/>
      <protection/>
    </xf>
    <xf numFmtId="0" fontId="9" fillId="4" borderId="14" xfId="113" applyFont="1" applyFill="1" applyBorder="1" applyAlignment="1">
      <alignment horizontal="center" vertical="center"/>
      <protection/>
    </xf>
    <xf numFmtId="0" fontId="8" fillId="4" borderId="14" xfId="113" applyFont="1" applyFill="1" applyBorder="1" applyAlignment="1">
      <alignment horizontal="center" vertical="center"/>
      <protection/>
    </xf>
    <xf numFmtId="0" fontId="9" fillId="4" borderId="13" xfId="113" applyFont="1" applyFill="1" applyBorder="1" applyAlignment="1">
      <alignment horizontal="center" vertical="center"/>
      <protection/>
    </xf>
    <xf numFmtId="0" fontId="9" fillId="0" borderId="14" xfId="113" applyFont="1" applyBorder="1" applyAlignment="1">
      <alignment vertical="center"/>
      <protection/>
    </xf>
    <xf numFmtId="3" fontId="8" fillId="0" borderId="14" xfId="113" applyNumberFormat="1" applyFont="1" applyBorder="1" applyAlignment="1">
      <alignment vertical="center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4" xfId="117" applyNumberFormat="1" applyFont="1" applyFill="1" applyBorder="1" applyAlignment="1">
      <alignment horizontal="center" vertical="center" wrapText="1"/>
      <protection/>
    </xf>
    <xf numFmtId="3" fontId="13" fillId="0" borderId="15" xfId="117" applyNumberFormat="1" applyFont="1" applyFill="1" applyBorder="1" applyAlignment="1">
      <alignment vertical="center"/>
      <protection/>
    </xf>
    <xf numFmtId="3" fontId="14" fillId="0" borderId="16" xfId="0" applyNumberFormat="1" applyFont="1" applyBorder="1" applyAlignment="1">
      <alignment vertical="center"/>
    </xf>
    <xf numFmtId="3" fontId="13" fillId="0" borderId="14" xfId="117" applyNumberFormat="1" applyFont="1" applyFill="1" applyBorder="1" applyAlignment="1">
      <alignment horizontal="center" vertical="center" wrapText="1"/>
      <protection/>
    </xf>
    <xf numFmtId="3" fontId="14" fillId="0" borderId="14" xfId="117" applyNumberFormat="1" applyFont="1" applyBorder="1" applyAlignment="1">
      <alignment horizontal="center" vertical="center"/>
      <protection/>
    </xf>
    <xf numFmtId="3" fontId="14" fillId="0" borderId="14" xfId="117" applyNumberFormat="1" applyFont="1" applyBorder="1" applyAlignment="1">
      <alignment horizontal="right" vertical="center"/>
      <protection/>
    </xf>
    <xf numFmtId="3" fontId="14" fillId="0" borderId="14" xfId="117" applyNumberFormat="1" applyFont="1" applyBorder="1" applyAlignment="1">
      <alignment vertical="center"/>
      <protection/>
    </xf>
    <xf numFmtId="3" fontId="14" fillId="0" borderId="14" xfId="117" applyNumberFormat="1" applyFont="1" applyFill="1" applyBorder="1" applyAlignment="1">
      <alignment horizontal="center" vertical="center"/>
      <protection/>
    </xf>
    <xf numFmtId="3" fontId="14" fillId="0" borderId="14" xfId="117" applyNumberFormat="1" applyFont="1" applyFill="1" applyBorder="1" applyAlignment="1">
      <alignment vertical="center"/>
      <protection/>
    </xf>
    <xf numFmtId="3" fontId="13" fillId="4" borderId="14" xfId="117" applyNumberFormat="1" applyFont="1" applyFill="1" applyBorder="1" applyAlignment="1">
      <alignment horizontal="right" vertical="center"/>
      <protection/>
    </xf>
    <xf numFmtId="3" fontId="13" fillId="0" borderId="14" xfId="117" applyNumberFormat="1" applyFont="1" applyFill="1" applyBorder="1" applyAlignment="1">
      <alignment horizontal="center" vertical="center"/>
      <protection/>
    </xf>
    <xf numFmtId="3" fontId="14" fillId="0" borderId="17" xfId="117" applyNumberFormat="1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4" fillId="0" borderId="0" xfId="109">
      <alignment/>
      <protection/>
    </xf>
    <xf numFmtId="0" fontId="4" fillId="0" borderId="0" xfId="109" applyAlignment="1">
      <alignment vertical="center"/>
      <protection/>
    </xf>
    <xf numFmtId="0" fontId="4" fillId="0" borderId="0" xfId="109" applyAlignment="1">
      <alignment horizontal="center" vertical="center"/>
      <protection/>
    </xf>
    <xf numFmtId="0" fontId="4" fillId="0" borderId="0" xfId="109" applyAlignment="1">
      <alignment horizontal="center"/>
      <protection/>
    </xf>
    <xf numFmtId="0" fontId="14" fillId="0" borderId="14" xfId="93" applyFont="1" applyBorder="1" applyAlignment="1">
      <alignment vertical="center"/>
      <protection/>
    </xf>
    <xf numFmtId="0" fontId="14" fillId="0" borderId="14" xfId="93" applyFont="1" applyBorder="1" applyAlignment="1">
      <alignment horizontal="center" vertical="center"/>
      <protection/>
    </xf>
    <xf numFmtId="3" fontId="14" fillId="0" borderId="14" xfId="93" applyNumberFormat="1" applyFont="1" applyBorder="1" applyAlignment="1">
      <alignment vertical="center"/>
      <protection/>
    </xf>
    <xf numFmtId="0" fontId="13" fillId="4" borderId="14" xfId="93" applyFont="1" applyFill="1" applyBorder="1" applyAlignment="1">
      <alignment horizontal="center" vertical="center"/>
      <protection/>
    </xf>
    <xf numFmtId="0" fontId="13" fillId="4" borderId="14" xfId="93" applyFont="1" applyFill="1" applyBorder="1" applyAlignment="1">
      <alignment vertical="center"/>
      <protection/>
    </xf>
    <xf numFmtId="0" fontId="8" fillId="0" borderId="14" xfId="93" applyFont="1" applyBorder="1" applyAlignment="1">
      <alignment horizontal="center" vertical="center"/>
      <protection/>
    </xf>
    <xf numFmtId="0" fontId="8" fillId="4" borderId="14" xfId="109" applyFont="1" applyFill="1" applyBorder="1" applyAlignment="1">
      <alignment horizontal="center" vertical="center"/>
      <protection/>
    </xf>
    <xf numFmtId="0" fontId="9" fillId="4" borderId="14" xfId="109" applyFont="1" applyFill="1" applyBorder="1" applyAlignment="1">
      <alignment vertical="center"/>
      <protection/>
    </xf>
    <xf numFmtId="3" fontId="9" fillId="4" borderId="14" xfId="109" applyNumberFormat="1" applyFont="1" applyFill="1" applyBorder="1" applyAlignment="1">
      <alignment horizontal="right" vertical="center"/>
      <protection/>
    </xf>
    <xf numFmtId="3" fontId="8" fillId="24" borderId="14" xfId="113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20" fillId="0" borderId="0" xfId="117" applyNumberFormat="1" applyFont="1" applyFill="1" applyAlignment="1">
      <alignment vertical="center"/>
      <protection/>
    </xf>
    <xf numFmtId="3" fontId="6" fillId="0" borderId="0" xfId="117" applyNumberFormat="1" applyFont="1" applyAlignment="1">
      <alignment vertical="center"/>
      <protection/>
    </xf>
    <xf numFmtId="3" fontId="6" fillId="0" borderId="0" xfId="117" applyNumberFormat="1" applyFont="1" applyAlignment="1">
      <alignment horizontal="right" vertical="center"/>
      <protection/>
    </xf>
    <xf numFmtId="3" fontId="6" fillId="0" borderId="0" xfId="117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2" xfId="117" applyNumberFormat="1" applyFont="1" applyFill="1" applyBorder="1" applyAlignment="1">
      <alignment horizontal="center" vertical="top" wrapText="1"/>
      <protection/>
    </xf>
    <xf numFmtId="3" fontId="13" fillId="4" borderId="13" xfId="117" applyNumberFormat="1" applyFont="1" applyFill="1" applyBorder="1" applyAlignment="1">
      <alignment horizontal="center" vertical="top" wrapText="1"/>
      <protection/>
    </xf>
    <xf numFmtId="3" fontId="14" fillId="0" borderId="14" xfId="117" applyNumberFormat="1" applyFont="1" applyBorder="1" applyAlignment="1">
      <alignment horizontal="left" vertical="center" wrapText="1"/>
      <protection/>
    </xf>
    <xf numFmtId="3" fontId="14" fillId="0" borderId="14" xfId="117" applyNumberFormat="1" applyFont="1" applyBorder="1" applyAlignment="1">
      <alignment horizontal="left" vertical="center"/>
      <protection/>
    </xf>
    <xf numFmtId="3" fontId="14" fillId="4" borderId="14" xfId="117" applyNumberFormat="1" applyFont="1" applyFill="1" applyBorder="1" applyAlignment="1">
      <alignment horizontal="center" vertical="center"/>
      <protection/>
    </xf>
    <xf numFmtId="0" fontId="8" fillId="0" borderId="14" xfId="113" applyFont="1" applyFill="1" applyBorder="1" applyAlignment="1">
      <alignment vertical="center"/>
      <protection/>
    </xf>
    <xf numFmtId="0" fontId="13" fillId="4" borderId="17" xfId="98" applyFont="1" applyFill="1" applyBorder="1" applyAlignment="1">
      <alignment vertical="center"/>
      <protection/>
    </xf>
    <xf numFmtId="0" fontId="9" fillId="0" borderId="14" xfId="113" applyFont="1" applyFill="1" applyBorder="1" applyAlignment="1">
      <alignment horizontal="center" vertical="center"/>
      <protection/>
    </xf>
    <xf numFmtId="3" fontId="13" fillId="4" borderId="19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4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13" fillId="4" borderId="14" xfId="0" applyNumberFormat="1" applyFont="1" applyFill="1" applyBorder="1" applyAlignment="1">
      <alignment vertical="center" wrapText="1"/>
    </xf>
    <xf numFmtId="3" fontId="13" fillId="4" borderId="22" xfId="0" applyNumberFormat="1" applyFont="1" applyFill="1" applyBorder="1" applyAlignment="1">
      <alignment horizontal="left" vertical="center" wrapText="1"/>
    </xf>
    <xf numFmtId="3" fontId="13" fillId="4" borderId="2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2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4" fillId="0" borderId="23" xfId="93" applyFont="1" applyBorder="1" applyAlignment="1">
      <alignment vertical="center"/>
      <protection/>
    </xf>
    <xf numFmtId="3" fontId="13" fillId="4" borderId="14" xfId="93" applyNumberFormat="1" applyFont="1" applyFill="1" applyBorder="1" applyAlignment="1">
      <alignment vertical="center"/>
      <protection/>
    </xf>
    <xf numFmtId="3" fontId="13" fillId="4" borderId="14" xfId="117" applyNumberFormat="1" applyFont="1" applyFill="1" applyBorder="1" applyAlignment="1">
      <alignment vertical="center"/>
      <protection/>
    </xf>
    <xf numFmtId="0" fontId="14" fillId="0" borderId="18" xfId="0" applyFont="1" applyBorder="1" applyAlignment="1">
      <alignment vertical="center"/>
    </xf>
    <xf numFmtId="0" fontId="8" fillId="0" borderId="14" xfId="113" applyFont="1" applyFill="1" applyBorder="1" applyAlignment="1">
      <alignment horizontal="center" vertical="center"/>
      <protection/>
    </xf>
    <xf numFmtId="3" fontId="13" fillId="0" borderId="18" xfId="0" applyNumberFormat="1" applyFont="1" applyBorder="1" applyAlignment="1">
      <alignment vertical="center" wrapText="1"/>
    </xf>
    <xf numFmtId="0" fontId="13" fillId="4" borderId="14" xfId="93" applyFont="1" applyFill="1" applyBorder="1" applyAlignment="1">
      <alignment vertical="center" wrapText="1"/>
      <protection/>
    </xf>
    <xf numFmtId="0" fontId="8" fillId="0" borderId="14" xfId="109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right" vertical="center"/>
    </xf>
    <xf numFmtId="3" fontId="6" fillId="0" borderId="0" xfId="103" applyNumberFormat="1" applyFont="1" applyAlignment="1">
      <alignment vertical="center"/>
      <protection/>
    </xf>
    <xf numFmtId="0" fontId="6" fillId="0" borderId="0" xfId="103" applyFont="1" applyAlignment="1">
      <alignment vertical="center"/>
      <protection/>
    </xf>
    <xf numFmtId="3" fontId="6" fillId="0" borderId="0" xfId="103" applyNumberFormat="1" applyFont="1" applyBorder="1" applyAlignment="1">
      <alignment vertical="center"/>
      <protection/>
    </xf>
    <xf numFmtId="0" fontId="6" fillId="0" borderId="0" xfId="103" applyFont="1" applyBorder="1" applyAlignment="1">
      <alignment vertical="center"/>
      <protection/>
    </xf>
    <xf numFmtId="0" fontId="13" fillId="0" borderId="0" xfId="103" applyFont="1" applyFill="1" applyBorder="1" applyAlignment="1">
      <alignment vertical="center"/>
      <protection/>
    </xf>
    <xf numFmtId="0" fontId="6" fillId="0" borderId="0" xfId="103" applyFont="1" applyFill="1" applyBorder="1" applyAlignment="1">
      <alignment vertical="center" wrapText="1"/>
      <protection/>
    </xf>
    <xf numFmtId="0" fontId="6" fillId="0" borderId="0" xfId="103" applyFont="1" applyBorder="1" applyAlignment="1">
      <alignment vertical="center" wrapText="1"/>
      <protection/>
    </xf>
    <xf numFmtId="3" fontId="8" fillId="0" borderId="14" xfId="109" applyNumberFormat="1" applyFont="1" applyFill="1" applyBorder="1" applyAlignment="1">
      <alignment horizontal="right" vertical="center" wrapText="1"/>
      <protection/>
    </xf>
    <xf numFmtId="3" fontId="8" fillId="0" borderId="0" xfId="97" applyNumberFormat="1" applyFont="1">
      <alignment/>
      <protection/>
    </xf>
    <xf numFmtId="3" fontId="8" fillId="0" borderId="14" xfId="109" applyNumberFormat="1" applyFont="1" applyFill="1" applyBorder="1" applyAlignment="1">
      <alignment horizontal="right" vertical="center"/>
      <protection/>
    </xf>
    <xf numFmtId="3" fontId="13" fillId="0" borderId="0" xfId="103" applyNumberFormat="1" applyFont="1" applyFill="1" applyBorder="1" applyAlignment="1">
      <alignment vertical="center"/>
      <protection/>
    </xf>
    <xf numFmtId="3" fontId="6" fillId="0" borderId="0" xfId="103" applyNumberFormat="1" applyFont="1" applyBorder="1" applyAlignment="1">
      <alignment vertical="center" wrapText="1"/>
      <protection/>
    </xf>
    <xf numFmtId="3" fontId="20" fillId="0" borderId="0" xfId="117" applyNumberFormat="1" applyFont="1" applyAlignment="1">
      <alignment vertical="center"/>
      <protection/>
    </xf>
    <xf numFmtId="3" fontId="9" fillId="0" borderId="14" xfId="117" applyNumberFormat="1" applyFont="1" applyFill="1" applyBorder="1" applyAlignment="1">
      <alignment horizontal="left" vertical="center" wrapText="1"/>
      <protection/>
    </xf>
    <xf numFmtId="3" fontId="8" fillId="0" borderId="14" xfId="117" applyNumberFormat="1" applyFont="1" applyFill="1" applyBorder="1" applyAlignment="1">
      <alignment horizontal="center" vertical="center" wrapText="1"/>
      <protection/>
    </xf>
    <xf numFmtId="3" fontId="8" fillId="0" borderId="14" xfId="117" applyNumberFormat="1" applyFont="1" applyFill="1" applyBorder="1" applyAlignment="1">
      <alignment horizontal="left" vertical="center" wrapText="1"/>
      <protection/>
    </xf>
    <xf numFmtId="3" fontId="8" fillId="0" borderId="14" xfId="117" applyNumberFormat="1" applyFont="1" applyFill="1" applyBorder="1" applyAlignment="1">
      <alignment vertical="center" wrapText="1"/>
      <protection/>
    </xf>
    <xf numFmtId="3" fontId="6" fillId="0" borderId="0" xfId="117" applyNumberFormat="1" applyFont="1" applyFill="1" applyAlignment="1">
      <alignment vertical="center"/>
      <protection/>
    </xf>
    <xf numFmtId="3" fontId="8" fillId="0" borderId="14" xfId="117" applyNumberFormat="1" applyFont="1" applyBorder="1" applyAlignment="1">
      <alignment horizontal="left" vertical="center" wrapText="1"/>
      <protection/>
    </xf>
    <xf numFmtId="3" fontId="8" fillId="0" borderId="14" xfId="117" applyNumberFormat="1" applyFont="1" applyBorder="1" applyAlignment="1">
      <alignment vertical="center"/>
      <protection/>
    </xf>
    <xf numFmtId="3" fontId="8" fillId="0" borderId="14" xfId="117" applyNumberFormat="1" applyFont="1" applyBorder="1" applyAlignment="1">
      <alignment horizontal="left" vertical="center"/>
      <protection/>
    </xf>
    <xf numFmtId="3" fontId="8" fillId="0" borderId="14" xfId="117" applyNumberFormat="1" applyFont="1" applyFill="1" applyBorder="1" applyAlignment="1">
      <alignment vertical="center"/>
      <protection/>
    </xf>
    <xf numFmtId="3" fontId="9" fillId="0" borderId="14" xfId="117" applyNumberFormat="1" applyFont="1" applyBorder="1" applyAlignment="1">
      <alignment vertical="center"/>
      <protection/>
    </xf>
    <xf numFmtId="3" fontId="9" fillId="0" borderId="14" xfId="117" applyNumberFormat="1" applyFont="1" applyBorder="1" applyAlignment="1">
      <alignment horizontal="left" vertical="center" wrapText="1"/>
      <protection/>
    </xf>
    <xf numFmtId="3" fontId="8" fillId="0" borderId="14" xfId="117" applyNumberFormat="1" applyFont="1" applyBorder="1" applyAlignment="1">
      <alignment horizontal="center" vertical="center"/>
      <protection/>
    </xf>
    <xf numFmtId="3" fontId="9" fillId="0" borderId="14" xfId="117" applyNumberFormat="1" applyFont="1" applyFill="1" applyBorder="1" applyAlignment="1">
      <alignment vertical="center"/>
      <protection/>
    </xf>
    <xf numFmtId="3" fontId="8" fillId="4" borderId="14" xfId="117" applyNumberFormat="1" applyFont="1" applyFill="1" applyBorder="1" applyAlignment="1">
      <alignment horizontal="center" vertical="center"/>
      <protection/>
    </xf>
    <xf numFmtId="3" fontId="9" fillId="4" borderId="14" xfId="117" applyNumberFormat="1" applyFont="1" applyFill="1" applyBorder="1" applyAlignment="1">
      <alignment horizontal="left" vertical="center" wrapText="1"/>
      <protection/>
    </xf>
    <xf numFmtId="3" fontId="9" fillId="4" borderId="14" xfId="117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113" applyNumberFormat="1" applyFont="1" applyFill="1" applyBorder="1" applyAlignment="1">
      <alignment horizontal="right" vertical="center"/>
      <protection/>
    </xf>
    <xf numFmtId="0" fontId="14" fillId="0" borderId="23" xfId="93" applyFont="1" applyBorder="1" applyAlignment="1">
      <alignment horizontal="center" vertical="center"/>
      <protection/>
    </xf>
    <xf numFmtId="3" fontId="13" fillId="4" borderId="13" xfId="117" applyNumberFormat="1" applyFont="1" applyFill="1" applyBorder="1" applyAlignment="1">
      <alignment horizontal="center" vertical="center" wrapText="1"/>
      <protection/>
    </xf>
    <xf numFmtId="3" fontId="13" fillId="4" borderId="26" xfId="117" applyNumberFormat="1" applyFont="1" applyFill="1" applyBorder="1" applyAlignment="1">
      <alignment horizontal="center" vertical="center" wrapText="1"/>
      <protection/>
    </xf>
    <xf numFmtId="0" fontId="14" fillId="0" borderId="14" xfId="94" applyFont="1" applyBorder="1" applyAlignment="1">
      <alignment vertical="center"/>
      <protection/>
    </xf>
    <xf numFmtId="3" fontId="14" fillId="0" borderId="15" xfId="117" applyNumberFormat="1" applyFont="1" applyFill="1" applyBorder="1" applyAlignment="1">
      <alignment vertical="center"/>
      <protection/>
    </xf>
    <xf numFmtId="0" fontId="13" fillId="4" borderId="14" xfId="94" applyFont="1" applyFill="1" applyBorder="1" applyAlignment="1">
      <alignment vertical="center" wrapText="1"/>
      <protection/>
    </xf>
    <xf numFmtId="0" fontId="14" fillId="0" borderId="14" xfId="94" applyFont="1" applyFill="1" applyBorder="1" applyAlignment="1">
      <alignment vertical="center"/>
      <protection/>
    </xf>
    <xf numFmtId="3" fontId="14" fillId="0" borderId="14" xfId="117" applyNumberFormat="1" applyFont="1" applyFill="1" applyBorder="1" applyAlignment="1">
      <alignment horizontal="right" vertical="center" wrapText="1"/>
      <protection/>
    </xf>
    <xf numFmtId="3" fontId="14" fillId="4" borderId="14" xfId="117" applyNumberFormat="1" applyFont="1" applyFill="1" applyBorder="1" applyAlignment="1">
      <alignment horizontal="center" vertical="center" wrapText="1"/>
      <protection/>
    </xf>
    <xf numFmtId="3" fontId="14" fillId="4" borderId="16" xfId="0" applyNumberFormat="1" applyFont="1" applyFill="1" applyBorder="1" applyAlignment="1">
      <alignment vertical="center"/>
    </xf>
    <xf numFmtId="3" fontId="13" fillId="4" borderId="14" xfId="117" applyNumberFormat="1" applyFont="1" applyFill="1" applyBorder="1" applyAlignment="1">
      <alignment horizontal="center" vertical="center" wrapText="1"/>
      <protection/>
    </xf>
    <xf numFmtId="3" fontId="13" fillId="4" borderId="14" xfId="117" applyNumberFormat="1" applyFont="1" applyFill="1" applyBorder="1" applyAlignment="1">
      <alignment horizontal="right" vertical="center" wrapText="1"/>
      <protection/>
    </xf>
    <xf numFmtId="3" fontId="14" fillId="4" borderId="14" xfId="0" applyNumberFormat="1" applyFont="1" applyFill="1" applyBorder="1" applyAlignment="1">
      <alignment horizontal="center" vertical="center"/>
    </xf>
    <xf numFmtId="3" fontId="13" fillId="0" borderId="14" xfId="117" applyNumberFormat="1" applyFont="1" applyFill="1" applyBorder="1" applyAlignment="1">
      <alignment horizontal="right" vertical="center" wrapText="1"/>
      <protection/>
    </xf>
    <xf numFmtId="0" fontId="8" fillId="0" borderId="14" xfId="98" applyFont="1" applyFill="1" applyBorder="1" applyAlignment="1">
      <alignment horizontal="center"/>
      <protection/>
    </xf>
    <xf numFmtId="3" fontId="13" fillId="4" borderId="15" xfId="117" applyNumberFormat="1" applyFont="1" applyFill="1" applyBorder="1" applyAlignment="1">
      <alignment vertical="center"/>
      <protection/>
    </xf>
    <xf numFmtId="3" fontId="13" fillId="0" borderId="16" xfId="0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vertical="center"/>
    </xf>
    <xf numFmtId="0" fontId="13" fillId="4" borderId="17" xfId="93" applyFont="1" applyFill="1" applyBorder="1" applyAlignment="1">
      <alignment vertical="center"/>
      <protection/>
    </xf>
    <xf numFmtId="3" fontId="14" fillId="0" borderId="16" xfId="0" applyNumberFormat="1" applyFont="1" applyFill="1" applyBorder="1" applyAlignment="1">
      <alignment vertical="center"/>
    </xf>
    <xf numFmtId="3" fontId="16" fillId="0" borderId="14" xfId="117" applyNumberFormat="1" applyFont="1" applyFill="1" applyBorder="1" applyAlignment="1">
      <alignment horizontal="right" vertical="center" wrapText="1"/>
      <protection/>
    </xf>
    <xf numFmtId="0" fontId="9" fillId="4" borderId="14" xfId="98" applyFont="1" applyFill="1" applyBorder="1" applyAlignment="1">
      <alignment horizontal="center"/>
      <protection/>
    </xf>
    <xf numFmtId="0" fontId="60" fillId="4" borderId="16" xfId="0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horizontal="left" vertical="center"/>
    </xf>
    <xf numFmtId="3" fontId="17" fillId="0" borderId="17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horizontal="left" vertical="center"/>
    </xf>
    <xf numFmtId="3" fontId="14" fillId="0" borderId="15" xfId="0" applyNumberFormat="1" applyFont="1" applyFill="1" applyBorder="1" applyAlignment="1">
      <alignment vertical="center"/>
    </xf>
    <xf numFmtId="3" fontId="14" fillId="25" borderId="17" xfId="0" applyNumberFormat="1" applyFont="1" applyFill="1" applyBorder="1" applyAlignment="1">
      <alignment vertical="center"/>
    </xf>
    <xf numFmtId="3" fontId="14" fillId="25" borderId="18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58" fillId="0" borderId="0" xfId="0" applyNumberFormat="1" applyFont="1" applyBorder="1" applyAlignment="1">
      <alignment vertical="center"/>
    </xf>
    <xf numFmtId="3" fontId="9" fillId="0" borderId="14" xfId="113" applyNumberFormat="1" applyFont="1" applyBorder="1" applyAlignment="1">
      <alignment vertical="center"/>
      <protection/>
    </xf>
    <xf numFmtId="3" fontId="8" fillId="0" borderId="14" xfId="68" applyNumberFormat="1" applyFont="1" applyBorder="1" applyAlignment="1">
      <alignment vertical="center"/>
    </xf>
    <xf numFmtId="3" fontId="8" fillId="24" borderId="14" xfId="68" applyNumberFormat="1" applyFont="1" applyFill="1" applyBorder="1" applyAlignment="1">
      <alignment vertical="center"/>
    </xf>
    <xf numFmtId="3" fontId="9" fillId="4" borderId="14" xfId="113" applyNumberFormat="1" applyFont="1" applyFill="1" applyBorder="1" applyAlignment="1">
      <alignment vertical="center"/>
      <protection/>
    </xf>
    <xf numFmtId="3" fontId="9" fillId="4" borderId="14" xfId="68" applyNumberFormat="1" applyFont="1" applyFill="1" applyBorder="1" applyAlignment="1">
      <alignment vertical="center"/>
    </xf>
    <xf numFmtId="3" fontId="8" fillId="0" borderId="14" xfId="113" applyNumberFormat="1" applyFont="1" applyBorder="1" applyAlignment="1">
      <alignment vertical="center" wrapText="1"/>
      <protection/>
    </xf>
    <xf numFmtId="3" fontId="8" fillId="0" borderId="18" xfId="68" applyNumberFormat="1" applyFont="1" applyBorder="1" applyAlignment="1">
      <alignment vertical="center"/>
    </xf>
    <xf numFmtId="3" fontId="8" fillId="0" borderId="14" xfId="113" applyNumberFormat="1" applyFont="1" applyFill="1" applyBorder="1" applyAlignment="1">
      <alignment vertical="center" wrapText="1"/>
      <protection/>
    </xf>
    <xf numFmtId="3" fontId="9" fillId="0" borderId="14" xfId="113" applyNumberFormat="1" applyFont="1" applyFill="1" applyBorder="1" applyAlignment="1">
      <alignment vertical="center"/>
      <protection/>
    </xf>
    <xf numFmtId="3" fontId="9" fillId="0" borderId="14" xfId="68" applyNumberFormat="1" applyFont="1" applyFill="1" applyBorder="1" applyAlignment="1">
      <alignment vertical="center"/>
    </xf>
    <xf numFmtId="3" fontId="8" fillId="0" borderId="14" xfId="113" applyNumberFormat="1" applyFont="1" applyFill="1" applyBorder="1" applyAlignment="1">
      <alignment vertical="center"/>
      <protection/>
    </xf>
    <xf numFmtId="3" fontId="8" fillId="0" borderId="14" xfId="68" applyNumberFormat="1" applyFont="1" applyFill="1" applyBorder="1" applyAlignment="1">
      <alignment vertical="center"/>
    </xf>
    <xf numFmtId="3" fontId="9" fillId="4" borderId="14" xfId="93" applyNumberFormat="1" applyFont="1" applyFill="1" applyBorder="1" applyAlignment="1">
      <alignment vertical="center" wrapText="1"/>
      <protection/>
    </xf>
    <xf numFmtId="0" fontId="8" fillId="0" borderId="14" xfId="113" applyFont="1" applyFill="1" applyBorder="1" applyAlignment="1">
      <alignment vertical="center" wrapText="1"/>
      <protection/>
    </xf>
    <xf numFmtId="0" fontId="8" fillId="0" borderId="14" xfId="10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9" fillId="4" borderId="14" xfId="109" applyFont="1" applyFill="1" applyBorder="1" applyAlignment="1">
      <alignment horizontal="center" vertical="center" wrapText="1"/>
      <protection/>
    </xf>
    <xf numFmtId="3" fontId="8" fillId="0" borderId="14" xfId="109" applyNumberFormat="1" applyFont="1" applyBorder="1" applyAlignment="1">
      <alignment horizontal="right" vertical="center" wrapText="1"/>
      <protection/>
    </xf>
    <xf numFmtId="3" fontId="8" fillId="0" borderId="14" xfId="109" applyNumberFormat="1" applyFont="1" applyBorder="1" applyAlignment="1">
      <alignment horizontal="right"/>
      <protection/>
    </xf>
    <xf numFmtId="0" fontId="5" fillId="0" borderId="0" xfId="102">
      <alignment/>
      <protection/>
    </xf>
    <xf numFmtId="0" fontId="8" fillId="0" borderId="27" xfId="102" applyFont="1" applyFill="1" applyBorder="1" applyAlignment="1">
      <alignment horizontal="center" vertical="top" wrapText="1"/>
      <protection/>
    </xf>
    <xf numFmtId="0" fontId="8" fillId="0" borderId="27" xfId="102" applyFont="1" applyFill="1" applyBorder="1" applyAlignment="1">
      <alignment vertical="top" wrapText="1"/>
      <protection/>
    </xf>
    <xf numFmtId="0" fontId="9" fillId="0" borderId="28" xfId="102" applyFont="1" applyFill="1" applyBorder="1" applyAlignment="1">
      <alignment horizontal="left" vertical="top"/>
      <protection/>
    </xf>
    <xf numFmtId="3" fontId="8" fillId="0" borderId="27" xfId="102" applyNumberFormat="1" applyFont="1" applyFill="1" applyBorder="1" applyAlignment="1">
      <alignment vertical="center"/>
      <protection/>
    </xf>
    <xf numFmtId="3" fontId="14" fillId="0" borderId="27" xfId="118" applyNumberFormat="1" applyFont="1" applyFill="1" applyBorder="1" applyAlignment="1">
      <alignment horizontal="center" vertical="center"/>
      <protection/>
    </xf>
    <xf numFmtId="0" fontId="14" fillId="0" borderId="27" xfId="96" applyFont="1" applyBorder="1" applyAlignment="1">
      <alignment vertical="center"/>
      <protection/>
    </xf>
    <xf numFmtId="0" fontId="14" fillId="0" borderId="29" xfId="96" applyFont="1" applyBorder="1" applyAlignment="1">
      <alignment vertical="center"/>
      <protection/>
    </xf>
    <xf numFmtId="3" fontId="14" fillId="0" borderId="29" xfId="104" applyNumberFormat="1" applyFont="1" applyFill="1" applyBorder="1" applyAlignment="1">
      <alignment vertical="center" wrapText="1"/>
      <protection/>
    </xf>
    <xf numFmtId="3" fontId="14" fillId="0" borderId="30" xfId="111" applyNumberFormat="1" applyFont="1" applyFill="1" applyBorder="1" applyAlignment="1">
      <alignment horizontal="left" vertical="center"/>
      <protection/>
    </xf>
    <xf numFmtId="3" fontId="8" fillId="0" borderId="27" xfId="102" applyNumberFormat="1" applyFont="1" applyFill="1" applyBorder="1" applyAlignment="1">
      <alignment horizontal="right" vertical="center" wrapText="1"/>
      <protection/>
    </xf>
    <xf numFmtId="3" fontId="14" fillId="0" borderId="31" xfId="104" applyNumberFormat="1" applyFont="1" applyFill="1" applyBorder="1" applyAlignment="1">
      <alignment vertical="center" wrapText="1"/>
      <protection/>
    </xf>
    <xf numFmtId="0" fontId="0" fillId="0" borderId="32" xfId="111" applyFill="1" applyBorder="1" applyAlignment="1">
      <alignment vertical="center"/>
      <protection/>
    </xf>
    <xf numFmtId="0" fontId="8" fillId="26" borderId="27" xfId="102" applyFont="1" applyFill="1" applyBorder="1" applyAlignment="1">
      <alignment horizontal="center" vertical="top" wrapText="1"/>
      <protection/>
    </xf>
    <xf numFmtId="0" fontId="8" fillId="26" borderId="27" xfId="102" applyFont="1" applyFill="1" applyBorder="1" applyAlignment="1">
      <alignment vertical="top" wrapText="1"/>
      <protection/>
    </xf>
    <xf numFmtId="0" fontId="9" fillId="26" borderId="29" xfId="102" applyFont="1" applyFill="1" applyBorder="1" applyAlignment="1">
      <alignment horizontal="left" vertical="top"/>
      <protection/>
    </xf>
    <xf numFmtId="0" fontId="9" fillId="26" borderId="28" xfId="102" applyFont="1" applyFill="1" applyBorder="1" applyAlignment="1">
      <alignment horizontal="left" vertical="top"/>
      <protection/>
    </xf>
    <xf numFmtId="0" fontId="8" fillId="27" borderId="27" xfId="102" applyFont="1" applyFill="1" applyBorder="1" applyAlignment="1">
      <alignment horizontal="center"/>
      <protection/>
    </xf>
    <xf numFmtId="0" fontId="8" fillId="27" borderId="27" xfId="102" applyFont="1" applyFill="1" applyBorder="1" applyAlignment="1">
      <alignment horizontal="center" vertical="center"/>
      <protection/>
    </xf>
    <xf numFmtId="0" fontId="8" fillId="0" borderId="29" xfId="96" applyFont="1" applyBorder="1" applyAlignment="1">
      <alignment vertical="center"/>
      <protection/>
    </xf>
    <xf numFmtId="0" fontId="9" fillId="27" borderId="28" xfId="102" applyFont="1" applyFill="1" applyBorder="1" applyAlignment="1">
      <alignment vertical="center"/>
      <protection/>
    </xf>
    <xf numFmtId="3" fontId="8" fillId="27" borderId="27" xfId="102" applyNumberFormat="1" applyFont="1" applyFill="1" applyBorder="1" applyAlignment="1">
      <alignment vertical="center"/>
      <protection/>
    </xf>
    <xf numFmtId="0" fontId="8" fillId="27" borderId="33" xfId="102" applyFont="1" applyFill="1" applyBorder="1" applyAlignment="1">
      <alignment horizontal="center"/>
      <protection/>
    </xf>
    <xf numFmtId="0" fontId="8" fillId="27" borderId="34" xfId="102" applyFont="1" applyFill="1" applyBorder="1" applyAlignment="1">
      <alignment horizontal="center"/>
      <protection/>
    </xf>
    <xf numFmtId="0" fontId="16" fillId="0" borderId="27" xfId="116" applyFont="1" applyFill="1" applyBorder="1" applyAlignment="1">
      <alignment horizontal="center" vertical="center"/>
      <protection/>
    </xf>
    <xf numFmtId="0" fontId="16" fillId="0" borderId="29" xfId="96" applyFont="1" applyBorder="1" applyAlignment="1">
      <alignment vertical="center"/>
      <protection/>
    </xf>
    <xf numFmtId="227" fontId="16" fillId="0" borderId="27" xfId="116" applyNumberFormat="1" applyFont="1" applyFill="1" applyBorder="1" applyAlignment="1">
      <alignment horizontal="center" vertical="center"/>
      <protection/>
    </xf>
    <xf numFmtId="3" fontId="16" fillId="0" borderId="29" xfId="106" applyNumberFormat="1" applyFont="1" applyBorder="1" applyAlignment="1">
      <alignment vertical="top" wrapText="1"/>
      <protection/>
    </xf>
    <xf numFmtId="227" fontId="14" fillId="0" borderId="27" xfId="116" applyNumberFormat="1" applyFont="1" applyFill="1" applyBorder="1" applyAlignment="1">
      <alignment horizontal="center" vertical="center"/>
      <protection/>
    </xf>
    <xf numFmtId="49" fontId="14" fillId="0" borderId="29" xfId="106" applyNumberFormat="1" applyFont="1" applyBorder="1" applyAlignment="1">
      <alignment horizontal="left" vertical="center" wrapText="1"/>
      <protection/>
    </xf>
    <xf numFmtId="0" fontId="8" fillId="0" borderId="28" xfId="111" applyFont="1" applyFill="1" applyBorder="1" applyAlignment="1">
      <alignment horizontal="left" vertical="center" wrapText="1"/>
      <protection/>
    </xf>
    <xf numFmtId="3" fontId="13" fillId="0" borderId="27" xfId="116" applyNumberFormat="1" applyFont="1" applyFill="1" applyBorder="1" applyAlignment="1">
      <alignment vertical="center"/>
      <protection/>
    </xf>
    <xf numFmtId="49" fontId="62" fillId="0" borderId="30" xfId="106" applyNumberFormat="1" applyFont="1" applyBorder="1" applyAlignment="1">
      <alignment horizontal="left" vertical="top" wrapText="1"/>
      <protection/>
    </xf>
    <xf numFmtId="0" fontId="8" fillId="0" borderId="35" xfId="111" applyFont="1" applyFill="1" applyBorder="1" applyAlignment="1">
      <alignment horizontal="left" vertical="center" wrapText="1"/>
      <protection/>
    </xf>
    <xf numFmtId="0" fontId="8" fillId="0" borderId="29" xfId="102" applyFont="1" applyBorder="1" applyAlignment="1">
      <alignment vertical="center"/>
      <protection/>
    </xf>
    <xf numFmtId="49" fontId="8" fillId="27" borderId="29" xfId="111" applyNumberFormat="1" applyFont="1" applyFill="1" applyBorder="1" applyAlignment="1">
      <alignment horizontal="left" vertical="top" wrapText="1"/>
      <protection/>
    </xf>
    <xf numFmtId="0" fontId="8" fillId="27" borderId="36" xfId="116" applyFont="1" applyFill="1" applyBorder="1" applyAlignment="1">
      <alignment vertical="top" wrapText="1"/>
      <protection/>
    </xf>
    <xf numFmtId="0" fontId="39" fillId="27" borderId="36" xfId="116" applyFont="1" applyFill="1" applyBorder="1" applyAlignment="1">
      <alignment vertical="top" wrapText="1"/>
      <protection/>
    </xf>
    <xf numFmtId="49" fontId="8" fillId="0" borderId="36" xfId="106" applyNumberFormat="1" applyFont="1" applyFill="1" applyBorder="1" applyAlignment="1">
      <alignment horizontal="left" vertical="center" wrapText="1"/>
      <protection/>
    </xf>
    <xf numFmtId="0" fontId="39" fillId="0" borderId="29" xfId="116" applyFont="1" applyBorder="1" applyAlignment="1">
      <alignment vertical="center"/>
      <protection/>
    </xf>
    <xf numFmtId="0" fontId="8" fillId="0" borderId="27" xfId="102" applyFont="1" applyBorder="1" applyAlignment="1">
      <alignment horizontal="center" vertical="center"/>
      <protection/>
    </xf>
    <xf numFmtId="49" fontId="0" fillId="0" borderId="36" xfId="106" applyNumberFormat="1" applyFont="1" applyFill="1" applyBorder="1" applyAlignment="1">
      <alignment horizontal="left" vertical="center" wrapText="1"/>
      <protection/>
    </xf>
    <xf numFmtId="3" fontId="61" fillId="0" borderId="28" xfId="111" applyNumberFormat="1" applyFont="1" applyFill="1" applyBorder="1" applyAlignment="1">
      <alignment horizontal="left" vertical="center" wrapText="1"/>
      <protection/>
    </xf>
    <xf numFmtId="0" fontId="8" fillId="0" borderId="29" xfId="102" applyFont="1" applyBorder="1" applyAlignment="1">
      <alignment vertical="center" wrapText="1"/>
      <protection/>
    </xf>
    <xf numFmtId="3" fontId="61" fillId="0" borderId="37" xfId="111" applyNumberFormat="1" applyFont="1" applyFill="1" applyBorder="1" applyAlignment="1">
      <alignment horizontal="left" vertical="center" wrapText="1"/>
      <protection/>
    </xf>
    <xf numFmtId="49" fontId="8" fillId="0" borderId="29" xfId="106" applyNumberFormat="1" applyFont="1" applyBorder="1" applyAlignment="1">
      <alignment horizontal="left" vertical="center" wrapText="1"/>
      <protection/>
    </xf>
    <xf numFmtId="0" fontId="61" fillId="0" borderId="28" xfId="111" applyFont="1" applyFill="1" applyBorder="1" applyAlignment="1">
      <alignment horizontal="left" vertical="center" wrapText="1"/>
      <protection/>
    </xf>
    <xf numFmtId="0" fontId="8" fillId="26" borderId="33" xfId="102" applyFont="1" applyFill="1" applyBorder="1" applyAlignment="1">
      <alignment/>
      <protection/>
    </xf>
    <xf numFmtId="0" fontId="8" fillId="26" borderId="34" xfId="102" applyFont="1" applyFill="1" applyBorder="1" applyAlignment="1">
      <alignment/>
      <protection/>
    </xf>
    <xf numFmtId="0" fontId="8" fillId="26" borderId="27" xfId="102" applyFont="1" applyFill="1" applyBorder="1" applyAlignment="1">
      <alignment horizontal="center" vertical="center"/>
      <protection/>
    </xf>
    <xf numFmtId="0" fontId="9" fillId="26" borderId="29" xfId="102" applyFont="1" applyFill="1" applyBorder="1" applyAlignment="1">
      <alignment vertical="center"/>
      <protection/>
    </xf>
    <xf numFmtId="0" fontId="63" fillId="26" borderId="28" xfId="102" applyFont="1" applyFill="1" applyBorder="1" applyAlignment="1">
      <alignment vertical="center"/>
      <protection/>
    </xf>
    <xf numFmtId="3" fontId="9" fillId="26" borderId="27" xfId="102" applyNumberFormat="1" applyFont="1" applyFill="1" applyBorder="1" applyAlignment="1">
      <alignment horizontal="right" vertical="center"/>
      <protection/>
    </xf>
    <xf numFmtId="0" fontId="8" fillId="0" borderId="33" xfId="102" applyFont="1" applyFill="1" applyBorder="1" applyAlignment="1">
      <alignment/>
      <protection/>
    </xf>
    <xf numFmtId="0" fontId="8" fillId="0" borderId="34" xfId="102" applyFont="1" applyFill="1" applyBorder="1" applyAlignment="1">
      <alignment/>
      <protection/>
    </xf>
    <xf numFmtId="0" fontId="8" fillId="0" borderId="27" xfId="102" applyFont="1" applyFill="1" applyBorder="1" applyAlignment="1">
      <alignment horizontal="center" vertical="center"/>
      <protection/>
    </xf>
    <xf numFmtId="0" fontId="9" fillId="0" borderId="29" xfId="102" applyFont="1" applyFill="1" applyBorder="1" applyAlignment="1">
      <alignment horizontal="left" vertical="center"/>
      <protection/>
    </xf>
    <xf numFmtId="0" fontId="63" fillId="0" borderId="28" xfId="102" applyFont="1" applyFill="1" applyBorder="1" applyAlignment="1">
      <alignment horizontal="left" vertical="center"/>
      <protection/>
    </xf>
    <xf numFmtId="3" fontId="9" fillId="0" borderId="27" xfId="102" applyNumberFormat="1" applyFont="1" applyFill="1" applyBorder="1" applyAlignment="1">
      <alignment horizontal="right" vertical="center"/>
      <protection/>
    </xf>
    <xf numFmtId="0" fontId="9" fillId="0" borderId="27" xfId="102" applyFont="1" applyFill="1" applyBorder="1" applyAlignment="1">
      <alignment horizontal="center" vertical="center"/>
      <protection/>
    </xf>
    <xf numFmtId="3" fontId="8" fillId="0" borderId="27" xfId="102" applyNumberFormat="1" applyFont="1" applyFill="1" applyBorder="1" applyAlignment="1">
      <alignment horizontal="right" vertical="center"/>
      <protection/>
    </xf>
    <xf numFmtId="0" fontId="8" fillId="0" borderId="27" xfId="102" applyFont="1" applyFill="1" applyBorder="1" applyAlignment="1">
      <alignment/>
      <protection/>
    </xf>
    <xf numFmtId="0" fontId="8" fillId="0" borderId="28" xfId="102" applyFont="1" applyFill="1" applyBorder="1" applyAlignment="1">
      <alignment/>
      <protection/>
    </xf>
    <xf numFmtId="0" fontId="8" fillId="27" borderId="29" xfId="111" applyFont="1" applyFill="1" applyBorder="1" applyAlignment="1">
      <alignment vertical="top" wrapText="1"/>
      <protection/>
    </xf>
    <xf numFmtId="0" fontId="8" fillId="0" borderId="29" xfId="116" applyFont="1" applyBorder="1" applyAlignment="1">
      <alignment vertical="center"/>
      <protection/>
    </xf>
    <xf numFmtId="49" fontId="8" fillId="0" borderId="29" xfId="111" applyNumberFormat="1" applyFont="1" applyFill="1" applyBorder="1" applyAlignment="1">
      <alignment horizontal="left" vertical="center" wrapText="1"/>
      <protection/>
    </xf>
    <xf numFmtId="0" fontId="63" fillId="0" borderId="28" xfId="116" applyFont="1" applyFill="1" applyBorder="1" applyAlignment="1">
      <alignment vertical="center"/>
      <protection/>
    </xf>
    <xf numFmtId="0" fontId="9" fillId="0" borderId="27" xfId="102" applyFont="1" applyBorder="1" applyAlignment="1">
      <alignment horizontal="center" vertical="center"/>
      <protection/>
    </xf>
    <xf numFmtId="0" fontId="9" fillId="0" borderId="29" xfId="102" applyFont="1" applyBorder="1" applyAlignment="1">
      <alignment vertical="center"/>
      <protection/>
    </xf>
    <xf numFmtId="49" fontId="14" fillId="0" borderId="29" xfId="111" applyNumberFormat="1" applyFont="1" applyFill="1" applyBorder="1" applyAlignment="1">
      <alignment horizontal="left" vertical="center" wrapText="1"/>
      <protection/>
    </xf>
    <xf numFmtId="0" fontId="8" fillId="0" borderId="36" xfId="111" applyFont="1" applyFill="1" applyBorder="1" applyAlignment="1">
      <alignment vertical="top" wrapText="1"/>
      <protection/>
    </xf>
    <xf numFmtId="0" fontId="9" fillId="27" borderId="27" xfId="102" applyFont="1" applyFill="1" applyBorder="1" applyAlignment="1">
      <alignment horizontal="center" vertical="top" wrapText="1"/>
      <protection/>
    </xf>
    <xf numFmtId="0" fontId="9" fillId="27" borderId="29" xfId="102" applyFont="1" applyFill="1" applyBorder="1" applyAlignment="1">
      <alignment vertical="top"/>
      <protection/>
    </xf>
    <xf numFmtId="0" fontId="8" fillId="27" borderId="29" xfId="105" applyFont="1" applyFill="1" applyBorder="1" applyAlignment="1">
      <alignment vertical="top" wrapText="1"/>
      <protection/>
    </xf>
    <xf numFmtId="0" fontId="63" fillId="0" borderId="28" xfId="102" applyFont="1" applyBorder="1" applyAlignment="1">
      <alignment vertical="center"/>
      <protection/>
    </xf>
    <xf numFmtId="3" fontId="8" fillId="0" borderId="27" xfId="102" applyNumberFormat="1" applyFont="1" applyBorder="1" applyAlignment="1">
      <alignment vertical="center"/>
      <protection/>
    </xf>
    <xf numFmtId="0" fontId="8" fillId="27" borderId="36" xfId="105" applyFont="1" applyFill="1" applyBorder="1" applyAlignment="1">
      <alignment vertical="top" wrapText="1"/>
      <protection/>
    </xf>
    <xf numFmtId="0" fontId="8" fillId="27" borderId="27" xfId="102" applyFont="1" applyFill="1" applyBorder="1" applyAlignment="1">
      <alignment horizontal="center" vertical="top" wrapText="1"/>
      <protection/>
    </xf>
    <xf numFmtId="0" fontId="8" fillId="0" borderId="29" xfId="105" applyFont="1" applyBorder="1" applyAlignment="1">
      <alignment vertical="center" wrapText="1"/>
      <protection/>
    </xf>
    <xf numFmtId="0" fontId="9" fillId="0" borderId="29" xfId="102" applyFont="1" applyFill="1" applyBorder="1" applyAlignment="1">
      <alignment vertical="top"/>
      <protection/>
    </xf>
    <xf numFmtId="49" fontId="14" fillId="0" borderId="29" xfId="111" applyNumberFormat="1" applyFont="1" applyBorder="1" applyAlignment="1">
      <alignment horizontal="left" vertical="center" wrapText="1"/>
      <protection/>
    </xf>
    <xf numFmtId="3" fontId="14" fillId="0" borderId="29" xfId="111" applyNumberFormat="1" applyFont="1" applyFill="1" applyBorder="1" applyAlignment="1">
      <alignment horizontal="left" vertical="center" wrapText="1"/>
      <protection/>
    </xf>
    <xf numFmtId="49" fontId="8" fillId="0" borderId="29" xfId="111" applyNumberFormat="1" applyFont="1" applyFill="1" applyBorder="1" applyAlignment="1">
      <alignment vertical="center" wrapText="1"/>
      <protection/>
    </xf>
    <xf numFmtId="49" fontId="8" fillId="0" borderId="29" xfId="111" applyNumberFormat="1" applyFont="1" applyBorder="1" applyAlignment="1">
      <alignment vertical="center" wrapText="1"/>
      <protection/>
    </xf>
    <xf numFmtId="49" fontId="8" fillId="0" borderId="29" xfId="111" applyNumberFormat="1" applyFont="1" applyBorder="1" applyAlignment="1">
      <alignment horizontal="left" vertical="top" wrapText="1"/>
      <protection/>
    </xf>
    <xf numFmtId="49" fontId="8" fillId="0" borderId="0" xfId="111" applyNumberFormat="1" applyFont="1" applyBorder="1" applyAlignment="1">
      <alignment horizontal="left" vertical="top" wrapText="1"/>
      <protection/>
    </xf>
    <xf numFmtId="0" fontId="8" fillId="27" borderId="36" xfId="111" applyFont="1" applyFill="1" applyBorder="1" applyAlignment="1">
      <alignment vertical="top" wrapText="1"/>
      <protection/>
    </xf>
    <xf numFmtId="49" fontId="8" fillId="27" borderId="29" xfId="111" applyNumberFormat="1" applyFont="1" applyFill="1" applyBorder="1" applyAlignment="1">
      <alignment vertical="top" wrapText="1"/>
      <protection/>
    </xf>
    <xf numFmtId="0" fontId="8" fillId="27" borderId="29" xfId="111" applyFont="1" applyFill="1" applyBorder="1" applyAlignment="1">
      <alignment horizontal="left" vertical="top" wrapText="1"/>
      <protection/>
    </xf>
    <xf numFmtId="3" fontId="14" fillId="27" borderId="29" xfId="111" applyNumberFormat="1" applyFont="1" applyFill="1" applyBorder="1" applyAlignment="1">
      <alignment horizontal="left" vertical="center" wrapText="1"/>
      <protection/>
    </xf>
    <xf numFmtId="49" fontId="8" fillId="0" borderId="29" xfId="106" applyNumberFormat="1" applyFont="1" applyFill="1" applyBorder="1" applyAlignment="1">
      <alignment horizontal="left" vertical="center" wrapText="1"/>
      <protection/>
    </xf>
    <xf numFmtId="49" fontId="8" fillId="0" borderId="36" xfId="107" applyNumberFormat="1" applyFont="1" applyBorder="1" applyAlignment="1">
      <alignment horizontal="left" vertical="top" wrapText="1"/>
      <protection/>
    </xf>
    <xf numFmtId="0" fontId="8" fillId="0" borderId="29" xfId="102" applyFont="1" applyFill="1" applyBorder="1" applyAlignment="1">
      <alignment vertical="top"/>
      <protection/>
    </xf>
    <xf numFmtId="3" fontId="14" fillId="0" borderId="31" xfId="106" applyNumberFormat="1" applyFont="1" applyBorder="1" applyAlignment="1">
      <alignment vertical="top" wrapText="1"/>
      <protection/>
    </xf>
    <xf numFmtId="0" fontId="63" fillId="0" borderId="38" xfId="102" applyFont="1" applyFill="1" applyBorder="1" applyAlignment="1">
      <alignment horizontal="left" vertical="center"/>
      <protection/>
    </xf>
    <xf numFmtId="3" fontId="8" fillId="0" borderId="29" xfId="106" applyNumberFormat="1" applyFont="1" applyBorder="1" applyAlignment="1">
      <alignment vertical="center" wrapText="1"/>
      <protection/>
    </xf>
    <xf numFmtId="0" fontId="8" fillId="0" borderId="29" xfId="111" applyFont="1" applyFill="1" applyBorder="1">
      <alignment/>
      <protection/>
    </xf>
    <xf numFmtId="49" fontId="0" fillId="0" borderId="29" xfId="111" applyNumberFormat="1" applyFont="1" applyBorder="1" applyAlignment="1">
      <alignment vertical="center" wrapText="1"/>
      <protection/>
    </xf>
    <xf numFmtId="49" fontId="0" fillId="0" borderId="29" xfId="106" applyNumberFormat="1" applyFont="1" applyFill="1" applyBorder="1" applyAlignment="1">
      <alignment horizontal="left" vertical="center" wrapText="1"/>
      <protection/>
    </xf>
    <xf numFmtId="0" fontId="8" fillId="0" borderId="29" xfId="100" applyFont="1" applyFill="1" applyBorder="1" applyAlignment="1">
      <alignment vertical="top" wrapText="1"/>
      <protection/>
    </xf>
    <xf numFmtId="0" fontId="9" fillId="26" borderId="29" xfId="102" applyFont="1" applyFill="1" applyBorder="1" applyAlignment="1">
      <alignment horizontal="left" vertical="center"/>
      <protection/>
    </xf>
    <xf numFmtId="0" fontId="63" fillId="26" borderId="28" xfId="102" applyFont="1" applyFill="1" applyBorder="1" applyAlignment="1">
      <alignment horizontal="left" vertical="center"/>
      <protection/>
    </xf>
    <xf numFmtId="0" fontId="9" fillId="27" borderId="29" xfId="102" applyFont="1" applyFill="1" applyBorder="1" applyAlignment="1">
      <alignment horizontal="left" vertical="center"/>
      <protection/>
    </xf>
    <xf numFmtId="0" fontId="63" fillId="27" borderId="28" xfId="102" applyFont="1" applyFill="1" applyBorder="1" applyAlignment="1">
      <alignment horizontal="left" vertical="center"/>
      <protection/>
    </xf>
    <xf numFmtId="3" fontId="9" fillId="27" borderId="27" xfId="102" applyNumberFormat="1" applyFont="1" applyFill="1" applyBorder="1" applyAlignment="1">
      <alignment vertical="center"/>
      <protection/>
    </xf>
    <xf numFmtId="3" fontId="9" fillId="0" borderId="27" xfId="102" applyNumberFormat="1" applyFont="1" applyFill="1" applyBorder="1" applyAlignment="1">
      <alignment vertical="center"/>
      <protection/>
    </xf>
    <xf numFmtId="0" fontId="14" fillId="0" borderId="29" xfId="111" applyFont="1" applyBorder="1" applyAlignment="1">
      <alignment horizontal="left" vertical="top" wrapText="1"/>
      <protection/>
    </xf>
    <xf numFmtId="0" fontId="14" fillId="0" borderId="29" xfId="111" applyFont="1" applyBorder="1" applyAlignment="1">
      <alignment wrapText="1"/>
      <protection/>
    </xf>
    <xf numFmtId="49" fontId="8" fillId="0" borderId="29" xfId="111" applyNumberFormat="1" applyFont="1" applyFill="1" applyBorder="1" applyAlignment="1">
      <alignment horizontal="left" vertical="top" wrapText="1"/>
      <protection/>
    </xf>
    <xf numFmtId="49" fontId="8" fillId="27" borderId="36" xfId="111" applyNumberFormat="1" applyFont="1" applyFill="1" applyBorder="1" applyAlignment="1">
      <alignment horizontal="left" vertical="top" wrapText="1"/>
      <protection/>
    </xf>
    <xf numFmtId="0" fontId="13" fillId="0" borderId="28" xfId="116" applyFont="1" applyFill="1" applyBorder="1" applyAlignment="1">
      <alignment vertical="center"/>
      <protection/>
    </xf>
    <xf numFmtId="49" fontId="8" fillId="0" borderId="29" xfId="106" applyNumberFormat="1" applyFont="1" applyFill="1" applyBorder="1" applyAlignment="1">
      <alignment vertical="center" wrapText="1"/>
      <protection/>
    </xf>
    <xf numFmtId="0" fontId="61" fillId="0" borderId="28" xfId="102" applyFont="1" applyFill="1" applyBorder="1" applyAlignment="1">
      <alignment vertical="center"/>
      <protection/>
    </xf>
    <xf numFmtId="49" fontId="8" fillId="0" borderId="29" xfId="111" applyNumberFormat="1" applyFont="1" applyFill="1" applyBorder="1" applyAlignment="1">
      <alignment horizontal="left" vertical="top" wrapText="1"/>
      <protection/>
    </xf>
    <xf numFmtId="0" fontId="64" fillId="0" borderId="0" xfId="102" applyFont="1" applyBorder="1">
      <alignment/>
      <protection/>
    </xf>
    <xf numFmtId="3" fontId="8" fillId="0" borderId="27" xfId="102" applyNumberFormat="1" applyFont="1" applyBorder="1">
      <alignment/>
      <protection/>
    </xf>
    <xf numFmtId="0" fontId="8" fillId="0" borderId="27" xfId="102" applyFont="1" applyBorder="1" applyAlignment="1">
      <alignment/>
      <protection/>
    </xf>
    <xf numFmtId="0" fontId="14" fillId="0" borderId="29" xfId="111" applyFont="1" applyFill="1" applyBorder="1" applyAlignment="1">
      <alignment horizontal="left" vertical="top" wrapText="1"/>
      <protection/>
    </xf>
    <xf numFmtId="0" fontId="14" fillId="0" borderId="29" xfId="111" applyFont="1" applyBorder="1">
      <alignment/>
      <protection/>
    </xf>
    <xf numFmtId="0" fontId="8" fillId="0" borderId="29" xfId="99" applyFont="1" applyFill="1" applyBorder="1" applyAlignment="1">
      <alignment horizontal="left" vertical="center" wrapText="1"/>
      <protection/>
    </xf>
    <xf numFmtId="0" fontId="8" fillId="27" borderId="29" xfId="99" applyFont="1" applyFill="1" applyBorder="1" applyAlignment="1">
      <alignment vertical="top" wrapText="1"/>
      <protection/>
    </xf>
    <xf numFmtId="0" fontId="9" fillId="0" borderId="28" xfId="102" applyFont="1" applyBorder="1" applyAlignment="1">
      <alignment vertical="center"/>
      <protection/>
    </xf>
    <xf numFmtId="3" fontId="8" fillId="27" borderId="27" xfId="102" applyNumberFormat="1" applyFont="1" applyFill="1" applyBorder="1" applyAlignment="1">
      <alignment horizontal="right" vertical="center" wrapText="1"/>
      <protection/>
    </xf>
    <xf numFmtId="0" fontId="63" fillId="27" borderId="28" xfId="102" applyFont="1" applyFill="1" applyBorder="1" applyAlignment="1">
      <alignment vertical="top"/>
      <protection/>
    </xf>
    <xf numFmtId="227" fontId="8" fillId="27" borderId="27" xfId="102" applyNumberFormat="1" applyFont="1" applyFill="1" applyBorder="1" applyAlignment="1">
      <alignment horizontal="center" vertical="top" wrapText="1"/>
      <protection/>
    </xf>
    <xf numFmtId="49" fontId="8" fillId="0" borderId="29" xfId="111" applyNumberFormat="1" applyFont="1" applyBorder="1" applyAlignment="1">
      <alignment horizontal="left" vertical="center" wrapText="1"/>
      <protection/>
    </xf>
    <xf numFmtId="0" fontId="8" fillId="0" borderId="29" xfId="99" applyFont="1" applyFill="1" applyBorder="1" applyAlignment="1">
      <alignment vertical="center" wrapText="1"/>
      <protection/>
    </xf>
    <xf numFmtId="0" fontId="8" fillId="0" borderId="29" xfId="99" applyFont="1" applyFill="1" applyBorder="1" applyAlignment="1">
      <alignment vertical="top"/>
      <protection/>
    </xf>
    <xf numFmtId="0" fontId="8" fillId="27" borderId="29" xfId="102" applyFont="1" applyFill="1" applyBorder="1" applyAlignment="1">
      <alignment vertical="top" wrapText="1"/>
      <protection/>
    </xf>
    <xf numFmtId="0" fontId="61" fillId="27" borderId="28" xfId="102" applyFont="1" applyFill="1" applyBorder="1" applyAlignment="1">
      <alignment horizontal="center" vertical="top"/>
      <protection/>
    </xf>
    <xf numFmtId="0" fontId="8" fillId="0" borderId="29" xfId="99" applyFont="1" applyFill="1" applyBorder="1" applyAlignment="1">
      <alignment horizontal="left" vertical="top"/>
      <protection/>
    </xf>
    <xf numFmtId="0" fontId="8" fillId="27" borderId="29" xfId="102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29" xfId="102" applyFont="1" applyFill="1" applyBorder="1" applyAlignment="1">
      <alignment vertical="top" wrapText="1"/>
      <protection/>
    </xf>
    <xf numFmtId="0" fontId="14" fillId="0" borderId="29" xfId="111" applyFont="1" applyFill="1" applyBorder="1" applyAlignment="1">
      <alignment wrapText="1"/>
      <protection/>
    </xf>
    <xf numFmtId="0" fontId="8" fillId="27" borderId="28" xfId="102" applyFont="1" applyFill="1" applyBorder="1" applyAlignment="1">
      <alignment horizontal="center" vertical="top"/>
      <protection/>
    </xf>
    <xf numFmtId="0" fontId="14" fillId="0" borderId="29" xfId="111" applyFont="1" applyBorder="1" applyAlignment="1">
      <alignment horizontal="left"/>
      <protection/>
    </xf>
    <xf numFmtId="3" fontId="8" fillId="0" borderId="29" xfId="106" applyNumberFormat="1" applyFont="1" applyFill="1" applyBorder="1" applyAlignment="1">
      <alignment vertical="center" wrapText="1"/>
      <protection/>
    </xf>
    <xf numFmtId="0" fontId="8" fillId="0" borderId="36" xfId="100" applyFont="1" applyFill="1" applyBorder="1" applyAlignment="1">
      <alignment vertical="top" wrapText="1"/>
      <protection/>
    </xf>
    <xf numFmtId="0" fontId="8" fillId="0" borderId="29" xfId="102" applyFont="1" applyBorder="1">
      <alignment/>
      <protection/>
    </xf>
    <xf numFmtId="0" fontId="8" fillId="0" borderId="29" xfId="102" applyFont="1" applyFill="1" applyBorder="1" applyAlignment="1">
      <alignment vertical="top" wrapText="1"/>
      <protection/>
    </xf>
    <xf numFmtId="0" fontId="8" fillId="0" borderId="29" xfId="96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27" borderId="29" xfId="102" applyFont="1" applyFill="1" applyBorder="1" applyAlignment="1">
      <alignment horizontal="left" vertical="top" wrapText="1"/>
      <protection/>
    </xf>
    <xf numFmtId="3" fontId="8" fillId="0" borderId="29" xfId="111" applyNumberFormat="1" applyFont="1" applyFill="1" applyBorder="1" applyAlignment="1">
      <alignment vertical="center" wrapText="1"/>
      <protection/>
    </xf>
    <xf numFmtId="49" fontId="8" fillId="0" borderId="29" xfId="106" applyNumberFormat="1" applyFont="1" applyFill="1" applyBorder="1" applyAlignment="1">
      <alignment horizontal="left" vertical="center"/>
      <protection/>
    </xf>
    <xf numFmtId="0" fontId="5" fillId="0" borderId="28" xfId="102" applyBorder="1">
      <alignment/>
      <protection/>
    </xf>
    <xf numFmtId="49" fontId="0" fillId="0" borderId="29" xfId="111" applyNumberFormat="1" applyFont="1" applyBorder="1" applyAlignment="1">
      <alignment horizontal="left" vertical="center" wrapText="1"/>
      <protection/>
    </xf>
    <xf numFmtId="0" fontId="61" fillId="27" borderId="28" xfId="102" applyFont="1" applyFill="1" applyBorder="1" applyAlignment="1">
      <alignment vertical="top"/>
      <protection/>
    </xf>
    <xf numFmtId="0" fontId="14" fillId="0" borderId="29" xfId="99" applyFont="1" applyFill="1" applyBorder="1" applyAlignment="1">
      <alignment vertical="top" wrapText="1"/>
      <protection/>
    </xf>
    <xf numFmtId="0" fontId="8" fillId="26" borderId="27" xfId="102" applyFont="1" applyFill="1" applyBorder="1" applyAlignment="1">
      <alignment/>
      <protection/>
    </xf>
    <xf numFmtId="3" fontId="9" fillId="26" borderId="27" xfId="102" applyNumberFormat="1" applyFont="1" applyFill="1" applyBorder="1" applyAlignment="1">
      <alignment vertical="center"/>
      <protection/>
    </xf>
    <xf numFmtId="0" fontId="8" fillId="0" borderId="27" xfId="102" applyFont="1" applyFill="1" applyBorder="1" applyAlignment="1">
      <alignment horizontal="center"/>
      <protection/>
    </xf>
    <xf numFmtId="0" fontId="9" fillId="0" borderId="29" xfId="102" applyFont="1" applyFill="1" applyBorder="1" applyAlignment="1">
      <alignment vertical="center"/>
      <protection/>
    </xf>
    <xf numFmtId="0" fontId="63" fillId="0" borderId="28" xfId="102" applyFont="1" applyFill="1" applyBorder="1" applyAlignment="1">
      <alignment vertical="center"/>
      <protection/>
    </xf>
    <xf numFmtId="0" fontId="8" fillId="0" borderId="29" xfId="102" applyFont="1" applyFill="1" applyBorder="1" applyAlignment="1">
      <alignment vertical="center"/>
      <protection/>
    </xf>
    <xf numFmtId="0" fontId="8" fillId="27" borderId="29" xfId="102" applyFont="1" applyFill="1" applyBorder="1" applyAlignment="1">
      <alignment vertical="top" wrapText="1"/>
      <protection/>
    </xf>
    <xf numFmtId="0" fontId="8" fillId="0" borderId="29" xfId="111" applyFont="1" applyFill="1" applyBorder="1" applyAlignment="1">
      <alignment vertical="center" wrapText="1"/>
      <protection/>
    </xf>
    <xf numFmtId="0" fontId="9" fillId="27" borderId="29" xfId="102" applyFont="1" applyFill="1" applyBorder="1" applyAlignment="1">
      <alignment vertical="center"/>
      <protection/>
    </xf>
    <xf numFmtId="0" fontId="63" fillId="27" borderId="28" xfId="102" applyFont="1" applyFill="1" applyBorder="1" applyAlignment="1">
      <alignment vertical="center"/>
      <protection/>
    </xf>
    <xf numFmtId="0" fontId="8" fillId="26" borderId="27" xfId="102" applyFont="1" applyFill="1" applyBorder="1" applyAlignment="1">
      <alignment horizontal="center"/>
      <protection/>
    </xf>
    <xf numFmtId="0" fontId="8" fillId="27" borderId="29" xfId="96" applyFont="1" applyFill="1" applyBorder="1" applyAlignment="1">
      <alignment horizontal="left" vertical="center" wrapText="1"/>
      <protection/>
    </xf>
    <xf numFmtId="0" fontId="8" fillId="0" borderId="29" xfId="102" applyFont="1" applyFill="1" applyBorder="1" applyAlignment="1">
      <alignment vertical="center" wrapText="1"/>
      <protection/>
    </xf>
    <xf numFmtId="0" fontId="8" fillId="0" borderId="27" xfId="102" applyFont="1" applyBorder="1" applyAlignment="1">
      <alignment horizontal="center"/>
      <protection/>
    </xf>
    <xf numFmtId="0" fontId="61" fillId="0" borderId="29" xfId="101" applyFont="1" applyFill="1" applyBorder="1" applyAlignment="1">
      <alignment vertical="center"/>
      <protection/>
    </xf>
    <xf numFmtId="0" fontId="8" fillId="26" borderId="27" xfId="102" applyFont="1" applyFill="1" applyBorder="1">
      <alignment/>
      <protection/>
    </xf>
    <xf numFmtId="0" fontId="9" fillId="26" borderId="29" xfId="102" applyFont="1" applyFill="1" applyBorder="1">
      <alignment/>
      <protection/>
    </xf>
    <xf numFmtId="0" fontId="9" fillId="26" borderId="28" xfId="102" applyFont="1" applyFill="1" applyBorder="1">
      <alignment/>
      <protection/>
    </xf>
    <xf numFmtId="3" fontId="9" fillId="26" borderId="27" xfId="102" applyNumberFormat="1" applyFont="1" applyFill="1" applyBorder="1">
      <alignment/>
      <protection/>
    </xf>
    <xf numFmtId="0" fontId="9" fillId="26" borderId="27" xfId="102" applyFont="1" applyFill="1" applyBorder="1">
      <alignment/>
      <protection/>
    </xf>
    <xf numFmtId="0" fontId="9" fillId="26" borderId="27" xfId="102" applyFont="1" applyFill="1" applyBorder="1" applyAlignment="1">
      <alignment horizontal="center"/>
      <protection/>
    </xf>
    <xf numFmtId="0" fontId="9" fillId="26" borderId="29" xfId="96" applyFont="1" applyFill="1" applyBorder="1" applyAlignment="1">
      <alignment vertical="center" wrapText="1"/>
      <protection/>
    </xf>
    <xf numFmtId="3" fontId="8" fillId="0" borderId="27" xfId="102" applyNumberFormat="1" applyFont="1" applyBorder="1" applyAlignment="1">
      <alignment horizontal="center"/>
      <protection/>
    </xf>
    <xf numFmtId="0" fontId="8" fillId="0" borderId="27" xfId="102" applyFont="1" applyBorder="1">
      <alignment/>
      <protection/>
    </xf>
    <xf numFmtId="227" fontId="8" fillId="0" borderId="27" xfId="102" applyNumberFormat="1" applyFont="1" applyBorder="1" applyAlignment="1">
      <alignment horizontal="center"/>
      <protection/>
    </xf>
    <xf numFmtId="0" fontId="8" fillId="0" borderId="28" xfId="102" applyFont="1" applyBorder="1">
      <alignment/>
      <protection/>
    </xf>
    <xf numFmtId="0" fontId="8" fillId="0" borderId="0" xfId="102" applyFont="1" applyAlignment="1">
      <alignment horizontal="left"/>
      <protection/>
    </xf>
    <xf numFmtId="0" fontId="8" fillId="0" borderId="0" xfId="102" applyFont="1">
      <alignment/>
      <protection/>
    </xf>
    <xf numFmtId="0" fontId="9" fillId="0" borderId="0" xfId="102" applyFont="1">
      <alignment/>
      <protection/>
    </xf>
    <xf numFmtId="0" fontId="8" fillId="0" borderId="39" xfId="102" applyFont="1" applyFill="1" applyBorder="1" applyAlignment="1">
      <alignment vertical="top" wrapText="1"/>
      <protection/>
    </xf>
    <xf numFmtId="0" fontId="9" fillId="0" borderId="31" xfId="102" applyFont="1" applyFill="1" applyBorder="1" applyAlignment="1">
      <alignment horizontal="left" vertical="top"/>
      <protection/>
    </xf>
    <xf numFmtId="0" fontId="9" fillId="0" borderId="32" xfId="102" applyFont="1" applyFill="1" applyBorder="1" applyAlignment="1">
      <alignment horizontal="left" vertical="top"/>
      <protection/>
    </xf>
    <xf numFmtId="0" fontId="8" fillId="0" borderId="35" xfId="102" applyFont="1" applyBorder="1">
      <alignment/>
      <protection/>
    </xf>
    <xf numFmtId="3" fontId="8" fillId="0" borderId="27" xfId="102" applyNumberFormat="1" applyFont="1" applyFill="1" applyBorder="1" applyAlignment="1">
      <alignment horizontal="left" vertical="center" wrapText="1"/>
      <protection/>
    </xf>
    <xf numFmtId="3" fontId="9" fillId="26" borderId="27" xfId="102" applyNumberFormat="1" applyFont="1" applyFill="1" applyBorder="1" applyAlignment="1">
      <alignment horizontal="right" vertical="center" wrapText="1"/>
      <protection/>
    </xf>
    <xf numFmtId="0" fontId="13" fillId="26" borderId="40" xfId="116" applyFont="1" applyFill="1" applyBorder="1" applyAlignment="1">
      <alignment horizontal="center" vertical="center"/>
      <protection/>
    </xf>
    <xf numFmtId="0" fontId="13" fillId="26" borderId="41" xfId="116" applyFont="1" applyFill="1" applyBorder="1" applyAlignment="1">
      <alignment horizontal="center" vertical="center"/>
      <protection/>
    </xf>
    <xf numFmtId="0" fontId="13" fillId="26" borderId="42" xfId="116" applyFont="1" applyFill="1" applyBorder="1" applyAlignment="1">
      <alignment horizontal="center" vertical="center"/>
      <protection/>
    </xf>
    <xf numFmtId="0" fontId="13" fillId="26" borderId="43" xfId="116" applyFont="1" applyFill="1" applyBorder="1" applyAlignment="1">
      <alignment horizontal="center" vertical="center"/>
      <protection/>
    </xf>
    <xf numFmtId="0" fontId="7" fillId="0" borderId="0" xfId="116" applyFont="1" applyAlignment="1">
      <alignment vertical="center"/>
      <protection/>
    </xf>
    <xf numFmtId="0" fontId="13" fillId="26" borderId="44" xfId="116" applyFont="1" applyFill="1" applyBorder="1" applyAlignment="1">
      <alignment horizontal="center" vertical="top" wrapText="1"/>
      <protection/>
    </xf>
    <xf numFmtId="0" fontId="13" fillId="26" borderId="45" xfId="116" applyFont="1" applyFill="1" applyBorder="1" applyAlignment="1">
      <alignment horizontal="center" vertical="top" wrapText="1"/>
      <protection/>
    </xf>
    <xf numFmtId="0" fontId="13" fillId="26" borderId="46" xfId="116" applyFont="1" applyFill="1" applyBorder="1" applyAlignment="1">
      <alignment horizontal="center" vertical="top"/>
      <protection/>
    </xf>
    <xf numFmtId="0" fontId="13" fillId="26" borderId="47" xfId="116" applyFont="1" applyFill="1" applyBorder="1" applyAlignment="1">
      <alignment horizontal="center" vertical="top"/>
      <protection/>
    </xf>
    <xf numFmtId="0" fontId="14" fillId="0" borderId="27" xfId="116" applyFont="1" applyBorder="1" applyAlignment="1">
      <alignment horizontal="center" vertical="center"/>
      <protection/>
    </xf>
    <xf numFmtId="0" fontId="9" fillId="0" borderId="29" xfId="116" applyFont="1" applyBorder="1" applyAlignment="1">
      <alignment vertical="center"/>
      <protection/>
    </xf>
    <xf numFmtId="0" fontId="13" fillId="0" borderId="48" xfId="116" applyFont="1" applyBorder="1" applyAlignment="1">
      <alignment vertical="center"/>
      <protection/>
    </xf>
    <xf numFmtId="0" fontId="6" fillId="0" borderId="0" xfId="116" applyFont="1" applyAlignment="1">
      <alignment vertical="center"/>
      <protection/>
    </xf>
    <xf numFmtId="0" fontId="14" fillId="0" borderId="27" xfId="116" applyFont="1" applyFill="1" applyBorder="1" applyAlignment="1">
      <alignment horizontal="center" vertical="center"/>
      <protection/>
    </xf>
    <xf numFmtId="0" fontId="16" fillId="0" borderId="49" xfId="96" applyFont="1" applyBorder="1" applyAlignment="1">
      <alignment vertical="center"/>
      <protection/>
    </xf>
    <xf numFmtId="0" fontId="13" fillId="0" borderId="34" xfId="116" applyFont="1" applyFill="1" applyBorder="1" applyAlignment="1">
      <alignment vertical="center"/>
      <protection/>
    </xf>
    <xf numFmtId="0" fontId="16" fillId="0" borderId="50" xfId="96" applyFont="1" applyBorder="1" applyAlignment="1">
      <alignment vertical="center"/>
      <protection/>
    </xf>
    <xf numFmtId="0" fontId="14" fillId="0" borderId="27" xfId="116" applyNumberFormat="1" applyFont="1" applyFill="1" applyBorder="1" applyAlignment="1">
      <alignment horizontal="center" vertical="center"/>
      <protection/>
    </xf>
    <xf numFmtId="3" fontId="8" fillId="0" borderId="46" xfId="106" applyNumberFormat="1" applyFont="1" applyBorder="1" applyAlignment="1">
      <alignment vertical="top" wrapText="1"/>
      <protection/>
    </xf>
    <xf numFmtId="3" fontId="14" fillId="0" borderId="29" xfId="106" applyNumberFormat="1" applyFont="1" applyBorder="1" applyAlignment="1">
      <alignment vertical="top" wrapText="1"/>
      <protection/>
    </xf>
    <xf numFmtId="3" fontId="14" fillId="0" borderId="36" xfId="106" applyNumberFormat="1" applyFont="1" applyBorder="1" applyAlignment="1">
      <alignment vertical="top" wrapText="1"/>
      <protection/>
    </xf>
    <xf numFmtId="3" fontId="8" fillId="0" borderId="31" xfId="106" applyNumberFormat="1" applyFont="1" applyBorder="1" applyAlignment="1">
      <alignment vertical="top" wrapText="1"/>
      <protection/>
    </xf>
    <xf numFmtId="0" fontId="13" fillId="0" borderId="38" xfId="116" applyFont="1" applyFill="1" applyBorder="1" applyAlignment="1">
      <alignment vertical="center"/>
      <protection/>
    </xf>
    <xf numFmtId="3" fontId="8" fillId="0" borderId="50" xfId="106" applyNumberFormat="1" applyFont="1" applyBorder="1" applyAlignment="1">
      <alignment vertical="top" wrapText="1"/>
      <protection/>
    </xf>
    <xf numFmtId="49" fontId="40" fillId="0" borderId="50" xfId="106" applyNumberFormat="1" applyFont="1" applyBorder="1" applyAlignment="1">
      <alignment horizontal="left" vertical="top" wrapText="1"/>
      <protection/>
    </xf>
    <xf numFmtId="49" fontId="40" fillId="0" borderId="31" xfId="106" applyNumberFormat="1" applyFont="1" applyBorder="1" applyAlignment="1">
      <alignment horizontal="left" vertical="top" wrapText="1"/>
      <protection/>
    </xf>
    <xf numFmtId="0" fontId="9" fillId="0" borderId="28" xfId="102" applyFont="1" applyFill="1" applyBorder="1" applyAlignment="1">
      <alignment horizontal="left" vertical="center"/>
      <protection/>
    </xf>
    <xf numFmtId="49" fontId="62" fillId="0" borderId="31" xfId="106" applyNumberFormat="1" applyFont="1" applyBorder="1" applyAlignment="1">
      <alignment horizontal="left" vertical="top" wrapText="1"/>
      <protection/>
    </xf>
    <xf numFmtId="0" fontId="16" fillId="0" borderId="27" xfId="116" applyNumberFormat="1" applyFont="1" applyFill="1" applyBorder="1" applyAlignment="1">
      <alignment horizontal="center" vertical="center"/>
      <protection/>
    </xf>
    <xf numFmtId="3" fontId="14" fillId="0" borderId="46" xfId="111" applyNumberFormat="1" applyFont="1" applyBorder="1" applyAlignment="1">
      <alignment vertical="center"/>
      <protection/>
    </xf>
    <xf numFmtId="3" fontId="14" fillId="0" borderId="28" xfId="111" applyNumberFormat="1" applyFont="1" applyBorder="1" applyAlignment="1">
      <alignment vertical="center"/>
      <protection/>
    </xf>
    <xf numFmtId="0" fontId="14" fillId="0" borderId="36" xfId="116" applyFont="1" applyFill="1" applyBorder="1" applyAlignment="1">
      <alignment vertical="center"/>
      <protection/>
    </xf>
    <xf numFmtId="3" fontId="8" fillId="0" borderId="29" xfId="106" applyNumberFormat="1" applyFont="1" applyBorder="1" applyAlignment="1">
      <alignment vertical="top" wrapText="1"/>
      <protection/>
    </xf>
    <xf numFmtId="49" fontId="40" fillId="0" borderId="36" xfId="106" applyNumberFormat="1" applyFont="1" applyFill="1" applyBorder="1" applyAlignment="1">
      <alignment horizontal="left" vertical="center" wrapText="1"/>
      <protection/>
    </xf>
    <xf numFmtId="0" fontId="65" fillId="0" borderId="28" xfId="111" applyFont="1" applyFill="1" applyBorder="1" applyAlignment="1">
      <alignment horizontal="left" vertical="center" wrapText="1"/>
      <protection/>
    </xf>
    <xf numFmtId="3" fontId="65" fillId="0" borderId="28" xfId="111" applyNumberFormat="1" applyFont="1" applyFill="1" applyBorder="1" applyAlignment="1">
      <alignment horizontal="left" vertical="center" wrapText="1"/>
      <protection/>
    </xf>
    <xf numFmtId="0" fontId="14" fillId="0" borderId="29" xfId="105" applyFont="1" applyFill="1" applyBorder="1" applyAlignment="1">
      <alignment vertical="center" wrapText="1"/>
      <protection/>
    </xf>
    <xf numFmtId="0" fontId="14" fillId="26" borderId="27" xfId="116" applyFont="1" applyFill="1" applyBorder="1" applyAlignment="1">
      <alignment horizontal="center" vertical="center"/>
      <protection/>
    </xf>
    <xf numFmtId="0" fontId="13" fillId="26" borderId="29" xfId="116" applyFont="1" applyFill="1" applyBorder="1" applyAlignment="1">
      <alignment vertical="center"/>
      <protection/>
    </xf>
    <xf numFmtId="0" fontId="13" fillId="26" borderId="28" xfId="116" applyFont="1" applyFill="1" applyBorder="1" applyAlignment="1">
      <alignment vertical="center"/>
      <protection/>
    </xf>
    <xf numFmtId="3" fontId="13" fillId="26" borderId="27" xfId="116" applyNumberFormat="1" applyFont="1" applyFill="1" applyBorder="1" applyAlignment="1">
      <alignment vertical="center"/>
      <protection/>
    </xf>
    <xf numFmtId="0" fontId="13" fillId="0" borderId="27" xfId="116" applyFont="1" applyFill="1" applyBorder="1" applyAlignment="1">
      <alignment horizontal="center" vertical="center"/>
      <protection/>
    </xf>
    <xf numFmtId="0" fontId="13" fillId="0" borderId="27" xfId="116" applyFont="1" applyBorder="1" applyAlignment="1">
      <alignment horizontal="center" vertical="center"/>
      <protection/>
    </xf>
    <xf numFmtId="3" fontId="8" fillId="27" borderId="29" xfId="111" applyNumberFormat="1" applyFont="1" applyFill="1" applyBorder="1" applyAlignment="1">
      <alignment horizontal="left" vertical="top" wrapText="1"/>
      <protection/>
    </xf>
    <xf numFmtId="0" fontId="14" fillId="0" borderId="29" xfId="116" applyFont="1" applyFill="1" applyBorder="1" applyAlignment="1">
      <alignment vertical="center"/>
      <protection/>
    </xf>
    <xf numFmtId="227" fontId="14" fillId="0" borderId="27" xfId="116" applyNumberFormat="1" applyFont="1" applyBorder="1" applyAlignment="1">
      <alignment horizontal="center" vertical="center"/>
      <protection/>
    </xf>
    <xf numFmtId="49" fontId="14" fillId="0" borderId="29" xfId="111" applyNumberFormat="1" applyFont="1" applyFill="1" applyBorder="1" applyAlignment="1">
      <alignment horizontal="left" vertical="center" wrapText="1"/>
      <protection/>
    </xf>
    <xf numFmtId="49" fontId="14" fillId="0" borderId="29" xfId="108" applyNumberFormat="1" applyFont="1" applyBorder="1" applyAlignment="1">
      <alignment horizontal="left" vertical="center" wrapText="1"/>
      <protection/>
    </xf>
    <xf numFmtId="0" fontId="14" fillId="27" borderId="27" xfId="116" applyFont="1" applyFill="1" applyBorder="1" applyAlignment="1">
      <alignment horizontal="center" vertical="center"/>
      <protection/>
    </xf>
    <xf numFmtId="0" fontId="9" fillId="0" borderId="29" xfId="116" applyFont="1" applyFill="1" applyBorder="1" applyAlignment="1">
      <alignment vertical="center"/>
      <protection/>
    </xf>
    <xf numFmtId="0" fontId="14" fillId="0" borderId="28" xfId="116" applyFont="1" applyFill="1" applyBorder="1" applyAlignment="1">
      <alignment vertical="center"/>
      <protection/>
    </xf>
    <xf numFmtId="3" fontId="14" fillId="0" borderId="29" xfId="111" applyNumberFormat="1" applyFont="1" applyBorder="1" applyAlignment="1">
      <alignment horizontal="left" vertical="center" wrapText="1"/>
      <protection/>
    </xf>
    <xf numFmtId="49" fontId="40" fillId="0" borderId="29" xfId="111" applyNumberFormat="1" applyFont="1" applyFill="1" applyBorder="1" applyAlignment="1">
      <alignment vertical="center" wrapText="1"/>
      <protection/>
    </xf>
    <xf numFmtId="49" fontId="14" fillId="0" borderId="31" xfId="111" applyNumberFormat="1" applyFont="1" applyBorder="1" applyAlignment="1">
      <alignment horizontal="left" vertical="center" wrapText="1"/>
      <protection/>
    </xf>
    <xf numFmtId="49" fontId="14" fillId="0" borderId="36" xfId="111" applyNumberFormat="1" applyFont="1" applyBorder="1" applyAlignment="1">
      <alignment horizontal="left" vertical="center" wrapText="1"/>
      <protection/>
    </xf>
    <xf numFmtId="0" fontId="14" fillId="0" borderId="29" xfId="116" applyFont="1" applyFill="1" applyBorder="1" applyAlignment="1">
      <alignment vertical="center"/>
      <protection/>
    </xf>
    <xf numFmtId="3" fontId="40" fillId="0" borderId="29" xfId="111" applyNumberFormat="1" applyFont="1" applyFill="1" applyBorder="1" applyAlignment="1">
      <alignment vertical="center" wrapText="1"/>
      <protection/>
    </xf>
    <xf numFmtId="3" fontId="14" fillId="0" borderId="29" xfId="108" applyNumberFormat="1" applyFont="1" applyFill="1" applyBorder="1" applyAlignment="1">
      <alignment horizontal="left" vertical="center" wrapText="1"/>
      <protection/>
    </xf>
    <xf numFmtId="49" fontId="14" fillId="0" borderId="29" xfId="108" applyNumberFormat="1" applyFont="1" applyFill="1" applyBorder="1" applyAlignment="1">
      <alignment vertical="center" wrapText="1"/>
      <protection/>
    </xf>
    <xf numFmtId="49" fontId="14" fillId="0" borderId="29" xfId="108" applyNumberFormat="1" applyFont="1" applyBorder="1" applyAlignment="1">
      <alignment horizontal="left" vertical="center" wrapText="1"/>
      <protection/>
    </xf>
    <xf numFmtId="0" fontId="14" fillId="0" borderId="29" xfId="111" applyFont="1" applyBorder="1" applyAlignment="1">
      <alignment horizontal="left" wrapText="1"/>
      <protection/>
    </xf>
    <xf numFmtId="0" fontId="8" fillId="27" borderId="36" xfId="111" applyFont="1" applyFill="1" applyBorder="1" applyAlignment="1">
      <alignment horizontal="left" vertical="top" wrapText="1"/>
      <protection/>
    </xf>
    <xf numFmtId="0" fontId="14" fillId="0" borderId="29" xfId="111" applyFont="1" applyFill="1" applyBorder="1">
      <alignment/>
      <protection/>
    </xf>
    <xf numFmtId="227" fontId="13" fillId="0" borderId="27" xfId="116" applyNumberFormat="1" applyFont="1" applyBorder="1" applyAlignment="1">
      <alignment horizontal="center" vertical="center"/>
      <protection/>
    </xf>
    <xf numFmtId="0" fontId="9" fillId="0" borderId="29" xfId="116" applyFont="1" applyFill="1" applyBorder="1" applyAlignment="1">
      <alignment vertical="center" wrapText="1"/>
      <protection/>
    </xf>
    <xf numFmtId="49" fontId="8" fillId="27" borderId="46" xfId="111" applyNumberFormat="1" applyFont="1" applyFill="1" applyBorder="1" applyAlignment="1">
      <alignment horizontal="left" vertical="top" wrapText="1"/>
      <protection/>
    </xf>
    <xf numFmtId="0" fontId="8" fillId="0" borderId="29" xfId="111" applyFont="1" applyBorder="1" applyAlignment="1">
      <alignment vertical="top" wrapText="1"/>
      <protection/>
    </xf>
    <xf numFmtId="49" fontId="40" fillId="0" borderId="29" xfId="106" applyNumberFormat="1" applyFont="1" applyFill="1" applyBorder="1" applyAlignment="1">
      <alignment horizontal="left" vertical="center" wrapText="1"/>
      <protection/>
    </xf>
    <xf numFmtId="0" fontId="13" fillId="26" borderId="27" xfId="116" applyFont="1" applyFill="1" applyBorder="1" applyAlignment="1">
      <alignment horizontal="center" vertical="center"/>
      <protection/>
    </xf>
    <xf numFmtId="0" fontId="13" fillId="27" borderId="29" xfId="116" applyFont="1" applyFill="1" applyBorder="1" applyAlignment="1">
      <alignment vertical="center"/>
      <protection/>
    </xf>
    <xf numFmtId="0" fontId="13" fillId="27" borderId="28" xfId="116" applyFont="1" applyFill="1" applyBorder="1" applyAlignment="1">
      <alignment vertical="center"/>
      <protection/>
    </xf>
    <xf numFmtId="3" fontId="14" fillId="27" borderId="27" xfId="116" applyNumberFormat="1" applyFont="1" applyFill="1" applyBorder="1" applyAlignment="1">
      <alignment vertical="center"/>
      <protection/>
    </xf>
    <xf numFmtId="3" fontId="14" fillId="0" borderId="29" xfId="106" applyNumberFormat="1" applyFont="1" applyFill="1" applyBorder="1" applyAlignment="1">
      <alignment vertical="center" wrapText="1"/>
      <protection/>
    </xf>
    <xf numFmtId="0" fontId="8" fillId="0" borderId="29" xfId="116" applyFont="1" applyFill="1" applyBorder="1" applyAlignment="1">
      <alignment vertical="center" wrapText="1"/>
      <protection/>
    </xf>
    <xf numFmtId="0" fontId="13" fillId="26" borderId="27" xfId="116" applyFont="1" applyFill="1" applyBorder="1" applyAlignment="1">
      <alignment horizontal="center" vertical="center" wrapText="1"/>
      <protection/>
    </xf>
    <xf numFmtId="0" fontId="9" fillId="26" borderId="29" xfId="116" applyFont="1" applyFill="1" applyBorder="1" applyAlignment="1">
      <alignment vertical="center" wrapText="1"/>
      <protection/>
    </xf>
    <xf numFmtId="0" fontId="9" fillId="26" borderId="28" xfId="116" applyFont="1" applyFill="1" applyBorder="1" applyAlignment="1">
      <alignment vertical="center" wrapText="1"/>
      <protection/>
    </xf>
    <xf numFmtId="3" fontId="13" fillId="26" borderId="27" xfId="116" applyNumberFormat="1" applyFont="1" applyFill="1" applyBorder="1" applyAlignment="1">
      <alignment vertical="center" wrapText="1"/>
      <protection/>
    </xf>
    <xf numFmtId="0" fontId="13" fillId="0" borderId="27" xfId="116" applyFont="1" applyFill="1" applyBorder="1" applyAlignment="1">
      <alignment horizontal="center" vertical="center" wrapText="1"/>
      <protection/>
    </xf>
    <xf numFmtId="0" fontId="9" fillId="0" borderId="28" xfId="116" applyFont="1" applyFill="1" applyBorder="1" applyAlignment="1">
      <alignment vertical="center" wrapText="1"/>
      <protection/>
    </xf>
    <xf numFmtId="3" fontId="13" fillId="0" borderId="27" xfId="116" applyNumberFormat="1" applyFont="1" applyFill="1" applyBorder="1" applyAlignment="1">
      <alignment vertical="center" wrapText="1"/>
      <protection/>
    </xf>
    <xf numFmtId="0" fontId="14" fillId="0" borderId="27" xfId="116" applyFont="1" applyFill="1" applyBorder="1" applyAlignment="1">
      <alignment horizontal="center" vertical="center" wrapText="1"/>
      <protection/>
    </xf>
    <xf numFmtId="0" fontId="14" fillId="0" borderId="29" xfId="116" applyFont="1" applyFill="1" applyBorder="1" applyAlignment="1">
      <alignment vertical="center" wrapText="1"/>
      <protection/>
    </xf>
    <xf numFmtId="0" fontId="8" fillId="0" borderId="28" xfId="116" applyFont="1" applyFill="1" applyBorder="1" applyAlignment="1">
      <alignment vertical="center" wrapText="1"/>
      <protection/>
    </xf>
    <xf numFmtId="0" fontId="9" fillId="0" borderId="29" xfId="116" applyFont="1" applyFill="1" applyBorder="1" applyAlignment="1">
      <alignment horizontal="left" vertical="center"/>
      <protection/>
    </xf>
    <xf numFmtId="0" fontId="14" fillId="0" borderId="29" xfId="116" applyFont="1" applyFill="1" applyBorder="1" applyAlignment="1">
      <alignment horizontal="left" vertical="center"/>
      <protection/>
    </xf>
    <xf numFmtId="0" fontId="9" fillId="0" borderId="28" xfId="116" applyFont="1" applyBorder="1" applyAlignment="1">
      <alignment vertical="center"/>
      <protection/>
    </xf>
    <xf numFmtId="3" fontId="14" fillId="0" borderId="27" xfId="116" applyNumberFormat="1" applyFont="1" applyBorder="1" applyAlignment="1">
      <alignment vertical="center"/>
      <protection/>
    </xf>
    <xf numFmtId="0" fontId="14" fillId="0" borderId="29" xfId="116" applyFont="1" applyBorder="1" applyAlignment="1">
      <alignment vertical="center"/>
      <protection/>
    </xf>
    <xf numFmtId="0" fontId="8" fillId="0" borderId="28" xfId="116" applyFont="1" applyBorder="1" applyAlignment="1">
      <alignment vertical="center"/>
      <protection/>
    </xf>
    <xf numFmtId="0" fontId="8" fillId="26" borderId="27" xfId="116" applyFont="1" applyFill="1" applyBorder="1" applyAlignment="1">
      <alignment horizontal="center" vertical="center"/>
      <protection/>
    </xf>
    <xf numFmtId="0" fontId="9" fillId="26" borderId="29" xfId="116" applyFont="1" applyFill="1" applyBorder="1" applyAlignment="1">
      <alignment vertical="center"/>
      <protection/>
    </xf>
    <xf numFmtId="0" fontId="9" fillId="26" borderId="28" xfId="116" applyFont="1" applyFill="1" applyBorder="1" applyAlignment="1">
      <alignment vertical="center"/>
      <protection/>
    </xf>
    <xf numFmtId="3" fontId="9" fillId="26" borderId="27" xfId="116" applyNumberFormat="1" applyFont="1" applyFill="1" applyBorder="1" applyAlignment="1">
      <alignment vertical="center"/>
      <protection/>
    </xf>
    <xf numFmtId="0" fontId="8" fillId="27" borderId="27" xfId="116" applyNumberFormat="1" applyFont="1" applyFill="1" applyBorder="1" applyAlignment="1">
      <alignment horizontal="center" vertical="center"/>
      <protection/>
    </xf>
    <xf numFmtId="0" fontId="8" fillId="27" borderId="27" xfId="116" applyFont="1" applyFill="1" applyBorder="1" applyAlignment="1">
      <alignment horizontal="center" vertical="center"/>
      <protection/>
    </xf>
    <xf numFmtId="0" fontId="8" fillId="27" borderId="28" xfId="116" applyFont="1" applyFill="1" applyBorder="1" applyAlignment="1">
      <alignment vertical="center"/>
      <protection/>
    </xf>
    <xf numFmtId="0" fontId="13" fillId="26" borderId="27" xfId="116" applyFont="1" applyFill="1" applyBorder="1" applyAlignment="1">
      <alignment vertical="center"/>
      <protection/>
    </xf>
    <xf numFmtId="0" fontId="6" fillId="27" borderId="0" xfId="116" applyFont="1" applyFill="1" applyBorder="1" applyAlignment="1">
      <alignment vertical="center"/>
      <protection/>
    </xf>
    <xf numFmtId="0" fontId="7" fillId="27" borderId="0" xfId="116" applyFont="1" applyFill="1" applyBorder="1" applyAlignment="1">
      <alignment vertical="center"/>
      <protection/>
    </xf>
    <xf numFmtId="3" fontId="7" fillId="27" borderId="0" xfId="116" applyNumberFormat="1" applyFont="1" applyFill="1" applyBorder="1" applyAlignment="1">
      <alignment vertical="center"/>
      <protection/>
    </xf>
    <xf numFmtId="3" fontId="6" fillId="27" borderId="0" xfId="116" applyNumberFormat="1" applyFont="1" applyFill="1" applyBorder="1" applyAlignment="1">
      <alignment vertical="center"/>
      <protection/>
    </xf>
    <xf numFmtId="0" fontId="6" fillId="0" borderId="0" xfId="116" applyFont="1" applyAlignment="1">
      <alignment horizontal="left" vertical="center"/>
      <protection/>
    </xf>
    <xf numFmtId="0" fontId="6" fillId="0" borderId="0" xfId="116" applyFont="1" applyAlignment="1">
      <alignment horizontal="center" vertical="center"/>
      <protection/>
    </xf>
    <xf numFmtId="0" fontId="9" fillId="4" borderId="14" xfId="0" applyFont="1" applyFill="1" applyBorder="1" applyAlignment="1">
      <alignment horizontal="center" vertical="center" wrapText="1"/>
    </xf>
    <xf numFmtId="0" fontId="8" fillId="0" borderId="23" xfId="113" applyFont="1" applyBorder="1" applyAlignment="1">
      <alignment vertical="center"/>
      <protection/>
    </xf>
    <xf numFmtId="3" fontId="8" fillId="24" borderId="23" xfId="113" applyNumberFormat="1" applyFont="1" applyFill="1" applyBorder="1" applyAlignment="1">
      <alignment vertical="center"/>
      <protection/>
    </xf>
    <xf numFmtId="0" fontId="39" fillId="4" borderId="14" xfId="113" applyFont="1" applyFill="1" applyBorder="1" applyAlignment="1">
      <alignment horizontal="center" vertical="center" wrapText="1"/>
      <protection/>
    </xf>
    <xf numFmtId="0" fontId="2" fillId="4" borderId="14" xfId="0" applyFont="1" applyFill="1" applyBorder="1" applyAlignment="1">
      <alignment horizontal="center" vertical="center" wrapText="1"/>
    </xf>
    <xf numFmtId="3" fontId="14" fillId="0" borderId="23" xfId="117" applyNumberFormat="1" applyFont="1" applyFill="1" applyBorder="1" applyAlignment="1">
      <alignment horizontal="center" vertical="center" wrapText="1"/>
      <protection/>
    </xf>
    <xf numFmtId="3" fontId="13" fillId="0" borderId="16" xfId="117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vertical="center"/>
    </xf>
    <xf numFmtId="3" fontId="13" fillId="0" borderId="23" xfId="117" applyNumberFormat="1" applyFont="1" applyFill="1" applyBorder="1" applyAlignment="1">
      <alignment horizontal="center" vertical="center" wrapText="1"/>
      <protection/>
    </xf>
    <xf numFmtId="3" fontId="14" fillId="0" borderId="51" xfId="117" applyNumberFormat="1" applyFont="1" applyFill="1" applyBorder="1" applyAlignment="1">
      <alignment vertical="center"/>
      <protection/>
    </xf>
    <xf numFmtId="3" fontId="14" fillId="0" borderId="52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4" fillId="4" borderId="5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vertical="center"/>
    </xf>
    <xf numFmtId="3" fontId="13" fillId="4" borderId="53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left" vertical="center"/>
    </xf>
    <xf numFmtId="3" fontId="18" fillId="4" borderId="14" xfId="117" applyNumberFormat="1" applyFont="1" applyFill="1" applyBorder="1" applyAlignment="1">
      <alignment horizontal="center" vertical="center" wrapText="1"/>
      <protection/>
    </xf>
    <xf numFmtId="3" fontId="13" fillId="4" borderId="54" xfId="0" applyNumberFormat="1" applyFont="1" applyFill="1" applyBorder="1" applyAlignment="1">
      <alignment vertical="center" wrapText="1"/>
    </xf>
    <xf numFmtId="3" fontId="13" fillId="4" borderId="55" xfId="0" applyNumberFormat="1" applyFont="1" applyFill="1" applyBorder="1" applyAlignment="1">
      <alignment vertical="center"/>
    </xf>
    <xf numFmtId="3" fontId="13" fillId="4" borderId="55" xfId="0" applyNumberFormat="1" applyFont="1" applyFill="1" applyBorder="1" applyAlignment="1">
      <alignment vertical="center" wrapText="1"/>
    </xf>
    <xf numFmtId="3" fontId="13" fillId="4" borderId="56" xfId="0" applyNumberFormat="1" applyFont="1" applyFill="1" applyBorder="1" applyAlignment="1">
      <alignment vertical="center" wrapText="1"/>
    </xf>
    <xf numFmtId="3" fontId="13" fillId="4" borderId="57" xfId="0" applyNumberFormat="1" applyFont="1" applyFill="1" applyBorder="1" applyAlignment="1">
      <alignment vertical="center"/>
    </xf>
    <xf numFmtId="3" fontId="13" fillId="4" borderId="57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vertical="center" wrapText="1"/>
    </xf>
    <xf numFmtId="3" fontId="9" fillId="0" borderId="22" xfId="117" applyNumberFormat="1" applyFont="1" applyFill="1" applyBorder="1" applyAlignment="1">
      <alignment horizontal="center" vertical="center" wrapText="1"/>
      <protection/>
    </xf>
    <xf numFmtId="3" fontId="9" fillId="0" borderId="22" xfId="117" applyNumberFormat="1" applyFont="1" applyFill="1" applyBorder="1" applyAlignment="1">
      <alignment horizontal="left" vertical="center" wrapText="1"/>
      <protection/>
    </xf>
    <xf numFmtId="3" fontId="39" fillId="4" borderId="14" xfId="117" applyNumberFormat="1" applyFont="1" applyFill="1" applyBorder="1" applyAlignment="1">
      <alignment horizontal="center" vertical="center" wrapText="1"/>
      <protection/>
    </xf>
    <xf numFmtId="3" fontId="13" fillId="0" borderId="14" xfId="117" applyNumberFormat="1" applyFont="1" applyBorder="1" applyAlignment="1">
      <alignment vertical="center"/>
      <protection/>
    </xf>
    <xf numFmtId="0" fontId="14" fillId="26" borderId="58" xfId="103" applyFont="1" applyFill="1" applyBorder="1" applyAlignment="1">
      <alignment vertical="center"/>
      <protection/>
    </xf>
    <xf numFmtId="0" fontId="13" fillId="26" borderId="44" xfId="103" applyFont="1" applyFill="1" applyBorder="1" applyAlignment="1">
      <alignment horizontal="center" vertical="top"/>
      <protection/>
    </xf>
    <xf numFmtId="3" fontId="13" fillId="26" borderId="47" xfId="103" applyNumberFormat="1" applyFont="1" applyFill="1" applyBorder="1" applyAlignment="1">
      <alignment horizontal="center" vertical="center" wrapText="1"/>
      <protection/>
    </xf>
    <xf numFmtId="3" fontId="13" fillId="26" borderId="45" xfId="103" applyNumberFormat="1" applyFont="1" applyFill="1" applyBorder="1" applyAlignment="1">
      <alignment horizontal="center" vertical="center" wrapText="1"/>
      <protection/>
    </xf>
    <xf numFmtId="0" fontId="17" fillId="0" borderId="27" xfId="103" applyFont="1" applyBorder="1" applyAlignment="1">
      <alignment vertical="center"/>
      <protection/>
    </xf>
    <xf numFmtId="0" fontId="14" fillId="0" borderId="27" xfId="103" applyFont="1" applyBorder="1" applyAlignment="1">
      <alignment vertical="center"/>
      <protection/>
    </xf>
    <xf numFmtId="0" fontId="14" fillId="0" borderId="27" xfId="103" applyFont="1" applyBorder="1" applyAlignment="1">
      <alignment vertical="center" wrapText="1"/>
      <protection/>
    </xf>
    <xf numFmtId="49" fontId="14" fillId="0" borderId="27" xfId="103" applyNumberFormat="1" applyFont="1" applyBorder="1" applyAlignment="1">
      <alignment vertical="center" wrapText="1"/>
      <protection/>
    </xf>
    <xf numFmtId="3" fontId="14" fillId="0" borderId="27" xfId="103" applyNumberFormat="1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vertical="center"/>
      <protection/>
    </xf>
    <xf numFmtId="0" fontId="14" fillId="0" borderId="39" xfId="103" applyFont="1" applyBorder="1" applyAlignment="1">
      <alignment vertical="center"/>
      <protection/>
    </xf>
    <xf numFmtId="0" fontId="17" fillId="0" borderId="27" xfId="103" applyFont="1" applyBorder="1" applyAlignment="1">
      <alignment vertical="center" wrapText="1"/>
      <protection/>
    </xf>
    <xf numFmtId="0" fontId="14" fillId="0" borderId="27" xfId="103" applyFont="1" applyFill="1" applyBorder="1" applyAlignment="1">
      <alignment vertical="center"/>
      <protection/>
    </xf>
    <xf numFmtId="0" fontId="17" fillId="0" borderId="27" xfId="103" applyFont="1" applyFill="1" applyBorder="1" applyAlignment="1">
      <alignment vertical="center"/>
      <protection/>
    </xf>
    <xf numFmtId="0" fontId="13" fillId="26" borderId="27" xfId="103" applyFont="1" applyFill="1" applyBorder="1" applyAlignment="1">
      <alignment vertical="center"/>
      <protection/>
    </xf>
    <xf numFmtId="3" fontId="13" fillId="26" borderId="27" xfId="103" applyNumberFormat="1" applyFont="1" applyFill="1" applyBorder="1" applyAlignment="1">
      <alignment vertical="center"/>
      <protection/>
    </xf>
    <xf numFmtId="3" fontId="13" fillId="26" borderId="59" xfId="103" applyNumberFormat="1" applyFont="1" applyFill="1" applyBorder="1" applyAlignment="1">
      <alignment horizontal="center" vertical="center" wrapText="1"/>
      <protection/>
    </xf>
    <xf numFmtId="3" fontId="13" fillId="26" borderId="29" xfId="103" applyNumberFormat="1" applyFont="1" applyFill="1" applyBorder="1" applyAlignment="1">
      <alignment vertical="center"/>
      <protection/>
    </xf>
    <xf numFmtId="3" fontId="13" fillId="26" borderId="14" xfId="103" applyNumberFormat="1" applyFont="1" applyFill="1" applyBorder="1" applyAlignment="1">
      <alignment horizontal="center" vertical="center" wrapText="1"/>
      <protection/>
    </xf>
    <xf numFmtId="3" fontId="14" fillId="0" borderId="29" xfId="103" applyNumberFormat="1" applyFont="1" applyFill="1" applyBorder="1" applyAlignment="1">
      <alignment vertical="center"/>
      <protection/>
    </xf>
    <xf numFmtId="4" fontId="14" fillId="0" borderId="27" xfId="103" applyNumberFormat="1" applyFont="1" applyFill="1" applyBorder="1" applyAlignment="1">
      <alignment vertical="center"/>
      <protection/>
    </xf>
    <xf numFmtId="179" fontId="14" fillId="0" borderId="27" xfId="103" applyNumberFormat="1" applyFont="1" applyFill="1" applyBorder="1" applyAlignment="1">
      <alignment vertical="center"/>
      <protection/>
    </xf>
    <xf numFmtId="3" fontId="65" fillId="0" borderId="27" xfId="103" applyNumberFormat="1" applyFont="1" applyFill="1" applyBorder="1" applyAlignment="1">
      <alignment vertical="center"/>
      <protection/>
    </xf>
    <xf numFmtId="196" fontId="14" fillId="0" borderId="27" xfId="103" applyNumberFormat="1" applyFont="1" applyFill="1" applyBorder="1" applyAlignment="1">
      <alignment vertical="center"/>
      <protection/>
    </xf>
    <xf numFmtId="3" fontId="14" fillId="0" borderId="27" xfId="103" applyNumberFormat="1" applyFont="1" applyBorder="1" applyAlignment="1">
      <alignment horizontal="right" vertical="center"/>
      <protection/>
    </xf>
    <xf numFmtId="179" fontId="14" fillId="0" borderId="27" xfId="103" applyNumberFormat="1" applyFont="1" applyBorder="1" applyAlignment="1">
      <alignment vertical="center"/>
      <protection/>
    </xf>
    <xf numFmtId="0" fontId="17" fillId="0" borderId="39" xfId="103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horizontal="right" vertical="center"/>
      <protection/>
    </xf>
    <xf numFmtId="3" fontId="67" fillId="0" borderId="27" xfId="103" applyNumberFormat="1" applyFont="1" applyBorder="1" applyAlignment="1">
      <alignment vertical="center"/>
      <protection/>
    </xf>
    <xf numFmtId="3" fontId="14" fillId="0" borderId="17" xfId="0" applyNumberFormat="1" applyFont="1" applyFill="1" applyBorder="1" applyAlignment="1">
      <alignment vertical="center" wrapText="1"/>
    </xf>
    <xf numFmtId="0" fontId="14" fillId="0" borderId="17" xfId="113" applyFont="1" applyBorder="1" applyAlignment="1">
      <alignment vertical="center" wrapText="1"/>
      <protection/>
    </xf>
    <xf numFmtId="0" fontId="8" fillId="0" borderId="17" xfId="92" applyFont="1" applyFill="1" applyBorder="1" applyAlignment="1">
      <alignment vertical="center" wrapText="1"/>
      <protection/>
    </xf>
    <xf numFmtId="49" fontId="14" fillId="0" borderId="30" xfId="106" applyNumberFormat="1" applyFont="1" applyBorder="1" applyAlignment="1">
      <alignment horizontal="left" vertical="center" wrapText="1"/>
      <protection/>
    </xf>
    <xf numFmtId="0" fontId="8" fillId="0" borderId="17" xfId="99" applyFont="1" applyFill="1" applyBorder="1" applyAlignment="1">
      <alignment vertical="center" wrapText="1"/>
      <protection/>
    </xf>
    <xf numFmtId="0" fontId="8" fillId="0" borderId="36" xfId="105" applyFont="1" applyFill="1" applyBorder="1" applyAlignment="1">
      <alignment vertical="top" wrapText="1"/>
      <protection/>
    </xf>
    <xf numFmtId="49" fontId="8" fillId="0" borderId="29" xfId="111" applyNumberFormat="1" applyFont="1" applyFill="1" applyBorder="1" applyAlignment="1">
      <alignment vertical="top" wrapText="1"/>
      <protection/>
    </xf>
    <xf numFmtId="3" fontId="14" fillId="0" borderId="18" xfId="117" applyNumberFormat="1" applyFont="1" applyFill="1" applyBorder="1" applyAlignment="1">
      <alignment vertical="center"/>
      <protection/>
    </xf>
    <xf numFmtId="0" fontId="16" fillId="0" borderId="17" xfId="93" applyFont="1" applyBorder="1" applyAlignment="1">
      <alignment vertical="center"/>
      <protection/>
    </xf>
    <xf numFmtId="0" fontId="14" fillId="0" borderId="17" xfId="113" applyFont="1" applyFill="1" applyBorder="1" applyAlignment="1">
      <alignment vertical="center" wrapText="1"/>
      <protection/>
    </xf>
    <xf numFmtId="0" fontId="8" fillId="0" borderId="14" xfId="115" applyFont="1" applyFill="1" applyBorder="1" applyAlignment="1">
      <alignment vertical="center" wrapText="1"/>
      <protection/>
    </xf>
    <xf numFmtId="3" fontId="8" fillId="0" borderId="18" xfId="113" applyNumberFormat="1" applyFont="1" applyFill="1" applyBorder="1" applyAlignment="1">
      <alignment vertical="center"/>
      <protection/>
    </xf>
    <xf numFmtId="0" fontId="8" fillId="0" borderId="14" xfId="113" applyFont="1" applyBorder="1" applyAlignment="1">
      <alignment vertical="center" wrapText="1"/>
      <protection/>
    </xf>
    <xf numFmtId="3" fontId="8" fillId="0" borderId="17" xfId="0" applyNumberFormat="1" applyFont="1" applyBorder="1" applyAlignment="1">
      <alignment vertical="center" wrapText="1"/>
    </xf>
    <xf numFmtId="0" fontId="14" fillId="0" borderId="14" xfId="113" applyFont="1" applyBorder="1" applyAlignment="1">
      <alignment vertical="center" wrapText="1"/>
      <protection/>
    </xf>
    <xf numFmtId="3" fontId="8" fillId="0" borderId="14" xfId="109" applyNumberFormat="1" applyFont="1" applyBorder="1" applyAlignment="1">
      <alignment horizontal="right" vertical="center"/>
      <protection/>
    </xf>
    <xf numFmtId="3" fontId="14" fillId="0" borderId="16" xfId="0" applyNumberFormat="1" applyFont="1" applyFill="1" applyBorder="1" applyAlignment="1">
      <alignment horizontal="left" vertical="center"/>
    </xf>
    <xf numFmtId="3" fontId="14" fillId="0" borderId="14" xfId="117" applyNumberFormat="1" applyFont="1" applyFill="1" applyBorder="1" applyAlignment="1">
      <alignment vertical="center" wrapText="1"/>
      <protection/>
    </xf>
    <xf numFmtId="3" fontId="8" fillId="0" borderId="28" xfId="111" applyNumberFormat="1" applyFont="1" applyFill="1" applyBorder="1" applyAlignment="1">
      <alignment horizontal="left" vertical="center" wrapText="1"/>
      <protection/>
    </xf>
    <xf numFmtId="0" fontId="8" fillId="0" borderId="28" xfId="102" applyFont="1" applyFill="1" applyBorder="1" applyAlignment="1">
      <alignment vertical="center"/>
      <protection/>
    </xf>
    <xf numFmtId="0" fontId="8" fillId="27" borderId="28" xfId="102" applyFont="1" applyFill="1" applyBorder="1" applyAlignment="1">
      <alignment vertical="top"/>
      <protection/>
    </xf>
    <xf numFmtId="0" fontId="8" fillId="27" borderId="28" xfId="102" applyFont="1" applyFill="1" applyBorder="1" applyAlignment="1">
      <alignment vertical="center"/>
      <protection/>
    </xf>
    <xf numFmtId="0" fontId="8" fillId="26" borderId="28" xfId="102" applyFont="1" applyFill="1" applyBorder="1" applyAlignment="1">
      <alignment vertical="center"/>
      <protection/>
    </xf>
    <xf numFmtId="0" fontId="8" fillId="0" borderId="28" xfId="102" applyFont="1" applyFill="1" applyBorder="1" applyAlignment="1">
      <alignment horizontal="left" vertical="center"/>
      <protection/>
    </xf>
    <xf numFmtId="0" fontId="8" fillId="0" borderId="28" xfId="116" applyFont="1" applyFill="1" applyBorder="1" applyAlignment="1">
      <alignment vertical="center"/>
      <protection/>
    </xf>
    <xf numFmtId="0" fontId="8" fillId="0" borderId="28" xfId="102" applyFont="1" applyBorder="1" applyAlignment="1">
      <alignment vertical="center"/>
      <protection/>
    </xf>
    <xf numFmtId="0" fontId="8" fillId="0" borderId="38" xfId="102" applyFont="1" applyFill="1" applyBorder="1" applyAlignment="1">
      <alignment horizontal="left" vertical="center"/>
      <protection/>
    </xf>
    <xf numFmtId="0" fontId="8" fillId="26" borderId="28" xfId="102" applyFont="1" applyFill="1" applyBorder="1" applyAlignment="1">
      <alignment horizontal="left" vertical="center"/>
      <protection/>
    </xf>
    <xf numFmtId="0" fontId="8" fillId="27" borderId="28" xfId="102" applyFont="1" applyFill="1" applyBorder="1" applyAlignment="1">
      <alignment horizontal="left" vertical="center"/>
      <protection/>
    </xf>
    <xf numFmtId="0" fontId="8" fillId="26" borderId="28" xfId="102" applyFont="1" applyFill="1" applyBorder="1">
      <alignment/>
      <protection/>
    </xf>
    <xf numFmtId="0" fontId="8" fillId="0" borderId="27" xfId="111" applyFont="1" applyFill="1" applyBorder="1" applyAlignment="1">
      <alignment horizontal="left" vertical="center" wrapText="1"/>
      <protection/>
    </xf>
    <xf numFmtId="3" fontId="8" fillId="0" borderId="27" xfId="111" applyNumberFormat="1" applyFont="1" applyFill="1" applyBorder="1" applyAlignment="1">
      <alignment horizontal="left" vertical="center" wrapText="1"/>
      <protection/>
    </xf>
    <xf numFmtId="0" fontId="5" fillId="0" borderId="27" xfId="102" applyFont="1" applyBorder="1">
      <alignment/>
      <protection/>
    </xf>
    <xf numFmtId="0" fontId="14" fillId="0" borderId="14" xfId="113" applyFont="1" applyFill="1" applyBorder="1" applyAlignment="1">
      <alignment vertical="center" wrapText="1"/>
      <protection/>
    </xf>
    <xf numFmtId="3" fontId="14" fillId="0" borderId="15" xfId="0" applyNumberFormat="1" applyFont="1" applyBorder="1" applyAlignment="1">
      <alignment vertical="center"/>
    </xf>
    <xf numFmtId="3" fontId="14" fillId="25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7" xfId="116" applyFont="1" applyFill="1" applyBorder="1" applyAlignment="1">
      <alignment vertical="center"/>
      <protection/>
    </xf>
    <xf numFmtId="3" fontId="14" fillId="0" borderId="60" xfId="103" applyNumberFormat="1" applyFont="1" applyFill="1" applyBorder="1" applyAlignment="1">
      <alignment vertical="center"/>
      <protection/>
    </xf>
    <xf numFmtId="3" fontId="14" fillId="0" borderId="27" xfId="111" applyNumberFormat="1" applyFont="1" applyFill="1" applyBorder="1" applyAlignment="1">
      <alignment horizontal="left" vertical="center"/>
      <protection/>
    </xf>
    <xf numFmtId="0" fontId="8" fillId="0" borderId="27" xfId="102" applyFont="1" applyFill="1" applyBorder="1" applyAlignment="1">
      <alignment horizontal="left" vertical="center"/>
      <protection/>
    </xf>
    <xf numFmtId="3" fontId="14" fillId="0" borderId="23" xfId="0" applyNumberFormat="1" applyFont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4" fillId="25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60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3" fillId="26" borderId="33" xfId="116" applyFont="1" applyFill="1" applyBorder="1" applyAlignment="1">
      <alignment horizontal="center" vertical="center" wrapText="1"/>
      <protection/>
    </xf>
    <xf numFmtId="0" fontId="13" fillId="26" borderId="36" xfId="116" applyFont="1" applyFill="1" applyBorder="1" applyAlignment="1">
      <alignment horizontal="center" vertical="center" wrapText="1"/>
      <protection/>
    </xf>
    <xf numFmtId="0" fontId="13" fillId="26" borderId="61" xfId="116" applyFont="1" applyFill="1" applyBorder="1" applyAlignment="1">
      <alignment horizontal="center" vertical="center" wrapText="1"/>
      <protection/>
    </xf>
    <xf numFmtId="0" fontId="14" fillId="0" borderId="0" xfId="116" applyFont="1" applyBorder="1" applyAlignment="1">
      <alignment vertical="center"/>
      <protection/>
    </xf>
    <xf numFmtId="0" fontId="13" fillId="0" borderId="27" xfId="116" applyFont="1" applyBorder="1" applyAlignment="1">
      <alignment vertical="center"/>
      <protection/>
    </xf>
    <xf numFmtId="0" fontId="13" fillId="0" borderId="27" xfId="116" applyFont="1" applyFill="1" applyBorder="1" applyAlignment="1">
      <alignment vertical="center"/>
      <protection/>
    </xf>
    <xf numFmtId="3" fontId="14" fillId="0" borderId="27" xfId="111" applyNumberFormat="1" applyFont="1" applyBorder="1" applyAlignment="1">
      <alignment vertical="center"/>
      <protection/>
    </xf>
    <xf numFmtId="0" fontId="65" fillId="0" borderId="27" xfId="111" applyFont="1" applyFill="1" applyBorder="1" applyAlignment="1">
      <alignment horizontal="left" vertical="center" wrapText="1"/>
      <protection/>
    </xf>
    <xf numFmtId="3" fontId="65" fillId="0" borderId="27" xfId="111" applyNumberFormat="1" applyFont="1" applyFill="1" applyBorder="1" applyAlignment="1">
      <alignment horizontal="left" vertical="center" wrapText="1"/>
      <protection/>
    </xf>
    <xf numFmtId="3" fontId="14" fillId="0" borderId="27" xfId="111" applyNumberFormat="1" applyFont="1" applyFill="1" applyBorder="1" applyAlignment="1">
      <alignment horizontal="left" vertical="center" wrapText="1"/>
      <protection/>
    </xf>
    <xf numFmtId="0" fontId="14" fillId="26" borderId="27" xfId="116" applyFont="1" applyFill="1" applyBorder="1" applyAlignment="1">
      <alignment vertical="center"/>
      <protection/>
    </xf>
    <xf numFmtId="0" fontId="61" fillId="0" borderId="27" xfId="102" applyFont="1" applyFill="1" applyBorder="1" applyAlignment="1">
      <alignment horizontal="left" vertical="center"/>
      <protection/>
    </xf>
    <xf numFmtId="0" fontId="14" fillId="27" borderId="27" xfId="116" applyFont="1" applyFill="1" applyBorder="1" applyAlignment="1">
      <alignment vertical="center"/>
      <protection/>
    </xf>
    <xf numFmtId="0" fontId="8" fillId="26" borderId="27" xfId="116" applyFont="1" applyFill="1" applyBorder="1" applyAlignment="1">
      <alignment vertical="center" wrapText="1"/>
      <protection/>
    </xf>
    <xf numFmtId="0" fontId="8" fillId="0" borderId="27" xfId="116" applyFont="1" applyFill="1" applyBorder="1" applyAlignment="1">
      <alignment vertical="center" wrapText="1"/>
      <protection/>
    </xf>
    <xf numFmtId="0" fontId="8" fillId="0" borderId="27" xfId="116" applyFont="1" applyBorder="1" applyAlignment="1">
      <alignment vertical="center"/>
      <protection/>
    </xf>
    <xf numFmtId="0" fontId="8" fillId="26" borderId="27" xfId="116" applyFont="1" applyFill="1" applyBorder="1" applyAlignment="1">
      <alignment vertical="center"/>
      <protection/>
    </xf>
    <xf numFmtId="3" fontId="13" fillId="4" borderId="27" xfId="116" applyNumberFormat="1" applyFont="1" applyFill="1" applyBorder="1" applyAlignment="1">
      <alignment vertical="center"/>
      <protection/>
    </xf>
    <xf numFmtId="0" fontId="8" fillId="27" borderId="27" xfId="116" applyFont="1" applyFill="1" applyBorder="1" applyAlignment="1">
      <alignment vertical="center"/>
      <protection/>
    </xf>
    <xf numFmtId="0" fontId="13" fillId="4" borderId="1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13" fillId="4" borderId="62" xfId="0" applyFont="1" applyFill="1" applyBorder="1" applyAlignment="1">
      <alignment/>
    </xf>
    <xf numFmtId="3" fontId="14" fillId="0" borderId="17" xfId="117" applyNumberFormat="1" applyFont="1" applyFill="1" applyBorder="1" applyAlignment="1">
      <alignment horizontal="right" vertical="center"/>
      <protection/>
    </xf>
    <xf numFmtId="0" fontId="8" fillId="27" borderId="28" xfId="102" applyFont="1" applyFill="1" applyBorder="1" applyAlignment="1">
      <alignment horizontal="center" vertical="center"/>
      <protection/>
    </xf>
    <xf numFmtId="0" fontId="9" fillId="0" borderId="14" xfId="113" applyFont="1" applyBorder="1" applyAlignment="1">
      <alignment horizontal="center" vertical="center"/>
      <protection/>
    </xf>
    <xf numFmtId="3" fontId="14" fillId="0" borderId="14" xfId="0" applyNumberFormat="1" applyFont="1" applyFill="1" applyBorder="1" applyAlignment="1">
      <alignment horizontal="left" vertical="center"/>
    </xf>
    <xf numFmtId="3" fontId="14" fillId="0" borderId="1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4" fillId="24" borderId="17" xfId="93" applyFont="1" applyFill="1" applyBorder="1" applyAlignment="1">
      <alignment horizontal="left" vertical="center" wrapText="1"/>
      <protection/>
    </xf>
    <xf numFmtId="0" fontId="13" fillId="0" borderId="63" xfId="116" applyFont="1" applyFill="1" applyBorder="1" applyAlignment="1">
      <alignment vertical="center"/>
      <protection/>
    </xf>
    <xf numFmtId="0" fontId="13" fillId="0" borderId="64" xfId="116" applyFont="1" applyFill="1" applyBorder="1" applyAlignment="1">
      <alignment vertical="center"/>
      <protection/>
    </xf>
    <xf numFmtId="0" fontId="14" fillId="0" borderId="65" xfId="116" applyFont="1" applyFill="1" applyBorder="1" applyAlignment="1">
      <alignment vertical="center"/>
      <protection/>
    </xf>
    <xf numFmtId="0" fontId="8" fillId="0" borderId="63" xfId="102" applyFont="1" applyFill="1" applyBorder="1" applyAlignment="1">
      <alignment horizontal="left" vertical="center"/>
      <protection/>
    </xf>
    <xf numFmtId="0" fontId="8" fillId="0" borderId="64" xfId="102" applyFont="1" applyFill="1" applyBorder="1" applyAlignment="1">
      <alignment horizontal="left" vertical="center"/>
      <protection/>
    </xf>
    <xf numFmtId="0" fontId="9" fillId="26" borderId="38" xfId="102" applyFont="1" applyFill="1" applyBorder="1" applyAlignment="1">
      <alignment horizontal="center" vertical="center" wrapText="1"/>
      <protection/>
    </xf>
    <xf numFmtId="0" fontId="9" fillId="26" borderId="38" xfId="102" applyFont="1" applyFill="1" applyBorder="1" applyAlignment="1">
      <alignment horizontal="center" vertical="center" wrapText="1"/>
      <protection/>
    </xf>
    <xf numFmtId="3" fontId="9" fillId="26" borderId="27" xfId="102" applyNumberFormat="1" applyFont="1" applyFill="1" applyBorder="1" applyAlignment="1">
      <alignment horizontal="left" vertical="center" wrapText="1"/>
      <protection/>
    </xf>
    <xf numFmtId="3" fontId="14" fillId="0" borderId="14" xfId="117" applyNumberFormat="1" applyFont="1" applyFill="1" applyBorder="1" applyAlignment="1">
      <alignment horizontal="right" vertical="center"/>
      <protection/>
    </xf>
    <xf numFmtId="3" fontId="14" fillId="0" borderId="18" xfId="0" applyNumberFormat="1" applyFont="1" applyFill="1" applyBorder="1" applyAlignment="1">
      <alignment horizontal="left" vertical="center" wrapText="1"/>
    </xf>
    <xf numFmtId="0" fontId="14" fillId="0" borderId="0" xfId="93" applyFont="1" applyFill="1" applyBorder="1" applyAlignment="1">
      <alignment horizontal="left" vertical="center" wrapText="1"/>
      <protection/>
    </xf>
    <xf numFmtId="0" fontId="14" fillId="0" borderId="36" xfId="96" applyFont="1" applyFill="1" applyBorder="1" applyAlignment="1">
      <alignment vertical="center"/>
      <protection/>
    </xf>
    <xf numFmtId="49" fontId="14" fillId="0" borderId="36" xfId="111" applyNumberFormat="1" applyFont="1" applyFill="1" applyBorder="1" applyAlignment="1">
      <alignment horizontal="left" vertical="center" wrapText="1"/>
      <protection/>
    </xf>
    <xf numFmtId="0" fontId="8" fillId="0" borderId="27" xfId="111" applyFont="1" applyFill="1" applyBorder="1" applyAlignment="1">
      <alignment vertical="top" wrapText="1"/>
      <protection/>
    </xf>
    <xf numFmtId="0" fontId="8" fillId="27" borderId="27" xfId="102" applyFont="1" applyFill="1" applyBorder="1" applyAlignment="1">
      <alignment vertical="top"/>
      <protection/>
    </xf>
    <xf numFmtId="3" fontId="14" fillId="0" borderId="27" xfId="0" applyNumberFormat="1" applyFont="1" applyFill="1" applyBorder="1" applyAlignment="1">
      <alignment vertical="center"/>
    </xf>
    <xf numFmtId="3" fontId="8" fillId="0" borderId="27" xfId="102" applyNumberFormat="1" applyFont="1" applyBorder="1" applyAlignment="1">
      <alignment horizontal="right" vertical="center"/>
      <protection/>
    </xf>
    <xf numFmtId="0" fontId="14" fillId="0" borderId="16" xfId="0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27" borderId="27" xfId="116" applyNumberFormat="1" applyFont="1" applyFill="1" applyBorder="1" applyAlignment="1">
      <alignment vertical="center"/>
      <protection/>
    </xf>
    <xf numFmtId="0" fontId="8" fillId="0" borderId="14" xfId="113" applyFont="1" applyBorder="1" applyAlignment="1">
      <alignment vertical="center"/>
      <protection/>
    </xf>
    <xf numFmtId="0" fontId="8" fillId="0" borderId="14" xfId="98" applyFont="1" applyBorder="1" applyAlignment="1">
      <alignment vertical="center" wrapText="1"/>
      <protection/>
    </xf>
    <xf numFmtId="0" fontId="8" fillId="0" borderId="14" xfId="98" applyFont="1" applyFill="1" applyBorder="1" applyAlignment="1">
      <alignment vertical="top" wrapText="1"/>
      <protection/>
    </xf>
    <xf numFmtId="0" fontId="16" fillId="0" borderId="14" xfId="93" applyFont="1" applyBorder="1" applyAlignment="1">
      <alignment vertical="center"/>
      <protection/>
    </xf>
    <xf numFmtId="3" fontId="16" fillId="0" borderId="23" xfId="117" applyNumberFormat="1" applyFont="1" applyBorder="1" applyAlignment="1">
      <alignment vertical="center"/>
      <protection/>
    </xf>
    <xf numFmtId="3" fontId="9" fillId="28" borderId="14" xfId="117" applyNumberFormat="1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 wrapText="1"/>
    </xf>
    <xf numFmtId="0" fontId="14" fillId="0" borderId="17" xfId="115" applyFont="1" applyFill="1" applyBorder="1" applyAlignment="1">
      <alignment vertical="center" wrapText="1"/>
      <protection/>
    </xf>
    <xf numFmtId="3" fontId="14" fillId="0" borderId="18" xfId="0" applyNumberFormat="1" applyFont="1" applyBorder="1" applyAlignment="1">
      <alignment horizontal="left" vertical="center"/>
    </xf>
    <xf numFmtId="0" fontId="8" fillId="0" borderId="17" xfId="113" applyFont="1" applyFill="1" applyBorder="1" applyAlignment="1">
      <alignment vertical="center" wrapText="1"/>
      <protection/>
    </xf>
    <xf numFmtId="0" fontId="14" fillId="0" borderId="17" xfId="93" applyFont="1" applyFill="1" applyBorder="1" applyAlignment="1">
      <alignment horizontal="left" vertical="center" wrapText="1"/>
      <protection/>
    </xf>
    <xf numFmtId="0" fontId="14" fillId="0" borderId="51" xfId="113" applyFont="1" applyBorder="1" applyAlignment="1">
      <alignment vertical="center" wrapText="1"/>
      <protection/>
    </xf>
    <xf numFmtId="0" fontId="8" fillId="0" borderId="23" xfId="113" applyFont="1" applyFill="1" applyBorder="1" applyAlignment="1">
      <alignment vertical="center" wrapText="1"/>
      <protection/>
    </xf>
    <xf numFmtId="0" fontId="8" fillId="0" borderId="25" xfId="97" applyFont="1" applyBorder="1" applyAlignment="1">
      <alignment vertical="center" wrapText="1"/>
      <protection/>
    </xf>
    <xf numFmtId="0" fontId="14" fillId="0" borderId="27" xfId="93" applyFont="1" applyFill="1" applyBorder="1" applyAlignment="1">
      <alignment horizontal="left" vertical="center" wrapText="1"/>
      <protection/>
    </xf>
    <xf numFmtId="49" fontId="40" fillId="0" borderId="31" xfId="106" applyNumberFormat="1" applyFont="1" applyFill="1" applyBorder="1" applyAlignment="1">
      <alignment horizontal="left" vertical="top" wrapText="1"/>
      <protection/>
    </xf>
    <xf numFmtId="0" fontId="8" fillId="0" borderId="36" xfId="116" applyFont="1" applyFill="1" applyBorder="1" applyAlignment="1">
      <alignment vertical="top" wrapText="1"/>
      <protection/>
    </xf>
    <xf numFmtId="0" fontId="14" fillId="0" borderId="1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0" fillId="0" borderId="32" xfId="111" applyFont="1" applyFill="1" applyBorder="1" applyAlignment="1">
      <alignment vertical="center"/>
      <protection/>
    </xf>
    <xf numFmtId="0" fontId="14" fillId="0" borderId="0" xfId="115" applyFont="1" applyFill="1" applyBorder="1" applyAlignment="1">
      <alignment vertical="center" wrapText="1"/>
      <protection/>
    </xf>
    <xf numFmtId="3" fontId="14" fillId="0" borderId="0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vertical="top" wrapText="1"/>
    </xf>
    <xf numFmtId="3" fontId="6" fillId="0" borderId="0" xfId="0" applyNumberFormat="1" applyFont="1" applyFill="1" applyAlignment="1">
      <alignment/>
    </xf>
    <xf numFmtId="0" fontId="8" fillId="0" borderId="14" xfId="98" applyFont="1" applyFill="1" applyBorder="1" applyAlignment="1">
      <alignment vertical="top" wrapText="1"/>
      <protection/>
    </xf>
    <xf numFmtId="0" fontId="5" fillId="0" borderId="14" xfId="97" applyBorder="1" applyAlignment="1">
      <alignment vertical="center"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4" borderId="11" xfId="113" applyFont="1" applyFill="1" applyBorder="1" applyAlignment="1">
      <alignment horizontal="center" vertical="center" wrapText="1"/>
      <protection/>
    </xf>
    <xf numFmtId="2" fontId="9" fillId="4" borderId="11" xfId="113" applyNumberFormat="1" applyFont="1" applyFill="1" applyBorder="1" applyAlignment="1">
      <alignment horizontal="center" vertical="center" wrapText="1"/>
      <protection/>
    </xf>
    <xf numFmtId="3" fontId="9" fillId="4" borderId="11" xfId="113" applyNumberFormat="1" applyFont="1" applyFill="1" applyBorder="1" applyAlignment="1">
      <alignment horizontal="center" vertical="center" wrapText="1"/>
      <protection/>
    </xf>
    <xf numFmtId="0" fontId="54" fillId="0" borderId="0" xfId="110">
      <alignment/>
      <protection/>
    </xf>
    <xf numFmtId="0" fontId="8" fillId="0" borderId="14" xfId="113" applyFont="1" applyFill="1" applyBorder="1" applyAlignment="1">
      <alignment horizontal="center" vertical="center" wrapText="1"/>
      <protection/>
    </xf>
    <xf numFmtId="175" fontId="54" fillId="0" borderId="14" xfId="110" applyNumberFormat="1" applyFont="1" applyBorder="1">
      <alignment/>
      <protection/>
    </xf>
    <xf numFmtId="0" fontId="54" fillId="0" borderId="14" xfId="110" applyFont="1" applyBorder="1">
      <alignment/>
      <protection/>
    </xf>
    <xf numFmtId="175" fontId="8" fillId="0" borderId="14" xfId="113" applyNumberFormat="1" applyFont="1" applyFill="1" applyBorder="1">
      <alignment/>
      <protection/>
    </xf>
    <xf numFmtId="175" fontId="8" fillId="0" borderId="14" xfId="110" applyNumberFormat="1" applyFont="1" applyBorder="1">
      <alignment/>
      <protection/>
    </xf>
    <xf numFmtId="0" fontId="8" fillId="0" borderId="14" xfId="112" applyFont="1" applyFill="1" applyBorder="1" applyAlignment="1">
      <alignment horizontal="left" vertical="center" wrapText="1"/>
      <protection/>
    </xf>
    <xf numFmtId="175" fontId="8" fillId="0" borderId="14" xfId="113" applyNumberFormat="1" applyFont="1" applyBorder="1" applyAlignment="1">
      <alignment vertical="center"/>
      <protection/>
    </xf>
    <xf numFmtId="2" fontId="8" fillId="0" borderId="14" xfId="113" applyNumberFormat="1" applyFont="1" applyBorder="1" applyAlignment="1">
      <alignment vertical="center"/>
      <protection/>
    </xf>
    <xf numFmtId="179" fontId="8" fillId="0" borderId="14" xfId="113" applyNumberFormat="1" applyFont="1" applyBorder="1" applyAlignment="1">
      <alignment vertical="center"/>
      <protection/>
    </xf>
    <xf numFmtId="49" fontId="54" fillId="0" borderId="0" xfId="110" applyNumberFormat="1">
      <alignment/>
      <protection/>
    </xf>
    <xf numFmtId="175" fontId="8" fillId="0" borderId="14" xfId="113" applyNumberFormat="1" applyFont="1" applyBorder="1">
      <alignment/>
      <protection/>
    </xf>
    <xf numFmtId="0" fontId="8" fillId="0" borderId="14" xfId="113" applyFont="1" applyBorder="1">
      <alignment/>
      <protection/>
    </xf>
    <xf numFmtId="179" fontId="61" fillId="0" borderId="14" xfId="113" applyNumberFormat="1" applyFont="1" applyBorder="1">
      <alignment/>
      <protection/>
    </xf>
    <xf numFmtId="179" fontId="8" fillId="0" borderId="14" xfId="113" applyNumberFormat="1" applyFont="1" applyBorder="1">
      <alignment/>
      <protection/>
    </xf>
    <xf numFmtId="0" fontId="8" fillId="0" borderId="14" xfId="109" applyFont="1" applyBorder="1" applyAlignment="1">
      <alignment vertical="center"/>
      <protection/>
    </xf>
    <xf numFmtId="2" fontId="8" fillId="0" borderId="14" xfId="113" applyNumberFormat="1" applyFont="1" applyBorder="1">
      <alignment/>
      <protection/>
    </xf>
    <xf numFmtId="0" fontId="68" fillId="4" borderId="14" xfId="109" applyFont="1" applyFill="1" applyBorder="1" applyAlignment="1">
      <alignment horizontal="center" vertical="center"/>
      <protection/>
    </xf>
    <xf numFmtId="0" fontId="69" fillId="4" borderId="14" xfId="109" applyFont="1" applyFill="1" applyBorder="1" applyAlignment="1">
      <alignment vertical="center"/>
      <protection/>
    </xf>
    <xf numFmtId="175" fontId="69" fillId="4" borderId="14" xfId="113" applyNumberFormat="1" applyFont="1" applyFill="1" applyBorder="1">
      <alignment/>
      <protection/>
    </xf>
    <xf numFmtId="179" fontId="69" fillId="4" borderId="14" xfId="113" applyNumberFormat="1" applyFont="1" applyFill="1" applyBorder="1">
      <alignment/>
      <protection/>
    </xf>
    <xf numFmtId="0" fontId="68" fillId="4" borderId="14" xfId="110" applyFont="1" applyFill="1" applyBorder="1">
      <alignment/>
      <protection/>
    </xf>
    <xf numFmtId="0" fontId="68" fillId="4" borderId="14" xfId="109" applyFont="1" applyFill="1" applyBorder="1" applyAlignment="1">
      <alignment vertical="center"/>
      <protection/>
    </xf>
    <xf numFmtId="175" fontId="69" fillId="4" borderId="14" xfId="110" applyNumberFormat="1" applyFont="1" applyFill="1" applyBorder="1">
      <alignment/>
      <protection/>
    </xf>
    <xf numFmtId="0" fontId="68" fillId="0" borderId="0" xfId="110" applyFont="1">
      <alignment/>
      <protection/>
    </xf>
    <xf numFmtId="0" fontId="70" fillId="0" borderId="0" xfId="110" applyFont="1">
      <alignment/>
      <protection/>
    </xf>
    <xf numFmtId="49" fontId="71" fillId="0" borderId="0" xfId="109" applyNumberFormat="1" applyFont="1" applyBorder="1" applyAlignment="1">
      <alignment vertical="center"/>
      <protection/>
    </xf>
    <xf numFmtId="49" fontId="54" fillId="0" borderId="0" xfId="110" applyNumberFormat="1" applyFont="1">
      <alignment/>
      <protection/>
    </xf>
    <xf numFmtId="49" fontId="8" fillId="0" borderId="0" xfId="109" applyNumberFormat="1" applyFont="1" applyBorder="1" applyAlignment="1">
      <alignment vertical="center"/>
      <protection/>
    </xf>
    <xf numFmtId="49" fontId="72" fillId="0" borderId="0" xfId="109" applyNumberFormat="1" applyFont="1" applyBorder="1" applyAlignment="1">
      <alignment horizontal="center" vertical="center"/>
      <protection/>
    </xf>
    <xf numFmtId="0" fontId="73" fillId="0" borderId="0" xfId="110" applyFont="1" applyAlignment="1">
      <alignment/>
      <protection/>
    </xf>
    <xf numFmtId="49" fontId="8" fillId="0" borderId="0" xfId="109" applyNumberFormat="1" applyFont="1" applyFill="1" applyBorder="1" applyAlignment="1">
      <alignment vertical="center"/>
      <protection/>
    </xf>
    <xf numFmtId="49" fontId="72" fillId="0" borderId="0" xfId="109" applyNumberFormat="1" applyFont="1" applyFill="1" applyBorder="1" applyAlignment="1">
      <alignment horizontal="center" vertical="center" wrapText="1"/>
      <protection/>
    </xf>
    <xf numFmtId="49" fontId="74" fillId="0" borderId="0" xfId="113" applyNumberFormat="1" applyFont="1" applyFill="1" applyBorder="1" applyAlignment="1">
      <alignment horizontal="center" vertical="center"/>
      <protection/>
    </xf>
    <xf numFmtId="49" fontId="8" fillId="0" borderId="0" xfId="109" applyNumberFormat="1" applyFont="1" applyFill="1" applyBorder="1" applyAlignment="1">
      <alignment vertical="center" wrapText="1"/>
      <protection/>
    </xf>
    <xf numFmtId="0" fontId="75" fillId="0" borderId="0" xfId="110" applyFont="1">
      <alignment/>
      <protection/>
    </xf>
    <xf numFmtId="3" fontId="8" fillId="0" borderId="17" xfId="0" applyNumberFormat="1" applyFont="1" applyFill="1" applyBorder="1" applyAlignment="1">
      <alignment vertical="center" wrapText="1"/>
    </xf>
    <xf numFmtId="0" fontId="14" fillId="0" borderId="17" xfId="113" applyFont="1" applyBorder="1" applyAlignment="1">
      <alignment vertical="center"/>
      <protection/>
    </xf>
    <xf numFmtId="0" fontId="14" fillId="0" borderId="18" xfId="113" applyFont="1" applyBorder="1" applyAlignment="1">
      <alignment vertical="center"/>
      <protection/>
    </xf>
    <xf numFmtId="3" fontId="14" fillId="0" borderId="17" xfId="117" applyNumberFormat="1" applyFont="1" applyFill="1" applyBorder="1" applyAlignment="1">
      <alignment horizontal="left" vertical="center"/>
      <protection/>
    </xf>
    <xf numFmtId="3" fontId="14" fillId="0" borderId="29" xfId="0" applyNumberFormat="1" applyFont="1" applyFill="1" applyBorder="1" applyAlignment="1">
      <alignment vertical="center"/>
    </xf>
    <xf numFmtId="44" fontId="14" fillId="0" borderId="17" xfId="123" applyFont="1" applyBorder="1" applyAlignment="1">
      <alignment horizontal="left" vertical="center"/>
    </xf>
    <xf numFmtId="44" fontId="14" fillId="0" borderId="15" xfId="123" applyFont="1" applyBorder="1" applyAlignment="1">
      <alignment horizontal="left" vertical="center"/>
    </xf>
    <xf numFmtId="3" fontId="13" fillId="26" borderId="56" xfId="103" applyNumberFormat="1" applyFont="1" applyFill="1" applyBorder="1" applyAlignment="1">
      <alignment horizontal="center" vertical="center"/>
      <protection/>
    </xf>
    <xf numFmtId="3" fontId="13" fillId="26" borderId="66" xfId="103" applyNumberFormat="1" applyFont="1" applyFill="1" applyBorder="1" applyAlignment="1">
      <alignment horizontal="center" vertical="center"/>
      <protection/>
    </xf>
    <xf numFmtId="3" fontId="13" fillId="26" borderId="14" xfId="103" applyNumberFormat="1" applyFont="1" applyFill="1" applyBorder="1" applyAlignment="1">
      <alignment horizontal="center" vertical="center"/>
      <protection/>
    </xf>
    <xf numFmtId="0" fontId="2" fillId="4" borderId="14" xfId="0" applyFont="1" applyFill="1" applyBorder="1" applyAlignment="1">
      <alignment horizontal="center" vertical="center" wrapText="1"/>
    </xf>
    <xf numFmtId="0" fontId="13" fillId="4" borderId="14" xfId="93" applyFont="1" applyFill="1" applyBorder="1" applyAlignment="1">
      <alignment horizontal="center" vertical="center" wrapText="1"/>
      <protection/>
    </xf>
    <xf numFmtId="0" fontId="2" fillId="4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3" fontId="18" fillId="4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 wrapText="1"/>
    </xf>
    <xf numFmtId="0" fontId="13" fillId="4" borderId="69" xfId="0" applyFont="1" applyFill="1" applyBorder="1" applyAlignment="1">
      <alignment horizontal="center" vertical="center" wrapText="1"/>
    </xf>
    <xf numFmtId="0" fontId="9" fillId="4" borderId="29" xfId="102" applyFont="1" applyFill="1" applyBorder="1" applyAlignment="1">
      <alignment horizontal="center" vertical="center" wrapText="1"/>
      <protection/>
    </xf>
    <xf numFmtId="0" fontId="9" fillId="4" borderId="37" xfId="102" applyFont="1" applyFill="1" applyBorder="1" applyAlignment="1">
      <alignment horizontal="center" vertical="center" wrapText="1"/>
      <protection/>
    </xf>
    <xf numFmtId="0" fontId="9" fillId="4" borderId="28" xfId="102" applyFont="1" applyFill="1" applyBorder="1" applyAlignment="1">
      <alignment horizontal="center" vertical="center" wrapText="1"/>
      <protection/>
    </xf>
    <xf numFmtId="0" fontId="39" fillId="26" borderId="41" xfId="102" applyFont="1" applyFill="1" applyBorder="1" applyAlignment="1">
      <alignment horizontal="center" vertical="center" wrapText="1"/>
      <protection/>
    </xf>
    <xf numFmtId="0" fontId="2" fillId="0" borderId="45" xfId="0" applyFont="1" applyBorder="1" applyAlignment="1">
      <alignment horizontal="center" wrapText="1"/>
    </xf>
    <xf numFmtId="0" fontId="9" fillId="26" borderId="40" xfId="102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9" fillId="26" borderId="41" xfId="102" applyFont="1" applyFill="1" applyBorder="1" applyAlignment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9" fillId="26" borderId="42" xfId="102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9" fillId="26" borderId="70" xfId="102" applyFont="1" applyFill="1" applyBorder="1" applyAlignment="1">
      <alignment horizontal="center" vertical="center" wrapText="1"/>
      <protection/>
    </xf>
    <xf numFmtId="0" fontId="9" fillId="26" borderId="71" xfId="102" applyFont="1" applyFill="1" applyBorder="1" applyAlignment="1">
      <alignment horizontal="center" vertical="center" wrapText="1"/>
      <protection/>
    </xf>
    <xf numFmtId="0" fontId="9" fillId="26" borderId="48" xfId="102" applyFont="1" applyFill="1" applyBorder="1" applyAlignment="1">
      <alignment horizontal="center" vertical="center" wrapText="1"/>
      <protection/>
    </xf>
    <xf numFmtId="0" fontId="9" fillId="4" borderId="27" xfId="102" applyFont="1" applyFill="1" applyBorder="1" applyAlignment="1">
      <alignment horizontal="center" vertical="center" wrapText="1"/>
      <protection/>
    </xf>
    <xf numFmtId="3" fontId="8" fillId="0" borderId="17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0" fontId="13" fillId="4" borderId="17" xfId="116" applyFont="1" applyFill="1" applyBorder="1" applyAlignment="1">
      <alignment horizontal="center" vertical="center" wrapText="1"/>
      <protection/>
    </xf>
    <xf numFmtId="0" fontId="13" fillId="4" borderId="15" xfId="116" applyFont="1" applyFill="1" applyBorder="1" applyAlignment="1">
      <alignment horizontal="center" vertical="center" wrapText="1"/>
      <protection/>
    </xf>
    <xf numFmtId="0" fontId="13" fillId="4" borderId="18" xfId="116" applyFont="1" applyFill="1" applyBorder="1" applyAlignment="1">
      <alignment horizontal="center" vertical="center" wrapText="1"/>
      <protection/>
    </xf>
    <xf numFmtId="3" fontId="16" fillId="0" borderId="29" xfId="111" applyNumberFormat="1" applyFont="1" applyBorder="1" applyAlignment="1">
      <alignment vertical="center"/>
      <protection/>
    </xf>
    <xf numFmtId="3" fontId="16" fillId="0" borderId="28" xfId="111" applyNumberFormat="1" applyFont="1" applyBorder="1" applyAlignment="1">
      <alignment vertical="center"/>
      <protection/>
    </xf>
    <xf numFmtId="0" fontId="13" fillId="26" borderId="70" xfId="116" applyFont="1" applyFill="1" applyBorder="1" applyAlignment="1">
      <alignment horizontal="center" vertical="center" wrapText="1"/>
      <protection/>
    </xf>
    <xf numFmtId="0" fontId="13" fillId="26" borderId="71" xfId="116" applyFont="1" applyFill="1" applyBorder="1" applyAlignment="1">
      <alignment horizontal="center" vertical="center" wrapText="1"/>
      <protection/>
    </xf>
    <xf numFmtId="0" fontId="13" fillId="26" borderId="72" xfId="116" applyFont="1" applyFill="1" applyBorder="1" applyAlignment="1">
      <alignment horizontal="center" vertical="center" wrapText="1"/>
      <protection/>
    </xf>
    <xf numFmtId="0" fontId="13" fillId="26" borderId="41" xfId="116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9" fillId="4" borderId="14" xfId="109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5" xfId="10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wrapText="1"/>
    </xf>
    <xf numFmtId="0" fontId="39" fillId="4" borderId="25" xfId="109" applyFont="1" applyFill="1" applyBorder="1" applyAlignment="1">
      <alignment horizontal="center" vertical="center" wrapText="1"/>
      <protection/>
    </xf>
    <xf numFmtId="0" fontId="39" fillId="4" borderId="23" xfId="109" applyFont="1" applyFill="1" applyBorder="1" applyAlignment="1">
      <alignment horizontal="center" vertical="center" wrapText="1"/>
      <protection/>
    </xf>
    <xf numFmtId="0" fontId="9" fillId="4" borderId="17" xfId="11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17" xfId="11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4" borderId="25" xfId="113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4" fontId="14" fillId="0" borderId="17" xfId="123" applyFont="1" applyFill="1" applyBorder="1" applyAlignment="1">
      <alignment horizontal="left" vertical="center" wrapText="1"/>
    </xf>
    <xf numFmtId="44" fontId="14" fillId="0" borderId="18" xfId="123" applyFont="1" applyFill="1" applyBorder="1" applyAlignment="1">
      <alignment horizontal="left" vertical="center" wrapText="1"/>
    </xf>
    <xf numFmtId="0" fontId="8" fillId="0" borderId="17" xfId="116" applyFont="1" applyFill="1" applyBorder="1" applyAlignment="1">
      <alignment horizontal="left" vertical="top" wrapText="1"/>
      <protection/>
    </xf>
    <xf numFmtId="0" fontId="8" fillId="0" borderId="18" xfId="116" applyFont="1" applyFill="1" applyBorder="1" applyAlignment="1">
      <alignment horizontal="left" vertical="top" wrapText="1"/>
      <protection/>
    </xf>
    <xf numFmtId="0" fontId="14" fillId="0" borderId="17" xfId="113" applyFont="1" applyBorder="1" applyAlignment="1">
      <alignment vertical="center" wrapText="1"/>
      <protection/>
    </xf>
    <xf numFmtId="0" fontId="14" fillId="0" borderId="15" xfId="113" applyFont="1" applyBorder="1" applyAlignment="1">
      <alignment vertical="center" wrapText="1"/>
      <protection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/>
    </xf>
    <xf numFmtId="0" fontId="8" fillId="0" borderId="17" xfId="113" applyFont="1" applyBorder="1" applyAlignment="1">
      <alignment horizontal="left" vertical="center" wrapText="1"/>
      <protection/>
    </xf>
    <xf numFmtId="0" fontId="8" fillId="0" borderId="18" xfId="113" applyFont="1" applyBorder="1" applyAlignment="1">
      <alignment horizontal="left" vertical="center" wrapText="1"/>
      <protection/>
    </xf>
    <xf numFmtId="0" fontId="8" fillId="0" borderId="17" xfId="95" applyFont="1" applyFill="1" applyBorder="1" applyAlignment="1">
      <alignment horizontal="left" vertical="center" wrapText="1"/>
      <protection/>
    </xf>
    <xf numFmtId="0" fontId="8" fillId="0" borderId="15" xfId="95" applyFont="1" applyFill="1" applyBorder="1" applyAlignment="1">
      <alignment horizontal="left" vertical="center" wrapText="1"/>
      <protection/>
    </xf>
    <xf numFmtId="3" fontId="14" fillId="0" borderId="17" xfId="117" applyNumberFormat="1" applyFont="1" applyFill="1" applyBorder="1" applyAlignment="1">
      <alignment horizontal="left" vertical="center" wrapText="1"/>
      <protection/>
    </xf>
    <xf numFmtId="3" fontId="14" fillId="0" borderId="18" xfId="117" applyNumberFormat="1" applyFont="1" applyFill="1" applyBorder="1" applyAlignment="1">
      <alignment horizontal="left" vertical="center" wrapText="1"/>
      <protection/>
    </xf>
    <xf numFmtId="3" fontId="14" fillId="0" borderId="17" xfId="117" applyNumberFormat="1" applyFont="1" applyFill="1" applyBorder="1" applyAlignment="1">
      <alignment horizontal="left" vertical="center"/>
      <protection/>
    </xf>
    <xf numFmtId="3" fontId="14" fillId="0" borderId="18" xfId="117" applyNumberFormat="1" applyFont="1" applyFill="1" applyBorder="1" applyAlignment="1">
      <alignment horizontal="left" vertical="center"/>
      <protection/>
    </xf>
    <xf numFmtId="3" fontId="14" fillId="0" borderId="17" xfId="0" applyNumberFormat="1" applyFont="1" applyBorder="1" applyAlignment="1">
      <alignment horizontal="left" vertical="center"/>
    </xf>
    <xf numFmtId="3" fontId="14" fillId="0" borderId="18" xfId="0" applyNumberFormat="1" applyFont="1" applyBorder="1" applyAlignment="1">
      <alignment horizontal="left" vertical="center"/>
    </xf>
    <xf numFmtId="3" fontId="14" fillId="0" borderId="18" xfId="0" applyNumberFormat="1" applyFont="1" applyFill="1" applyBorder="1" applyAlignment="1">
      <alignment vertical="center" wrapText="1"/>
    </xf>
    <xf numFmtId="0" fontId="14" fillId="24" borderId="17" xfId="93" applyFont="1" applyFill="1" applyBorder="1" applyAlignment="1">
      <alignment horizontal="left" vertical="center" wrapText="1"/>
      <protection/>
    </xf>
    <xf numFmtId="0" fontId="14" fillId="24" borderId="15" xfId="93" applyFont="1" applyFill="1" applyBorder="1" applyAlignment="1">
      <alignment horizontal="left" vertical="center" wrapText="1"/>
      <protection/>
    </xf>
    <xf numFmtId="3" fontId="14" fillId="0" borderId="17" xfId="0" applyNumberFormat="1" applyFont="1" applyFill="1" applyBorder="1" applyAlignment="1">
      <alignment horizontal="left" vertical="center"/>
    </xf>
    <xf numFmtId="3" fontId="14" fillId="0" borderId="18" xfId="0" applyNumberFormat="1" applyFont="1" applyFill="1" applyBorder="1" applyAlignment="1">
      <alignment horizontal="left" vertical="center"/>
    </xf>
    <xf numFmtId="0" fontId="8" fillId="0" borderId="17" xfId="96" applyFont="1" applyFill="1" applyBorder="1" applyAlignment="1">
      <alignment horizontal="left" vertical="center" wrapText="1"/>
      <protection/>
    </xf>
    <xf numFmtId="0" fontId="8" fillId="0" borderId="15" xfId="96" applyFont="1" applyFill="1" applyBorder="1" applyAlignment="1">
      <alignment horizontal="left" vertical="center" wrapText="1"/>
      <protection/>
    </xf>
    <xf numFmtId="0" fontId="14" fillId="0" borderId="17" xfId="113" applyFont="1" applyFill="1" applyBorder="1" applyAlignment="1">
      <alignment vertical="center"/>
      <protection/>
    </xf>
    <xf numFmtId="0" fontId="14" fillId="0" borderId="15" xfId="113" applyFont="1" applyFill="1" applyBorder="1" applyAlignment="1">
      <alignment vertical="center"/>
      <protection/>
    </xf>
    <xf numFmtId="0" fontId="8" fillId="0" borderId="17" xfId="102" applyFont="1" applyFill="1" applyBorder="1" applyAlignment="1">
      <alignment horizontal="left" vertical="top" wrapText="1"/>
      <protection/>
    </xf>
    <xf numFmtId="0" fontId="8" fillId="0" borderId="18" xfId="102" applyFont="1" applyFill="1" applyBorder="1" applyAlignment="1">
      <alignment horizontal="left" vertical="top" wrapText="1"/>
      <protection/>
    </xf>
    <xf numFmtId="0" fontId="8" fillId="0" borderId="17" xfId="101" applyFont="1" applyFill="1" applyBorder="1" applyAlignment="1">
      <alignment vertical="top" wrapText="1"/>
      <protection/>
    </xf>
    <xf numFmtId="0" fontId="0" fillId="0" borderId="18" xfId="0" applyBorder="1" applyAlignment="1">
      <alignment wrapText="1"/>
    </xf>
    <xf numFmtId="0" fontId="14" fillId="0" borderId="17" xfId="111" applyFont="1" applyFill="1" applyBorder="1" applyAlignment="1">
      <alignment horizontal="left" wrapText="1"/>
      <protection/>
    </xf>
    <xf numFmtId="0" fontId="14" fillId="0" borderId="18" xfId="111" applyFont="1" applyFill="1" applyBorder="1" applyAlignment="1">
      <alignment horizontal="left" wrapText="1"/>
      <protection/>
    </xf>
    <xf numFmtId="3" fontId="14" fillId="0" borderId="17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0" fontId="8" fillId="0" borderId="15" xfId="102" applyFont="1" applyFill="1" applyBorder="1" applyAlignment="1">
      <alignment horizontal="left" vertical="top" wrapText="1"/>
      <protection/>
    </xf>
    <xf numFmtId="3" fontId="14" fillId="0" borderId="17" xfId="0" applyNumberFormat="1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3" fontId="14" fillId="0" borderId="17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Fill="1" applyBorder="1" applyAlignment="1">
      <alignment horizontal="left"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8" fillId="0" borderId="17" xfId="98" applyNumberFormat="1" applyFont="1" applyFill="1" applyBorder="1" applyAlignment="1">
      <alignment vertical="center" wrapText="1"/>
      <protection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5" xfId="0" applyFont="1" applyBorder="1" applyAlignment="1">
      <alignment vertical="center"/>
    </xf>
    <xf numFmtId="3" fontId="18" fillId="4" borderId="10" xfId="117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3" fontId="18" fillId="4" borderId="11" xfId="117" applyNumberFormat="1" applyFont="1" applyFill="1" applyBorder="1" applyAlignment="1">
      <alignment horizontal="center" vertical="center" wrapText="1"/>
      <protection/>
    </xf>
    <xf numFmtId="3" fontId="18" fillId="4" borderId="75" xfId="117" applyNumberFormat="1" applyFont="1" applyFill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" fontId="14" fillId="0" borderId="17" xfId="117" applyNumberFormat="1" applyFont="1" applyFill="1" applyBorder="1" applyAlignment="1">
      <alignment vertical="center"/>
      <protection/>
    </xf>
    <xf numFmtId="3" fontId="14" fillId="0" borderId="18" xfId="117" applyNumberFormat="1" applyFont="1" applyFill="1" applyBorder="1" applyAlignment="1">
      <alignment vertical="center"/>
      <protection/>
    </xf>
    <xf numFmtId="3" fontId="13" fillId="0" borderId="78" xfId="0" applyNumberFormat="1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14" fillId="0" borderId="17" xfId="98" applyFont="1" applyFill="1" applyBorder="1" applyAlignment="1">
      <alignment vertical="center"/>
      <protection/>
    </xf>
    <xf numFmtId="0" fontId="40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3" fillId="4" borderId="17" xfId="93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3" fontId="14" fillId="0" borderId="17" xfId="114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left" vertical="center" wrapText="1"/>
    </xf>
    <xf numFmtId="0" fontId="14" fillId="0" borderId="17" xfId="113" applyFont="1" applyBorder="1" applyAlignment="1">
      <alignment vertical="center"/>
      <protection/>
    </xf>
    <xf numFmtId="0" fontId="14" fillId="0" borderId="15" xfId="113" applyFont="1" applyBorder="1" applyAlignment="1">
      <alignment vertical="center"/>
      <protection/>
    </xf>
    <xf numFmtId="3" fontId="14" fillId="0" borderId="15" xfId="117" applyNumberFormat="1" applyFont="1" applyFill="1" applyBorder="1" applyAlignment="1">
      <alignment horizontal="left" vertical="center" wrapText="1"/>
      <protection/>
    </xf>
    <xf numFmtId="3" fontId="66" fillId="4" borderId="79" xfId="0" applyNumberFormat="1" applyFont="1" applyFill="1" applyBorder="1" applyAlignment="1">
      <alignment horizontal="center" vertical="center" wrapText="1"/>
    </xf>
    <xf numFmtId="0" fontId="39" fillId="4" borderId="53" xfId="0" applyFont="1" applyFill="1" applyBorder="1" applyAlignment="1">
      <alignment horizontal="center" vertical="center"/>
    </xf>
    <xf numFmtId="3" fontId="18" fillId="4" borderId="80" xfId="117" applyNumberFormat="1" applyFont="1" applyFill="1" applyBorder="1" applyAlignment="1">
      <alignment horizontal="center" vertical="center" wrapText="1"/>
      <protection/>
    </xf>
    <xf numFmtId="3" fontId="18" fillId="4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3" fontId="39" fillId="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left" vertical="center"/>
    </xf>
    <xf numFmtId="0" fontId="14" fillId="0" borderId="18" xfId="113" applyFont="1" applyBorder="1" applyAlignment="1">
      <alignment vertical="center"/>
      <protection/>
    </xf>
    <xf numFmtId="3" fontId="16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14" fillId="0" borderId="15" xfId="0" applyNumberFormat="1" applyFont="1" applyFill="1" applyBorder="1" applyAlignment="1">
      <alignment vertical="center" wrapText="1"/>
    </xf>
    <xf numFmtId="3" fontId="8" fillId="0" borderId="17" xfId="113" applyNumberFormat="1" applyFont="1" applyFill="1" applyBorder="1" applyAlignment="1">
      <alignment horizontal="left" vertical="center" wrapText="1"/>
      <protection/>
    </xf>
    <xf numFmtId="3" fontId="8" fillId="0" borderId="18" xfId="113" applyNumberFormat="1" applyFont="1" applyFill="1" applyBorder="1" applyAlignment="1">
      <alignment horizontal="left" vertical="center" wrapText="1"/>
      <protection/>
    </xf>
    <xf numFmtId="3" fontId="14" fillId="0" borderId="15" xfId="0" applyNumberFormat="1" applyFont="1" applyBorder="1" applyAlignment="1">
      <alignment vertical="center" wrapText="1"/>
    </xf>
    <xf numFmtId="0" fontId="73" fillId="0" borderId="0" xfId="110" applyFont="1" applyAlignment="1">
      <alignment horizontal="center"/>
      <protection/>
    </xf>
  </cellXfs>
  <cellStyles count="11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Másolat eredetije2014. műk-beru-felúj." xfId="102"/>
    <cellStyle name="Normál_  3   _2010.évi állami" xfId="103"/>
    <cellStyle name="Normál_2012. évi beszámoló 5.a 6a" xfId="104"/>
    <cellStyle name="Normál_2012_költségvetés_MCS_111215_Másolat eredetije2014. műk-beru-felúj." xfId="105"/>
    <cellStyle name="Normál_213_évi_költségvetés_MCS" xfId="106"/>
    <cellStyle name="Normál_7_Másolat eredetije2014. műk-beru-felúj." xfId="107"/>
    <cellStyle name="Normál_8_Másolat eredetije2014. műk-beru-felúj." xfId="108"/>
    <cellStyle name="Normál_INTKIA96" xfId="109"/>
    <cellStyle name="Normál_Létszám 2014. évi ktgvetés" xfId="110"/>
    <cellStyle name="Normál_Másolat eredetije2014. műk-beru-felúj." xfId="111"/>
    <cellStyle name="Normál_Munka1" xfId="112"/>
    <cellStyle name="Normál_Munka2 (2)" xfId="113"/>
    <cellStyle name="Normál_Munka2 (2)_2012. évi beszámoló 5.a 6a" xfId="114"/>
    <cellStyle name="Normál_Munka3 (2)" xfId="115"/>
    <cellStyle name="Normál_Munka3 (2)_Másolat eredetije2014. műk-beru-felúj." xfId="116"/>
    <cellStyle name="Normál_ÖKIADELÖ" xfId="117"/>
    <cellStyle name="Normál_ÖKIADELÖ_Másolat eredetije2014. műk-beru-felúj." xfId="118"/>
    <cellStyle name="Normal_tanusitv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Title" xfId="129"/>
    <cellStyle name="Total" xfId="130"/>
    <cellStyle name="Warning Tex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H6" sqref="H6"/>
    </sheetView>
  </sheetViews>
  <sheetFormatPr defaultColWidth="9.00390625" defaultRowHeight="12.75"/>
  <cols>
    <col min="1" max="1" width="39.625" style="97" customWidth="1"/>
    <col min="2" max="3" width="13.625" style="97" customWidth="1"/>
    <col min="4" max="4" width="12.625" style="16" customWidth="1"/>
    <col min="5" max="5" width="2.125" style="96" customWidth="1"/>
    <col min="6" max="6" width="40.125" style="97" customWidth="1"/>
    <col min="7" max="7" width="11.00390625" style="97" customWidth="1"/>
    <col min="8" max="8" width="13.875" style="97" customWidth="1"/>
    <col min="9" max="9" width="12.50390625" style="16" customWidth="1"/>
    <col min="10" max="16384" width="9.375" style="47" customWidth="1"/>
  </cols>
  <sheetData>
    <row r="1" spans="1:9" s="85" customFormat="1" ht="39.75" customHeight="1" thickBot="1">
      <c r="A1" s="81" t="s">
        <v>192</v>
      </c>
      <c r="B1" s="82" t="s">
        <v>610</v>
      </c>
      <c r="C1" s="82" t="s">
        <v>986</v>
      </c>
      <c r="D1" s="83" t="s">
        <v>960</v>
      </c>
      <c r="E1" s="84"/>
      <c r="F1" s="81" t="s">
        <v>192</v>
      </c>
      <c r="G1" s="82" t="s">
        <v>610</v>
      </c>
      <c r="H1" s="82" t="s">
        <v>986</v>
      </c>
      <c r="I1" s="83" t="s">
        <v>960</v>
      </c>
    </row>
    <row r="2" spans="1:9" s="88" customFormat="1" ht="12.75" customHeight="1">
      <c r="A2" s="86" t="s">
        <v>1273</v>
      </c>
      <c r="B2" s="115"/>
      <c r="C2" s="115"/>
      <c r="D2" s="43"/>
      <c r="E2" s="87"/>
      <c r="F2" s="86" t="s">
        <v>1274</v>
      </c>
      <c r="G2" s="86"/>
      <c r="H2" s="86"/>
      <c r="I2" s="42"/>
    </row>
    <row r="3" spans="1:9" ht="24.75" customHeight="1">
      <c r="A3" s="89" t="s">
        <v>941</v>
      </c>
      <c r="B3" s="41">
        <v>2820917</v>
      </c>
      <c r="C3" s="89">
        <v>738857</v>
      </c>
      <c r="D3" s="41">
        <f aca="true" t="shared" si="0" ref="D3:D10">SUM(B3:C3)</f>
        <v>3559774</v>
      </c>
      <c r="E3" s="90"/>
      <c r="F3" s="89" t="s">
        <v>95</v>
      </c>
      <c r="G3" s="41">
        <v>6188882</v>
      </c>
      <c r="H3" s="89">
        <v>403584</v>
      </c>
      <c r="I3" s="41">
        <f>SUM(G3:H3)</f>
        <v>6592466</v>
      </c>
    </row>
    <row r="4" spans="1:9" ht="15" customHeight="1">
      <c r="A4" s="89" t="s">
        <v>944</v>
      </c>
      <c r="B4" s="31">
        <v>3474772</v>
      </c>
      <c r="C4" s="89">
        <v>-21414</v>
      </c>
      <c r="D4" s="41">
        <f t="shared" si="0"/>
        <v>3453358</v>
      </c>
      <c r="E4" s="90"/>
      <c r="F4" s="92" t="s">
        <v>96</v>
      </c>
      <c r="G4" s="41">
        <v>2145619</v>
      </c>
      <c r="H4" s="89">
        <v>722932</v>
      </c>
      <c r="I4" s="41">
        <f>SUM(G4:H4)</f>
        <v>2868551</v>
      </c>
    </row>
    <row r="5" spans="1:9" ht="24.75" customHeight="1">
      <c r="A5" s="89" t="s">
        <v>945</v>
      </c>
      <c r="B5" s="31">
        <v>2047660</v>
      </c>
      <c r="C5" s="89">
        <v>401373</v>
      </c>
      <c r="D5" s="41">
        <f t="shared" si="0"/>
        <v>2449033</v>
      </c>
      <c r="E5" s="90"/>
      <c r="F5" s="89" t="s">
        <v>979</v>
      </c>
      <c r="G5" s="31">
        <v>1219153</v>
      </c>
      <c r="H5" s="89">
        <v>420980</v>
      </c>
      <c r="I5" s="41">
        <f>SUM(G5:H5)</f>
        <v>1640133</v>
      </c>
    </row>
    <row r="6" spans="1:9" ht="24" customHeight="1">
      <c r="A6" s="89" t="s">
        <v>946</v>
      </c>
      <c r="B6" s="41">
        <v>59600</v>
      </c>
      <c r="C6" s="89">
        <v>17865</v>
      </c>
      <c r="D6" s="41">
        <f t="shared" si="0"/>
        <v>77465</v>
      </c>
      <c r="E6" s="90"/>
      <c r="F6" s="89" t="s">
        <v>1275</v>
      </c>
      <c r="G6" s="41">
        <v>324818</v>
      </c>
      <c r="H6" s="89">
        <v>-200161</v>
      </c>
      <c r="I6" s="41">
        <f>SUM(G6:H6)</f>
        <v>124657</v>
      </c>
    </row>
    <row r="7" spans="1:9" ht="13.5" customHeight="1">
      <c r="A7" s="91" t="s">
        <v>1279</v>
      </c>
      <c r="B7" s="91">
        <f>SUM(B3+B4+B5+B6)</f>
        <v>8402949</v>
      </c>
      <c r="C7" s="91">
        <f>SUM(C3+C4+C5+C6)</f>
        <v>1136681</v>
      </c>
      <c r="D7" s="41">
        <f t="shared" si="0"/>
        <v>9539630</v>
      </c>
      <c r="E7" s="90"/>
      <c r="F7" s="89" t="s">
        <v>1276</v>
      </c>
      <c r="G7" s="41">
        <v>5000</v>
      </c>
      <c r="H7" s="89">
        <v>-3550</v>
      </c>
      <c r="I7" s="41">
        <f>SUM(G7:H7)</f>
        <v>1450</v>
      </c>
    </row>
    <row r="8" spans="1:9" ht="13.5" customHeight="1">
      <c r="A8" s="92" t="s">
        <v>947</v>
      </c>
      <c r="B8" s="91"/>
      <c r="C8" s="91"/>
      <c r="D8" s="41">
        <f t="shared" si="0"/>
        <v>0</v>
      </c>
      <c r="E8" s="90"/>
      <c r="F8" s="91" t="s">
        <v>1278</v>
      </c>
      <c r="G8" s="86">
        <f>SUM(G2:G7)</f>
        <v>9883472</v>
      </c>
      <c r="H8" s="86">
        <f>SUM(H2:H7)</f>
        <v>1343785</v>
      </c>
      <c r="I8" s="86">
        <f>SUM(I2:I7)</f>
        <v>11227257</v>
      </c>
    </row>
    <row r="9" spans="1:9" ht="24.75" customHeight="1">
      <c r="A9" s="92" t="s">
        <v>949</v>
      </c>
      <c r="B9" s="118">
        <v>1480523</v>
      </c>
      <c r="C9" s="92">
        <v>451918</v>
      </c>
      <c r="D9" s="41">
        <f t="shared" si="0"/>
        <v>1932441</v>
      </c>
      <c r="E9" s="90"/>
      <c r="F9" s="92" t="s">
        <v>958</v>
      </c>
      <c r="G9" s="41"/>
      <c r="H9" s="89"/>
      <c r="I9" s="41"/>
    </row>
    <row r="10" spans="1:9" s="88" customFormat="1" ht="24.75" customHeight="1">
      <c r="A10" s="92" t="s">
        <v>950</v>
      </c>
      <c r="B10" s="45"/>
      <c r="C10" s="92">
        <v>99</v>
      </c>
      <c r="D10" s="41">
        <f t="shared" si="0"/>
        <v>99</v>
      </c>
      <c r="E10" s="90"/>
      <c r="F10" s="92" t="s">
        <v>393</v>
      </c>
      <c r="G10" s="41"/>
      <c r="H10" s="92">
        <v>233681</v>
      </c>
      <c r="I10" s="89">
        <f>SUM(G10:H10)</f>
        <v>233681</v>
      </c>
    </row>
    <row r="11" spans="1:9" s="88" customFormat="1" ht="12" customHeight="1">
      <c r="A11" s="94" t="s">
        <v>1283</v>
      </c>
      <c r="B11" s="95">
        <f>SUM(B7:B10)</f>
        <v>9883472</v>
      </c>
      <c r="C11" s="95">
        <f>SUM(C7:C10)</f>
        <v>1588698</v>
      </c>
      <c r="D11" s="95">
        <f>SUM(D7:D10)</f>
        <v>11472170</v>
      </c>
      <c r="E11" s="90"/>
      <c r="F11" s="93" t="s">
        <v>1280</v>
      </c>
      <c r="G11" s="93">
        <f>SUM(G8:G10)</f>
        <v>9883472</v>
      </c>
      <c r="H11" s="93">
        <f>SUM(H8:H10)</f>
        <v>1577466</v>
      </c>
      <c r="I11" s="93">
        <f>SUM(I8:I10)</f>
        <v>11460938</v>
      </c>
    </row>
    <row r="12" spans="1:9" ht="13.5" customHeight="1">
      <c r="A12" s="86" t="s">
        <v>1285</v>
      </c>
      <c r="B12" s="86"/>
      <c r="C12" s="86"/>
      <c r="D12" s="41"/>
      <c r="E12" s="90"/>
      <c r="F12" s="86" t="s">
        <v>1281</v>
      </c>
      <c r="G12" s="86"/>
      <c r="H12" s="86"/>
      <c r="I12" s="91"/>
    </row>
    <row r="13" spans="1:9" ht="24" customHeight="1">
      <c r="A13" s="89" t="s">
        <v>951</v>
      </c>
      <c r="B13" s="41">
        <v>4607238</v>
      </c>
      <c r="C13" s="89">
        <v>1762817</v>
      </c>
      <c r="D13" s="41">
        <f aca="true" t="shared" si="1" ref="D13:D21">SUM(B13:C13)</f>
        <v>6370055</v>
      </c>
      <c r="E13" s="90"/>
      <c r="F13" s="89" t="s">
        <v>952</v>
      </c>
      <c r="G13" s="89">
        <v>516142</v>
      </c>
      <c r="H13" s="89">
        <v>504881</v>
      </c>
      <c r="I13" s="89">
        <f aca="true" t="shared" si="2" ref="I13:I25">SUM(G13:H13)</f>
        <v>1021023</v>
      </c>
    </row>
    <row r="14" spans="1:9" ht="19.5" customHeight="1">
      <c r="A14" s="89" t="s">
        <v>944</v>
      </c>
      <c r="B14" s="41">
        <v>783728</v>
      </c>
      <c r="C14" s="89">
        <v>-574592</v>
      </c>
      <c r="D14" s="41">
        <f t="shared" si="1"/>
        <v>209136</v>
      </c>
      <c r="E14" s="90"/>
      <c r="F14" s="89" t="s">
        <v>1282</v>
      </c>
      <c r="G14" s="41">
        <v>43543</v>
      </c>
      <c r="H14" s="89">
        <v>260119</v>
      </c>
      <c r="I14" s="89">
        <f t="shared" si="2"/>
        <v>303662</v>
      </c>
    </row>
    <row r="15" spans="1:9" ht="15" customHeight="1">
      <c r="A15" s="89" t="s">
        <v>953</v>
      </c>
      <c r="B15" s="45">
        <v>251100</v>
      </c>
      <c r="C15" s="89">
        <v>112351</v>
      </c>
      <c r="D15" s="41">
        <f t="shared" si="1"/>
        <v>363451</v>
      </c>
      <c r="E15" s="90"/>
      <c r="F15" s="89" t="s">
        <v>1284</v>
      </c>
      <c r="G15" s="45">
        <v>472599</v>
      </c>
      <c r="H15" s="89">
        <v>244762</v>
      </c>
      <c r="I15" s="89">
        <f t="shared" si="2"/>
        <v>717361</v>
      </c>
    </row>
    <row r="16" spans="1:9" ht="24.75" customHeight="1">
      <c r="A16" s="89" t="s">
        <v>954</v>
      </c>
      <c r="B16" s="45">
        <v>220000</v>
      </c>
      <c r="C16" s="89">
        <v>27577</v>
      </c>
      <c r="D16" s="41">
        <f t="shared" si="1"/>
        <v>247577</v>
      </c>
      <c r="E16" s="90"/>
      <c r="F16" s="89" t="s">
        <v>97</v>
      </c>
      <c r="G16" s="41"/>
      <c r="H16" s="89"/>
      <c r="I16" s="89">
        <f t="shared" si="2"/>
        <v>0</v>
      </c>
    </row>
    <row r="17" spans="1:9" ht="15" customHeight="1">
      <c r="A17" s="89" t="s">
        <v>955</v>
      </c>
      <c r="B17" s="45">
        <v>68305</v>
      </c>
      <c r="C17" s="89">
        <v>328900</v>
      </c>
      <c r="D17" s="41">
        <f t="shared" si="1"/>
        <v>397205</v>
      </c>
      <c r="E17" s="87"/>
      <c r="F17" s="89" t="s">
        <v>1286</v>
      </c>
      <c r="G17" s="41">
        <v>6800899</v>
      </c>
      <c r="H17" s="89">
        <v>-218556</v>
      </c>
      <c r="I17" s="89">
        <f t="shared" si="2"/>
        <v>6582343</v>
      </c>
    </row>
    <row r="18" spans="1:9" ht="12.75" customHeight="1">
      <c r="A18" s="91" t="s">
        <v>0</v>
      </c>
      <c r="B18" s="86">
        <f>SUM(B12:B17)</f>
        <v>5930371</v>
      </c>
      <c r="C18" s="86">
        <f>SUM(C12:C17)</f>
        <v>1657053</v>
      </c>
      <c r="D18" s="41">
        <f t="shared" si="1"/>
        <v>7587424</v>
      </c>
      <c r="E18" s="87"/>
      <c r="F18" s="89" t="s">
        <v>98</v>
      </c>
      <c r="G18" s="41">
        <v>37447</v>
      </c>
      <c r="H18" s="89">
        <v>152100</v>
      </c>
      <c r="I18" s="89">
        <f t="shared" si="2"/>
        <v>189547</v>
      </c>
    </row>
    <row r="19" spans="1:9" ht="24" customHeight="1">
      <c r="A19" s="92" t="s">
        <v>947</v>
      </c>
      <c r="B19" s="86"/>
      <c r="C19" s="86"/>
      <c r="D19" s="41">
        <f t="shared" si="1"/>
        <v>0</v>
      </c>
      <c r="E19" s="90"/>
      <c r="F19" s="89" t="s">
        <v>1287</v>
      </c>
      <c r="G19" s="41">
        <v>691881</v>
      </c>
      <c r="H19" s="89">
        <v>657546</v>
      </c>
      <c r="I19" s="89">
        <f t="shared" si="2"/>
        <v>1349427</v>
      </c>
    </row>
    <row r="20" spans="1:9" ht="12.75" customHeight="1">
      <c r="A20" s="92" t="s">
        <v>207</v>
      </c>
      <c r="B20" s="89">
        <v>658892</v>
      </c>
      <c r="C20" s="89">
        <v>-185000</v>
      </c>
      <c r="D20" s="41">
        <f t="shared" si="1"/>
        <v>473892</v>
      </c>
      <c r="E20" s="90"/>
      <c r="F20" s="89" t="s">
        <v>98</v>
      </c>
      <c r="G20" s="41">
        <v>39879</v>
      </c>
      <c r="H20" s="89">
        <v>85929</v>
      </c>
      <c r="I20" s="89">
        <f t="shared" si="2"/>
        <v>125808</v>
      </c>
    </row>
    <row r="21" spans="1:9" ht="24.75" customHeight="1">
      <c r="A21" s="92" t="s">
        <v>956</v>
      </c>
      <c r="B21" s="118">
        <v>1486283</v>
      </c>
      <c r="C21" s="92">
        <v>611792</v>
      </c>
      <c r="D21" s="41">
        <f t="shared" si="1"/>
        <v>2098075</v>
      </c>
      <c r="E21" s="90"/>
      <c r="F21" s="89" t="s">
        <v>1288</v>
      </c>
      <c r="G21" s="41">
        <v>10000</v>
      </c>
      <c r="H21" s="89">
        <v>-2249</v>
      </c>
      <c r="I21" s="89">
        <f t="shared" si="2"/>
        <v>7751</v>
      </c>
    </row>
    <row r="22" spans="1:9" ht="12.75" customHeight="1">
      <c r="A22" s="92"/>
      <c r="B22" s="89"/>
      <c r="C22" s="89"/>
      <c r="D22" s="89"/>
      <c r="E22" s="90"/>
      <c r="F22" s="89" t="s">
        <v>957</v>
      </c>
      <c r="G22" s="41">
        <v>21956</v>
      </c>
      <c r="H22" s="89">
        <v>18159</v>
      </c>
      <c r="I22" s="89">
        <f t="shared" si="2"/>
        <v>40115</v>
      </c>
    </row>
    <row r="23" spans="1:9" ht="24.75" customHeight="1">
      <c r="A23" s="92"/>
      <c r="B23" s="89"/>
      <c r="C23" s="89"/>
      <c r="D23" s="118"/>
      <c r="E23" s="90"/>
      <c r="F23" s="91" t="s">
        <v>1</v>
      </c>
      <c r="G23" s="86">
        <f>SUM(G13+G17+G19+G21+G22)</f>
        <v>8040878</v>
      </c>
      <c r="H23" s="86">
        <f>SUM(H13+H17+H19+H21+H22)</f>
        <v>959781</v>
      </c>
      <c r="I23" s="89">
        <f t="shared" si="2"/>
        <v>9000659</v>
      </c>
    </row>
    <row r="24" spans="1:9" ht="12.75" customHeight="1">
      <c r="A24" s="89"/>
      <c r="B24" s="89"/>
      <c r="C24" s="89"/>
      <c r="D24" s="118"/>
      <c r="E24" s="90"/>
      <c r="F24" s="92" t="s">
        <v>958</v>
      </c>
      <c r="G24" s="86"/>
      <c r="H24" s="86"/>
      <c r="I24" s="89">
        <f t="shared" si="2"/>
        <v>0</v>
      </c>
    </row>
    <row r="25" spans="1:9" ht="12.75" customHeight="1">
      <c r="A25" s="92"/>
      <c r="B25" s="89"/>
      <c r="C25" s="89"/>
      <c r="D25" s="89"/>
      <c r="E25" s="90"/>
      <c r="F25" s="92" t="s">
        <v>959</v>
      </c>
      <c r="G25" s="31">
        <v>34668</v>
      </c>
      <c r="H25" s="92">
        <v>1135296</v>
      </c>
      <c r="I25" s="89">
        <f t="shared" si="2"/>
        <v>1169964</v>
      </c>
    </row>
    <row r="26" spans="1:9" s="85" customFormat="1" ht="22.5" customHeight="1" thickBot="1">
      <c r="A26" s="524" t="s">
        <v>3</v>
      </c>
      <c r="B26" s="525">
        <f>SUM(B18:B25)</f>
        <v>8075546</v>
      </c>
      <c r="C26" s="525">
        <f>SUM(C18:C25)</f>
        <v>2083845</v>
      </c>
      <c r="D26" s="525">
        <f>SUM(D18:D25)</f>
        <v>10159391</v>
      </c>
      <c r="E26" s="87"/>
      <c r="F26" s="526" t="s">
        <v>4</v>
      </c>
      <c r="G26" s="525">
        <f>SUM(G23:G25)</f>
        <v>8075546</v>
      </c>
      <c r="H26" s="525">
        <f>SUM(H23:H25)</f>
        <v>2095077</v>
      </c>
      <c r="I26" s="525">
        <f>SUM(I23:I25)</f>
        <v>10170623</v>
      </c>
    </row>
    <row r="27" spans="1:9" s="85" customFormat="1" ht="19.5" customHeight="1" thickBot="1">
      <c r="A27" s="527" t="s">
        <v>99</v>
      </c>
      <c r="B27" s="528">
        <f>SUM(B11+B26)</f>
        <v>17959018</v>
      </c>
      <c r="C27" s="528">
        <f>SUM(C11+C26)</f>
        <v>3672543</v>
      </c>
      <c r="D27" s="528">
        <f>SUM(D11+D26)</f>
        <v>21631561</v>
      </c>
      <c r="E27" s="90"/>
      <c r="F27" s="527" t="s">
        <v>99</v>
      </c>
      <c r="G27" s="529">
        <f>SUM(G11+G26)</f>
        <v>17959018</v>
      </c>
      <c r="H27" s="529">
        <f>SUM(H11+H26)</f>
        <v>3672543</v>
      </c>
      <c r="I27" s="529">
        <f>SUM(I11+I26)</f>
        <v>21631561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00390625" style="56" customWidth="1"/>
    <col min="2" max="2" width="37.00390625" style="53" customWidth="1"/>
    <col min="3" max="3" width="12.00390625" style="53" customWidth="1"/>
    <col min="4" max="4" width="12.50390625" style="53" customWidth="1"/>
    <col min="5" max="5" width="12.625" style="53" customWidth="1"/>
    <col min="6" max="6" width="13.125" style="53" customWidth="1"/>
    <col min="7" max="7" width="11.875" style="53" customWidth="1"/>
    <col min="8" max="8" width="9.625" style="53" customWidth="1"/>
    <col min="9" max="9" width="11.50390625" style="53" customWidth="1"/>
    <col min="10" max="10" width="13.125" style="53" customWidth="1"/>
    <col min="11" max="12" width="12.50390625" style="53" customWidth="1"/>
    <col min="13" max="13" width="11.125" style="53" customWidth="1"/>
    <col min="14" max="14" width="12.875" style="53" customWidth="1"/>
    <col min="15" max="16384" width="9.375" style="53" customWidth="1"/>
  </cols>
  <sheetData>
    <row r="1" spans="1:14" ht="14.25" customHeight="1">
      <c r="A1" s="798" t="s">
        <v>240</v>
      </c>
      <c r="B1" s="798" t="s">
        <v>1253</v>
      </c>
      <c r="C1" s="802" t="s">
        <v>246</v>
      </c>
      <c r="D1" s="802" t="s">
        <v>986</v>
      </c>
      <c r="E1" s="798" t="s">
        <v>241</v>
      </c>
      <c r="F1" s="804"/>
      <c r="G1" s="804"/>
      <c r="H1" s="804"/>
      <c r="I1" s="804"/>
      <c r="J1" s="804"/>
      <c r="K1" s="804"/>
      <c r="L1" s="804"/>
      <c r="M1" s="805" t="s">
        <v>245</v>
      </c>
      <c r="N1" s="805" t="s">
        <v>107</v>
      </c>
    </row>
    <row r="2" spans="1:14" ht="82.5" customHeight="1">
      <c r="A2" s="799"/>
      <c r="B2" s="799"/>
      <c r="C2" s="803"/>
      <c r="D2" s="803"/>
      <c r="E2" s="211" t="s">
        <v>987</v>
      </c>
      <c r="F2" s="211" t="s">
        <v>242</v>
      </c>
      <c r="G2" s="211" t="s">
        <v>1235</v>
      </c>
      <c r="H2" s="211" t="s">
        <v>243</v>
      </c>
      <c r="I2" s="211" t="s">
        <v>990</v>
      </c>
      <c r="J2" s="211" t="s">
        <v>999</v>
      </c>
      <c r="K2" s="211" t="s">
        <v>1000</v>
      </c>
      <c r="L2" s="211" t="s">
        <v>244</v>
      </c>
      <c r="M2" s="806"/>
      <c r="N2" s="806"/>
    </row>
    <row r="3" spans="1:14" ht="15" customHeight="1">
      <c r="A3" s="210">
        <v>2</v>
      </c>
      <c r="B3" s="151" t="s">
        <v>196</v>
      </c>
      <c r="C3" s="152">
        <v>1237075</v>
      </c>
      <c r="D3" s="152">
        <f>76650+'táj.2.'!L3</f>
        <v>80429</v>
      </c>
      <c r="E3" s="212">
        <f>790130+'táj.2.'!C3</f>
        <v>842576</v>
      </c>
      <c r="F3" s="212">
        <f>215479+'táj.2.'!D3</f>
        <v>240568</v>
      </c>
      <c r="G3" s="212">
        <f>252695+'táj.2.'!E3</f>
        <v>175183</v>
      </c>
      <c r="H3" s="585">
        <f>0+'táj.2.'!F3</f>
        <v>0</v>
      </c>
      <c r="I3" s="585">
        <f>279+'táj.2.'!G3</f>
        <v>446</v>
      </c>
      <c r="J3" s="585">
        <f>35513+'táj.2.'!H3</f>
        <v>39102</v>
      </c>
      <c r="K3" s="585">
        <f>19629+'táj.2.'!I3</f>
        <v>19629</v>
      </c>
      <c r="L3" s="585">
        <f>0+'táj.2.'!J3</f>
        <v>0</v>
      </c>
      <c r="M3" s="585">
        <f>0+'táj.2.'!K3</f>
        <v>0</v>
      </c>
      <c r="N3" s="585">
        <f aca="true" t="shared" si="0" ref="N3:N19">SUM(E3:M3)</f>
        <v>1317504</v>
      </c>
    </row>
    <row r="4" spans="1:14" s="54" customFormat="1" ht="22.5" customHeight="1">
      <c r="A4" s="210">
        <v>3</v>
      </c>
      <c r="B4" s="151" t="s">
        <v>230</v>
      </c>
      <c r="C4" s="152">
        <v>1361767</v>
      </c>
      <c r="D4" s="152">
        <f>46563+'táj.2.'!L4</f>
        <v>49624</v>
      </c>
      <c r="E4" s="212">
        <f>310217+'táj.2.'!C4</f>
        <v>314492</v>
      </c>
      <c r="F4" s="212">
        <f>77348+'táj.2.'!D4</f>
        <v>72034</v>
      </c>
      <c r="G4" s="212">
        <f>998399+'táj.2.'!E4</f>
        <v>956099</v>
      </c>
      <c r="H4" s="585">
        <f>0+'táj.2.'!F4</f>
        <v>0</v>
      </c>
      <c r="I4" s="585">
        <f>5966+'táj.2.'!G4</f>
        <v>5966</v>
      </c>
      <c r="J4" s="585">
        <f>5000+'táj.2.'!H4</f>
        <v>10000</v>
      </c>
      <c r="K4" s="585">
        <f>11400+'táj.2.'!I4</f>
        <v>52800</v>
      </c>
      <c r="L4" s="585">
        <f>0+'táj.2.'!J4</f>
        <v>0</v>
      </c>
      <c r="M4" s="585">
        <f>0+'táj.2.'!K4</f>
        <v>0</v>
      </c>
      <c r="N4" s="585">
        <f t="shared" si="0"/>
        <v>1411391</v>
      </c>
    </row>
    <row r="5" spans="1:14" s="54" customFormat="1" ht="19.5" customHeight="1">
      <c r="A5" s="210">
        <v>4</v>
      </c>
      <c r="B5" s="151" t="s">
        <v>231</v>
      </c>
      <c r="C5" s="152">
        <v>362804</v>
      </c>
      <c r="D5" s="152">
        <f>43155+'táj.2.'!L5</f>
        <v>50305</v>
      </c>
      <c r="E5" s="212">
        <f>221610+'táj.2.'!C5</f>
        <v>225724</v>
      </c>
      <c r="F5" s="212">
        <f>56340+'táj.2.'!D5</f>
        <v>62900</v>
      </c>
      <c r="G5" s="212">
        <f>110945+'táj.2.'!E5</f>
        <v>107121</v>
      </c>
      <c r="H5" s="585">
        <f>0+'táj.2.'!F5</f>
        <v>0</v>
      </c>
      <c r="I5" s="585">
        <f>382+'táj.2.'!G5</f>
        <v>382</v>
      </c>
      <c r="J5" s="585">
        <f>9024+'táj.2.'!H5</f>
        <v>5674</v>
      </c>
      <c r="K5" s="585">
        <f>7658+'táj.2.'!I5</f>
        <v>11308</v>
      </c>
      <c r="L5" s="585">
        <f>0+'táj.2.'!J5</f>
        <v>0</v>
      </c>
      <c r="M5" s="585">
        <f>0+'táj.2.'!K5</f>
        <v>0</v>
      </c>
      <c r="N5" s="585">
        <f t="shared" si="0"/>
        <v>413109</v>
      </c>
    </row>
    <row r="6" spans="1:14" s="54" customFormat="1" ht="15" customHeight="1">
      <c r="A6" s="210">
        <v>5</v>
      </c>
      <c r="B6" s="117" t="s">
        <v>232</v>
      </c>
      <c r="C6" s="128">
        <v>316218</v>
      </c>
      <c r="D6" s="152">
        <f>97326+'táj.2.'!L6</f>
        <v>99013</v>
      </c>
      <c r="E6" s="212">
        <f>154883+'táj.2.'!C6</f>
        <v>156524</v>
      </c>
      <c r="F6" s="212">
        <f>45468+'táj.2.'!D6</f>
        <v>45514</v>
      </c>
      <c r="G6" s="212">
        <f>204259+'táj.2.'!E6</f>
        <v>204259</v>
      </c>
      <c r="H6" s="585">
        <f>0+'táj.2.'!F6</f>
        <v>0</v>
      </c>
      <c r="I6" s="585">
        <f>0+'táj.2.'!G6</f>
        <v>0</v>
      </c>
      <c r="J6" s="585">
        <f>6434+'táj.2.'!H6</f>
        <v>6434</v>
      </c>
      <c r="K6" s="585">
        <f>2500+'táj.2.'!I6</f>
        <v>2500</v>
      </c>
      <c r="L6" s="585">
        <f>0+'táj.2.'!J6</f>
        <v>0</v>
      </c>
      <c r="M6" s="585">
        <f>0+'táj.2.'!K6</f>
        <v>0</v>
      </c>
      <c r="N6" s="585">
        <f t="shared" si="0"/>
        <v>415231</v>
      </c>
    </row>
    <row r="7" spans="1:14" s="54" customFormat="1" ht="15.75" customHeight="1">
      <c r="A7" s="210">
        <v>6</v>
      </c>
      <c r="B7" s="117" t="s">
        <v>233</v>
      </c>
      <c r="C7" s="128">
        <v>310239</v>
      </c>
      <c r="D7" s="152">
        <f>3852+'táj.2.'!L7</f>
        <v>12203</v>
      </c>
      <c r="E7" s="212">
        <f>180667+'táj.2.'!C7</f>
        <v>183024</v>
      </c>
      <c r="F7" s="212">
        <f>50966+'táj.2.'!D7</f>
        <v>51586</v>
      </c>
      <c r="G7" s="212">
        <f>82108+'táj.2.'!E7</f>
        <v>86882</v>
      </c>
      <c r="H7" s="585">
        <f>0+'táj.2.'!F7</f>
        <v>0</v>
      </c>
      <c r="I7" s="585">
        <f>50+'táj.2.'!G7</f>
        <v>50</v>
      </c>
      <c r="J7" s="585">
        <f>300+'táj.2.'!H7</f>
        <v>900</v>
      </c>
      <c r="K7" s="585">
        <f>0+'táj.2.'!I7</f>
        <v>0</v>
      </c>
      <c r="L7" s="585">
        <f>0+'táj.2.'!J7</f>
        <v>0</v>
      </c>
      <c r="M7" s="585">
        <f>0+'táj.2.'!K7</f>
        <v>0</v>
      </c>
      <c r="N7" s="585">
        <f t="shared" si="0"/>
        <v>322442</v>
      </c>
    </row>
    <row r="8" spans="1:14" s="54" customFormat="1" ht="17.25" customHeight="1">
      <c r="A8" s="210">
        <v>7</v>
      </c>
      <c r="B8" s="117" t="s">
        <v>234</v>
      </c>
      <c r="C8" s="128">
        <v>288134</v>
      </c>
      <c r="D8" s="152">
        <f>5681+'táj.2.'!L8</f>
        <v>-2006</v>
      </c>
      <c r="E8" s="212">
        <f>170330+'táj.2.'!C8</f>
        <v>168409</v>
      </c>
      <c r="F8" s="212">
        <f>47246+'táj.2.'!D8</f>
        <v>45065</v>
      </c>
      <c r="G8" s="212">
        <f>75889+'táj.2.'!E8</f>
        <v>72204</v>
      </c>
      <c r="H8" s="585">
        <f>0+'táj.2.'!F8</f>
        <v>0</v>
      </c>
      <c r="I8" s="585">
        <f>50+'táj.2.'!G8</f>
        <v>50</v>
      </c>
      <c r="J8" s="585">
        <f>300+'táj.2.'!H8</f>
        <v>400</v>
      </c>
      <c r="K8" s="585">
        <f>0+'táj.2.'!I8</f>
        <v>0</v>
      </c>
      <c r="L8" s="585">
        <f>0+'táj.2.'!J8</f>
        <v>0</v>
      </c>
      <c r="M8" s="585">
        <f>0+'táj.2.'!K8</f>
        <v>0</v>
      </c>
      <c r="N8" s="585">
        <f t="shared" si="0"/>
        <v>286128</v>
      </c>
    </row>
    <row r="9" spans="1:14" s="54" customFormat="1" ht="15" customHeight="1">
      <c r="A9" s="210">
        <v>8</v>
      </c>
      <c r="B9" s="117" t="s">
        <v>235</v>
      </c>
      <c r="C9" s="128">
        <v>283986</v>
      </c>
      <c r="D9" s="152">
        <f>3291+'táj.2.'!L9</f>
        <v>10396</v>
      </c>
      <c r="E9" s="212">
        <f>169686+'táj.2.'!C9</f>
        <v>173901</v>
      </c>
      <c r="F9" s="212">
        <f>47767+'táj.2.'!D9</f>
        <v>49643</v>
      </c>
      <c r="G9" s="212">
        <f>69574+'táj.2.'!E9</f>
        <v>70588</v>
      </c>
      <c r="H9" s="585">
        <f>0+'táj.2.'!F9</f>
        <v>0</v>
      </c>
      <c r="I9" s="585">
        <f>50+'táj.2.'!G9</f>
        <v>50</v>
      </c>
      <c r="J9" s="585">
        <f>200+'táj.2.'!H9</f>
        <v>200</v>
      </c>
      <c r="K9" s="585">
        <f>0+'táj.2.'!I9</f>
        <v>0</v>
      </c>
      <c r="L9" s="585">
        <f>0+'táj.2.'!J9</f>
        <v>0</v>
      </c>
      <c r="M9" s="585">
        <f>0+'táj.2.'!K9</f>
        <v>0</v>
      </c>
      <c r="N9" s="585">
        <f t="shared" si="0"/>
        <v>294382</v>
      </c>
    </row>
    <row r="10" spans="1:14" s="54" customFormat="1" ht="19.5" customHeight="1">
      <c r="A10" s="210">
        <v>9</v>
      </c>
      <c r="B10" s="117" t="s">
        <v>236</v>
      </c>
      <c r="C10" s="128">
        <v>287762</v>
      </c>
      <c r="D10" s="152">
        <f>5146+'táj.2.'!L10</f>
        <v>-780</v>
      </c>
      <c r="E10" s="212">
        <f>175471+'táj.2.'!C10</f>
        <v>172399</v>
      </c>
      <c r="F10" s="212">
        <f>49664+'táj.2.'!D10</f>
        <v>48013</v>
      </c>
      <c r="G10" s="212">
        <f>67423+'táj.2.'!E10</f>
        <v>66220</v>
      </c>
      <c r="H10" s="585">
        <f>0+'táj.2.'!F10</f>
        <v>0</v>
      </c>
      <c r="I10" s="585">
        <f>50+'táj.2.'!G10</f>
        <v>50</v>
      </c>
      <c r="J10" s="585">
        <f>300+'táj.2.'!H10</f>
        <v>300</v>
      </c>
      <c r="K10" s="585">
        <f>0+'táj.2.'!I10</f>
        <v>0</v>
      </c>
      <c r="L10" s="585">
        <f>0+'táj.2.'!J10</f>
        <v>0</v>
      </c>
      <c r="M10" s="585">
        <f>0+'táj.2.'!K10</f>
        <v>0</v>
      </c>
      <c r="N10" s="585">
        <f t="shared" si="0"/>
        <v>286982</v>
      </c>
    </row>
    <row r="11" spans="1:14" s="54" customFormat="1" ht="27" customHeight="1">
      <c r="A11" s="210">
        <v>10</v>
      </c>
      <c r="B11" s="201" t="s">
        <v>237</v>
      </c>
      <c r="C11" s="126">
        <v>112025</v>
      </c>
      <c r="D11" s="152">
        <f>42225+'táj.2.'!L11</f>
        <v>48048</v>
      </c>
      <c r="E11" s="212">
        <f>62636+'táj.2.'!C11</f>
        <v>64297</v>
      </c>
      <c r="F11" s="212">
        <f>16122+'táj.2.'!D11</f>
        <v>16284</v>
      </c>
      <c r="G11" s="212">
        <f>52797+'táj.2.'!E11</f>
        <v>56297</v>
      </c>
      <c r="H11" s="585">
        <f>0+'táj.2.'!F11</f>
        <v>0</v>
      </c>
      <c r="I11" s="585">
        <f>14525+'táj.2.'!G11</f>
        <v>14525</v>
      </c>
      <c r="J11" s="585">
        <f>6900+'táj.2.'!H11</f>
        <v>7400</v>
      </c>
      <c r="K11" s="585">
        <f>1270+'táj.2.'!I11</f>
        <v>1270</v>
      </c>
      <c r="L11" s="585">
        <f>0+'táj.2.'!J11</f>
        <v>0</v>
      </c>
      <c r="M11" s="585">
        <f>0+'táj.2.'!K11</f>
        <v>0</v>
      </c>
      <c r="N11" s="585">
        <f t="shared" si="0"/>
        <v>160073</v>
      </c>
    </row>
    <row r="12" spans="1:14" s="54" customFormat="1" ht="20.25" customHeight="1">
      <c r="A12" s="210">
        <v>11</v>
      </c>
      <c r="B12" s="117" t="s">
        <v>238</v>
      </c>
      <c r="C12" s="128">
        <v>188141</v>
      </c>
      <c r="D12" s="152">
        <f>55024+'táj.2.'!L12</f>
        <v>69071</v>
      </c>
      <c r="E12" s="212">
        <f>103067+'táj.2.'!C12</f>
        <v>99284</v>
      </c>
      <c r="F12" s="212">
        <f>24931+'táj.2.'!D12</f>
        <v>23394</v>
      </c>
      <c r="G12" s="212">
        <f>93903+'táj.2.'!E12</f>
        <v>113150</v>
      </c>
      <c r="H12" s="585">
        <f>0+'táj.2.'!F12</f>
        <v>0</v>
      </c>
      <c r="I12" s="585">
        <f>3100+'táj.2.'!G12</f>
        <v>3100</v>
      </c>
      <c r="J12" s="585">
        <f>18164+'táj.2.'!H12</f>
        <v>18284</v>
      </c>
      <c r="K12" s="585">
        <f>0+'táj.2.'!I12</f>
        <v>0</v>
      </c>
      <c r="L12" s="585">
        <f>0+'táj.2.'!J12</f>
        <v>0</v>
      </c>
      <c r="M12" s="585">
        <f>0+'táj.2.'!K12</f>
        <v>0</v>
      </c>
      <c r="N12" s="585">
        <f t="shared" si="0"/>
        <v>257212</v>
      </c>
    </row>
    <row r="13" spans="1:14" s="54" customFormat="1" ht="30" customHeight="1">
      <c r="A13" s="210">
        <v>12</v>
      </c>
      <c r="B13" s="201" t="s">
        <v>239</v>
      </c>
      <c r="C13" s="126">
        <v>15555</v>
      </c>
      <c r="D13" s="152">
        <f>2465+'táj.2.'!L13</f>
        <v>2698</v>
      </c>
      <c r="E13" s="212">
        <f>10182+'táj.2.'!C13</f>
        <v>10169</v>
      </c>
      <c r="F13" s="212">
        <f>2555+'táj.2.'!D13</f>
        <v>2601</v>
      </c>
      <c r="G13" s="212">
        <f>5083+'táj.2.'!E13</f>
        <v>5263</v>
      </c>
      <c r="H13" s="585">
        <f>0+'táj.2.'!F13</f>
        <v>0</v>
      </c>
      <c r="I13" s="585">
        <f>0+'táj.2.'!G13</f>
        <v>0</v>
      </c>
      <c r="J13" s="585">
        <f>200+'táj.2.'!H13</f>
        <v>220</v>
      </c>
      <c r="K13" s="585">
        <f>0+'táj.2.'!I13</f>
        <v>0</v>
      </c>
      <c r="L13" s="585">
        <f>0+'táj.2.'!J13</f>
        <v>0</v>
      </c>
      <c r="M13" s="585">
        <f>0+'táj.2.'!K13</f>
        <v>0</v>
      </c>
      <c r="N13" s="585">
        <f t="shared" si="0"/>
        <v>18253</v>
      </c>
    </row>
    <row r="14" spans="1:14" s="54" customFormat="1" ht="16.5" customHeight="1">
      <c r="A14" s="210">
        <v>13</v>
      </c>
      <c r="B14" s="117" t="s">
        <v>1266</v>
      </c>
      <c r="C14" s="128">
        <v>353704</v>
      </c>
      <c r="D14" s="152">
        <f>24747+'táj.2.'!L14</f>
        <v>52260</v>
      </c>
      <c r="E14" s="212">
        <f>145900+'táj.2.'!C14</f>
        <v>147445</v>
      </c>
      <c r="F14" s="212">
        <f>37147+'táj.2.'!D14</f>
        <v>38212</v>
      </c>
      <c r="G14" s="212">
        <f>140404+'táj.2.'!E14</f>
        <v>163304</v>
      </c>
      <c r="H14" s="585">
        <f>0+'táj.2.'!F14</f>
        <v>0</v>
      </c>
      <c r="I14" s="585">
        <f>16000+'táj.2.'!G14</f>
        <v>16000</v>
      </c>
      <c r="J14" s="585">
        <f>39000+'táj.2.'!H14</f>
        <v>41003</v>
      </c>
      <c r="K14" s="585">
        <f>0+'táj.2.'!I14</f>
        <v>0</v>
      </c>
      <c r="L14" s="585">
        <f>0+'táj.2.'!J14</f>
        <v>0</v>
      </c>
      <c r="M14" s="585">
        <f>0+'táj.2.'!K14</f>
        <v>0</v>
      </c>
      <c r="N14" s="585">
        <f t="shared" si="0"/>
        <v>405964</v>
      </c>
    </row>
    <row r="15" spans="1:14" s="54" customFormat="1" ht="16.5" customHeight="1">
      <c r="A15" s="210">
        <v>14</v>
      </c>
      <c r="B15" s="117" t="s">
        <v>1267</v>
      </c>
      <c r="C15" s="128">
        <v>271692</v>
      </c>
      <c r="D15" s="152">
        <f>66970+'táj.2.'!L15</f>
        <v>84569</v>
      </c>
      <c r="E15" s="212">
        <f>120525+'táj.2.'!C15</f>
        <v>124864</v>
      </c>
      <c r="F15" s="212">
        <f>31487+'táj.2.'!D15</f>
        <v>33607</v>
      </c>
      <c r="G15" s="212">
        <f>117784+'táj.2.'!E15</f>
        <v>127074</v>
      </c>
      <c r="H15" s="585">
        <f>0+'táj.2.'!F15</f>
        <v>0</v>
      </c>
      <c r="I15" s="585">
        <f>3650+'táj.2.'!G15</f>
        <v>2700</v>
      </c>
      <c r="J15" s="585">
        <f>39035+'táj.2.'!H15</f>
        <v>41835</v>
      </c>
      <c r="K15" s="585">
        <f>26181+'táj.2.'!I15</f>
        <v>26181</v>
      </c>
      <c r="L15" s="585">
        <f>0+'táj.2.'!J15</f>
        <v>0</v>
      </c>
      <c r="M15" s="585">
        <f>0+'táj.2.'!K15</f>
        <v>0</v>
      </c>
      <c r="N15" s="585">
        <f t="shared" si="0"/>
        <v>356261</v>
      </c>
    </row>
    <row r="16" spans="1:14" s="54" customFormat="1" ht="18" customHeight="1">
      <c r="A16" s="210">
        <v>15</v>
      </c>
      <c r="B16" s="117" t="s">
        <v>2</v>
      </c>
      <c r="C16" s="128">
        <v>573476</v>
      </c>
      <c r="D16" s="152">
        <f>24956+'táj.2.'!L16</f>
        <v>40297</v>
      </c>
      <c r="E16" s="212">
        <f>290475+'táj.2.'!C16</f>
        <v>281176</v>
      </c>
      <c r="F16" s="212">
        <f>73071+'táj.2.'!D16</f>
        <v>73802</v>
      </c>
      <c r="G16" s="212">
        <f>218440+'táj.2.'!E16</f>
        <v>241240</v>
      </c>
      <c r="H16" s="585">
        <f>0+'táj.2.'!F16</f>
        <v>0</v>
      </c>
      <c r="I16" s="585">
        <f>2359+'táj.2.'!G16</f>
        <v>2501</v>
      </c>
      <c r="J16" s="585">
        <f>4782+'táj.2.'!H16</f>
        <v>5749</v>
      </c>
      <c r="K16" s="585">
        <f>9305+'táj.2.'!I16</f>
        <v>9305</v>
      </c>
      <c r="L16" s="585">
        <f>0+'táj.2.'!J16</f>
        <v>0</v>
      </c>
      <c r="M16" s="585">
        <f>0+'táj.2.'!K16</f>
        <v>0</v>
      </c>
      <c r="N16" s="585">
        <f t="shared" si="0"/>
        <v>613773</v>
      </c>
    </row>
    <row r="17" spans="1:14" s="54" customFormat="1" ht="18.75" customHeight="1">
      <c r="A17" s="210">
        <v>16</v>
      </c>
      <c r="B17" s="117" t="s">
        <v>1269</v>
      </c>
      <c r="C17" s="128">
        <v>102360</v>
      </c>
      <c r="D17" s="152">
        <f>3803+'táj.2.'!L17</f>
        <v>6400</v>
      </c>
      <c r="E17" s="212">
        <f>50193+'táj.2.'!C17</f>
        <v>50844</v>
      </c>
      <c r="F17" s="212">
        <f>11556+'táj.2.'!D17</f>
        <v>11722</v>
      </c>
      <c r="G17" s="212">
        <f>44149+'táj.2.'!E17</f>
        <v>45919</v>
      </c>
      <c r="H17" s="585">
        <f>0+'táj.2.'!F17</f>
        <v>0</v>
      </c>
      <c r="I17" s="585">
        <f>0+'táj.2.'!G17</f>
        <v>10</v>
      </c>
      <c r="J17" s="585">
        <f>265+'táj.2.'!H17</f>
        <v>265</v>
      </c>
      <c r="K17" s="585">
        <f>0+'táj.2.'!I17</f>
        <v>0</v>
      </c>
      <c r="L17" s="585">
        <f>0+'táj.2.'!J17</f>
        <v>0</v>
      </c>
      <c r="M17" s="585">
        <f>0+'táj.2.'!K17</f>
        <v>0</v>
      </c>
      <c r="N17" s="585">
        <f t="shared" si="0"/>
        <v>108760</v>
      </c>
    </row>
    <row r="18" spans="1:14" s="54" customFormat="1" ht="18" customHeight="1">
      <c r="A18" s="210">
        <v>17</v>
      </c>
      <c r="B18" s="117" t="s">
        <v>1268</v>
      </c>
      <c r="C18" s="128">
        <v>110370</v>
      </c>
      <c r="D18" s="152">
        <f>8471+'táj.2.'!L18</f>
        <v>9748</v>
      </c>
      <c r="E18" s="212">
        <f>41016+'táj.2.'!C18</f>
        <v>42698</v>
      </c>
      <c r="F18" s="212">
        <f>10532+'táj.2.'!D18</f>
        <v>10127</v>
      </c>
      <c r="G18" s="212">
        <f>61827+'táj.2.'!E18</f>
        <v>57827</v>
      </c>
      <c r="H18" s="585">
        <f>0+'táj.2.'!F18</f>
        <v>0</v>
      </c>
      <c r="I18" s="585">
        <f>0+'táj.2.'!G18</f>
        <v>0</v>
      </c>
      <c r="J18" s="585">
        <f>5466+'táj.2.'!H18</f>
        <v>9466</v>
      </c>
      <c r="K18" s="585">
        <f>0+'táj.2.'!I18</f>
        <v>0</v>
      </c>
      <c r="L18" s="585">
        <f>0+'táj.2.'!J18</f>
        <v>0</v>
      </c>
      <c r="M18" s="585">
        <f>0+'táj.2.'!K18</f>
        <v>0</v>
      </c>
      <c r="N18" s="585">
        <f t="shared" si="0"/>
        <v>120118</v>
      </c>
    </row>
    <row r="19" spans="1:14" s="54" customFormat="1" ht="18.75" customHeight="1">
      <c r="A19" s="210">
        <v>18</v>
      </c>
      <c r="B19" s="78" t="s">
        <v>1236</v>
      </c>
      <c r="C19" s="153">
        <v>90900</v>
      </c>
      <c r="D19" s="152">
        <f>19226+'táj.2.'!L19</f>
        <v>29338</v>
      </c>
      <c r="E19" s="212">
        <f>31443+'táj.2.'!C19</f>
        <v>32846</v>
      </c>
      <c r="F19" s="212">
        <f>8503+'táj.2.'!D19</f>
        <v>8857</v>
      </c>
      <c r="G19" s="212">
        <f>68473+'táj.2.'!E19</f>
        <v>73098</v>
      </c>
      <c r="H19" s="585">
        <f>0+'táj.2.'!F19</f>
        <v>0</v>
      </c>
      <c r="I19" s="585">
        <f>307+'táj.2.'!G19</f>
        <v>307</v>
      </c>
      <c r="J19" s="585">
        <f>1400+'táj.2.'!H19</f>
        <v>2315</v>
      </c>
      <c r="K19" s="585">
        <f>0+'táj.2.'!I19</f>
        <v>2815</v>
      </c>
      <c r="L19" s="585">
        <f>0+'táj.2.'!J19</f>
        <v>0</v>
      </c>
      <c r="M19" s="585">
        <f>0+'táj.2.'!K19</f>
        <v>0</v>
      </c>
      <c r="N19" s="585">
        <f t="shared" si="0"/>
        <v>120238</v>
      </c>
    </row>
    <row r="20" spans="1:14" s="54" customFormat="1" ht="18" customHeight="1">
      <c r="A20" s="63"/>
      <c r="B20" s="64" t="s">
        <v>1254</v>
      </c>
      <c r="C20" s="65">
        <f>SUM(C3:C19)</f>
        <v>6266208</v>
      </c>
      <c r="D20" s="65">
        <f>SUM(D3:D19)</f>
        <v>641613</v>
      </c>
      <c r="E20" s="65">
        <f aca="true" t="shared" si="1" ref="E20:N20">SUM(E3:E19)</f>
        <v>3090672</v>
      </c>
      <c r="F20" s="65">
        <f t="shared" si="1"/>
        <v>833929</v>
      </c>
      <c r="G20" s="65">
        <f t="shared" si="1"/>
        <v>2621728</v>
      </c>
      <c r="H20" s="65">
        <f t="shared" si="1"/>
        <v>0</v>
      </c>
      <c r="I20" s="65">
        <f t="shared" si="1"/>
        <v>46137</v>
      </c>
      <c r="J20" s="65">
        <f t="shared" si="1"/>
        <v>189547</v>
      </c>
      <c r="K20" s="65">
        <f t="shared" si="1"/>
        <v>125808</v>
      </c>
      <c r="L20" s="65">
        <f t="shared" si="1"/>
        <v>0</v>
      </c>
      <c r="M20" s="65">
        <f t="shared" si="1"/>
        <v>0</v>
      </c>
      <c r="N20" s="65">
        <f t="shared" si="1"/>
        <v>6907821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11.3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12.50390625" style="4" customWidth="1"/>
    <col min="11" max="11" width="11.625" style="4" customWidth="1"/>
    <col min="12" max="12" width="12.875" style="4" customWidth="1"/>
    <col min="13" max="13" width="11.375" style="4" customWidth="1"/>
    <col min="14" max="14" width="12.625" style="4" customWidth="1"/>
    <col min="15" max="16384" width="9.375" style="4" customWidth="1"/>
  </cols>
  <sheetData>
    <row r="1" spans="1:14" s="3" customFormat="1" ht="16.5" customHeight="1">
      <c r="A1" s="1"/>
      <c r="B1" s="2"/>
      <c r="C1" s="5"/>
      <c r="D1" s="807" t="s">
        <v>247</v>
      </c>
      <c r="E1" s="808"/>
      <c r="F1" s="808"/>
      <c r="G1" s="808"/>
      <c r="H1" s="808"/>
      <c r="I1" s="808"/>
      <c r="J1" s="809"/>
      <c r="K1" s="810" t="s">
        <v>248</v>
      </c>
      <c r="L1" s="811"/>
      <c r="M1" s="812"/>
      <c r="N1" s="813" t="s">
        <v>195</v>
      </c>
    </row>
    <row r="2" spans="1:14" s="3" customFormat="1" ht="78.75" customHeight="1" thickBot="1">
      <c r="A2" s="7" t="s">
        <v>193</v>
      </c>
      <c r="B2" s="8" t="s">
        <v>194</v>
      </c>
      <c r="C2" s="12" t="s">
        <v>192</v>
      </c>
      <c r="D2" s="509" t="s">
        <v>250</v>
      </c>
      <c r="E2" s="509" t="s">
        <v>251</v>
      </c>
      <c r="F2" s="510" t="s">
        <v>1006</v>
      </c>
      <c r="G2" s="509" t="s">
        <v>252</v>
      </c>
      <c r="H2" s="509" t="s">
        <v>1250</v>
      </c>
      <c r="I2" s="509" t="s">
        <v>253</v>
      </c>
      <c r="J2" s="509" t="s">
        <v>254</v>
      </c>
      <c r="K2" s="509" t="s">
        <v>51</v>
      </c>
      <c r="L2" s="509" t="s">
        <v>255</v>
      </c>
      <c r="M2" s="509" t="s">
        <v>257</v>
      </c>
      <c r="N2" s="814"/>
    </row>
    <row r="3" spans="1:14" s="3" customFormat="1" ht="12.75" customHeight="1">
      <c r="A3" s="648">
        <v>1</v>
      </c>
      <c r="B3" s="648"/>
      <c r="C3" s="13" t="s">
        <v>1248</v>
      </c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8"/>
    </row>
    <row r="4" spans="1:14" s="3" customFormat="1" ht="12.75" customHeight="1">
      <c r="A4" s="648">
        <v>1</v>
      </c>
      <c r="B4" s="648">
        <v>1</v>
      </c>
      <c r="C4" s="187" t="s">
        <v>1010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66"/>
    </row>
    <row r="5" spans="1:14" s="3" customFormat="1" ht="12.75" customHeight="1">
      <c r="A5" s="648">
        <v>1</v>
      </c>
      <c r="B5" s="648">
        <v>12</v>
      </c>
      <c r="C5" s="187" t="s">
        <v>1008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66"/>
    </row>
    <row r="6" spans="1:14" s="3" customFormat="1" ht="24" customHeight="1">
      <c r="A6" s="9"/>
      <c r="B6" s="9"/>
      <c r="C6" s="587" t="s">
        <v>220</v>
      </c>
      <c r="D6" s="577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4" s="3" customFormat="1" ht="12.75" customHeight="1">
      <c r="A7" s="9"/>
      <c r="B7" s="9"/>
      <c r="C7" s="580" t="s">
        <v>1043</v>
      </c>
      <c r="D7" s="581">
        <v>-36</v>
      </c>
      <c r="E7" s="188"/>
      <c r="F7" s="188"/>
      <c r="G7" s="188"/>
      <c r="H7" s="188"/>
      <c r="I7" s="188"/>
      <c r="J7" s="188"/>
      <c r="K7" s="188"/>
      <c r="L7" s="188"/>
      <c r="M7" s="188"/>
      <c r="N7" s="189">
        <f>SUM(D7:M7)</f>
        <v>-36</v>
      </c>
    </row>
    <row r="8" spans="1:14" s="3" customFormat="1" ht="24.75" customHeight="1">
      <c r="A8" s="9"/>
      <c r="B8" s="9"/>
      <c r="C8" s="580" t="s">
        <v>627</v>
      </c>
      <c r="D8" s="581">
        <v>13068</v>
      </c>
      <c r="E8" s="188"/>
      <c r="F8" s="188"/>
      <c r="G8" s="188"/>
      <c r="H8" s="188"/>
      <c r="I8" s="188"/>
      <c r="J8" s="188"/>
      <c r="K8" s="188"/>
      <c r="L8" s="188"/>
      <c r="M8" s="188"/>
      <c r="N8" s="189">
        <f>SUM(D8:M8)</f>
        <v>13068</v>
      </c>
    </row>
    <row r="9" spans="1:14" s="3" customFormat="1" ht="16.5" customHeight="1">
      <c r="A9" s="9"/>
      <c r="B9" s="9"/>
      <c r="C9" s="580" t="s">
        <v>1024</v>
      </c>
      <c r="D9" s="581"/>
      <c r="E9" s="188"/>
      <c r="F9" s="188"/>
      <c r="G9" s="188">
        <v>194</v>
      </c>
      <c r="H9" s="188"/>
      <c r="I9" s="188"/>
      <c r="J9" s="188"/>
      <c r="K9" s="188"/>
      <c r="L9" s="188"/>
      <c r="M9" s="188"/>
      <c r="N9" s="189">
        <f>SUM(D9:M9)</f>
        <v>194</v>
      </c>
    </row>
    <row r="10" spans="1:14" s="3" customFormat="1" ht="15" customHeight="1">
      <c r="A10" s="9"/>
      <c r="B10" s="9"/>
      <c r="C10" s="580" t="s">
        <v>449</v>
      </c>
      <c r="D10" s="581"/>
      <c r="E10" s="188"/>
      <c r="F10" s="188"/>
      <c r="G10" s="188">
        <v>1500</v>
      </c>
      <c r="H10" s="188"/>
      <c r="I10" s="188"/>
      <c r="J10" s="188"/>
      <c r="K10" s="188"/>
      <c r="L10" s="188"/>
      <c r="M10" s="188"/>
      <c r="N10" s="189">
        <f>SUM(D10:M10)</f>
        <v>1500</v>
      </c>
    </row>
    <row r="11" spans="1:14" s="3" customFormat="1" ht="16.5" customHeight="1">
      <c r="A11" s="10"/>
      <c r="B11" s="10"/>
      <c r="C11" s="190" t="s">
        <v>1011</v>
      </c>
      <c r="D11" s="191">
        <f>SUM(D6:D10)</f>
        <v>13032</v>
      </c>
      <c r="E11" s="191">
        <f aca="true" t="shared" si="0" ref="E11:N11">SUM(E6:E10)</f>
        <v>0</v>
      </c>
      <c r="F11" s="191">
        <f t="shared" si="0"/>
        <v>0</v>
      </c>
      <c r="G11" s="191">
        <f t="shared" si="0"/>
        <v>1694</v>
      </c>
      <c r="H11" s="191">
        <f t="shared" si="0"/>
        <v>0</v>
      </c>
      <c r="I11" s="191">
        <f t="shared" si="0"/>
        <v>0</v>
      </c>
      <c r="J11" s="191">
        <f t="shared" si="0"/>
        <v>0</v>
      </c>
      <c r="K11" s="191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14726</v>
      </c>
    </row>
    <row r="12" spans="1:14" s="3" customFormat="1" ht="12.75" customHeight="1">
      <c r="A12" s="648">
        <v>1</v>
      </c>
      <c r="B12" s="648">
        <v>13</v>
      </c>
      <c r="C12" s="187" t="s">
        <v>1009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</row>
    <row r="13" spans="1:14" s="3" customFormat="1" ht="12.75" customHeight="1">
      <c r="A13" s="648"/>
      <c r="B13" s="648"/>
      <c r="C13" s="680" t="s">
        <v>1244</v>
      </c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</row>
    <row r="14" spans="1:14" s="3" customFormat="1" ht="24.75" customHeight="1">
      <c r="A14" s="9"/>
      <c r="B14" s="9"/>
      <c r="C14" s="678" t="s">
        <v>35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</row>
    <row r="15" spans="1:14" s="3" customFormat="1" ht="24.75" customHeight="1">
      <c r="A15" s="9"/>
      <c r="B15" s="9"/>
      <c r="C15" s="89" t="s">
        <v>36</v>
      </c>
      <c r="D15" s="193"/>
      <c r="E15" s="188"/>
      <c r="F15" s="188"/>
      <c r="G15" s="188"/>
      <c r="H15" s="188"/>
      <c r="I15" s="188">
        <v>2200</v>
      </c>
      <c r="J15" s="188"/>
      <c r="K15" s="188"/>
      <c r="L15" s="188"/>
      <c r="M15" s="188"/>
      <c r="N15" s="189">
        <f>SUM(D15:M15)</f>
        <v>2200</v>
      </c>
    </row>
    <row r="16" spans="1:14" s="3" customFormat="1" ht="18.75" customHeight="1">
      <c r="A16" s="11"/>
      <c r="B16" s="11"/>
      <c r="C16" s="190" t="s">
        <v>1012</v>
      </c>
      <c r="D16" s="191">
        <f aca="true" t="shared" si="1" ref="D16:N16">SUM(D14:D15)</f>
        <v>0</v>
      </c>
      <c r="E16" s="191">
        <f t="shared" si="1"/>
        <v>0</v>
      </c>
      <c r="F16" s="191">
        <f t="shared" si="1"/>
        <v>0</v>
      </c>
      <c r="G16" s="191">
        <f t="shared" si="1"/>
        <v>0</v>
      </c>
      <c r="H16" s="191">
        <f t="shared" si="1"/>
        <v>0</v>
      </c>
      <c r="I16" s="191">
        <f t="shared" si="1"/>
        <v>2200</v>
      </c>
      <c r="J16" s="191">
        <f t="shared" si="1"/>
        <v>0</v>
      </c>
      <c r="K16" s="191">
        <f t="shared" si="1"/>
        <v>0</v>
      </c>
      <c r="L16" s="191">
        <f t="shared" si="1"/>
        <v>0</v>
      </c>
      <c r="M16" s="191">
        <f t="shared" si="1"/>
        <v>0</v>
      </c>
      <c r="N16" s="191">
        <f t="shared" si="1"/>
        <v>2200</v>
      </c>
    </row>
    <row r="17" spans="1:14" s="3" customFormat="1" ht="12.75" customHeight="1">
      <c r="A17" s="648">
        <v>1</v>
      </c>
      <c r="B17" s="648">
        <v>15</v>
      </c>
      <c r="C17" s="187" t="s">
        <v>197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</row>
    <row r="18" spans="1:14" s="3" customFormat="1" ht="12.75" customHeight="1">
      <c r="A18" s="9"/>
      <c r="B18" s="9"/>
      <c r="C18" s="687" t="s">
        <v>392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</row>
    <row r="19" spans="1:14" s="3" customFormat="1" ht="39" customHeight="1">
      <c r="A19" s="9"/>
      <c r="B19" s="9"/>
      <c r="C19" s="703" t="s">
        <v>628</v>
      </c>
      <c r="D19" s="188"/>
      <c r="E19" s="188">
        <v>33986</v>
      </c>
      <c r="F19" s="188"/>
      <c r="G19" s="188"/>
      <c r="H19" s="188"/>
      <c r="I19" s="188"/>
      <c r="J19" s="188"/>
      <c r="K19" s="188"/>
      <c r="L19" s="188"/>
      <c r="M19" s="188"/>
      <c r="N19" s="189">
        <f aca="true" t="shared" si="2" ref="N19:N24">SUM(D19:M19)</f>
        <v>33986</v>
      </c>
    </row>
    <row r="20" spans="1:14" s="3" customFormat="1" ht="15.75" customHeight="1">
      <c r="A20" s="9"/>
      <c r="B20" s="9"/>
      <c r="C20" s="703" t="s">
        <v>293</v>
      </c>
      <c r="D20" s="188"/>
      <c r="E20" s="188">
        <v>83175</v>
      </c>
      <c r="F20" s="188"/>
      <c r="G20" s="188"/>
      <c r="H20" s="188"/>
      <c r="I20" s="188"/>
      <c r="J20" s="188"/>
      <c r="K20" s="188"/>
      <c r="L20" s="188"/>
      <c r="M20" s="188"/>
      <c r="N20" s="189">
        <f t="shared" si="2"/>
        <v>83175</v>
      </c>
    </row>
    <row r="21" spans="1:14" s="3" customFormat="1" ht="24.75" customHeight="1">
      <c r="A21" s="9"/>
      <c r="B21" s="9"/>
      <c r="C21" s="703" t="s">
        <v>294</v>
      </c>
      <c r="D21" s="188"/>
      <c r="E21" s="188">
        <v>-83175</v>
      </c>
      <c r="F21" s="188"/>
      <c r="G21" s="188"/>
      <c r="H21" s="188"/>
      <c r="I21" s="188"/>
      <c r="J21" s="188"/>
      <c r="K21" s="188"/>
      <c r="L21" s="188"/>
      <c r="M21" s="188"/>
      <c r="N21" s="189">
        <f t="shared" si="2"/>
        <v>-83175</v>
      </c>
    </row>
    <row r="22" spans="1:14" s="3" customFormat="1" ht="24.75" customHeight="1">
      <c r="A22" s="9"/>
      <c r="B22" s="9"/>
      <c r="C22" s="603" t="s">
        <v>1021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>
        <f t="shared" si="2"/>
        <v>0</v>
      </c>
    </row>
    <row r="23" spans="1:14" s="3" customFormat="1" ht="35.25" customHeight="1">
      <c r="A23" s="9"/>
      <c r="B23" s="9"/>
      <c r="C23" s="579" t="s">
        <v>1077</v>
      </c>
      <c r="D23" s="188"/>
      <c r="E23" s="188">
        <v>206514</v>
      </c>
      <c r="F23" s="188"/>
      <c r="G23" s="188"/>
      <c r="H23" s="188"/>
      <c r="I23" s="188"/>
      <c r="J23" s="188"/>
      <c r="K23" s="188"/>
      <c r="L23" s="188"/>
      <c r="M23" s="188"/>
      <c r="N23" s="189">
        <f t="shared" si="2"/>
        <v>206514</v>
      </c>
    </row>
    <row r="24" spans="1:14" s="3" customFormat="1" ht="15.75" customHeight="1">
      <c r="A24" s="9"/>
      <c r="B24" s="9"/>
      <c r="C24" s="579" t="s">
        <v>629</v>
      </c>
      <c r="D24" s="188"/>
      <c r="E24" s="188"/>
      <c r="F24" s="188"/>
      <c r="G24" s="188">
        <v>5334</v>
      </c>
      <c r="H24" s="188"/>
      <c r="I24" s="188"/>
      <c r="J24" s="188"/>
      <c r="K24" s="188"/>
      <c r="L24" s="188"/>
      <c r="M24" s="188"/>
      <c r="N24" s="189">
        <f t="shared" si="2"/>
        <v>5334</v>
      </c>
    </row>
    <row r="25" spans="1:14" s="3" customFormat="1" ht="24" customHeight="1">
      <c r="A25" s="9"/>
      <c r="B25" s="9"/>
      <c r="C25" s="570" t="s">
        <v>1020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</row>
    <row r="26" spans="1:14" s="3" customFormat="1" ht="24" customHeight="1">
      <c r="A26" s="9"/>
      <c r="B26" s="9"/>
      <c r="C26" s="570" t="s">
        <v>633</v>
      </c>
      <c r="D26" s="193"/>
      <c r="E26" s="188"/>
      <c r="F26" s="188"/>
      <c r="G26" s="188"/>
      <c r="H26" s="188"/>
      <c r="I26" s="188"/>
      <c r="J26" s="188">
        <v>800</v>
      </c>
      <c r="K26" s="188"/>
      <c r="L26" s="188"/>
      <c r="M26" s="188"/>
      <c r="N26" s="189">
        <f>SUM(I26:M26)</f>
        <v>800</v>
      </c>
    </row>
    <row r="27" spans="1:14" s="3" customFormat="1" ht="15" customHeight="1">
      <c r="A27" s="9"/>
      <c r="B27" s="9"/>
      <c r="C27" s="603" t="s">
        <v>1109</v>
      </c>
      <c r="D27" s="193"/>
      <c r="E27" s="188"/>
      <c r="F27" s="188">
        <v>390</v>
      </c>
      <c r="G27" s="188"/>
      <c r="H27" s="188"/>
      <c r="I27" s="188"/>
      <c r="J27" s="188"/>
      <c r="K27" s="188"/>
      <c r="L27" s="188"/>
      <c r="M27" s="188"/>
      <c r="N27" s="189">
        <f>SUM(D27:M27)</f>
        <v>390</v>
      </c>
    </row>
    <row r="28" spans="1:14" s="3" customFormat="1" ht="15" customHeight="1">
      <c r="A28" s="9"/>
      <c r="B28" s="9"/>
      <c r="C28" s="603" t="s">
        <v>308</v>
      </c>
      <c r="D28" s="193"/>
      <c r="E28" s="188"/>
      <c r="F28" s="188"/>
      <c r="G28" s="188"/>
      <c r="H28" s="188"/>
      <c r="I28" s="188"/>
      <c r="J28" s="188"/>
      <c r="K28" s="188"/>
      <c r="L28" s="188"/>
      <c r="M28" s="188"/>
      <c r="N28" s="189"/>
    </row>
    <row r="29" spans="1:14" s="3" customFormat="1" ht="15" customHeight="1">
      <c r="A29" s="9"/>
      <c r="B29" s="9"/>
      <c r="C29" s="678" t="s">
        <v>309</v>
      </c>
      <c r="D29" s="188"/>
      <c r="E29" s="188"/>
      <c r="F29" s="188"/>
      <c r="G29" s="188">
        <v>51</v>
      </c>
      <c r="H29" s="188"/>
      <c r="I29" s="188"/>
      <c r="J29" s="188"/>
      <c r="K29" s="188"/>
      <c r="L29" s="188"/>
      <c r="M29" s="188"/>
      <c r="N29" s="189">
        <v>51</v>
      </c>
    </row>
    <row r="30" spans="1:14" s="3" customFormat="1" ht="18.75" customHeight="1">
      <c r="A30" s="10"/>
      <c r="B30" s="10"/>
      <c r="C30" s="190" t="s">
        <v>106</v>
      </c>
      <c r="D30" s="191">
        <f aca="true" t="shared" si="3" ref="D30:N30">SUM(D18:D29)</f>
        <v>0</v>
      </c>
      <c r="E30" s="191">
        <f t="shared" si="3"/>
        <v>240500</v>
      </c>
      <c r="F30" s="191">
        <f t="shared" si="3"/>
        <v>390</v>
      </c>
      <c r="G30" s="191">
        <f t="shared" si="3"/>
        <v>5385</v>
      </c>
      <c r="H30" s="191">
        <f t="shared" si="3"/>
        <v>0</v>
      </c>
      <c r="I30" s="191">
        <f t="shared" si="3"/>
        <v>0</v>
      </c>
      <c r="J30" s="191">
        <f t="shared" si="3"/>
        <v>800</v>
      </c>
      <c r="K30" s="191">
        <f t="shared" si="3"/>
        <v>0</v>
      </c>
      <c r="L30" s="191">
        <f t="shared" si="3"/>
        <v>0</v>
      </c>
      <c r="M30" s="191">
        <f t="shared" si="3"/>
        <v>0</v>
      </c>
      <c r="N30" s="191">
        <f t="shared" si="3"/>
        <v>247075</v>
      </c>
    </row>
    <row r="31" spans="1:14" s="3" customFormat="1" ht="12.75" customHeight="1">
      <c r="A31" s="648">
        <v>1</v>
      </c>
      <c r="B31" s="648">
        <v>16</v>
      </c>
      <c r="C31" s="187" t="s">
        <v>1225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</row>
    <row r="32" spans="1:14" s="3" customFormat="1" ht="24.75" customHeight="1">
      <c r="A32" s="648"/>
      <c r="B32" s="648"/>
      <c r="C32" s="582" t="s">
        <v>450</v>
      </c>
      <c r="D32" s="193"/>
      <c r="E32" s="188"/>
      <c r="F32" s="188"/>
      <c r="G32" s="188"/>
      <c r="H32" s="188"/>
      <c r="I32" s="188"/>
      <c r="J32" s="188"/>
      <c r="K32" s="188"/>
      <c r="L32" s="188"/>
      <c r="M32" s="188"/>
      <c r="N32" s="189"/>
    </row>
    <row r="33" spans="1:14" s="3" customFormat="1" ht="37.5" customHeight="1">
      <c r="A33" s="9"/>
      <c r="B33" s="9"/>
      <c r="C33" s="705" t="s">
        <v>716</v>
      </c>
      <c r="D33" s="193"/>
      <c r="E33" s="188">
        <v>10186</v>
      </c>
      <c r="F33" s="188"/>
      <c r="G33" s="188">
        <v>-2615</v>
      </c>
      <c r="H33" s="188"/>
      <c r="I33" s="188"/>
      <c r="J33" s="188"/>
      <c r="K33" s="188"/>
      <c r="L33" s="188"/>
      <c r="M33" s="188"/>
      <c r="N33" s="189">
        <f>SUM(D33:M33)</f>
        <v>7571</v>
      </c>
    </row>
    <row r="34" spans="1:14" s="3" customFormat="1" ht="37.5" customHeight="1">
      <c r="A34" s="9"/>
      <c r="B34" s="9"/>
      <c r="C34" s="679" t="s">
        <v>40</v>
      </c>
      <c r="D34" s="193"/>
      <c r="E34" s="188">
        <v>10788</v>
      </c>
      <c r="F34" s="188"/>
      <c r="G34" s="188"/>
      <c r="H34" s="188"/>
      <c r="I34" s="188"/>
      <c r="J34" s="188"/>
      <c r="K34" s="188"/>
      <c r="L34" s="188"/>
      <c r="M34" s="188"/>
      <c r="N34" s="189">
        <f>SUM(D34:M34)</f>
        <v>10788</v>
      </c>
    </row>
    <row r="35" spans="1:14" s="3" customFormat="1" ht="19.5" customHeight="1">
      <c r="A35" s="11"/>
      <c r="B35" s="11"/>
      <c r="C35" s="190" t="s">
        <v>1228</v>
      </c>
      <c r="D35" s="191"/>
      <c r="E35" s="191">
        <f>SUM(E33:E34)</f>
        <v>20974</v>
      </c>
      <c r="F35" s="191"/>
      <c r="G35" s="191">
        <f>SUM(G33:G34)</f>
        <v>-2615</v>
      </c>
      <c r="H35" s="191"/>
      <c r="I35" s="191"/>
      <c r="J35" s="191"/>
      <c r="K35" s="191"/>
      <c r="L35" s="191"/>
      <c r="M35" s="191"/>
      <c r="N35" s="191">
        <f>SUM(N33:N34)</f>
        <v>18359</v>
      </c>
    </row>
    <row r="36" spans="1:14" s="3" customFormat="1" ht="12.75" customHeight="1">
      <c r="A36" s="648">
        <v>1</v>
      </c>
      <c r="B36" s="648">
        <v>17</v>
      </c>
      <c r="C36" s="187" t="s">
        <v>198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</row>
    <row r="37" spans="1:14" s="3" customFormat="1" ht="24.75" customHeight="1">
      <c r="A37" s="9"/>
      <c r="B37" s="9"/>
      <c r="C37" s="583" t="s">
        <v>1044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/>
    </row>
    <row r="38" spans="1:14" s="3" customFormat="1" ht="27" customHeight="1">
      <c r="A38" s="9"/>
      <c r="B38" s="9"/>
      <c r="C38" s="582" t="s">
        <v>297</v>
      </c>
      <c r="D38" s="188"/>
      <c r="E38" s="188"/>
      <c r="F38" s="188"/>
      <c r="G38" s="188">
        <v>38696</v>
      </c>
      <c r="H38" s="188">
        <v>107489</v>
      </c>
      <c r="I38" s="188"/>
      <c r="J38" s="188"/>
      <c r="K38" s="188"/>
      <c r="L38" s="188"/>
      <c r="M38" s="188"/>
      <c r="N38" s="189">
        <f>SUM(D38:M38)</f>
        <v>146185</v>
      </c>
    </row>
    <row r="39" spans="1:14" s="3" customFormat="1" ht="25.5" customHeight="1">
      <c r="A39" s="9"/>
      <c r="B39" s="9"/>
      <c r="C39" s="688" t="s">
        <v>635</v>
      </c>
      <c r="D39" s="188"/>
      <c r="E39" s="188"/>
      <c r="F39" s="188"/>
      <c r="G39" s="188"/>
      <c r="H39" s="188"/>
      <c r="I39" s="188">
        <v>2500</v>
      </c>
      <c r="J39" s="188"/>
      <c r="K39" s="188"/>
      <c r="L39" s="188"/>
      <c r="M39" s="188"/>
      <c r="N39" s="189">
        <f>SUM(D39:M39)</f>
        <v>2500</v>
      </c>
    </row>
    <row r="40" spans="1:14" s="3" customFormat="1" ht="33.75" customHeight="1">
      <c r="A40" s="9"/>
      <c r="B40" s="9"/>
      <c r="C40" s="103" t="s">
        <v>634</v>
      </c>
      <c r="D40" s="696"/>
      <c r="E40" s="188"/>
      <c r="F40" s="188"/>
      <c r="G40" s="188">
        <v>-5000</v>
      </c>
      <c r="H40" s="188"/>
      <c r="I40" s="188"/>
      <c r="J40" s="188"/>
      <c r="K40" s="188"/>
      <c r="L40" s="188"/>
      <c r="M40" s="188"/>
      <c r="N40" s="189">
        <f>SUM(D40:M40)</f>
        <v>-5000</v>
      </c>
    </row>
    <row r="41" spans="1:14" s="3" customFormat="1" ht="24.75" customHeight="1">
      <c r="A41" s="9"/>
      <c r="B41" s="9"/>
      <c r="C41" s="747" t="s">
        <v>1025</v>
      </c>
      <c r="D41" s="696"/>
      <c r="E41" s="188"/>
      <c r="F41" s="188"/>
      <c r="G41" s="188">
        <v>1003</v>
      </c>
      <c r="H41" s="188"/>
      <c r="I41" s="188"/>
      <c r="J41" s="188"/>
      <c r="K41" s="188"/>
      <c r="L41" s="188"/>
      <c r="M41" s="188"/>
      <c r="N41" s="189">
        <f>SUM(D41:M41)</f>
        <v>1003</v>
      </c>
    </row>
    <row r="42" spans="1:14" s="3" customFormat="1" ht="24.75" customHeight="1">
      <c r="A42" s="9"/>
      <c r="B42" s="9"/>
      <c r="C42" s="571" t="s">
        <v>1045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</row>
    <row r="43" spans="1:14" s="3" customFormat="1" ht="24.75" customHeight="1">
      <c r="A43" s="9"/>
      <c r="B43" s="9"/>
      <c r="C43" s="689" t="s">
        <v>636</v>
      </c>
      <c r="D43" s="188"/>
      <c r="E43" s="188"/>
      <c r="F43" s="188"/>
      <c r="G43" s="188">
        <v>2499</v>
      </c>
      <c r="H43" s="188"/>
      <c r="I43" s="188"/>
      <c r="J43" s="188"/>
      <c r="K43" s="188"/>
      <c r="L43" s="188"/>
      <c r="M43" s="188"/>
      <c r="N43" s="189">
        <f>SUM(G43:M43)</f>
        <v>2499</v>
      </c>
    </row>
    <row r="44" spans="1:14" s="3" customFormat="1" ht="15.75" customHeight="1">
      <c r="A44" s="9"/>
      <c r="B44" s="9"/>
      <c r="C44" s="690" t="s">
        <v>637</v>
      </c>
      <c r="D44" s="188"/>
      <c r="E44" s="188"/>
      <c r="F44" s="188"/>
      <c r="G44" s="188">
        <v>676</v>
      </c>
      <c r="H44" s="188">
        <v>1518</v>
      </c>
      <c r="I44" s="188"/>
      <c r="J44" s="188"/>
      <c r="K44" s="188"/>
      <c r="L44" s="188"/>
      <c r="M44" s="188"/>
      <c r="N44" s="189">
        <f>SUM(G44:M44)</f>
        <v>2194</v>
      </c>
    </row>
    <row r="45" spans="1:14" s="3" customFormat="1" ht="16.5" customHeight="1">
      <c r="A45" s="9"/>
      <c r="B45" s="9"/>
      <c r="C45" s="690" t="s">
        <v>638</v>
      </c>
      <c r="D45" s="188"/>
      <c r="E45" s="188"/>
      <c r="F45" s="188"/>
      <c r="G45" s="188">
        <v>1192</v>
      </c>
      <c r="H45" s="188"/>
      <c r="I45" s="188"/>
      <c r="J45" s="188"/>
      <c r="K45" s="188"/>
      <c r="L45" s="188"/>
      <c r="M45" s="188"/>
      <c r="N45" s="189">
        <f>SUM(G45:M45)</f>
        <v>1192</v>
      </c>
    </row>
    <row r="46" spans="1:14" s="3" customFormat="1" ht="16.5" customHeight="1">
      <c r="A46" s="10"/>
      <c r="B46" s="10"/>
      <c r="C46" s="190" t="s">
        <v>1215</v>
      </c>
      <c r="D46" s="191">
        <f>SUM(D37:D45)</f>
        <v>0</v>
      </c>
      <c r="E46" s="191">
        <f aca="true" t="shared" si="4" ref="E46:N46">SUM(E37:E45)</f>
        <v>0</v>
      </c>
      <c r="F46" s="191">
        <f t="shared" si="4"/>
        <v>0</v>
      </c>
      <c r="G46" s="191">
        <f t="shared" si="4"/>
        <v>39066</v>
      </c>
      <c r="H46" s="191">
        <f t="shared" si="4"/>
        <v>109007</v>
      </c>
      <c r="I46" s="191">
        <f t="shared" si="4"/>
        <v>2500</v>
      </c>
      <c r="J46" s="191">
        <f t="shared" si="4"/>
        <v>0</v>
      </c>
      <c r="K46" s="191">
        <f t="shared" si="4"/>
        <v>0</v>
      </c>
      <c r="L46" s="191">
        <f t="shared" si="4"/>
        <v>0</v>
      </c>
      <c r="M46" s="191">
        <f t="shared" si="4"/>
        <v>0</v>
      </c>
      <c r="N46" s="191">
        <f t="shared" si="4"/>
        <v>150573</v>
      </c>
    </row>
    <row r="47" spans="1:14" s="3" customFormat="1" ht="12.75" customHeight="1">
      <c r="A47" s="648">
        <v>1</v>
      </c>
      <c r="B47" s="648">
        <v>18</v>
      </c>
      <c r="C47" s="187" t="s">
        <v>1013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</row>
    <row r="48" spans="1:14" s="3" customFormat="1" ht="24" customHeight="1">
      <c r="A48" s="648"/>
      <c r="B48" s="648"/>
      <c r="C48" s="583" t="s">
        <v>1044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</row>
    <row r="49" spans="1:14" s="3" customFormat="1" ht="12.75" customHeight="1">
      <c r="A49" s="648"/>
      <c r="B49" s="648"/>
      <c r="C49" s="582" t="s">
        <v>299</v>
      </c>
      <c r="D49" s="188"/>
      <c r="E49" s="188"/>
      <c r="F49" s="188"/>
      <c r="G49" s="188">
        <v>600</v>
      </c>
      <c r="H49" s="188"/>
      <c r="I49" s="188"/>
      <c r="J49" s="188"/>
      <c r="K49" s="188"/>
      <c r="L49" s="188"/>
      <c r="M49" s="188"/>
      <c r="N49" s="189">
        <f>SUM(D49:M49)</f>
        <v>600</v>
      </c>
    </row>
    <row r="50" spans="1:14" s="3" customFormat="1" ht="12.75" customHeight="1">
      <c r="A50" s="648"/>
      <c r="B50" s="648"/>
      <c r="C50" s="701" t="s">
        <v>300</v>
      </c>
      <c r="D50" s="188"/>
      <c r="E50" s="188"/>
      <c r="F50" s="188">
        <v>3000</v>
      </c>
      <c r="G50" s="188"/>
      <c r="H50" s="188"/>
      <c r="I50" s="188"/>
      <c r="J50" s="188"/>
      <c r="K50" s="188"/>
      <c r="L50" s="188"/>
      <c r="M50" s="188"/>
      <c r="N50" s="189">
        <f>SUM(D50:M50)</f>
        <v>3000</v>
      </c>
    </row>
    <row r="51" spans="1:14" s="3" customFormat="1" ht="12.75" customHeight="1">
      <c r="A51" s="648"/>
      <c r="B51" s="648"/>
      <c r="C51" s="582" t="s">
        <v>301</v>
      </c>
      <c r="D51" s="188"/>
      <c r="E51" s="188"/>
      <c r="F51" s="188"/>
      <c r="G51" s="188">
        <v>-3000</v>
      </c>
      <c r="H51" s="188"/>
      <c r="I51" s="188"/>
      <c r="J51" s="188"/>
      <c r="K51" s="188"/>
      <c r="L51" s="188"/>
      <c r="M51" s="188"/>
      <c r="N51" s="189">
        <f>SUM(D51:M51)</f>
        <v>-3000</v>
      </c>
    </row>
    <row r="52" spans="1:14" s="3" customFormat="1" ht="18.75" customHeight="1">
      <c r="A52" s="11"/>
      <c r="B52" s="11"/>
      <c r="C52" s="190" t="s">
        <v>1014</v>
      </c>
      <c r="D52" s="191">
        <v>0</v>
      </c>
      <c r="E52" s="191">
        <f>SUM(E49:E51)</f>
        <v>0</v>
      </c>
      <c r="F52" s="191">
        <f>SUM(F49:F51)</f>
        <v>3000</v>
      </c>
      <c r="G52" s="191">
        <f>SUM(G49:G51)</f>
        <v>-2400</v>
      </c>
      <c r="H52" s="191">
        <f aca="true" t="shared" si="5" ref="H52:N52">SUM(H49:H51)</f>
        <v>0</v>
      </c>
      <c r="I52" s="191">
        <f t="shared" si="5"/>
        <v>0</v>
      </c>
      <c r="J52" s="191">
        <f t="shared" si="5"/>
        <v>0</v>
      </c>
      <c r="K52" s="191">
        <f t="shared" si="5"/>
        <v>0</v>
      </c>
      <c r="L52" s="191">
        <f t="shared" si="5"/>
        <v>0</v>
      </c>
      <c r="M52" s="191">
        <f t="shared" si="5"/>
        <v>0</v>
      </c>
      <c r="N52" s="191">
        <f t="shared" si="5"/>
        <v>600</v>
      </c>
    </row>
    <row r="53" spans="1:14" s="3" customFormat="1" ht="15" customHeight="1">
      <c r="A53" s="9">
        <v>1</v>
      </c>
      <c r="B53" s="9">
        <v>19</v>
      </c>
      <c r="C53" s="187" t="s">
        <v>199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</row>
    <row r="54" spans="1:14" s="3" customFormat="1" ht="21.75" customHeight="1">
      <c r="A54" s="9"/>
      <c r="B54" s="9"/>
      <c r="C54" s="691" t="s">
        <v>639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</row>
    <row r="55" spans="1:14" s="3" customFormat="1" ht="25.5" customHeight="1">
      <c r="A55" s="9"/>
      <c r="B55" s="9"/>
      <c r="C55" s="200" t="s">
        <v>640</v>
      </c>
      <c r="D55" s="188"/>
      <c r="E55" s="188"/>
      <c r="F55" s="188"/>
      <c r="G55" s="188"/>
      <c r="H55" s="188"/>
      <c r="I55" s="188"/>
      <c r="J55" s="188"/>
      <c r="K55" s="188">
        <v>-135000</v>
      </c>
      <c r="L55" s="188"/>
      <c r="M55" s="188"/>
      <c r="N55" s="189">
        <f>SUM(D55:M55)</f>
        <v>-135000</v>
      </c>
    </row>
    <row r="56" spans="1:14" s="3" customFormat="1" ht="22.5" customHeight="1">
      <c r="A56" s="9"/>
      <c r="B56" s="9"/>
      <c r="C56" s="582" t="s">
        <v>641</v>
      </c>
      <c r="D56" s="188"/>
      <c r="E56" s="188"/>
      <c r="F56" s="188"/>
      <c r="G56" s="188"/>
      <c r="H56" s="188"/>
      <c r="I56" s="188"/>
      <c r="J56" s="188"/>
      <c r="K56" s="188">
        <v>-30000</v>
      </c>
      <c r="L56" s="188"/>
      <c r="M56" s="188"/>
      <c r="N56" s="189">
        <f>SUM(D56:M56)</f>
        <v>-30000</v>
      </c>
    </row>
    <row r="57" spans="1:14" s="3" customFormat="1" ht="22.5" customHeight="1">
      <c r="A57" s="9"/>
      <c r="B57" s="9"/>
      <c r="C57" s="584" t="s">
        <v>1118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</row>
    <row r="58" spans="1:14" s="3" customFormat="1" ht="14.25" customHeight="1">
      <c r="A58" s="9"/>
      <c r="B58" s="9"/>
      <c r="C58" s="582" t="s">
        <v>642</v>
      </c>
      <c r="D58" s="188"/>
      <c r="E58" s="188"/>
      <c r="F58" s="188"/>
      <c r="G58" s="188">
        <v>55810</v>
      </c>
      <c r="H58" s="188"/>
      <c r="I58" s="188"/>
      <c r="J58" s="188"/>
      <c r="K58" s="188"/>
      <c r="L58" s="188"/>
      <c r="M58" s="188"/>
      <c r="N58" s="189">
        <f>SUM(D58:M58)</f>
        <v>55810</v>
      </c>
    </row>
    <row r="59" spans="1:14" s="3" customFormat="1" ht="24.75" customHeight="1">
      <c r="A59" s="9"/>
      <c r="B59" s="9"/>
      <c r="C59" s="582" t="s">
        <v>1046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</row>
    <row r="60" spans="1:14" s="3" customFormat="1" ht="39" customHeight="1">
      <c r="A60" s="9"/>
      <c r="B60" s="9"/>
      <c r="C60" s="192" t="s">
        <v>1007</v>
      </c>
      <c r="D60" s="188">
        <v>-53472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9">
        <f aca="true" t="shared" si="6" ref="N60:N73">SUM(D60:M60)</f>
        <v>-53472</v>
      </c>
    </row>
    <row r="61" spans="1:14" s="3" customFormat="1" ht="15" customHeight="1">
      <c r="A61" s="9"/>
      <c r="B61" s="9"/>
      <c r="C61" s="14" t="s">
        <v>1212</v>
      </c>
      <c r="D61" s="188">
        <v>-3422</v>
      </c>
      <c r="E61" s="188">
        <v>-31395</v>
      </c>
      <c r="F61" s="188"/>
      <c r="G61" s="188"/>
      <c r="H61" s="188"/>
      <c r="I61" s="188"/>
      <c r="J61" s="188"/>
      <c r="K61" s="188"/>
      <c r="L61" s="188"/>
      <c r="M61" s="188"/>
      <c r="N61" s="189">
        <f t="shared" si="6"/>
        <v>-34817</v>
      </c>
    </row>
    <row r="62" spans="1:14" s="3" customFormat="1" ht="15" customHeight="1">
      <c r="A62" s="9"/>
      <c r="B62" s="9"/>
      <c r="C62" s="14" t="s">
        <v>221</v>
      </c>
      <c r="D62" s="193">
        <v>57426</v>
      </c>
      <c r="E62" s="188">
        <v>-23934</v>
      </c>
      <c r="F62" s="188"/>
      <c r="G62" s="188"/>
      <c r="H62" s="188"/>
      <c r="I62" s="188"/>
      <c r="J62" s="188"/>
      <c r="K62" s="188"/>
      <c r="L62" s="188"/>
      <c r="M62" s="188"/>
      <c r="N62" s="189">
        <f t="shared" si="6"/>
        <v>33492</v>
      </c>
    </row>
    <row r="63" spans="1:14" s="3" customFormat="1" ht="27" customHeight="1">
      <c r="A63" s="9"/>
      <c r="B63" s="9"/>
      <c r="C63" s="192" t="s">
        <v>295</v>
      </c>
      <c r="D63" s="193"/>
      <c r="E63" s="188">
        <v>31964</v>
      </c>
      <c r="F63" s="188"/>
      <c r="G63" s="188"/>
      <c r="H63" s="188"/>
      <c r="I63" s="188"/>
      <c r="J63" s="188"/>
      <c r="K63" s="188"/>
      <c r="L63" s="188"/>
      <c r="M63" s="188"/>
      <c r="N63" s="189">
        <f t="shared" si="6"/>
        <v>31964</v>
      </c>
    </row>
    <row r="64" spans="1:14" s="3" customFormat="1" ht="15" customHeight="1">
      <c r="A64" s="9"/>
      <c r="B64" s="9"/>
      <c r="C64" s="14" t="s">
        <v>296</v>
      </c>
      <c r="D64" s="193"/>
      <c r="E64" s="188">
        <v>-31964</v>
      </c>
      <c r="F64" s="188"/>
      <c r="G64" s="188"/>
      <c r="H64" s="188"/>
      <c r="I64" s="188"/>
      <c r="J64" s="188"/>
      <c r="K64" s="188"/>
      <c r="L64" s="188"/>
      <c r="M64" s="188"/>
      <c r="N64" s="189">
        <f t="shared" si="6"/>
        <v>-31964</v>
      </c>
    </row>
    <row r="65" spans="1:14" s="3" customFormat="1" ht="15" customHeight="1">
      <c r="A65" s="9"/>
      <c r="B65" s="9"/>
      <c r="C65" s="677" t="s">
        <v>33</v>
      </c>
      <c r="D65" s="193"/>
      <c r="E65" s="188"/>
      <c r="F65" s="188">
        <v>-170551</v>
      </c>
      <c r="G65" s="188"/>
      <c r="H65" s="188"/>
      <c r="I65" s="188"/>
      <c r="J65" s="188"/>
      <c r="K65" s="188"/>
      <c r="L65" s="188"/>
      <c r="M65" s="188"/>
      <c r="N65" s="189">
        <f t="shared" si="6"/>
        <v>-170551</v>
      </c>
    </row>
    <row r="66" spans="1:14" s="3" customFormat="1" ht="24.75" customHeight="1">
      <c r="A66" s="9"/>
      <c r="B66" s="9"/>
      <c r="C66" s="584" t="s">
        <v>1118</v>
      </c>
      <c r="D66" s="193"/>
      <c r="E66" s="188"/>
      <c r="F66" s="188"/>
      <c r="G66" s="188"/>
      <c r="H66" s="188"/>
      <c r="I66" s="188"/>
      <c r="J66" s="188"/>
      <c r="K66" s="188"/>
      <c r="L66" s="188"/>
      <c r="M66" s="188"/>
      <c r="N66" s="189"/>
    </row>
    <row r="67" spans="1:14" s="3" customFormat="1" ht="24.75" customHeight="1">
      <c r="A67" s="9"/>
      <c r="B67" s="9"/>
      <c r="C67" s="92" t="s">
        <v>1047</v>
      </c>
      <c r="D67" s="193">
        <v>1590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9">
        <f>SUM(D67:M67)</f>
        <v>1590</v>
      </c>
    </row>
    <row r="68" spans="1:14" s="3" customFormat="1" ht="15" customHeight="1">
      <c r="A68" s="9"/>
      <c r="B68" s="9"/>
      <c r="C68" s="649" t="s">
        <v>1119</v>
      </c>
      <c r="D68" s="193"/>
      <c r="E68" s="188"/>
      <c r="F68" s="188"/>
      <c r="G68" s="188"/>
      <c r="H68" s="188"/>
      <c r="I68" s="188"/>
      <c r="J68" s="188"/>
      <c r="K68" s="188"/>
      <c r="L68" s="188"/>
      <c r="M68" s="188"/>
      <c r="N68" s="189"/>
    </row>
    <row r="69" spans="1:14" s="3" customFormat="1" ht="24.75" customHeight="1">
      <c r="A69" s="9"/>
      <c r="B69" s="9"/>
      <c r="C69" s="200" t="s">
        <v>643</v>
      </c>
      <c r="D69" s="193">
        <v>861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9">
        <f>SUM(D69:M69)</f>
        <v>861</v>
      </c>
    </row>
    <row r="70" spans="1:14" s="3" customFormat="1" ht="15" customHeight="1">
      <c r="A70" s="9"/>
      <c r="B70" s="9"/>
      <c r="C70" s="31" t="s">
        <v>644</v>
      </c>
      <c r="D70" s="193"/>
      <c r="E70" s="188"/>
      <c r="F70" s="188"/>
      <c r="G70" s="188">
        <v>5700</v>
      </c>
      <c r="H70" s="188"/>
      <c r="I70" s="188"/>
      <c r="J70" s="188"/>
      <c r="K70" s="188"/>
      <c r="L70" s="188"/>
      <c r="M70" s="188"/>
      <c r="N70" s="189">
        <f>SUM(D70:M70)</f>
        <v>5700</v>
      </c>
    </row>
    <row r="71" spans="1:14" s="3" customFormat="1" ht="24.75" customHeight="1">
      <c r="A71" s="9"/>
      <c r="B71" s="9"/>
      <c r="C71" s="584" t="s">
        <v>1045</v>
      </c>
      <c r="D71" s="193"/>
      <c r="E71" s="188"/>
      <c r="F71" s="188"/>
      <c r="G71" s="188"/>
      <c r="H71" s="188"/>
      <c r="I71" s="188"/>
      <c r="J71" s="188"/>
      <c r="K71" s="188"/>
      <c r="L71" s="188"/>
      <c r="M71" s="188"/>
      <c r="N71" s="189"/>
    </row>
    <row r="72" spans="1:14" s="3" customFormat="1" ht="24.75" customHeight="1">
      <c r="A72" s="9"/>
      <c r="B72" s="9"/>
      <c r="C72" s="584" t="s">
        <v>37</v>
      </c>
      <c r="D72" s="193"/>
      <c r="E72" s="188"/>
      <c r="F72" s="188"/>
      <c r="G72" s="188">
        <v>26000</v>
      </c>
      <c r="H72" s="188"/>
      <c r="I72" s="188"/>
      <c r="J72" s="188"/>
      <c r="K72" s="188"/>
      <c r="L72" s="188"/>
      <c r="M72" s="188"/>
      <c r="N72" s="189">
        <f t="shared" si="6"/>
        <v>26000</v>
      </c>
    </row>
    <row r="73" spans="1:14" s="3" customFormat="1" ht="15" customHeight="1">
      <c r="A73" s="9"/>
      <c r="B73" s="9"/>
      <c r="C73" s="194" t="s">
        <v>34</v>
      </c>
      <c r="D73" s="193"/>
      <c r="E73" s="188"/>
      <c r="F73" s="188"/>
      <c r="G73" s="188">
        <v>8481</v>
      </c>
      <c r="H73" s="188"/>
      <c r="I73" s="188"/>
      <c r="J73" s="188"/>
      <c r="K73" s="188"/>
      <c r="L73" s="188">
        <v>133629</v>
      </c>
      <c r="M73" s="188"/>
      <c r="N73" s="189">
        <f t="shared" si="6"/>
        <v>142110</v>
      </c>
    </row>
    <row r="74" spans="1:14" s="3" customFormat="1" ht="12.75" customHeight="1">
      <c r="A74" s="11"/>
      <c r="B74" s="10"/>
      <c r="C74" s="190" t="s">
        <v>200</v>
      </c>
      <c r="D74" s="191">
        <f aca="true" t="shared" si="7" ref="D74:N74">SUM(D53:D73)</f>
        <v>2983</v>
      </c>
      <c r="E74" s="191">
        <f t="shared" si="7"/>
        <v>-55329</v>
      </c>
      <c r="F74" s="191">
        <f t="shared" si="7"/>
        <v>-170551</v>
      </c>
      <c r="G74" s="191">
        <f t="shared" si="7"/>
        <v>95991</v>
      </c>
      <c r="H74" s="191">
        <f t="shared" si="7"/>
        <v>0</v>
      </c>
      <c r="I74" s="191">
        <f t="shared" si="7"/>
        <v>0</v>
      </c>
      <c r="J74" s="191">
        <f t="shared" si="7"/>
        <v>0</v>
      </c>
      <c r="K74" s="191">
        <f t="shared" si="7"/>
        <v>-165000</v>
      </c>
      <c r="L74" s="191">
        <f t="shared" si="7"/>
        <v>133629</v>
      </c>
      <c r="M74" s="191">
        <f t="shared" si="7"/>
        <v>0</v>
      </c>
      <c r="N74" s="191">
        <f t="shared" si="7"/>
        <v>-158277</v>
      </c>
    </row>
    <row r="75" spans="1:14" s="3" customFormat="1" ht="12.75" customHeight="1">
      <c r="A75" s="80">
        <v>1</v>
      </c>
      <c r="B75" s="80">
        <v>20</v>
      </c>
      <c r="C75" s="195" t="s">
        <v>108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</row>
    <row r="76" spans="1:14" s="3" customFormat="1" ht="24.75" customHeight="1">
      <c r="A76" s="80"/>
      <c r="B76" s="80"/>
      <c r="C76" s="582" t="s">
        <v>450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</row>
    <row r="77" spans="1:14" s="3" customFormat="1" ht="12.75" customHeight="1">
      <c r="A77" s="11"/>
      <c r="B77" s="10"/>
      <c r="C77" s="190" t="s">
        <v>1015</v>
      </c>
      <c r="D77" s="191">
        <f aca="true" t="shared" si="8" ref="D77:N77">SUM(D75:D76)</f>
        <v>0</v>
      </c>
      <c r="E77" s="191">
        <f t="shared" si="8"/>
        <v>0</v>
      </c>
      <c r="F77" s="191">
        <f t="shared" si="8"/>
        <v>0</v>
      </c>
      <c r="G77" s="191">
        <f t="shared" si="8"/>
        <v>0</v>
      </c>
      <c r="H77" s="191">
        <f t="shared" si="8"/>
        <v>0</v>
      </c>
      <c r="I77" s="191">
        <f t="shared" si="8"/>
        <v>0</v>
      </c>
      <c r="J77" s="191">
        <f t="shared" si="8"/>
        <v>0</v>
      </c>
      <c r="K77" s="191">
        <f t="shared" si="8"/>
        <v>0</v>
      </c>
      <c r="L77" s="191">
        <f t="shared" si="8"/>
        <v>0</v>
      </c>
      <c r="M77" s="191">
        <f t="shared" si="8"/>
        <v>0</v>
      </c>
      <c r="N77" s="191">
        <f t="shared" si="8"/>
        <v>0</v>
      </c>
    </row>
    <row r="78" spans="1:14" s="3" customFormat="1" ht="12.75" customHeight="1">
      <c r="A78" s="80">
        <v>1</v>
      </c>
      <c r="B78" s="80">
        <v>22</v>
      </c>
      <c r="C78" s="195" t="s">
        <v>1016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</row>
    <row r="79" spans="1:14" s="3" customFormat="1" ht="21.75" customHeight="1">
      <c r="A79" s="80"/>
      <c r="B79" s="80"/>
      <c r="C79" s="571" t="s">
        <v>1118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1:14" s="3" customFormat="1" ht="12.75" customHeight="1">
      <c r="A80" s="80"/>
      <c r="B80" s="80"/>
      <c r="C80" s="675" t="s">
        <v>452</v>
      </c>
      <c r="D80" s="196"/>
      <c r="E80" s="196"/>
      <c r="F80" s="196"/>
      <c r="G80" s="198">
        <v>15</v>
      </c>
      <c r="H80" s="198"/>
      <c r="I80" s="198"/>
      <c r="J80" s="198"/>
      <c r="K80" s="196"/>
      <c r="L80" s="196"/>
      <c r="M80" s="196"/>
      <c r="N80" s="198">
        <f>SUM(D80:M80)</f>
        <v>15</v>
      </c>
    </row>
    <row r="81" spans="1:14" s="3" customFormat="1" ht="12.75" customHeight="1">
      <c r="A81" s="11"/>
      <c r="B81" s="10"/>
      <c r="C81" s="190" t="s">
        <v>1017</v>
      </c>
      <c r="D81" s="191">
        <f aca="true" t="shared" si="9" ref="D81:N81">SUM(D80:D80)</f>
        <v>0</v>
      </c>
      <c r="E81" s="191">
        <f t="shared" si="9"/>
        <v>0</v>
      </c>
      <c r="F81" s="191">
        <f t="shared" si="9"/>
        <v>0</v>
      </c>
      <c r="G81" s="191">
        <f t="shared" si="9"/>
        <v>15</v>
      </c>
      <c r="H81" s="191">
        <f t="shared" si="9"/>
        <v>0</v>
      </c>
      <c r="I81" s="191">
        <f t="shared" si="9"/>
        <v>0</v>
      </c>
      <c r="J81" s="191">
        <f t="shared" si="9"/>
        <v>0</v>
      </c>
      <c r="K81" s="191">
        <f t="shared" si="9"/>
        <v>0</v>
      </c>
      <c r="L81" s="191">
        <f t="shared" si="9"/>
        <v>0</v>
      </c>
      <c r="M81" s="191">
        <f t="shared" si="9"/>
        <v>0</v>
      </c>
      <c r="N81" s="191">
        <f t="shared" si="9"/>
        <v>15</v>
      </c>
    </row>
    <row r="82" spans="1:14" s="3" customFormat="1" ht="25.5" customHeight="1">
      <c r="A82" s="10"/>
      <c r="B82" s="10"/>
      <c r="C82" s="199" t="s">
        <v>1252</v>
      </c>
      <c r="D82" s="191">
        <f aca="true" t="shared" si="10" ref="D82:N82">SUM(D11+D16+D30+D35+D46+D52+D74+D77+D81)</f>
        <v>16015</v>
      </c>
      <c r="E82" s="191">
        <f t="shared" si="10"/>
        <v>206145</v>
      </c>
      <c r="F82" s="191">
        <f t="shared" si="10"/>
        <v>-167161</v>
      </c>
      <c r="G82" s="191">
        <f t="shared" si="10"/>
        <v>137136</v>
      </c>
      <c r="H82" s="191">
        <f t="shared" si="10"/>
        <v>109007</v>
      </c>
      <c r="I82" s="191">
        <f t="shared" si="10"/>
        <v>4700</v>
      </c>
      <c r="J82" s="191">
        <f t="shared" si="10"/>
        <v>800</v>
      </c>
      <c r="K82" s="191">
        <f t="shared" si="10"/>
        <v>-165000</v>
      </c>
      <c r="L82" s="191">
        <f t="shared" si="10"/>
        <v>133629</v>
      </c>
      <c r="M82" s="191">
        <f t="shared" si="10"/>
        <v>0</v>
      </c>
      <c r="N82" s="191">
        <f t="shared" si="10"/>
        <v>275271</v>
      </c>
    </row>
    <row r="83" spans="1:14" s="3" customFormat="1" ht="15" customHeight="1">
      <c r="A83" s="114">
        <v>2</v>
      </c>
      <c r="B83" s="80"/>
      <c r="C83" s="197" t="s">
        <v>1249</v>
      </c>
      <c r="D83" s="198">
        <f>'táj.1.'!C20</f>
        <v>58184</v>
      </c>
      <c r="E83" s="198">
        <f>'táj.1.'!D20</f>
        <v>6235</v>
      </c>
      <c r="F83" s="198">
        <f>'táj.1.'!E20</f>
        <v>0</v>
      </c>
      <c r="G83" s="198">
        <f>'táj.1.'!F20</f>
        <v>33125</v>
      </c>
      <c r="H83" s="198">
        <f>'táj.1.'!G20</f>
        <v>264</v>
      </c>
      <c r="I83" s="198">
        <f>'táj.1.'!H20</f>
        <v>5437</v>
      </c>
      <c r="J83" s="198">
        <f>'táj.1.'!I20</f>
        <v>0</v>
      </c>
      <c r="K83" s="198"/>
      <c r="L83" s="198">
        <f>'táj.1.'!J20</f>
        <v>0</v>
      </c>
      <c r="M83" s="198">
        <f>'táj.1.'!L20</f>
        <v>0</v>
      </c>
      <c r="N83" s="198">
        <f>SUM(D83:M83)</f>
        <v>103245</v>
      </c>
    </row>
    <row r="84" spans="1:14" s="3" customFormat="1" ht="15" customHeight="1">
      <c r="A84" s="10"/>
      <c r="B84" s="10"/>
      <c r="C84" s="190" t="s">
        <v>1221</v>
      </c>
      <c r="D84" s="191">
        <f aca="true" t="shared" si="11" ref="D84:N84">SUM(D82:D83)</f>
        <v>74199</v>
      </c>
      <c r="E84" s="191">
        <f t="shared" si="11"/>
        <v>212380</v>
      </c>
      <c r="F84" s="191">
        <f t="shared" si="11"/>
        <v>-167161</v>
      </c>
      <c r="G84" s="191">
        <f t="shared" si="11"/>
        <v>170261</v>
      </c>
      <c r="H84" s="191">
        <f t="shared" si="11"/>
        <v>109271</v>
      </c>
      <c r="I84" s="191">
        <f t="shared" si="11"/>
        <v>10137</v>
      </c>
      <c r="J84" s="191">
        <f t="shared" si="11"/>
        <v>800</v>
      </c>
      <c r="K84" s="191">
        <f t="shared" si="11"/>
        <v>-165000</v>
      </c>
      <c r="L84" s="191">
        <f t="shared" si="11"/>
        <v>133629</v>
      </c>
      <c r="M84" s="191">
        <f t="shared" si="11"/>
        <v>0</v>
      </c>
      <c r="N84" s="191">
        <f t="shared" si="11"/>
        <v>378516</v>
      </c>
    </row>
    <row r="85" spans="1:14" s="3" customFormat="1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27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IV. NEGYEDÉVBEN&amp;R&amp;"Times New Roman,Normál"11. 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4"/>
  <sheetViews>
    <sheetView zoomScaleSheetLayoutView="120" zoomScalePageLayoutView="0" workbookViewId="0" topLeftCell="A1">
      <pane ySplit="2" topLeftCell="A166" activePane="bottomLeft" state="frozen"/>
      <selection pane="topLeft" activeCell="A1" sqref="A1"/>
      <selection pane="bottomLeft" activeCell="J181" sqref="J181"/>
    </sheetView>
  </sheetViews>
  <sheetFormatPr defaultColWidth="9.00390625" defaultRowHeight="12.75"/>
  <cols>
    <col min="1" max="1" width="5.125" style="16" customWidth="1"/>
    <col min="2" max="2" width="5.875" style="16" customWidth="1"/>
    <col min="3" max="3" width="9.375" style="16" customWidth="1"/>
    <col min="4" max="4" width="35.125" style="16" customWidth="1"/>
    <col min="5" max="5" width="4.375" style="16" customWidth="1"/>
    <col min="6" max="6" width="10.125" style="16" customWidth="1"/>
    <col min="7" max="7" width="11.00390625" style="16" customWidth="1"/>
    <col min="8" max="8" width="10.00390625" style="16" customWidth="1"/>
    <col min="9" max="10" width="9.375" style="16" customWidth="1"/>
    <col min="11" max="11" width="10.125" style="16" customWidth="1"/>
    <col min="12" max="12" width="9.375" style="16" customWidth="1"/>
    <col min="13" max="13" width="11.00390625" style="16" bestFit="1" customWidth="1"/>
    <col min="14" max="14" width="10.125" style="16" customWidth="1"/>
    <col min="15" max="15" width="9.875" style="16" bestFit="1" customWidth="1"/>
    <col min="16" max="16" width="10.50390625" style="16" customWidth="1"/>
    <col min="17" max="17" width="7.625" style="16" customWidth="1"/>
    <col min="18" max="16384" width="9.375" style="16" customWidth="1"/>
  </cols>
  <sheetData>
    <row r="1" spans="1:17" s="15" customFormat="1" ht="24.75" customHeight="1">
      <c r="A1" s="871" t="s">
        <v>201</v>
      </c>
      <c r="B1" s="873" t="s">
        <v>202</v>
      </c>
      <c r="C1" s="874" t="s">
        <v>192</v>
      </c>
      <c r="D1" s="875"/>
      <c r="E1" s="896" t="s">
        <v>1246</v>
      </c>
      <c r="F1" s="898"/>
      <c r="G1" s="899"/>
      <c r="H1" s="899"/>
      <c r="I1" s="899"/>
      <c r="J1" s="899"/>
      <c r="K1" s="899"/>
      <c r="L1" s="899"/>
      <c r="M1" s="899"/>
      <c r="N1" s="757" t="s">
        <v>245</v>
      </c>
      <c r="O1" s="757"/>
      <c r="P1" s="895" t="s">
        <v>195</v>
      </c>
      <c r="Q1" s="893" t="s">
        <v>105</v>
      </c>
    </row>
    <row r="2" spans="1:17" ht="63.75" customHeight="1">
      <c r="A2" s="872"/>
      <c r="B2" s="814"/>
      <c r="C2" s="876"/>
      <c r="D2" s="877"/>
      <c r="E2" s="897"/>
      <c r="F2" s="164" t="s">
        <v>987</v>
      </c>
      <c r="G2" s="164" t="s">
        <v>1121</v>
      </c>
      <c r="H2" s="164" t="s">
        <v>1235</v>
      </c>
      <c r="I2" s="164" t="s">
        <v>203</v>
      </c>
      <c r="J2" s="164" t="s">
        <v>990</v>
      </c>
      <c r="K2" s="164" t="s">
        <v>999</v>
      </c>
      <c r="L2" s="164" t="s">
        <v>1000</v>
      </c>
      <c r="M2" s="164" t="s">
        <v>1001</v>
      </c>
      <c r="N2" s="164" t="s">
        <v>935</v>
      </c>
      <c r="O2" s="523" t="s">
        <v>936</v>
      </c>
      <c r="P2" s="800"/>
      <c r="Q2" s="894"/>
    </row>
    <row r="3" spans="1:17" ht="13.5" customHeight="1">
      <c r="A3" s="511">
        <v>1</v>
      </c>
      <c r="B3" s="511"/>
      <c r="C3" s="512" t="s">
        <v>1248</v>
      </c>
      <c r="D3" s="19"/>
      <c r="E3" s="513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5"/>
      <c r="Q3" s="516"/>
    </row>
    <row r="4" spans="1:17" ht="13.5" customHeight="1">
      <c r="A4" s="17">
        <v>1</v>
      </c>
      <c r="B4" s="17">
        <v>1</v>
      </c>
      <c r="C4" s="18" t="s">
        <v>1010</v>
      </c>
      <c r="D4" s="19"/>
      <c r="E4" s="41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517"/>
    </row>
    <row r="5" spans="1:17" ht="14.25" customHeight="1">
      <c r="A5" s="17">
        <v>1</v>
      </c>
      <c r="B5" s="17">
        <v>12</v>
      </c>
      <c r="C5" s="878" t="s">
        <v>666</v>
      </c>
      <c r="D5" s="879"/>
      <c r="E5" s="41"/>
      <c r="F5" s="20"/>
      <c r="G5" s="20"/>
      <c r="H5" s="20"/>
      <c r="I5" s="20"/>
      <c r="J5" s="20"/>
      <c r="K5" s="20"/>
      <c r="L5" s="20"/>
      <c r="M5" s="20"/>
      <c r="N5" s="20"/>
      <c r="O5" s="20"/>
      <c r="P5" s="28"/>
      <c r="Q5" s="517"/>
    </row>
    <row r="6" spans="1:17" ht="14.25" customHeight="1">
      <c r="A6" s="17"/>
      <c r="B6" s="17"/>
      <c r="C6" s="28" t="s">
        <v>667</v>
      </c>
      <c r="D6" s="577"/>
      <c r="E6" s="203">
        <v>1</v>
      </c>
      <c r="F6" s="161"/>
      <c r="G6" s="161"/>
      <c r="H6" s="161"/>
      <c r="I6" s="161">
        <v>-9475</v>
      </c>
      <c r="J6" s="161"/>
      <c r="K6" s="161"/>
      <c r="L6" s="20"/>
      <c r="M6" s="20"/>
      <c r="N6" s="20"/>
      <c r="O6" s="20"/>
      <c r="P6" s="28">
        <f>SUM(F6:O6)</f>
        <v>-9475</v>
      </c>
      <c r="Q6" s="517" t="s">
        <v>1261</v>
      </c>
    </row>
    <row r="7" spans="1:17" ht="14.25" customHeight="1">
      <c r="A7" s="17"/>
      <c r="B7" s="17"/>
      <c r="C7" s="28" t="s">
        <v>670</v>
      </c>
      <c r="D7" s="577"/>
      <c r="E7" s="203">
        <v>1</v>
      </c>
      <c r="F7" s="161"/>
      <c r="G7" s="161"/>
      <c r="H7" s="161"/>
      <c r="I7" s="161">
        <v>-8735</v>
      </c>
      <c r="J7" s="161"/>
      <c r="K7" s="161"/>
      <c r="L7" s="20"/>
      <c r="M7" s="20"/>
      <c r="N7" s="20"/>
      <c r="O7" s="20"/>
      <c r="P7" s="28">
        <f>SUM(F7:O7)</f>
        <v>-8735</v>
      </c>
      <c r="Q7" s="517" t="s">
        <v>1261</v>
      </c>
    </row>
    <row r="8" spans="1:17" ht="14.25" customHeight="1">
      <c r="A8" s="17"/>
      <c r="B8" s="17"/>
      <c r="C8" s="833" t="s">
        <v>1030</v>
      </c>
      <c r="D8" s="834"/>
      <c r="E8" s="203"/>
      <c r="F8" s="161"/>
      <c r="G8" s="161"/>
      <c r="H8" s="161"/>
      <c r="I8" s="161"/>
      <c r="J8" s="161"/>
      <c r="K8" s="161"/>
      <c r="L8" s="20"/>
      <c r="M8" s="20"/>
      <c r="N8" s="20"/>
      <c r="O8" s="20"/>
      <c r="P8" s="28"/>
      <c r="Q8" s="517"/>
    </row>
    <row r="9" spans="1:17" ht="14.25" customHeight="1">
      <c r="A9" s="17"/>
      <c r="B9" s="17"/>
      <c r="C9" s="750" t="s">
        <v>1031</v>
      </c>
      <c r="D9" s="577"/>
      <c r="E9" s="203">
        <v>1</v>
      </c>
      <c r="F9" s="161"/>
      <c r="G9" s="161"/>
      <c r="H9" s="161"/>
      <c r="I9" s="161">
        <v>-2707</v>
      </c>
      <c r="J9" s="161"/>
      <c r="K9" s="161"/>
      <c r="L9" s="20"/>
      <c r="M9" s="20"/>
      <c r="N9" s="20"/>
      <c r="O9" s="20"/>
      <c r="P9" s="28">
        <f>SUM(I9:O9)</f>
        <v>-2707</v>
      </c>
      <c r="Q9" s="517" t="s">
        <v>1261</v>
      </c>
    </row>
    <row r="10" spans="1:17" ht="14.25" customHeight="1">
      <c r="A10" s="17"/>
      <c r="B10" s="17"/>
      <c r="C10" s="28" t="s">
        <v>1032</v>
      </c>
      <c r="D10" s="577"/>
      <c r="E10" s="203">
        <v>1</v>
      </c>
      <c r="F10" s="161"/>
      <c r="G10" s="161"/>
      <c r="H10" s="161"/>
      <c r="I10" s="161">
        <v>-12266</v>
      </c>
      <c r="J10" s="161"/>
      <c r="K10" s="161"/>
      <c r="L10" s="161"/>
      <c r="M10" s="161"/>
      <c r="N10" s="161"/>
      <c r="O10" s="161"/>
      <c r="P10" s="28">
        <f>SUM(I10:O10)</f>
        <v>-12266</v>
      </c>
      <c r="Q10" s="517" t="s">
        <v>1261</v>
      </c>
    </row>
    <row r="11" spans="1:17" ht="14.25" customHeight="1">
      <c r="A11" s="17"/>
      <c r="B11" s="17"/>
      <c r="C11" s="28" t="s">
        <v>668</v>
      </c>
      <c r="D11" s="113"/>
      <c r="E11" s="203"/>
      <c r="F11" s="161"/>
      <c r="G11" s="161"/>
      <c r="H11" s="161"/>
      <c r="I11" s="161"/>
      <c r="J11" s="161"/>
      <c r="K11" s="161"/>
      <c r="L11" s="20"/>
      <c r="M11" s="20"/>
      <c r="N11" s="20"/>
      <c r="O11" s="20"/>
      <c r="P11" s="28"/>
      <c r="Q11" s="517"/>
    </row>
    <row r="12" spans="1:17" ht="13.5" customHeight="1">
      <c r="A12" s="17"/>
      <c r="B12" s="17"/>
      <c r="C12" s="878" t="s">
        <v>669</v>
      </c>
      <c r="D12" s="879"/>
      <c r="E12" s="203">
        <v>1</v>
      </c>
      <c r="F12" s="161"/>
      <c r="G12" s="161"/>
      <c r="H12" s="161"/>
      <c r="I12" s="161">
        <v>-1400</v>
      </c>
      <c r="J12" s="161"/>
      <c r="K12" s="161"/>
      <c r="L12" s="20"/>
      <c r="M12" s="20"/>
      <c r="N12" s="20"/>
      <c r="O12" s="20"/>
      <c r="P12" s="28">
        <f>SUM(F12:O12)</f>
        <v>-1400</v>
      </c>
      <c r="Q12" s="517" t="s">
        <v>1261</v>
      </c>
    </row>
    <row r="13" spans="1:17" ht="13.5" customHeight="1">
      <c r="A13" s="17"/>
      <c r="B13" s="17"/>
      <c r="C13" s="878" t="s">
        <v>220</v>
      </c>
      <c r="D13" s="879"/>
      <c r="E13" s="203"/>
      <c r="F13" s="161"/>
      <c r="G13" s="161"/>
      <c r="H13" s="161"/>
      <c r="I13" s="161"/>
      <c r="J13" s="161"/>
      <c r="K13" s="161"/>
      <c r="L13" s="20"/>
      <c r="M13" s="20"/>
      <c r="N13" s="20"/>
      <c r="O13" s="20"/>
      <c r="P13" s="28"/>
      <c r="Q13" s="517"/>
    </row>
    <row r="14" spans="1:17" ht="13.5" customHeight="1">
      <c r="A14" s="17"/>
      <c r="B14" s="17"/>
      <c r="C14" s="28" t="s">
        <v>219</v>
      </c>
      <c r="D14" s="113"/>
      <c r="E14" s="203">
        <v>1</v>
      </c>
      <c r="F14" s="161"/>
      <c r="G14" s="161"/>
      <c r="H14" s="161"/>
      <c r="I14" s="161">
        <v>-36</v>
      </c>
      <c r="J14" s="161"/>
      <c r="K14" s="161"/>
      <c r="L14" s="20"/>
      <c r="M14" s="20"/>
      <c r="N14" s="20"/>
      <c r="O14" s="20"/>
      <c r="P14" s="28">
        <f aca="true" t="shared" si="0" ref="P14:P19">SUM(F14:O14)</f>
        <v>-36</v>
      </c>
      <c r="Q14" s="517" t="s">
        <v>1261</v>
      </c>
    </row>
    <row r="15" spans="1:17" ht="13.5" customHeight="1">
      <c r="A15" s="17"/>
      <c r="B15" s="17"/>
      <c r="C15" s="28" t="s">
        <v>1107</v>
      </c>
      <c r="D15" s="113"/>
      <c r="E15" s="203">
        <v>2</v>
      </c>
      <c r="F15" s="161"/>
      <c r="G15" s="161"/>
      <c r="H15" s="161"/>
      <c r="I15" s="161">
        <v>4600</v>
      </c>
      <c r="J15" s="161"/>
      <c r="K15" s="161"/>
      <c r="L15" s="20"/>
      <c r="M15" s="20"/>
      <c r="N15" s="20"/>
      <c r="O15" s="20"/>
      <c r="P15" s="28">
        <f t="shared" si="0"/>
        <v>4600</v>
      </c>
      <c r="Q15" s="517" t="s">
        <v>1261</v>
      </c>
    </row>
    <row r="16" spans="1:17" ht="13.5" customHeight="1">
      <c r="A16" s="17"/>
      <c r="B16" s="17"/>
      <c r="C16" s="28" t="s">
        <v>1108</v>
      </c>
      <c r="D16" s="113"/>
      <c r="E16" s="203">
        <v>1</v>
      </c>
      <c r="F16" s="161"/>
      <c r="G16" s="161"/>
      <c r="H16" s="161"/>
      <c r="I16" s="161">
        <v>6386</v>
      </c>
      <c r="J16" s="161"/>
      <c r="K16" s="161"/>
      <c r="L16" s="20"/>
      <c r="M16" s="20"/>
      <c r="N16" s="20"/>
      <c r="O16" s="20"/>
      <c r="P16" s="28">
        <f t="shared" si="0"/>
        <v>6386</v>
      </c>
      <c r="Q16" s="517" t="s">
        <v>1261</v>
      </c>
    </row>
    <row r="17" spans="1:17" ht="13.5" customHeight="1">
      <c r="A17" s="17"/>
      <c r="B17" s="17"/>
      <c r="C17" s="28" t="s">
        <v>429</v>
      </c>
      <c r="D17" s="113"/>
      <c r="E17" s="203">
        <v>1</v>
      </c>
      <c r="F17" s="161"/>
      <c r="G17" s="161"/>
      <c r="H17" s="161"/>
      <c r="I17" s="161">
        <v>1800</v>
      </c>
      <c r="J17" s="161"/>
      <c r="K17" s="161"/>
      <c r="L17" s="20"/>
      <c r="M17" s="20"/>
      <c r="N17" s="20"/>
      <c r="O17" s="20"/>
      <c r="P17" s="28">
        <f t="shared" si="0"/>
        <v>1800</v>
      </c>
      <c r="Q17" s="517" t="s">
        <v>1261</v>
      </c>
    </row>
    <row r="18" spans="1:17" ht="13.5" customHeight="1">
      <c r="A18" s="17"/>
      <c r="B18" s="17"/>
      <c r="C18" s="878" t="s">
        <v>220</v>
      </c>
      <c r="D18" s="879"/>
      <c r="E18" s="203"/>
      <c r="F18" s="161"/>
      <c r="G18" s="161"/>
      <c r="H18" s="161"/>
      <c r="I18" s="161"/>
      <c r="J18" s="161"/>
      <c r="K18" s="161"/>
      <c r="L18" s="20"/>
      <c r="M18" s="20"/>
      <c r="N18" s="20"/>
      <c r="O18" s="20"/>
      <c r="P18" s="28">
        <f t="shared" si="0"/>
        <v>0</v>
      </c>
      <c r="Q18" s="517"/>
    </row>
    <row r="19" spans="1:17" ht="13.5" customHeight="1">
      <c r="A19" s="17"/>
      <c r="B19" s="17"/>
      <c r="C19" s="28" t="s">
        <v>671</v>
      </c>
      <c r="D19" s="113"/>
      <c r="E19" s="203">
        <v>1</v>
      </c>
      <c r="F19" s="161"/>
      <c r="G19" s="161"/>
      <c r="H19" s="161"/>
      <c r="I19" s="161">
        <v>1100</v>
      </c>
      <c r="J19" s="161"/>
      <c r="K19" s="161"/>
      <c r="L19" s="20"/>
      <c r="M19" s="20"/>
      <c r="N19" s="20"/>
      <c r="O19" s="20"/>
      <c r="P19" s="28">
        <f t="shared" si="0"/>
        <v>1100</v>
      </c>
      <c r="Q19" s="517" t="s">
        <v>1261</v>
      </c>
    </row>
    <row r="20" spans="1:17" ht="21.75" customHeight="1">
      <c r="A20" s="17"/>
      <c r="B20" s="17"/>
      <c r="C20" s="831" t="s">
        <v>997</v>
      </c>
      <c r="D20" s="832"/>
      <c r="E20" s="203"/>
      <c r="F20" s="161"/>
      <c r="G20" s="161"/>
      <c r="H20" s="161"/>
      <c r="I20" s="161"/>
      <c r="J20" s="161"/>
      <c r="K20" s="161"/>
      <c r="L20" s="20"/>
      <c r="M20" s="20"/>
      <c r="N20" s="20"/>
      <c r="O20" s="20"/>
      <c r="P20" s="28"/>
      <c r="Q20" s="517"/>
    </row>
    <row r="21" spans="1:17" ht="13.5" customHeight="1">
      <c r="A21" s="17"/>
      <c r="B21" s="17"/>
      <c r="C21" s="28" t="s">
        <v>1029</v>
      </c>
      <c r="D21" s="113"/>
      <c r="E21" s="203">
        <v>1</v>
      </c>
      <c r="F21" s="161"/>
      <c r="G21" s="161"/>
      <c r="H21" s="161"/>
      <c r="I21" s="161">
        <v>10</v>
      </c>
      <c r="J21" s="161"/>
      <c r="K21" s="161"/>
      <c r="L21" s="20"/>
      <c r="M21" s="20"/>
      <c r="N21" s="20"/>
      <c r="O21" s="20"/>
      <c r="P21" s="28">
        <f>SUM(I21:O21)</f>
        <v>10</v>
      </c>
      <c r="Q21" s="517" t="s">
        <v>1261</v>
      </c>
    </row>
    <row r="22" spans="1:17" ht="13.5" customHeight="1">
      <c r="A22" s="17"/>
      <c r="B22" s="17"/>
      <c r="C22" s="890" t="s">
        <v>1118</v>
      </c>
      <c r="D22" s="904"/>
      <c r="E22" s="203"/>
      <c r="F22" s="161"/>
      <c r="G22" s="161"/>
      <c r="H22" s="161"/>
      <c r="I22" s="161"/>
      <c r="J22" s="161"/>
      <c r="K22" s="161"/>
      <c r="L22" s="20"/>
      <c r="M22" s="20"/>
      <c r="N22" s="20"/>
      <c r="O22" s="20"/>
      <c r="P22" s="28"/>
      <c r="Q22" s="517"/>
    </row>
    <row r="23" spans="1:17" ht="13.5" customHeight="1">
      <c r="A23" s="17"/>
      <c r="B23" s="17"/>
      <c r="C23" s="748" t="s">
        <v>1028</v>
      </c>
      <c r="D23" s="749"/>
      <c r="E23" s="203">
        <v>2</v>
      </c>
      <c r="F23" s="161"/>
      <c r="G23" s="161">
        <v>1000</v>
      </c>
      <c r="H23" s="161">
        <v>-1000</v>
      </c>
      <c r="I23" s="161"/>
      <c r="J23" s="161"/>
      <c r="K23" s="161"/>
      <c r="L23" s="20"/>
      <c r="M23" s="20"/>
      <c r="N23" s="20"/>
      <c r="O23" s="20"/>
      <c r="P23" s="28">
        <v>0</v>
      </c>
      <c r="Q23" s="517" t="s">
        <v>1261</v>
      </c>
    </row>
    <row r="24" spans="1:17" ht="13.5" customHeight="1">
      <c r="A24" s="17"/>
      <c r="B24" s="17"/>
      <c r="C24" s="181" t="s">
        <v>430</v>
      </c>
      <c r="D24" s="182"/>
      <c r="E24" s="203">
        <v>2</v>
      </c>
      <c r="F24" s="161"/>
      <c r="G24" s="161"/>
      <c r="H24" s="161">
        <v>-1845</v>
      </c>
      <c r="I24" s="161"/>
      <c r="J24" s="161"/>
      <c r="K24" s="161"/>
      <c r="L24" s="20"/>
      <c r="M24" s="20"/>
      <c r="N24" s="20"/>
      <c r="O24" s="20"/>
      <c r="P24" s="28">
        <f>SUM(F24:O24)</f>
        <v>-1845</v>
      </c>
      <c r="Q24" s="517" t="s">
        <v>1261</v>
      </c>
    </row>
    <row r="25" spans="1:17" ht="13.5" customHeight="1">
      <c r="A25" s="162"/>
      <c r="B25" s="162"/>
      <c r="C25" s="169" t="s">
        <v>1123</v>
      </c>
      <c r="D25" s="163"/>
      <c r="E25" s="166"/>
      <c r="F25" s="165">
        <f aca="true" t="shared" si="1" ref="F25:M25">SUM(F5:F24)</f>
        <v>0</v>
      </c>
      <c r="G25" s="165">
        <f t="shared" si="1"/>
        <v>1000</v>
      </c>
      <c r="H25" s="165">
        <f t="shared" si="1"/>
        <v>-2845</v>
      </c>
      <c r="I25" s="165">
        <f t="shared" si="1"/>
        <v>-20723</v>
      </c>
      <c r="J25" s="165">
        <f t="shared" si="1"/>
        <v>0</v>
      </c>
      <c r="K25" s="165">
        <f t="shared" si="1"/>
        <v>0</v>
      </c>
      <c r="L25" s="165">
        <f t="shared" si="1"/>
        <v>0</v>
      </c>
      <c r="M25" s="165">
        <f t="shared" si="1"/>
        <v>0</v>
      </c>
      <c r="N25" s="165"/>
      <c r="O25" s="165">
        <f>SUM(O5:O24)</f>
        <v>0</v>
      </c>
      <c r="P25" s="165">
        <f>SUM(P5:P24)</f>
        <v>-22568</v>
      </c>
      <c r="Q25" s="518"/>
    </row>
    <row r="26" spans="1:17" ht="13.5" customHeight="1">
      <c r="A26" s="17"/>
      <c r="B26" s="17"/>
      <c r="C26" s="158" t="s">
        <v>937</v>
      </c>
      <c r="D26" s="19"/>
      <c r="E26" s="611"/>
      <c r="F26" s="20"/>
      <c r="G26" s="20"/>
      <c r="H26" s="20"/>
      <c r="I26" s="20"/>
      <c r="J26" s="20"/>
      <c r="K26" s="20">
        <f>7!J8</f>
        <v>0</v>
      </c>
      <c r="L26" s="20"/>
      <c r="M26" s="20">
        <f>7!K8</f>
        <v>-5595</v>
      </c>
      <c r="N26" s="20"/>
      <c r="O26" s="20"/>
      <c r="P26" s="28">
        <f>SUM(F26:O26)</f>
        <v>-5595</v>
      </c>
      <c r="Q26" s="517"/>
    </row>
    <row r="27" spans="1:17" ht="13.5" customHeight="1">
      <c r="A27" s="17"/>
      <c r="B27" s="17"/>
      <c r="C27" s="158" t="s">
        <v>208</v>
      </c>
      <c r="D27" s="19"/>
      <c r="E27" s="61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8">
        <f>SUM(F27:O27)</f>
        <v>0</v>
      </c>
      <c r="Q27" s="517"/>
    </row>
    <row r="28" spans="1:17" ht="13.5" customHeight="1">
      <c r="A28" s="162"/>
      <c r="B28" s="162"/>
      <c r="C28" s="169" t="s">
        <v>1130</v>
      </c>
      <c r="D28" s="163"/>
      <c r="E28" s="612"/>
      <c r="F28" s="165">
        <f>SUM(F25:F27)</f>
        <v>0</v>
      </c>
      <c r="G28" s="165">
        <f aca="true" t="shared" si="2" ref="G28:P28">SUM(G25:G27)</f>
        <v>1000</v>
      </c>
      <c r="H28" s="165">
        <f t="shared" si="2"/>
        <v>-2845</v>
      </c>
      <c r="I28" s="165">
        <f t="shared" si="2"/>
        <v>-20723</v>
      </c>
      <c r="J28" s="165">
        <f t="shared" si="2"/>
        <v>0</v>
      </c>
      <c r="K28" s="165">
        <f t="shared" si="2"/>
        <v>0</v>
      </c>
      <c r="L28" s="165">
        <f t="shared" si="2"/>
        <v>0</v>
      </c>
      <c r="M28" s="165">
        <f t="shared" si="2"/>
        <v>-5595</v>
      </c>
      <c r="N28" s="165"/>
      <c r="O28" s="165">
        <f t="shared" si="2"/>
        <v>0</v>
      </c>
      <c r="P28" s="165">
        <f t="shared" si="2"/>
        <v>-28163</v>
      </c>
      <c r="Q28" s="518"/>
    </row>
    <row r="29" spans="1:17" ht="13.5" customHeight="1">
      <c r="A29" s="29">
        <v>1</v>
      </c>
      <c r="B29" s="29">
        <v>13</v>
      </c>
      <c r="C29" s="57" t="s">
        <v>1009</v>
      </c>
      <c r="D29" s="38"/>
      <c r="E29" s="20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8"/>
      <c r="Q29" s="517"/>
    </row>
    <row r="30" spans="1:17" ht="13.5" customHeight="1">
      <c r="A30" s="29"/>
      <c r="B30" s="29"/>
      <c r="C30" s="578" t="s">
        <v>1244</v>
      </c>
      <c r="D30" s="38"/>
      <c r="E30" s="20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8"/>
      <c r="Q30" s="517"/>
    </row>
    <row r="31" spans="1:17" ht="13.5" customHeight="1">
      <c r="A31" s="29"/>
      <c r="B31" s="29"/>
      <c r="C31" s="177" t="s">
        <v>1119</v>
      </c>
      <c r="D31" s="652"/>
      <c r="E31" s="208"/>
      <c r="F31" s="20"/>
      <c r="G31" s="20"/>
      <c r="H31" s="161"/>
      <c r="I31" s="161"/>
      <c r="J31" s="161"/>
      <c r="K31" s="20"/>
      <c r="L31" s="20"/>
      <c r="M31" s="20"/>
      <c r="N31" s="20"/>
      <c r="O31" s="20"/>
      <c r="P31" s="28"/>
      <c r="Q31" s="517"/>
    </row>
    <row r="32" spans="1:17" ht="24.75" customHeight="1">
      <c r="A32" s="29"/>
      <c r="B32" s="29"/>
      <c r="C32" s="863" t="s">
        <v>431</v>
      </c>
      <c r="D32" s="864"/>
      <c r="E32" s="208">
        <v>2</v>
      </c>
      <c r="F32" s="20"/>
      <c r="G32" s="20"/>
      <c r="H32" s="161">
        <v>-2120</v>
      </c>
      <c r="I32" s="161"/>
      <c r="J32" s="161">
        <v>1980</v>
      </c>
      <c r="K32" s="161"/>
      <c r="L32" s="20"/>
      <c r="M32" s="20"/>
      <c r="N32" s="20"/>
      <c r="O32" s="20"/>
      <c r="P32" s="28">
        <f>SUM(F32:O32)</f>
        <v>-140</v>
      </c>
      <c r="Q32" s="517" t="s">
        <v>1261</v>
      </c>
    </row>
    <row r="33" spans="1:17" ht="15" customHeight="1">
      <c r="A33" s="29"/>
      <c r="B33" s="29"/>
      <c r="C33" s="863" t="s">
        <v>672</v>
      </c>
      <c r="D33" s="864"/>
      <c r="E33" s="208">
        <v>2</v>
      </c>
      <c r="F33" s="20"/>
      <c r="G33" s="20"/>
      <c r="H33" s="161"/>
      <c r="I33" s="161"/>
      <c r="J33" s="161">
        <v>1500</v>
      </c>
      <c r="K33" s="161"/>
      <c r="L33" s="20"/>
      <c r="M33" s="20"/>
      <c r="N33" s="20"/>
      <c r="O33" s="20"/>
      <c r="P33" s="28">
        <f>SUM(F33:O33)</f>
        <v>1500</v>
      </c>
      <c r="Q33" s="517" t="s">
        <v>1261</v>
      </c>
    </row>
    <row r="34" spans="1:17" ht="15.75" customHeight="1">
      <c r="A34" s="29"/>
      <c r="B34" s="29"/>
      <c r="C34" s="905" t="s">
        <v>1245</v>
      </c>
      <c r="D34" s="906"/>
      <c r="E34" s="209"/>
      <c r="F34" s="161"/>
      <c r="G34" s="161"/>
      <c r="H34" s="161"/>
      <c r="I34" s="161"/>
      <c r="J34" s="161"/>
      <c r="K34" s="20"/>
      <c r="L34" s="20"/>
      <c r="M34" s="20"/>
      <c r="N34" s="20"/>
      <c r="O34" s="20"/>
      <c r="P34" s="28"/>
      <c r="Q34" s="517"/>
    </row>
    <row r="35" spans="1:17" ht="24.75" customHeight="1">
      <c r="A35" s="29"/>
      <c r="B35" s="29"/>
      <c r="C35" s="863" t="s">
        <v>992</v>
      </c>
      <c r="D35" s="864"/>
      <c r="E35" s="209"/>
      <c r="F35" s="161"/>
      <c r="G35" s="161"/>
      <c r="H35" s="161"/>
      <c r="I35" s="161"/>
      <c r="J35" s="161"/>
      <c r="K35" s="20"/>
      <c r="L35" s="20"/>
      <c r="M35" s="20"/>
      <c r="N35" s="20"/>
      <c r="O35" s="20"/>
      <c r="P35" s="28"/>
      <c r="Q35" s="517"/>
    </row>
    <row r="36" spans="1:17" ht="15" customHeight="1">
      <c r="A36" s="29"/>
      <c r="B36" s="29"/>
      <c r="C36" s="863" t="s">
        <v>993</v>
      </c>
      <c r="D36" s="864"/>
      <c r="E36" s="209">
        <v>2</v>
      </c>
      <c r="F36" s="161">
        <v>183</v>
      </c>
      <c r="G36" s="161">
        <v>104</v>
      </c>
      <c r="H36" s="161"/>
      <c r="I36" s="161"/>
      <c r="J36" s="161">
        <v>-287</v>
      </c>
      <c r="K36" s="20"/>
      <c r="L36" s="20"/>
      <c r="M36" s="20"/>
      <c r="N36" s="20"/>
      <c r="O36" s="20"/>
      <c r="P36" s="28">
        <f>SUM(F36:O36)</f>
        <v>0</v>
      </c>
      <c r="Q36" s="517" t="s">
        <v>1261</v>
      </c>
    </row>
    <row r="37" spans="1:17" ht="15" customHeight="1">
      <c r="A37" s="29"/>
      <c r="B37" s="29"/>
      <c r="C37" s="32" t="s">
        <v>673</v>
      </c>
      <c r="D37" s="666"/>
      <c r="E37" s="209">
        <v>2</v>
      </c>
      <c r="F37" s="161">
        <v>137</v>
      </c>
      <c r="G37" s="161">
        <v>74</v>
      </c>
      <c r="H37" s="161">
        <v>-66</v>
      </c>
      <c r="I37" s="161"/>
      <c r="J37" s="161">
        <v>100</v>
      </c>
      <c r="K37" s="20"/>
      <c r="L37" s="20"/>
      <c r="M37" s="20"/>
      <c r="N37" s="20"/>
      <c r="O37" s="20"/>
      <c r="P37" s="28">
        <f>SUM(F37:O37)</f>
        <v>245</v>
      </c>
      <c r="Q37" s="517" t="s">
        <v>1261</v>
      </c>
    </row>
    <row r="38" spans="1:17" ht="15" customHeight="1">
      <c r="A38" s="29"/>
      <c r="B38" s="29"/>
      <c r="C38" s="840" t="s">
        <v>674</v>
      </c>
      <c r="D38" s="841"/>
      <c r="E38" s="209">
        <v>2</v>
      </c>
      <c r="F38" s="161">
        <v>117</v>
      </c>
      <c r="G38" s="161"/>
      <c r="H38" s="161">
        <v>288</v>
      </c>
      <c r="I38" s="161"/>
      <c r="J38" s="161">
        <v>-405</v>
      </c>
      <c r="K38" s="20"/>
      <c r="L38" s="20"/>
      <c r="M38" s="20"/>
      <c r="N38" s="20"/>
      <c r="O38" s="20"/>
      <c r="P38" s="28">
        <f>SUM(F38:O38)</f>
        <v>0</v>
      </c>
      <c r="Q38" s="517" t="s">
        <v>1261</v>
      </c>
    </row>
    <row r="39" spans="1:17" ht="13.5" customHeight="1">
      <c r="A39" s="29"/>
      <c r="B39" s="29"/>
      <c r="C39" s="900" t="s">
        <v>432</v>
      </c>
      <c r="D39" s="901"/>
      <c r="E39" s="203"/>
      <c r="F39" s="20"/>
      <c r="G39" s="20"/>
      <c r="H39" s="161"/>
      <c r="I39" s="161"/>
      <c r="J39" s="161"/>
      <c r="K39" s="20"/>
      <c r="L39" s="20"/>
      <c r="M39" s="20"/>
      <c r="N39" s="20"/>
      <c r="O39" s="20"/>
      <c r="P39" s="28"/>
      <c r="Q39" s="517"/>
    </row>
    <row r="40" spans="1:17" ht="13.5" customHeight="1">
      <c r="A40" s="29"/>
      <c r="B40" s="29"/>
      <c r="C40" s="840" t="s">
        <v>433</v>
      </c>
      <c r="D40" s="903"/>
      <c r="E40" s="207">
        <v>2</v>
      </c>
      <c r="F40" s="20"/>
      <c r="G40" s="20"/>
      <c r="H40" s="161"/>
      <c r="I40" s="161">
        <v>-495</v>
      </c>
      <c r="J40" s="161"/>
      <c r="K40" s="20"/>
      <c r="L40" s="20"/>
      <c r="M40" s="20"/>
      <c r="N40" s="20"/>
      <c r="O40" s="20"/>
      <c r="P40" s="28">
        <f>SUM(F40:O40)</f>
        <v>-495</v>
      </c>
      <c r="Q40" s="517" t="s">
        <v>1261</v>
      </c>
    </row>
    <row r="41" spans="1:17" ht="13.5" customHeight="1">
      <c r="A41" s="29"/>
      <c r="B41" s="29"/>
      <c r="C41" s="857" t="s">
        <v>1120</v>
      </c>
      <c r="D41" s="858"/>
      <c r="E41" s="654"/>
      <c r="F41" s="20"/>
      <c r="G41" s="20"/>
      <c r="H41" s="161"/>
      <c r="I41" s="161"/>
      <c r="J41" s="161"/>
      <c r="K41" s="20"/>
      <c r="L41" s="20"/>
      <c r="M41" s="20"/>
      <c r="N41" s="20"/>
      <c r="O41" s="20"/>
      <c r="P41" s="28"/>
      <c r="Q41" s="517"/>
    </row>
    <row r="42" spans="1:17" ht="16.5" customHeight="1">
      <c r="A42" s="29"/>
      <c r="B42" s="29"/>
      <c r="C42" s="863" t="s">
        <v>675</v>
      </c>
      <c r="D42" s="864"/>
      <c r="E42" s="654">
        <v>2</v>
      </c>
      <c r="F42" s="20"/>
      <c r="G42" s="20"/>
      <c r="H42" s="161">
        <v>-676</v>
      </c>
      <c r="I42" s="161"/>
      <c r="J42" s="161">
        <v>1000</v>
      </c>
      <c r="K42" s="20"/>
      <c r="L42" s="20"/>
      <c r="M42" s="20"/>
      <c r="N42" s="20"/>
      <c r="O42" s="20"/>
      <c r="P42" s="28">
        <f>SUM(F42:O42)</f>
        <v>324</v>
      </c>
      <c r="Q42" s="517" t="s">
        <v>1261</v>
      </c>
    </row>
    <row r="43" spans="1:17" ht="16.5" customHeight="1">
      <c r="A43" s="29"/>
      <c r="B43" s="29"/>
      <c r="C43" s="776" t="s">
        <v>676</v>
      </c>
      <c r="D43" s="837"/>
      <c r="E43" s="654">
        <v>2</v>
      </c>
      <c r="F43" s="20"/>
      <c r="G43" s="20"/>
      <c r="H43" s="161"/>
      <c r="I43" s="161"/>
      <c r="J43" s="161">
        <v>760</v>
      </c>
      <c r="K43" s="20"/>
      <c r="L43" s="20"/>
      <c r="M43" s="20"/>
      <c r="N43" s="20"/>
      <c r="O43" s="20"/>
      <c r="P43" s="28">
        <f>SUM(F43:O43)</f>
        <v>760</v>
      </c>
      <c r="Q43" s="517" t="s">
        <v>1261</v>
      </c>
    </row>
    <row r="44" spans="1:17" ht="16.5" customHeight="1">
      <c r="A44" s="29"/>
      <c r="B44" s="29"/>
      <c r="C44" s="821" t="s">
        <v>677</v>
      </c>
      <c r="D44" s="822"/>
      <c r="E44" s="654">
        <v>2</v>
      </c>
      <c r="F44" s="20"/>
      <c r="G44" s="161">
        <v>202</v>
      </c>
      <c r="H44" s="161"/>
      <c r="I44" s="161"/>
      <c r="J44" s="161"/>
      <c r="K44" s="20"/>
      <c r="L44" s="20"/>
      <c r="M44" s="20"/>
      <c r="N44" s="20"/>
      <c r="O44" s="20"/>
      <c r="P44" s="28">
        <f>SUM(F44:O44)</f>
        <v>202</v>
      </c>
      <c r="Q44" s="517" t="s">
        <v>1261</v>
      </c>
    </row>
    <row r="45" spans="1:17" ht="16.5" customHeight="1">
      <c r="A45" s="29"/>
      <c r="B45" s="29"/>
      <c r="C45" s="821" t="s">
        <v>1027</v>
      </c>
      <c r="D45" s="822"/>
      <c r="E45" s="654">
        <v>1</v>
      </c>
      <c r="F45" s="20"/>
      <c r="G45" s="161"/>
      <c r="H45" s="161">
        <v>-74</v>
      </c>
      <c r="I45" s="161"/>
      <c r="J45" s="161"/>
      <c r="K45" s="20"/>
      <c r="L45" s="20"/>
      <c r="M45" s="20"/>
      <c r="N45" s="20"/>
      <c r="O45" s="20"/>
      <c r="P45" s="28">
        <f>SUM(F45:O45)</f>
        <v>-74</v>
      </c>
      <c r="Q45" s="517" t="s">
        <v>210</v>
      </c>
    </row>
    <row r="46" spans="1:17" ht="15" customHeight="1">
      <c r="A46" s="29"/>
      <c r="B46" s="29"/>
      <c r="C46" s="863" t="s">
        <v>434</v>
      </c>
      <c r="D46" s="864"/>
      <c r="E46" s="654"/>
      <c r="F46" s="20"/>
      <c r="G46" s="20"/>
      <c r="H46" s="161"/>
      <c r="I46" s="161"/>
      <c r="J46" s="161"/>
      <c r="K46" s="20"/>
      <c r="L46" s="20"/>
      <c r="M46" s="20"/>
      <c r="N46" s="20"/>
      <c r="O46" s="20"/>
      <c r="P46" s="28"/>
      <c r="Q46" s="517"/>
    </row>
    <row r="47" spans="1:17" ht="15" customHeight="1">
      <c r="A47" s="29"/>
      <c r="B47" s="29"/>
      <c r="C47" s="863" t="s">
        <v>435</v>
      </c>
      <c r="D47" s="864"/>
      <c r="E47" s="654">
        <v>2</v>
      </c>
      <c r="F47" s="20"/>
      <c r="G47" s="20"/>
      <c r="H47" s="161"/>
      <c r="I47" s="161"/>
      <c r="J47" s="161">
        <v>30</v>
      </c>
      <c r="K47" s="20"/>
      <c r="L47" s="20"/>
      <c r="M47" s="20"/>
      <c r="N47" s="20"/>
      <c r="O47" s="20"/>
      <c r="P47" s="28">
        <f>SUM(F47:O47)</f>
        <v>30</v>
      </c>
      <c r="Q47" s="517" t="s">
        <v>1261</v>
      </c>
    </row>
    <row r="48" spans="1:17" ht="15" customHeight="1">
      <c r="A48" s="29"/>
      <c r="B48" s="29"/>
      <c r="C48" s="863" t="s">
        <v>678</v>
      </c>
      <c r="D48" s="864"/>
      <c r="E48" s="654">
        <v>2</v>
      </c>
      <c r="F48" s="161">
        <v>334</v>
      </c>
      <c r="G48" s="161">
        <v>158</v>
      </c>
      <c r="H48" s="161">
        <v>8</v>
      </c>
      <c r="I48" s="161"/>
      <c r="J48" s="161"/>
      <c r="K48" s="20"/>
      <c r="L48" s="20"/>
      <c r="M48" s="20"/>
      <c r="N48" s="20"/>
      <c r="O48" s="20"/>
      <c r="P48" s="28">
        <f>SUM(F48:O48)</f>
        <v>500</v>
      </c>
      <c r="Q48" s="517" t="s">
        <v>1261</v>
      </c>
    </row>
    <row r="49" spans="1:17" ht="13.5" customHeight="1">
      <c r="A49" s="29"/>
      <c r="B49" s="29"/>
      <c r="C49" s="865" t="s">
        <v>1243</v>
      </c>
      <c r="D49" s="866"/>
      <c r="E49" s="205"/>
      <c r="F49" s="20"/>
      <c r="G49" s="20"/>
      <c r="H49" s="161"/>
      <c r="I49" s="161"/>
      <c r="J49" s="161"/>
      <c r="K49" s="20"/>
      <c r="L49" s="20"/>
      <c r="M49" s="20"/>
      <c r="N49" s="20"/>
      <c r="O49" s="20"/>
      <c r="P49" s="28"/>
      <c r="Q49" s="517"/>
    </row>
    <row r="50" spans="1:17" ht="24.75" customHeight="1">
      <c r="A50" s="29"/>
      <c r="B50" s="29"/>
      <c r="C50" s="857" t="s">
        <v>679</v>
      </c>
      <c r="D50" s="858"/>
      <c r="E50" s="203"/>
      <c r="F50" s="20"/>
      <c r="G50" s="20"/>
      <c r="H50" s="161"/>
      <c r="I50" s="161"/>
      <c r="J50" s="161"/>
      <c r="K50" s="20"/>
      <c r="L50" s="20"/>
      <c r="M50" s="20"/>
      <c r="N50" s="20"/>
      <c r="O50" s="20"/>
      <c r="P50" s="28"/>
      <c r="Q50" s="517"/>
    </row>
    <row r="51" spans="1:17" ht="13.5" customHeight="1">
      <c r="A51" s="29"/>
      <c r="B51" s="29"/>
      <c r="C51" s="32" t="s">
        <v>680</v>
      </c>
      <c r="D51" s="30"/>
      <c r="E51" s="204">
        <v>2</v>
      </c>
      <c r="F51" s="161">
        <v>12</v>
      </c>
      <c r="G51" s="20"/>
      <c r="H51" s="161">
        <v>-189</v>
      </c>
      <c r="I51" s="161"/>
      <c r="J51" s="161">
        <v>120</v>
      </c>
      <c r="K51" s="20"/>
      <c r="L51" s="20"/>
      <c r="M51" s="20"/>
      <c r="N51" s="20"/>
      <c r="O51" s="20"/>
      <c r="P51" s="28">
        <f>SUM(F51:O51)</f>
        <v>-57</v>
      </c>
      <c r="Q51" s="517" t="s">
        <v>1261</v>
      </c>
    </row>
    <row r="52" spans="1:17" ht="36.75" customHeight="1">
      <c r="A52" s="29"/>
      <c r="B52" s="29"/>
      <c r="C52" s="867" t="s">
        <v>681</v>
      </c>
      <c r="D52" s="902"/>
      <c r="E52" s="204"/>
      <c r="F52" s="20"/>
      <c r="G52" s="20"/>
      <c r="H52" s="161"/>
      <c r="I52" s="161"/>
      <c r="J52" s="161"/>
      <c r="K52" s="20"/>
      <c r="L52" s="20"/>
      <c r="M52" s="20"/>
      <c r="N52" s="20"/>
      <c r="O52" s="20"/>
      <c r="P52" s="28">
        <f>SUM(F52:O52)</f>
        <v>0</v>
      </c>
      <c r="Q52" s="517"/>
    </row>
    <row r="53" spans="1:17" ht="28.5" customHeight="1">
      <c r="A53" s="29"/>
      <c r="B53" s="29"/>
      <c r="C53" s="867" t="s">
        <v>682</v>
      </c>
      <c r="D53" s="777"/>
      <c r="E53" s="204">
        <v>2</v>
      </c>
      <c r="F53" s="161">
        <v>408</v>
      </c>
      <c r="G53" s="161">
        <v>145</v>
      </c>
      <c r="H53" s="161">
        <v>-553</v>
      </c>
      <c r="I53" s="161"/>
      <c r="J53" s="161"/>
      <c r="K53" s="20"/>
      <c r="L53" s="20"/>
      <c r="M53" s="20"/>
      <c r="N53" s="20"/>
      <c r="O53" s="20"/>
      <c r="P53" s="28">
        <f>SUM(F53:O53)</f>
        <v>0</v>
      </c>
      <c r="Q53" s="517" t="s">
        <v>1261</v>
      </c>
    </row>
    <row r="54" spans="1:17" ht="15.75" customHeight="1">
      <c r="A54" s="29"/>
      <c r="B54" s="29"/>
      <c r="C54" s="776" t="s">
        <v>683</v>
      </c>
      <c r="D54" s="837"/>
      <c r="E54" s="204"/>
      <c r="F54" s="161"/>
      <c r="G54" s="161"/>
      <c r="H54" s="161"/>
      <c r="I54" s="161"/>
      <c r="J54" s="161"/>
      <c r="K54" s="20"/>
      <c r="L54" s="20"/>
      <c r="M54" s="20"/>
      <c r="N54" s="20"/>
      <c r="O54" s="20"/>
      <c r="P54" s="28"/>
      <c r="Q54" s="517"/>
    </row>
    <row r="55" spans="1:17" ht="12.75" customHeight="1">
      <c r="A55" s="29"/>
      <c r="B55" s="29"/>
      <c r="C55" s="857" t="s">
        <v>684</v>
      </c>
      <c r="D55" s="858"/>
      <c r="E55" s="204">
        <v>2</v>
      </c>
      <c r="F55" s="161">
        <v>200</v>
      </c>
      <c r="G55" s="161"/>
      <c r="H55" s="161">
        <v>-750</v>
      </c>
      <c r="I55" s="161"/>
      <c r="J55" s="161">
        <v>550</v>
      </c>
      <c r="K55" s="20"/>
      <c r="L55" s="20"/>
      <c r="M55" s="20"/>
      <c r="N55" s="20"/>
      <c r="O55" s="20"/>
      <c r="P55" s="28">
        <f>SUM(F55:O55)</f>
        <v>0</v>
      </c>
      <c r="Q55" s="517" t="s">
        <v>1261</v>
      </c>
    </row>
    <row r="56" spans="1:17" ht="24.75" customHeight="1">
      <c r="A56" s="29"/>
      <c r="B56" s="29"/>
      <c r="C56" s="831" t="s">
        <v>997</v>
      </c>
      <c r="D56" s="832"/>
      <c r="E56" s="204"/>
      <c r="F56" s="161"/>
      <c r="G56" s="161"/>
      <c r="H56" s="161"/>
      <c r="I56" s="161"/>
      <c r="J56" s="161"/>
      <c r="K56" s="20"/>
      <c r="L56" s="20"/>
      <c r="M56" s="20"/>
      <c r="N56" s="20"/>
      <c r="O56" s="20"/>
      <c r="P56" s="28">
        <f aca="true" t="shared" si="3" ref="P56:P67">SUM(F56:O56)</f>
        <v>0</v>
      </c>
      <c r="Q56" s="40"/>
    </row>
    <row r="57" spans="1:17" ht="12.75" customHeight="1">
      <c r="A57" s="29"/>
      <c r="B57" s="29"/>
      <c r="C57" s="32" t="s">
        <v>685</v>
      </c>
      <c r="D57" s="30"/>
      <c r="E57" s="204">
        <v>1</v>
      </c>
      <c r="F57" s="161"/>
      <c r="G57" s="161"/>
      <c r="H57" s="161">
        <v>-774</v>
      </c>
      <c r="I57" s="161"/>
      <c r="J57" s="161"/>
      <c r="K57" s="20"/>
      <c r="L57" s="20"/>
      <c r="M57" s="20"/>
      <c r="N57" s="20"/>
      <c r="O57" s="20"/>
      <c r="P57" s="28">
        <f t="shared" si="3"/>
        <v>-774</v>
      </c>
      <c r="Q57" s="40" t="s">
        <v>1261</v>
      </c>
    </row>
    <row r="58" spans="1:17" ht="13.5" customHeight="1">
      <c r="A58" s="29"/>
      <c r="B58" s="29"/>
      <c r="C58" s="683" t="s">
        <v>353</v>
      </c>
      <c r="D58" s="173"/>
      <c r="E58" s="204"/>
      <c r="F58" s="20"/>
      <c r="G58" s="20"/>
      <c r="H58" s="161"/>
      <c r="I58" s="161"/>
      <c r="J58" s="161"/>
      <c r="K58" s="20"/>
      <c r="L58" s="20"/>
      <c r="M58" s="20"/>
      <c r="N58" s="20"/>
      <c r="O58" s="20"/>
      <c r="P58" s="28">
        <f t="shared" si="3"/>
        <v>0</v>
      </c>
      <c r="Q58" s="40"/>
    </row>
    <row r="59" spans="1:17" ht="13.5" customHeight="1">
      <c r="A59" s="29"/>
      <c r="B59" s="29"/>
      <c r="C59" s="840" t="s">
        <v>686</v>
      </c>
      <c r="D59" s="841"/>
      <c r="E59" s="204"/>
      <c r="F59" s="20"/>
      <c r="G59" s="20"/>
      <c r="H59" s="161"/>
      <c r="I59" s="161"/>
      <c r="J59" s="161"/>
      <c r="K59" s="20"/>
      <c r="L59" s="20"/>
      <c r="M59" s="20"/>
      <c r="N59" s="20"/>
      <c r="O59" s="20"/>
      <c r="P59" s="28">
        <f t="shared" si="3"/>
        <v>0</v>
      </c>
      <c r="Q59" s="40"/>
    </row>
    <row r="60" spans="1:17" ht="13.5" customHeight="1">
      <c r="A60" s="29"/>
      <c r="B60" s="29"/>
      <c r="C60" s="32" t="s">
        <v>688</v>
      </c>
      <c r="D60" s="173"/>
      <c r="E60" s="204">
        <v>2</v>
      </c>
      <c r="F60" s="20"/>
      <c r="G60" s="20"/>
      <c r="H60" s="161"/>
      <c r="I60" s="161"/>
      <c r="J60" s="161">
        <v>-1669</v>
      </c>
      <c r="K60" s="20"/>
      <c r="L60" s="20"/>
      <c r="M60" s="20"/>
      <c r="N60" s="20"/>
      <c r="O60" s="20"/>
      <c r="P60" s="28">
        <f t="shared" si="3"/>
        <v>-1669</v>
      </c>
      <c r="Q60" s="40" t="s">
        <v>1261</v>
      </c>
    </row>
    <row r="61" spans="1:17" ht="13.5" customHeight="1">
      <c r="A61" s="29"/>
      <c r="B61" s="29"/>
      <c r="C61" s="835" t="s">
        <v>690</v>
      </c>
      <c r="D61" s="836"/>
      <c r="E61" s="204"/>
      <c r="F61" s="20"/>
      <c r="G61" s="20"/>
      <c r="H61" s="161"/>
      <c r="I61" s="161"/>
      <c r="J61" s="161"/>
      <c r="K61" s="20"/>
      <c r="L61" s="20"/>
      <c r="M61" s="20"/>
      <c r="N61" s="20"/>
      <c r="O61" s="20"/>
      <c r="P61" s="28">
        <f t="shared" si="3"/>
        <v>0</v>
      </c>
      <c r="Q61" s="40"/>
    </row>
    <row r="62" spans="1:17" ht="13.5" customHeight="1">
      <c r="A62" s="29"/>
      <c r="B62" s="29"/>
      <c r="C62" s="40" t="s">
        <v>691</v>
      </c>
      <c r="D62" s="650"/>
      <c r="E62" s="204">
        <v>1</v>
      </c>
      <c r="F62" s="20"/>
      <c r="G62" s="20"/>
      <c r="H62" s="161"/>
      <c r="I62" s="161"/>
      <c r="J62" s="161">
        <v>1800</v>
      </c>
      <c r="K62" s="20"/>
      <c r="L62" s="20"/>
      <c r="M62" s="20"/>
      <c r="N62" s="20"/>
      <c r="O62" s="20"/>
      <c r="P62" s="28">
        <f t="shared" si="3"/>
        <v>1800</v>
      </c>
      <c r="Q62" s="40" t="s">
        <v>1261</v>
      </c>
    </row>
    <row r="63" spans="1:17" ht="27" customHeight="1">
      <c r="A63" s="29"/>
      <c r="B63" s="29"/>
      <c r="C63" s="868" t="s">
        <v>693</v>
      </c>
      <c r="D63" s="869"/>
      <c r="E63" s="204">
        <v>1</v>
      </c>
      <c r="F63" s="20"/>
      <c r="G63" s="20"/>
      <c r="H63" s="161"/>
      <c r="I63" s="161"/>
      <c r="J63" s="161">
        <v>-1800</v>
      </c>
      <c r="K63" s="20"/>
      <c r="L63" s="20"/>
      <c r="M63" s="20"/>
      <c r="N63" s="20"/>
      <c r="O63" s="20"/>
      <c r="P63" s="28">
        <f t="shared" si="3"/>
        <v>-1800</v>
      </c>
      <c r="Q63" s="40" t="s">
        <v>1261</v>
      </c>
    </row>
    <row r="64" spans="1:17" ht="13.5" customHeight="1">
      <c r="A64" s="29"/>
      <c r="B64" s="29"/>
      <c r="C64" s="40" t="s">
        <v>692</v>
      </c>
      <c r="D64" s="650"/>
      <c r="E64" s="204">
        <v>1</v>
      </c>
      <c r="F64" s="20"/>
      <c r="G64" s="20"/>
      <c r="H64" s="161">
        <v>-1298</v>
      </c>
      <c r="I64" s="161"/>
      <c r="J64" s="161">
        <v>1380</v>
      </c>
      <c r="K64" s="20"/>
      <c r="L64" s="20"/>
      <c r="M64" s="20"/>
      <c r="N64" s="20"/>
      <c r="O64" s="20"/>
      <c r="P64" s="28">
        <f t="shared" si="3"/>
        <v>82</v>
      </c>
      <c r="Q64" s="40" t="s">
        <v>1261</v>
      </c>
    </row>
    <row r="65" spans="1:17" ht="13.5" customHeight="1">
      <c r="A65" s="29"/>
      <c r="B65" s="29"/>
      <c r="C65" s="695" t="s">
        <v>694</v>
      </c>
      <c r="D65" s="650"/>
      <c r="E65" s="204">
        <v>1</v>
      </c>
      <c r="F65" s="161">
        <v>200</v>
      </c>
      <c r="G65" s="161">
        <v>125</v>
      </c>
      <c r="H65" s="161">
        <v>430</v>
      </c>
      <c r="I65" s="161"/>
      <c r="J65" s="161">
        <v>-755</v>
      </c>
      <c r="K65" s="20"/>
      <c r="L65" s="20"/>
      <c r="M65" s="20"/>
      <c r="N65" s="20"/>
      <c r="O65" s="20"/>
      <c r="P65" s="28">
        <f t="shared" si="3"/>
        <v>0</v>
      </c>
      <c r="Q65" s="40" t="s">
        <v>1261</v>
      </c>
    </row>
    <row r="66" spans="1:17" ht="13.5" customHeight="1">
      <c r="A66" s="29"/>
      <c r="B66" s="29"/>
      <c r="C66" s="840" t="s">
        <v>354</v>
      </c>
      <c r="D66" s="841"/>
      <c r="E66" s="204"/>
      <c r="F66" s="161"/>
      <c r="G66" s="161"/>
      <c r="H66" s="161"/>
      <c r="I66" s="161"/>
      <c r="J66" s="161"/>
      <c r="K66" s="20"/>
      <c r="L66" s="20"/>
      <c r="M66" s="20"/>
      <c r="N66" s="20"/>
      <c r="O66" s="20"/>
      <c r="P66" s="28">
        <f t="shared" si="3"/>
        <v>0</v>
      </c>
      <c r="Q66" s="40"/>
    </row>
    <row r="67" spans="1:17" ht="13.5" customHeight="1">
      <c r="A67" s="29"/>
      <c r="B67" s="29"/>
      <c r="C67" s="859" t="s">
        <v>689</v>
      </c>
      <c r="D67" s="860"/>
      <c r="E67" s="204">
        <v>1</v>
      </c>
      <c r="F67" s="161">
        <v>290</v>
      </c>
      <c r="G67" s="161">
        <v>70</v>
      </c>
      <c r="H67" s="161">
        <v>1497</v>
      </c>
      <c r="I67" s="161"/>
      <c r="J67" s="161">
        <v>-2000</v>
      </c>
      <c r="K67" s="20"/>
      <c r="L67" s="20"/>
      <c r="M67" s="20"/>
      <c r="N67" s="20"/>
      <c r="O67" s="20"/>
      <c r="P67" s="28">
        <f t="shared" si="3"/>
        <v>-143</v>
      </c>
      <c r="Q67" s="40" t="s">
        <v>1261</v>
      </c>
    </row>
    <row r="68" spans="1:17" ht="13.5" customHeight="1">
      <c r="A68" s="29"/>
      <c r="B68" s="29"/>
      <c r="C68" s="40" t="s">
        <v>355</v>
      </c>
      <c r="D68" s="173"/>
      <c r="E68" s="204">
        <v>1</v>
      </c>
      <c r="F68" s="20"/>
      <c r="G68" s="20"/>
      <c r="H68" s="161">
        <v>-80</v>
      </c>
      <c r="I68" s="161"/>
      <c r="J68" s="161">
        <v>80</v>
      </c>
      <c r="K68" s="20"/>
      <c r="L68" s="20"/>
      <c r="M68" s="20"/>
      <c r="N68" s="20"/>
      <c r="O68" s="20"/>
      <c r="P68" s="28">
        <v>0</v>
      </c>
      <c r="Q68" s="40" t="s">
        <v>1261</v>
      </c>
    </row>
    <row r="69" spans="1:17" ht="13.5" customHeight="1">
      <c r="A69" s="33"/>
      <c r="B69" s="33"/>
      <c r="C69" s="172" t="s">
        <v>1131</v>
      </c>
      <c r="D69" s="171"/>
      <c r="E69" s="33"/>
      <c r="F69" s="165">
        <f>SUM(F31:F68)</f>
        <v>1881</v>
      </c>
      <c r="G69" s="165">
        <f aca="true" t="shared" si="4" ref="G69:P69">SUM(G31:G68)</f>
        <v>878</v>
      </c>
      <c r="H69" s="165">
        <f t="shared" si="4"/>
        <v>-4357</v>
      </c>
      <c r="I69" s="165">
        <f t="shared" si="4"/>
        <v>-495</v>
      </c>
      <c r="J69" s="165">
        <f t="shared" si="4"/>
        <v>2384</v>
      </c>
      <c r="K69" s="165">
        <f t="shared" si="4"/>
        <v>0</v>
      </c>
      <c r="L69" s="165">
        <f t="shared" si="4"/>
        <v>0</v>
      </c>
      <c r="M69" s="165">
        <f t="shared" si="4"/>
        <v>0</v>
      </c>
      <c r="N69" s="165">
        <f t="shared" si="4"/>
        <v>0</v>
      </c>
      <c r="O69" s="165">
        <f t="shared" si="4"/>
        <v>0</v>
      </c>
      <c r="P69" s="165">
        <f t="shared" si="4"/>
        <v>291</v>
      </c>
      <c r="Q69" s="165"/>
    </row>
    <row r="70" spans="1:17" ht="13.5" customHeight="1">
      <c r="A70" s="17"/>
      <c r="B70" s="17"/>
      <c r="C70" s="32" t="s">
        <v>938</v>
      </c>
      <c r="D70" s="19"/>
      <c r="E70" s="39"/>
      <c r="F70" s="20"/>
      <c r="G70" s="20"/>
      <c r="H70" s="20"/>
      <c r="I70" s="20"/>
      <c r="J70" s="20"/>
      <c r="K70" s="161">
        <f>7!J37</f>
        <v>24839</v>
      </c>
      <c r="L70" s="161"/>
      <c r="M70" s="161">
        <f>7!K37</f>
        <v>-15903</v>
      </c>
      <c r="N70" s="161"/>
      <c r="O70" s="17"/>
      <c r="P70" s="28">
        <f>SUM(F70:O70)</f>
        <v>8936</v>
      </c>
      <c r="Q70" s="517"/>
    </row>
    <row r="71" spans="1:17" ht="13.5" customHeight="1">
      <c r="A71" s="17"/>
      <c r="B71" s="17"/>
      <c r="C71" s="32" t="s">
        <v>208</v>
      </c>
      <c r="D71" s="19"/>
      <c r="E71" s="39"/>
      <c r="F71" s="20"/>
      <c r="G71" s="20"/>
      <c r="H71" s="20"/>
      <c r="I71" s="20"/>
      <c r="J71" s="20"/>
      <c r="K71" s="161"/>
      <c r="L71" s="161">
        <f>8!J52</f>
        <v>6805</v>
      </c>
      <c r="M71" s="161">
        <f>8!K52</f>
        <v>1000</v>
      </c>
      <c r="N71" s="161"/>
      <c r="O71" s="17"/>
      <c r="P71" s="28">
        <f>SUM(F71:O71)</f>
        <v>7805</v>
      </c>
      <c r="Q71" s="517"/>
    </row>
    <row r="72" spans="1:17" ht="13.5" customHeight="1">
      <c r="A72" s="162"/>
      <c r="B72" s="162"/>
      <c r="C72" s="34" t="s">
        <v>1012</v>
      </c>
      <c r="D72" s="163"/>
      <c r="E72" s="166"/>
      <c r="F72" s="165">
        <f>SUM(F69:F71)</f>
        <v>1881</v>
      </c>
      <c r="G72" s="165">
        <f aca="true" t="shared" si="5" ref="G72:P72">SUM(G69:G71)</f>
        <v>878</v>
      </c>
      <c r="H72" s="165">
        <f t="shared" si="5"/>
        <v>-4357</v>
      </c>
      <c r="I72" s="165">
        <f t="shared" si="5"/>
        <v>-495</v>
      </c>
      <c r="J72" s="165">
        <f t="shared" si="5"/>
        <v>2384</v>
      </c>
      <c r="K72" s="165">
        <f t="shared" si="5"/>
        <v>24839</v>
      </c>
      <c r="L72" s="165">
        <f t="shared" si="5"/>
        <v>6805</v>
      </c>
      <c r="M72" s="165">
        <f t="shared" si="5"/>
        <v>-14903</v>
      </c>
      <c r="N72" s="165">
        <f t="shared" si="5"/>
        <v>0</v>
      </c>
      <c r="O72" s="165">
        <f t="shared" si="5"/>
        <v>0</v>
      </c>
      <c r="P72" s="165">
        <f t="shared" si="5"/>
        <v>17032</v>
      </c>
      <c r="Q72" s="518"/>
    </row>
    <row r="73" spans="1:17" ht="13.5" customHeight="1">
      <c r="A73" s="17">
        <v>1</v>
      </c>
      <c r="B73" s="17">
        <v>15</v>
      </c>
      <c r="C73" s="37" t="s">
        <v>1132</v>
      </c>
      <c r="D73" s="173"/>
      <c r="E73" s="29"/>
      <c r="F73" s="20"/>
      <c r="G73" s="20"/>
      <c r="H73" s="20"/>
      <c r="I73" s="20"/>
      <c r="J73" s="20"/>
      <c r="K73" s="167"/>
      <c r="L73" s="167"/>
      <c r="M73" s="167"/>
      <c r="N73" s="167"/>
      <c r="O73" s="20"/>
      <c r="P73" s="28"/>
      <c r="Q73" s="519"/>
    </row>
    <row r="74" spans="1:17" ht="13.5" customHeight="1">
      <c r="A74" s="17"/>
      <c r="B74" s="17"/>
      <c r="C74" s="179" t="s">
        <v>1018</v>
      </c>
      <c r="D74" s="604" t="s">
        <v>224</v>
      </c>
      <c r="E74" s="39"/>
      <c r="F74" s="20"/>
      <c r="G74" s="20"/>
      <c r="H74" s="20"/>
      <c r="I74" s="20"/>
      <c r="J74" s="20"/>
      <c r="K74" s="167"/>
      <c r="L74" s="167"/>
      <c r="M74" s="167"/>
      <c r="N74" s="167"/>
      <c r="O74" s="20"/>
      <c r="P74" s="28"/>
      <c r="Q74" s="519"/>
    </row>
    <row r="75" spans="1:17" ht="13.5" customHeight="1">
      <c r="A75" s="17"/>
      <c r="B75" s="17"/>
      <c r="C75" s="40" t="s">
        <v>223</v>
      </c>
      <c r="D75" s="173"/>
      <c r="E75" s="29">
        <v>1</v>
      </c>
      <c r="F75" s="161"/>
      <c r="G75" s="161"/>
      <c r="H75" s="161">
        <v>4</v>
      </c>
      <c r="I75" s="161"/>
      <c r="J75" s="161"/>
      <c r="K75" s="161"/>
      <c r="L75" s="161"/>
      <c r="M75" s="161"/>
      <c r="N75" s="161"/>
      <c r="O75" s="161"/>
      <c r="P75" s="28">
        <f aca="true" t="shared" si="6" ref="P75:P83">SUM(F75:O75)</f>
        <v>4</v>
      </c>
      <c r="Q75" s="519" t="s">
        <v>210</v>
      </c>
    </row>
    <row r="76" spans="1:17" ht="13.5" customHeight="1">
      <c r="A76" s="17"/>
      <c r="B76" s="17"/>
      <c r="C76" s="840" t="s">
        <v>695</v>
      </c>
      <c r="D76" s="841"/>
      <c r="E76" s="29">
        <v>1</v>
      </c>
      <c r="F76" s="161"/>
      <c r="G76" s="161"/>
      <c r="H76" s="161">
        <v>-255</v>
      </c>
      <c r="I76" s="161"/>
      <c r="J76" s="161"/>
      <c r="K76" s="161"/>
      <c r="L76" s="161"/>
      <c r="M76" s="161"/>
      <c r="N76" s="161"/>
      <c r="O76" s="161"/>
      <c r="P76" s="28">
        <f t="shared" si="6"/>
        <v>-255</v>
      </c>
      <c r="Q76" s="519" t="s">
        <v>210</v>
      </c>
    </row>
    <row r="77" spans="1:17" ht="13.5" customHeight="1">
      <c r="A77" s="17"/>
      <c r="B77" s="17"/>
      <c r="C77" s="179" t="s">
        <v>436</v>
      </c>
      <c r="D77" s="185"/>
      <c r="E77" s="29">
        <v>1</v>
      </c>
      <c r="F77" s="161"/>
      <c r="G77" s="161"/>
      <c r="H77" s="161">
        <v>-1630</v>
      </c>
      <c r="I77" s="161"/>
      <c r="J77" s="161"/>
      <c r="K77" s="161"/>
      <c r="L77" s="161"/>
      <c r="M77" s="161"/>
      <c r="N77" s="161"/>
      <c r="O77" s="161"/>
      <c r="P77" s="28">
        <f t="shared" si="6"/>
        <v>-1630</v>
      </c>
      <c r="Q77" s="519" t="s">
        <v>210</v>
      </c>
    </row>
    <row r="78" spans="1:17" ht="13.5" customHeight="1">
      <c r="A78" s="17"/>
      <c r="B78" s="17"/>
      <c r="C78" s="835" t="s">
        <v>696</v>
      </c>
      <c r="D78" s="836"/>
      <c r="E78" s="29">
        <v>2</v>
      </c>
      <c r="F78" s="161"/>
      <c r="G78" s="161"/>
      <c r="H78" s="161">
        <v>1329</v>
      </c>
      <c r="I78" s="161"/>
      <c r="J78" s="161"/>
      <c r="K78" s="161"/>
      <c r="L78" s="161"/>
      <c r="M78" s="161"/>
      <c r="N78" s="161"/>
      <c r="O78" s="161"/>
      <c r="P78" s="28">
        <f t="shared" si="6"/>
        <v>1329</v>
      </c>
      <c r="Q78" s="519" t="s">
        <v>210</v>
      </c>
    </row>
    <row r="79" spans="1:17" ht="13.5" customHeight="1">
      <c r="A79" s="17"/>
      <c r="B79" s="17"/>
      <c r="C79" s="835" t="s">
        <v>697</v>
      </c>
      <c r="D79" s="836"/>
      <c r="E79" s="29">
        <v>2</v>
      </c>
      <c r="F79" s="161"/>
      <c r="G79" s="161"/>
      <c r="H79" s="161">
        <v>-860</v>
      </c>
      <c r="I79" s="161"/>
      <c r="J79" s="161"/>
      <c r="K79" s="161"/>
      <c r="L79" s="161"/>
      <c r="M79" s="161"/>
      <c r="N79" s="161"/>
      <c r="O79" s="161"/>
      <c r="P79" s="28">
        <f t="shared" si="6"/>
        <v>-860</v>
      </c>
      <c r="Q79" s="519" t="s">
        <v>210</v>
      </c>
    </row>
    <row r="80" spans="1:17" ht="13.5" customHeight="1">
      <c r="A80" s="17"/>
      <c r="B80" s="17"/>
      <c r="C80" s="179" t="s">
        <v>310</v>
      </c>
      <c r="D80" s="702"/>
      <c r="E80" s="29">
        <v>1</v>
      </c>
      <c r="F80" s="161"/>
      <c r="G80" s="161"/>
      <c r="H80" s="161">
        <v>51</v>
      </c>
      <c r="I80" s="161"/>
      <c r="J80" s="161"/>
      <c r="K80" s="161"/>
      <c r="L80" s="161"/>
      <c r="M80" s="161"/>
      <c r="N80" s="161"/>
      <c r="O80" s="161"/>
      <c r="P80" s="28">
        <f t="shared" si="6"/>
        <v>51</v>
      </c>
      <c r="Q80" s="519" t="s">
        <v>1261</v>
      </c>
    </row>
    <row r="81" spans="1:17" ht="13.5" customHeight="1">
      <c r="A81" s="17"/>
      <c r="B81" s="17"/>
      <c r="C81" s="179" t="s">
        <v>1034</v>
      </c>
      <c r="D81" s="702"/>
      <c r="E81" s="29">
        <v>1</v>
      </c>
      <c r="F81" s="161"/>
      <c r="G81" s="161"/>
      <c r="H81" s="161">
        <v>-931</v>
      </c>
      <c r="I81" s="161"/>
      <c r="J81" s="161"/>
      <c r="K81" s="161"/>
      <c r="L81" s="161"/>
      <c r="M81" s="161"/>
      <c r="N81" s="161"/>
      <c r="O81" s="161"/>
      <c r="P81" s="28">
        <f t="shared" si="6"/>
        <v>-931</v>
      </c>
      <c r="Q81" s="519" t="s">
        <v>210</v>
      </c>
    </row>
    <row r="82" spans="1:17" ht="13.5" customHeight="1">
      <c r="A82" s="17"/>
      <c r="B82" s="17"/>
      <c r="C82" s="179" t="s">
        <v>1036</v>
      </c>
      <c r="D82" s="702"/>
      <c r="E82" s="29">
        <v>1</v>
      </c>
      <c r="F82" s="161"/>
      <c r="G82" s="161"/>
      <c r="H82" s="161">
        <v>2000</v>
      </c>
      <c r="I82" s="161"/>
      <c r="J82" s="161"/>
      <c r="K82" s="161"/>
      <c r="L82" s="161"/>
      <c r="M82" s="161"/>
      <c r="N82" s="161"/>
      <c r="O82" s="161"/>
      <c r="P82" s="28">
        <f t="shared" si="6"/>
        <v>2000</v>
      </c>
      <c r="Q82" s="519" t="s">
        <v>210</v>
      </c>
    </row>
    <row r="83" spans="1:17" ht="13.5" customHeight="1">
      <c r="A83" s="17"/>
      <c r="B83" s="17"/>
      <c r="C83" s="179" t="s">
        <v>948</v>
      </c>
      <c r="D83" s="702"/>
      <c r="E83" s="29">
        <v>1</v>
      </c>
      <c r="F83" s="161"/>
      <c r="G83" s="161"/>
      <c r="H83" s="161">
        <v>-768</v>
      </c>
      <c r="I83" s="161"/>
      <c r="J83" s="161"/>
      <c r="K83" s="161"/>
      <c r="L83" s="161"/>
      <c r="M83" s="161"/>
      <c r="N83" s="161"/>
      <c r="O83" s="161"/>
      <c r="P83" s="28">
        <f t="shared" si="6"/>
        <v>-768</v>
      </c>
      <c r="Q83" s="519" t="s">
        <v>210</v>
      </c>
    </row>
    <row r="84" spans="1:17" ht="13.5" customHeight="1">
      <c r="A84" s="17"/>
      <c r="B84" s="17"/>
      <c r="C84" s="859" t="s">
        <v>1019</v>
      </c>
      <c r="D84" s="884"/>
      <c r="E84" s="617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28"/>
      <c r="Q84" s="519"/>
    </row>
    <row r="85" spans="1:17" ht="13.5" customHeight="1">
      <c r="A85" s="17"/>
      <c r="B85" s="17"/>
      <c r="C85" s="40" t="s">
        <v>225</v>
      </c>
      <c r="D85" s="604"/>
      <c r="E85" s="39">
        <v>1</v>
      </c>
      <c r="F85" s="161"/>
      <c r="G85" s="161"/>
      <c r="H85" s="161">
        <v>-1300</v>
      </c>
      <c r="I85" s="161"/>
      <c r="J85" s="161"/>
      <c r="K85" s="161"/>
      <c r="L85" s="161"/>
      <c r="M85" s="161"/>
      <c r="N85" s="161"/>
      <c r="O85" s="161"/>
      <c r="P85" s="28">
        <f aca="true" t="shared" si="7" ref="P85:P98">SUM(F85:O85)</f>
        <v>-1300</v>
      </c>
      <c r="Q85" s="519" t="s">
        <v>210</v>
      </c>
    </row>
    <row r="86" spans="1:17" ht="13.5" customHeight="1">
      <c r="A86" s="17"/>
      <c r="B86" s="17"/>
      <c r="C86" s="859" t="s">
        <v>698</v>
      </c>
      <c r="D86" s="860"/>
      <c r="E86" s="39">
        <v>1</v>
      </c>
      <c r="F86" s="161"/>
      <c r="G86" s="161"/>
      <c r="H86" s="161">
        <v>-1134</v>
      </c>
      <c r="I86" s="161"/>
      <c r="J86" s="161"/>
      <c r="K86" s="161"/>
      <c r="L86" s="161"/>
      <c r="M86" s="161"/>
      <c r="N86" s="161"/>
      <c r="O86" s="161"/>
      <c r="P86" s="28">
        <f t="shared" si="7"/>
        <v>-1134</v>
      </c>
      <c r="Q86" s="519" t="s">
        <v>210</v>
      </c>
    </row>
    <row r="87" spans="1:17" ht="13.5" customHeight="1">
      <c r="A87" s="17"/>
      <c r="B87" s="17"/>
      <c r="C87" s="859" t="s">
        <v>699</v>
      </c>
      <c r="D87" s="870"/>
      <c r="E87" s="617">
        <v>2</v>
      </c>
      <c r="F87" s="161"/>
      <c r="G87" s="161"/>
      <c r="H87" s="161">
        <v>-1800</v>
      </c>
      <c r="I87" s="161"/>
      <c r="J87" s="161"/>
      <c r="K87" s="161"/>
      <c r="L87" s="161"/>
      <c r="M87" s="161"/>
      <c r="N87" s="161"/>
      <c r="O87" s="161"/>
      <c r="P87" s="28">
        <f t="shared" si="7"/>
        <v>-1800</v>
      </c>
      <c r="Q87" s="519" t="s">
        <v>210</v>
      </c>
    </row>
    <row r="88" spans="1:17" ht="13.5" customHeight="1">
      <c r="A88" s="17"/>
      <c r="B88" s="17"/>
      <c r="C88" s="40" t="s">
        <v>700</v>
      </c>
      <c r="D88" s="613"/>
      <c r="E88" s="617">
        <v>2</v>
      </c>
      <c r="F88" s="161"/>
      <c r="G88" s="161"/>
      <c r="H88" s="161">
        <v>-602</v>
      </c>
      <c r="I88" s="161"/>
      <c r="J88" s="161"/>
      <c r="K88" s="161"/>
      <c r="L88" s="161"/>
      <c r="M88" s="161"/>
      <c r="N88" s="161"/>
      <c r="O88" s="161"/>
      <c r="P88" s="28">
        <f t="shared" si="7"/>
        <v>-602</v>
      </c>
      <c r="Q88" s="519" t="s">
        <v>210</v>
      </c>
    </row>
    <row r="89" spans="1:17" ht="13.5" customHeight="1">
      <c r="A89" s="17"/>
      <c r="B89" s="17"/>
      <c r="C89" s="752" t="s">
        <v>1038</v>
      </c>
      <c r="D89" s="753"/>
      <c r="E89" s="617">
        <v>2</v>
      </c>
      <c r="F89" s="161"/>
      <c r="G89" s="161"/>
      <c r="H89" s="161">
        <v>5650</v>
      </c>
      <c r="I89" s="161"/>
      <c r="J89" s="161"/>
      <c r="K89" s="161"/>
      <c r="L89" s="161"/>
      <c r="M89" s="161"/>
      <c r="N89" s="161"/>
      <c r="O89" s="161"/>
      <c r="P89" s="28">
        <f t="shared" si="7"/>
        <v>5650</v>
      </c>
      <c r="Q89" s="519" t="s">
        <v>1261</v>
      </c>
    </row>
    <row r="90" spans="1:17" ht="13.5" customHeight="1">
      <c r="A90" s="17"/>
      <c r="B90" s="17"/>
      <c r="C90" s="835" t="s">
        <v>437</v>
      </c>
      <c r="D90" s="836"/>
      <c r="E90" s="617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28">
        <f t="shared" si="7"/>
        <v>0</v>
      </c>
      <c r="Q90" s="519"/>
    </row>
    <row r="91" spans="1:17" ht="13.5" customHeight="1">
      <c r="A91" s="17"/>
      <c r="B91" s="17"/>
      <c r="C91" s="41" t="s">
        <v>701</v>
      </c>
      <c r="D91" s="686"/>
      <c r="E91" s="617">
        <v>1</v>
      </c>
      <c r="F91" s="161"/>
      <c r="G91" s="161"/>
      <c r="H91" s="161">
        <v>1200</v>
      </c>
      <c r="I91" s="161"/>
      <c r="J91" s="161"/>
      <c r="K91" s="161"/>
      <c r="L91" s="161"/>
      <c r="M91" s="161"/>
      <c r="N91" s="161"/>
      <c r="O91" s="161"/>
      <c r="P91" s="28">
        <f t="shared" si="7"/>
        <v>1200</v>
      </c>
      <c r="Q91" s="519" t="s">
        <v>210</v>
      </c>
    </row>
    <row r="92" spans="1:17" ht="13.5" customHeight="1">
      <c r="A92" s="17"/>
      <c r="B92" s="17"/>
      <c r="C92" s="40" t="s">
        <v>702</v>
      </c>
      <c r="D92" s="686"/>
      <c r="E92" s="617">
        <v>1</v>
      </c>
      <c r="F92" s="161"/>
      <c r="G92" s="161"/>
      <c r="H92" s="161">
        <v>392</v>
      </c>
      <c r="I92" s="161"/>
      <c r="J92" s="161"/>
      <c r="K92" s="161"/>
      <c r="L92" s="161"/>
      <c r="M92" s="161"/>
      <c r="N92" s="161"/>
      <c r="O92" s="161"/>
      <c r="P92" s="28">
        <f t="shared" si="7"/>
        <v>392</v>
      </c>
      <c r="Q92" s="519" t="s">
        <v>210</v>
      </c>
    </row>
    <row r="93" spans="1:17" ht="15" customHeight="1">
      <c r="A93" s="17"/>
      <c r="B93" s="17"/>
      <c r="C93" s="859" t="s">
        <v>438</v>
      </c>
      <c r="D93" s="860"/>
      <c r="E93" s="29">
        <v>1</v>
      </c>
      <c r="F93" s="161"/>
      <c r="G93" s="161"/>
      <c r="H93" s="161">
        <v>-1504</v>
      </c>
      <c r="I93" s="161"/>
      <c r="J93" s="161"/>
      <c r="K93" s="161"/>
      <c r="L93" s="161"/>
      <c r="M93" s="161"/>
      <c r="N93" s="161"/>
      <c r="O93" s="161"/>
      <c r="P93" s="28">
        <f t="shared" si="7"/>
        <v>-1504</v>
      </c>
      <c r="Q93" s="519" t="s">
        <v>210</v>
      </c>
    </row>
    <row r="94" spans="1:17" ht="23.25" customHeight="1">
      <c r="A94" s="17"/>
      <c r="B94" s="17"/>
      <c r="C94" s="852" t="s">
        <v>703</v>
      </c>
      <c r="D94" s="853"/>
      <c r="E94" s="29">
        <v>1</v>
      </c>
      <c r="F94" s="161"/>
      <c r="G94" s="161"/>
      <c r="H94" s="161">
        <v>14841</v>
      </c>
      <c r="I94" s="161"/>
      <c r="J94" s="161"/>
      <c r="K94" s="161"/>
      <c r="L94" s="161"/>
      <c r="M94" s="161"/>
      <c r="N94" s="161"/>
      <c r="O94" s="161"/>
      <c r="P94" s="28">
        <f t="shared" si="7"/>
        <v>14841</v>
      </c>
      <c r="Q94" s="519" t="s">
        <v>210</v>
      </c>
    </row>
    <row r="95" spans="1:17" ht="15" customHeight="1">
      <c r="A95" s="17"/>
      <c r="B95" s="17"/>
      <c r="C95" s="859" t="s">
        <v>704</v>
      </c>
      <c r="D95" s="860"/>
      <c r="E95" s="29">
        <v>1</v>
      </c>
      <c r="F95" s="161"/>
      <c r="G95" s="161"/>
      <c r="H95" s="161">
        <v>-1900</v>
      </c>
      <c r="I95" s="161"/>
      <c r="J95" s="161"/>
      <c r="K95" s="161"/>
      <c r="L95" s="161"/>
      <c r="M95" s="161"/>
      <c r="N95" s="161"/>
      <c r="O95" s="161"/>
      <c r="P95" s="28">
        <f t="shared" si="7"/>
        <v>-1900</v>
      </c>
      <c r="Q95" s="519" t="s">
        <v>210</v>
      </c>
    </row>
    <row r="96" spans="1:17" ht="15" customHeight="1">
      <c r="A96" s="17"/>
      <c r="B96" s="17"/>
      <c r="C96" s="40" t="s">
        <v>705</v>
      </c>
      <c r="D96" s="113"/>
      <c r="E96" s="29">
        <v>1</v>
      </c>
      <c r="F96" s="161"/>
      <c r="G96" s="161"/>
      <c r="H96" s="161">
        <v>-1000</v>
      </c>
      <c r="I96" s="161"/>
      <c r="J96" s="161"/>
      <c r="K96" s="161"/>
      <c r="L96" s="161"/>
      <c r="M96" s="161"/>
      <c r="N96" s="161"/>
      <c r="O96" s="161"/>
      <c r="P96" s="28">
        <f t="shared" si="7"/>
        <v>-1000</v>
      </c>
      <c r="Q96" s="519" t="s">
        <v>210</v>
      </c>
    </row>
    <row r="97" spans="1:17" ht="21" customHeight="1">
      <c r="A97" s="17"/>
      <c r="B97" s="17"/>
      <c r="C97" s="852" t="s">
        <v>706</v>
      </c>
      <c r="D97" s="853"/>
      <c r="E97" s="29">
        <v>1</v>
      </c>
      <c r="F97" s="161"/>
      <c r="G97" s="161"/>
      <c r="H97" s="161">
        <v>-868</v>
      </c>
      <c r="I97" s="161"/>
      <c r="J97" s="161"/>
      <c r="K97" s="161"/>
      <c r="L97" s="161"/>
      <c r="M97" s="161"/>
      <c r="N97" s="161"/>
      <c r="O97" s="161"/>
      <c r="P97" s="28">
        <f t="shared" si="7"/>
        <v>-868</v>
      </c>
      <c r="Q97" s="519" t="s">
        <v>210</v>
      </c>
    </row>
    <row r="98" spans="1:17" ht="15" customHeight="1">
      <c r="A98" s="17"/>
      <c r="B98" s="17"/>
      <c r="C98" s="835" t="s">
        <v>1020</v>
      </c>
      <c r="D98" s="836"/>
      <c r="E98" s="29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28">
        <f t="shared" si="7"/>
        <v>0</v>
      </c>
      <c r="Q98" s="519" t="s">
        <v>210</v>
      </c>
    </row>
    <row r="99" spans="1:17" ht="15" customHeight="1">
      <c r="A99" s="17"/>
      <c r="B99" s="17"/>
      <c r="C99" s="40" t="s">
        <v>439</v>
      </c>
      <c r="D99" s="650"/>
      <c r="E99" s="29">
        <v>1</v>
      </c>
      <c r="F99" s="161">
        <v>70</v>
      </c>
      <c r="G99" s="161">
        <v>10</v>
      </c>
      <c r="H99" s="161">
        <v>-220</v>
      </c>
      <c r="I99" s="161"/>
      <c r="J99" s="161"/>
      <c r="K99" s="161"/>
      <c r="L99" s="161"/>
      <c r="M99" s="161"/>
      <c r="N99" s="161"/>
      <c r="O99" s="161"/>
      <c r="P99" s="28">
        <f aca="true" t="shared" si="8" ref="P99:P113">SUM(F99:O99)</f>
        <v>-140</v>
      </c>
      <c r="Q99" s="519" t="s">
        <v>210</v>
      </c>
    </row>
    <row r="100" spans="1:17" ht="15" customHeight="1">
      <c r="A100" s="17"/>
      <c r="B100" s="17"/>
      <c r="C100" s="840" t="s">
        <v>440</v>
      </c>
      <c r="D100" s="841"/>
      <c r="E100" s="29">
        <v>1</v>
      </c>
      <c r="F100" s="161"/>
      <c r="G100" s="161"/>
      <c r="H100" s="161">
        <v>-423</v>
      </c>
      <c r="I100" s="161"/>
      <c r="J100" s="161">
        <v>800</v>
      </c>
      <c r="K100" s="161"/>
      <c r="L100" s="161"/>
      <c r="M100" s="161"/>
      <c r="N100" s="161"/>
      <c r="O100" s="161"/>
      <c r="P100" s="28">
        <f t="shared" si="8"/>
        <v>377</v>
      </c>
      <c r="Q100" s="519" t="s">
        <v>1261</v>
      </c>
    </row>
    <row r="101" spans="1:17" ht="15" customHeight="1">
      <c r="A101" s="17"/>
      <c r="B101" s="17"/>
      <c r="C101" s="40" t="s">
        <v>707</v>
      </c>
      <c r="D101" s="586"/>
      <c r="E101" s="29"/>
      <c r="F101" s="161">
        <v>79</v>
      </c>
      <c r="G101" s="161">
        <v>72</v>
      </c>
      <c r="H101" s="161">
        <v>-138</v>
      </c>
      <c r="I101" s="161"/>
      <c r="J101" s="161"/>
      <c r="K101" s="161"/>
      <c r="L101" s="161"/>
      <c r="M101" s="161"/>
      <c r="N101" s="161"/>
      <c r="O101" s="161"/>
      <c r="P101" s="28">
        <f t="shared" si="8"/>
        <v>13</v>
      </c>
      <c r="Q101" s="519" t="s">
        <v>1261</v>
      </c>
    </row>
    <row r="102" spans="1:17" ht="15" customHeight="1">
      <c r="A102" s="17"/>
      <c r="B102" s="17"/>
      <c r="C102" s="40" t="s">
        <v>708</v>
      </c>
      <c r="D102" s="586"/>
      <c r="E102" s="29">
        <v>2</v>
      </c>
      <c r="F102" s="161"/>
      <c r="G102" s="161"/>
      <c r="H102" s="161">
        <v>-1574</v>
      </c>
      <c r="I102" s="161"/>
      <c r="J102" s="161"/>
      <c r="K102" s="161"/>
      <c r="L102" s="161"/>
      <c r="M102" s="161"/>
      <c r="N102" s="161"/>
      <c r="O102" s="161"/>
      <c r="P102" s="28">
        <f t="shared" si="8"/>
        <v>-1574</v>
      </c>
      <c r="Q102" s="519" t="s">
        <v>210</v>
      </c>
    </row>
    <row r="103" spans="1:17" ht="24" customHeight="1">
      <c r="A103" s="17"/>
      <c r="B103" s="17"/>
      <c r="C103" s="855" t="s">
        <v>709</v>
      </c>
      <c r="D103" s="856"/>
      <c r="E103" s="29">
        <v>2</v>
      </c>
      <c r="F103" s="161"/>
      <c r="G103" s="161"/>
      <c r="H103" s="161">
        <v>63</v>
      </c>
      <c r="I103" s="161"/>
      <c r="J103" s="161"/>
      <c r="K103" s="161"/>
      <c r="L103" s="161"/>
      <c r="M103" s="161"/>
      <c r="N103" s="161"/>
      <c r="O103" s="161"/>
      <c r="P103" s="28">
        <f t="shared" si="8"/>
        <v>63</v>
      </c>
      <c r="Q103" s="519" t="s">
        <v>210</v>
      </c>
    </row>
    <row r="104" spans="1:17" ht="14.25" customHeight="1">
      <c r="A104" s="17"/>
      <c r="B104" s="17"/>
      <c r="C104" s="819" t="s">
        <v>1039</v>
      </c>
      <c r="D104" s="820"/>
      <c r="E104" s="29">
        <v>1</v>
      </c>
      <c r="F104" s="161"/>
      <c r="G104" s="161"/>
      <c r="H104" s="161">
        <v>425</v>
      </c>
      <c r="I104" s="161"/>
      <c r="J104" s="161"/>
      <c r="K104" s="161"/>
      <c r="L104" s="161"/>
      <c r="M104" s="161"/>
      <c r="N104" s="161"/>
      <c r="O104" s="161"/>
      <c r="P104" s="28">
        <f t="shared" si="8"/>
        <v>425</v>
      </c>
      <c r="Q104" s="519" t="s">
        <v>210</v>
      </c>
    </row>
    <row r="105" spans="1:17" ht="15" customHeight="1">
      <c r="A105" s="17"/>
      <c r="B105" s="17"/>
      <c r="C105" s="40" t="s">
        <v>710</v>
      </c>
      <c r="D105" s="586"/>
      <c r="E105" s="29">
        <v>2</v>
      </c>
      <c r="F105" s="161"/>
      <c r="G105" s="161"/>
      <c r="H105" s="161">
        <v>-1015</v>
      </c>
      <c r="I105" s="161"/>
      <c r="J105" s="161">
        <v>3006</v>
      </c>
      <c r="K105" s="161"/>
      <c r="L105" s="161"/>
      <c r="M105" s="161"/>
      <c r="N105" s="161"/>
      <c r="O105" s="161"/>
      <c r="P105" s="28">
        <f t="shared" si="8"/>
        <v>1991</v>
      </c>
      <c r="Q105" s="519" t="s">
        <v>210</v>
      </c>
    </row>
    <row r="106" spans="1:17" ht="15" customHeight="1">
      <c r="A106" s="17"/>
      <c r="B106" s="17"/>
      <c r="C106" s="835" t="s">
        <v>991</v>
      </c>
      <c r="D106" s="836"/>
      <c r="E106" s="29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28">
        <f t="shared" si="8"/>
        <v>0</v>
      </c>
      <c r="Q106" s="519"/>
    </row>
    <row r="107" spans="1:17" ht="27.75" customHeight="1">
      <c r="A107" s="17"/>
      <c r="B107" s="17"/>
      <c r="C107" s="855" t="s">
        <v>711</v>
      </c>
      <c r="D107" s="856"/>
      <c r="E107" s="29">
        <v>1</v>
      </c>
      <c r="F107" s="161"/>
      <c r="G107" s="161"/>
      <c r="H107" s="161"/>
      <c r="I107" s="161"/>
      <c r="J107" s="161">
        <v>-6800</v>
      </c>
      <c r="K107" s="161"/>
      <c r="L107" s="161"/>
      <c r="M107" s="161"/>
      <c r="N107" s="161"/>
      <c r="O107" s="161"/>
      <c r="P107" s="28">
        <f t="shared" si="8"/>
        <v>-6800</v>
      </c>
      <c r="Q107" s="519" t="s">
        <v>210</v>
      </c>
    </row>
    <row r="108" spans="1:17" ht="15" customHeight="1">
      <c r="A108" s="17"/>
      <c r="B108" s="17"/>
      <c r="C108" s="179" t="s">
        <v>712</v>
      </c>
      <c r="D108" s="674"/>
      <c r="E108" s="29">
        <v>1</v>
      </c>
      <c r="F108" s="161"/>
      <c r="G108" s="161"/>
      <c r="H108" s="161">
        <v>-2000</v>
      </c>
      <c r="I108" s="161"/>
      <c r="J108" s="161"/>
      <c r="K108" s="161"/>
      <c r="L108" s="161"/>
      <c r="M108" s="161"/>
      <c r="N108" s="161"/>
      <c r="O108" s="161"/>
      <c r="P108" s="28">
        <f t="shared" si="8"/>
        <v>-2000</v>
      </c>
      <c r="Q108" s="519" t="s">
        <v>210</v>
      </c>
    </row>
    <row r="109" spans="1:17" ht="15" customHeight="1">
      <c r="A109" s="17"/>
      <c r="B109" s="17"/>
      <c r="C109" s="835" t="s">
        <v>1035</v>
      </c>
      <c r="D109" s="836"/>
      <c r="E109" s="29">
        <v>1</v>
      </c>
      <c r="F109" s="161"/>
      <c r="G109" s="161"/>
      <c r="H109" s="161">
        <v>153</v>
      </c>
      <c r="I109" s="161"/>
      <c r="J109" s="161"/>
      <c r="K109" s="161"/>
      <c r="L109" s="161"/>
      <c r="M109" s="161"/>
      <c r="N109" s="161"/>
      <c r="O109" s="161"/>
      <c r="P109" s="28">
        <f t="shared" si="8"/>
        <v>153</v>
      </c>
      <c r="Q109" s="519" t="s">
        <v>210</v>
      </c>
    </row>
    <row r="110" spans="1:17" ht="15" customHeight="1">
      <c r="A110" s="17"/>
      <c r="B110" s="17"/>
      <c r="C110" s="840" t="s">
        <v>441</v>
      </c>
      <c r="D110" s="841"/>
      <c r="E110" s="29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28"/>
      <c r="Q110" s="519"/>
    </row>
    <row r="111" spans="1:17" ht="15" customHeight="1">
      <c r="A111" s="17"/>
      <c r="B111" s="17"/>
      <c r="C111" s="179" t="s">
        <v>713</v>
      </c>
      <c r="D111" s="30"/>
      <c r="E111" s="29">
        <v>2</v>
      </c>
      <c r="F111" s="161"/>
      <c r="G111" s="161"/>
      <c r="H111" s="161">
        <v>210</v>
      </c>
      <c r="I111" s="161"/>
      <c r="J111" s="161"/>
      <c r="K111" s="161"/>
      <c r="L111" s="161"/>
      <c r="M111" s="161"/>
      <c r="N111" s="161"/>
      <c r="O111" s="161"/>
      <c r="P111" s="28">
        <f t="shared" si="8"/>
        <v>210</v>
      </c>
      <c r="Q111" s="519" t="s">
        <v>210</v>
      </c>
    </row>
    <row r="112" spans="1:17" ht="22.5" customHeight="1">
      <c r="A112" s="17"/>
      <c r="B112" s="17"/>
      <c r="C112" s="855" t="s">
        <v>714</v>
      </c>
      <c r="D112" s="856"/>
      <c r="E112" s="29">
        <v>1</v>
      </c>
      <c r="F112" s="161"/>
      <c r="G112" s="161"/>
      <c r="H112" s="161">
        <v>-1000</v>
      </c>
      <c r="I112" s="161"/>
      <c r="J112" s="161"/>
      <c r="K112" s="161"/>
      <c r="L112" s="161"/>
      <c r="M112" s="161"/>
      <c r="N112" s="161"/>
      <c r="O112" s="161"/>
      <c r="P112" s="28">
        <f t="shared" si="8"/>
        <v>-1000</v>
      </c>
      <c r="Q112" s="519" t="s">
        <v>210</v>
      </c>
    </row>
    <row r="113" spans="1:17" ht="15" customHeight="1">
      <c r="A113" s="17"/>
      <c r="B113" s="17"/>
      <c r="C113" s="835" t="s">
        <v>715</v>
      </c>
      <c r="D113" s="836"/>
      <c r="E113" s="29">
        <v>1</v>
      </c>
      <c r="F113" s="161"/>
      <c r="G113" s="161"/>
      <c r="H113" s="161">
        <v>-1000</v>
      </c>
      <c r="I113" s="161"/>
      <c r="J113" s="161"/>
      <c r="K113" s="161"/>
      <c r="L113" s="161"/>
      <c r="M113" s="161"/>
      <c r="N113" s="161"/>
      <c r="O113" s="161"/>
      <c r="P113" s="28">
        <f t="shared" si="8"/>
        <v>-1000</v>
      </c>
      <c r="Q113" s="519" t="s">
        <v>210</v>
      </c>
    </row>
    <row r="114" spans="1:17" ht="13.5" customHeight="1">
      <c r="A114" s="162"/>
      <c r="B114" s="162"/>
      <c r="C114" s="34" t="s">
        <v>1133</v>
      </c>
      <c r="D114" s="163"/>
      <c r="E114" s="166"/>
      <c r="F114" s="165">
        <f aca="true" t="shared" si="9" ref="F114:P114">SUM(F74:F113)</f>
        <v>149</v>
      </c>
      <c r="G114" s="165">
        <f t="shared" si="9"/>
        <v>82</v>
      </c>
      <c r="H114" s="165">
        <f t="shared" si="9"/>
        <v>4396</v>
      </c>
      <c r="I114" s="165">
        <f t="shared" si="9"/>
        <v>0</v>
      </c>
      <c r="J114" s="165">
        <f t="shared" si="9"/>
        <v>-2994</v>
      </c>
      <c r="K114" s="165">
        <f t="shared" si="9"/>
        <v>0</v>
      </c>
      <c r="L114" s="165">
        <f t="shared" si="9"/>
        <v>0</v>
      </c>
      <c r="M114" s="165">
        <f t="shared" si="9"/>
        <v>0</v>
      </c>
      <c r="N114" s="165">
        <f t="shared" si="9"/>
        <v>0</v>
      </c>
      <c r="O114" s="165">
        <f t="shared" si="9"/>
        <v>0</v>
      </c>
      <c r="P114" s="165">
        <f t="shared" si="9"/>
        <v>1633</v>
      </c>
      <c r="Q114" s="518"/>
    </row>
    <row r="115" spans="1:17" ht="13.5" customHeight="1">
      <c r="A115" s="17"/>
      <c r="B115" s="17"/>
      <c r="C115" s="32" t="s">
        <v>939</v>
      </c>
      <c r="D115" s="173"/>
      <c r="E115" s="29"/>
      <c r="F115" s="20"/>
      <c r="G115" s="20"/>
      <c r="H115" s="20"/>
      <c r="I115" s="20"/>
      <c r="J115" s="20"/>
      <c r="K115" s="161">
        <f>7!J134</f>
        <v>-3986</v>
      </c>
      <c r="L115" s="161"/>
      <c r="M115" s="161">
        <f>7!K134</f>
        <v>-206514</v>
      </c>
      <c r="N115" s="161"/>
      <c r="O115" s="20"/>
      <c r="P115" s="28">
        <f>SUM(F115:O115)</f>
        <v>-210500</v>
      </c>
      <c r="Q115" s="519"/>
    </row>
    <row r="116" spans="1:17" ht="13.5" customHeight="1">
      <c r="A116" s="17"/>
      <c r="B116" s="17"/>
      <c r="C116" s="32" t="s">
        <v>204</v>
      </c>
      <c r="D116" s="173"/>
      <c r="E116" s="29"/>
      <c r="F116" s="20"/>
      <c r="G116" s="20"/>
      <c r="H116" s="20"/>
      <c r="I116" s="20"/>
      <c r="J116" s="20"/>
      <c r="K116" s="161"/>
      <c r="L116" s="161">
        <f>8!J177</f>
        <v>255595</v>
      </c>
      <c r="M116" s="161">
        <f>8!K177</f>
        <v>207514</v>
      </c>
      <c r="N116" s="161"/>
      <c r="O116" s="20"/>
      <c r="P116" s="28">
        <f>SUM(F116:O116)</f>
        <v>463109</v>
      </c>
      <c r="Q116" s="519"/>
    </row>
    <row r="117" spans="1:17" ht="13.5" customHeight="1">
      <c r="A117" s="164"/>
      <c r="B117" s="164"/>
      <c r="C117" s="34" t="s">
        <v>1213</v>
      </c>
      <c r="D117" s="171"/>
      <c r="E117" s="33"/>
      <c r="F117" s="165">
        <f>SUM(F114:F116)</f>
        <v>149</v>
      </c>
      <c r="G117" s="165">
        <f aca="true" t="shared" si="10" ref="G117:P117">SUM(G114:G116)</f>
        <v>82</v>
      </c>
      <c r="H117" s="165">
        <f t="shared" si="10"/>
        <v>4396</v>
      </c>
      <c r="I117" s="165">
        <f t="shared" si="10"/>
        <v>0</v>
      </c>
      <c r="J117" s="165">
        <f t="shared" si="10"/>
        <v>-2994</v>
      </c>
      <c r="K117" s="165">
        <f t="shared" si="10"/>
        <v>-3986</v>
      </c>
      <c r="L117" s="165">
        <f t="shared" si="10"/>
        <v>255595</v>
      </c>
      <c r="M117" s="165">
        <f t="shared" si="10"/>
        <v>1000</v>
      </c>
      <c r="N117" s="165">
        <f t="shared" si="10"/>
        <v>0</v>
      </c>
      <c r="O117" s="165">
        <f t="shared" si="10"/>
        <v>0</v>
      </c>
      <c r="P117" s="165">
        <f t="shared" si="10"/>
        <v>254242</v>
      </c>
      <c r="Q117" s="520"/>
    </row>
    <row r="118" spans="1:17" ht="13.5" customHeight="1">
      <c r="A118" s="17">
        <v>1</v>
      </c>
      <c r="B118" s="17">
        <v>16</v>
      </c>
      <c r="C118" s="37" t="s">
        <v>1225</v>
      </c>
      <c r="D118" s="170"/>
      <c r="E118" s="619"/>
      <c r="F118" s="20"/>
      <c r="G118" s="20"/>
      <c r="H118" s="20"/>
      <c r="I118" s="20"/>
      <c r="J118" s="20"/>
      <c r="K118" s="167"/>
      <c r="L118" s="167"/>
      <c r="M118" s="167"/>
      <c r="N118" s="167"/>
      <c r="O118" s="20"/>
      <c r="P118" s="28"/>
      <c r="Q118" s="521"/>
    </row>
    <row r="119" spans="1:17" ht="13.5" customHeight="1">
      <c r="A119" s="17"/>
      <c r="B119" s="17"/>
      <c r="C119" s="861" t="s">
        <v>554</v>
      </c>
      <c r="D119" s="862"/>
      <c r="E119" s="619"/>
      <c r="F119" s="20"/>
      <c r="G119" s="20"/>
      <c r="H119" s="20"/>
      <c r="I119" s="20"/>
      <c r="J119" s="20"/>
      <c r="K119" s="167"/>
      <c r="L119" s="167"/>
      <c r="M119" s="167"/>
      <c r="N119" s="167"/>
      <c r="O119" s="20"/>
      <c r="P119" s="28"/>
      <c r="Q119" s="521"/>
    </row>
    <row r="120" spans="1:17" ht="29.25" customHeight="1">
      <c r="A120" s="17"/>
      <c r="B120" s="17"/>
      <c r="C120" s="846" t="s">
        <v>444</v>
      </c>
      <c r="D120" s="854"/>
      <c r="E120" s="616">
        <v>2</v>
      </c>
      <c r="F120" s="20"/>
      <c r="G120" s="20"/>
      <c r="H120" s="161">
        <v>19350</v>
      </c>
      <c r="I120" s="161"/>
      <c r="J120" s="161"/>
      <c r="K120" s="161"/>
      <c r="L120" s="161"/>
      <c r="M120" s="161"/>
      <c r="N120" s="161"/>
      <c r="O120" s="161"/>
      <c r="P120" s="646">
        <f aca="true" t="shared" si="11" ref="P120:P126">SUM(H120:O120)</f>
        <v>19350</v>
      </c>
      <c r="Q120" s="522" t="s">
        <v>1261</v>
      </c>
    </row>
    <row r="121" spans="1:17" ht="39.75" customHeight="1">
      <c r="A121" s="17"/>
      <c r="B121" s="17"/>
      <c r="C121" s="848" t="s">
        <v>451</v>
      </c>
      <c r="D121" s="849"/>
      <c r="E121" s="616">
        <v>2</v>
      </c>
      <c r="F121" s="20"/>
      <c r="G121" s="20"/>
      <c r="H121" s="161">
        <v>24546</v>
      </c>
      <c r="I121" s="161"/>
      <c r="J121" s="161"/>
      <c r="K121" s="161"/>
      <c r="L121" s="161"/>
      <c r="M121" s="161"/>
      <c r="N121" s="161"/>
      <c r="O121" s="161"/>
      <c r="P121" s="646">
        <f t="shared" si="11"/>
        <v>24546</v>
      </c>
      <c r="Q121" s="522" t="s">
        <v>1261</v>
      </c>
    </row>
    <row r="122" spans="1:17" ht="24.75" customHeight="1">
      <c r="A122" s="17"/>
      <c r="B122" s="17"/>
      <c r="C122" s="850" t="s">
        <v>716</v>
      </c>
      <c r="D122" s="851"/>
      <c r="E122" s="616">
        <v>2</v>
      </c>
      <c r="F122" s="20"/>
      <c r="G122" s="20"/>
      <c r="H122" s="161">
        <v>3875</v>
      </c>
      <c r="I122" s="161"/>
      <c r="J122" s="161"/>
      <c r="K122" s="161"/>
      <c r="L122" s="161"/>
      <c r="M122" s="161"/>
      <c r="N122" s="161"/>
      <c r="O122" s="161"/>
      <c r="P122" s="646">
        <f t="shared" si="11"/>
        <v>3875</v>
      </c>
      <c r="Q122" s="522" t="s">
        <v>1261</v>
      </c>
    </row>
    <row r="123" spans="1:17" ht="18.75" customHeight="1">
      <c r="A123" s="17"/>
      <c r="B123" s="17"/>
      <c r="C123" s="829" t="s">
        <v>721</v>
      </c>
      <c r="D123" s="830"/>
      <c r="E123" s="616">
        <v>1</v>
      </c>
      <c r="F123" s="20"/>
      <c r="G123" s="20"/>
      <c r="H123" s="161">
        <v>1410</v>
      </c>
      <c r="I123" s="161"/>
      <c r="J123" s="161"/>
      <c r="K123" s="161"/>
      <c r="L123" s="161"/>
      <c r="M123" s="161"/>
      <c r="N123" s="161"/>
      <c r="O123" s="161"/>
      <c r="P123" s="646">
        <f t="shared" si="11"/>
        <v>1410</v>
      </c>
      <c r="Q123" s="522" t="s">
        <v>1261</v>
      </c>
    </row>
    <row r="124" spans="1:17" ht="24.75" customHeight="1">
      <c r="A124" s="17"/>
      <c r="B124" s="17"/>
      <c r="C124" s="829" t="s">
        <v>722</v>
      </c>
      <c r="D124" s="830"/>
      <c r="E124" s="616">
        <v>2</v>
      </c>
      <c r="F124" s="20"/>
      <c r="G124" s="20"/>
      <c r="H124" s="161">
        <v>9388</v>
      </c>
      <c r="I124" s="161"/>
      <c r="J124" s="161"/>
      <c r="K124" s="161"/>
      <c r="L124" s="161"/>
      <c r="M124" s="161"/>
      <c r="N124" s="161"/>
      <c r="O124" s="161"/>
      <c r="P124" s="646">
        <f t="shared" si="11"/>
        <v>9388</v>
      </c>
      <c r="Q124" s="522" t="s">
        <v>1261</v>
      </c>
    </row>
    <row r="125" spans="1:17" ht="18.75" customHeight="1">
      <c r="A125" s="17"/>
      <c r="B125" s="17"/>
      <c r="C125" s="829" t="s">
        <v>723</v>
      </c>
      <c r="D125" s="830"/>
      <c r="E125" s="616">
        <v>2</v>
      </c>
      <c r="F125" s="20"/>
      <c r="G125" s="20"/>
      <c r="H125" s="161">
        <v>1750</v>
      </c>
      <c r="I125" s="161"/>
      <c r="J125" s="161"/>
      <c r="K125" s="161"/>
      <c r="L125" s="161"/>
      <c r="M125" s="161"/>
      <c r="N125" s="161"/>
      <c r="O125" s="161"/>
      <c r="P125" s="646">
        <f t="shared" si="11"/>
        <v>1750</v>
      </c>
      <c r="Q125" s="522" t="s">
        <v>1261</v>
      </c>
    </row>
    <row r="126" spans="1:17" ht="24.75" customHeight="1">
      <c r="A126" s="17"/>
      <c r="B126" s="17"/>
      <c r="C126" s="829" t="s">
        <v>724</v>
      </c>
      <c r="D126" s="830"/>
      <c r="E126" s="616">
        <v>2</v>
      </c>
      <c r="F126" s="20"/>
      <c r="G126" s="20"/>
      <c r="H126" s="161">
        <v>3420</v>
      </c>
      <c r="I126" s="161"/>
      <c r="J126" s="161"/>
      <c r="K126" s="161"/>
      <c r="L126" s="161"/>
      <c r="M126" s="161"/>
      <c r="N126" s="161"/>
      <c r="O126" s="161"/>
      <c r="P126" s="646">
        <f t="shared" si="11"/>
        <v>3420</v>
      </c>
      <c r="Q126" s="522" t="s">
        <v>1261</v>
      </c>
    </row>
    <row r="127" spans="1:17" ht="24.75" customHeight="1">
      <c r="A127" s="17"/>
      <c r="B127" s="17"/>
      <c r="C127" s="825" t="s">
        <v>717</v>
      </c>
      <c r="D127" s="826"/>
      <c r="E127" s="616"/>
      <c r="F127" s="20"/>
      <c r="G127" s="20"/>
      <c r="H127" s="161"/>
      <c r="I127" s="161"/>
      <c r="J127" s="161"/>
      <c r="K127" s="161"/>
      <c r="L127" s="161"/>
      <c r="M127" s="161"/>
      <c r="N127" s="161"/>
      <c r="O127" s="161"/>
      <c r="P127" s="646"/>
      <c r="Q127" s="522"/>
    </row>
    <row r="128" spans="1:17" ht="15.75" customHeight="1">
      <c r="A128" s="17"/>
      <c r="B128" s="17"/>
      <c r="C128" s="846" t="s">
        <v>718</v>
      </c>
      <c r="D128" s="847"/>
      <c r="E128" s="616">
        <v>2</v>
      </c>
      <c r="F128" s="20"/>
      <c r="G128" s="20"/>
      <c r="H128" s="161">
        <v>3100</v>
      </c>
      <c r="I128" s="161"/>
      <c r="J128" s="161"/>
      <c r="K128" s="161"/>
      <c r="L128" s="161"/>
      <c r="M128" s="161"/>
      <c r="N128" s="161"/>
      <c r="O128" s="161"/>
      <c r="P128" s="646">
        <f>SUM(H128:O128)</f>
        <v>3100</v>
      </c>
      <c r="Q128" s="522" t="s">
        <v>1261</v>
      </c>
    </row>
    <row r="129" spans="1:17" ht="37.5" customHeight="1">
      <c r="A129" s="17"/>
      <c r="B129" s="17"/>
      <c r="C129" s="829" t="s">
        <v>719</v>
      </c>
      <c r="D129" s="830"/>
      <c r="E129" s="616">
        <v>2</v>
      </c>
      <c r="F129" s="20"/>
      <c r="G129" s="20"/>
      <c r="H129" s="161">
        <v>21560</v>
      </c>
      <c r="I129" s="161"/>
      <c r="J129" s="161"/>
      <c r="K129" s="161"/>
      <c r="L129" s="161"/>
      <c r="M129" s="161"/>
      <c r="N129" s="161"/>
      <c r="O129" s="161"/>
      <c r="P129" s="646">
        <f>SUM(H129:O129)</f>
        <v>21560</v>
      </c>
      <c r="Q129" s="522" t="s">
        <v>1261</v>
      </c>
    </row>
    <row r="130" spans="1:17" ht="37.5" customHeight="1">
      <c r="A130" s="17"/>
      <c r="B130" s="17"/>
      <c r="C130" s="842" t="s">
        <v>720</v>
      </c>
      <c r="D130" s="843"/>
      <c r="E130" s="616">
        <v>2</v>
      </c>
      <c r="F130" s="20"/>
      <c r="G130" s="20"/>
      <c r="H130" s="161">
        <v>36786</v>
      </c>
      <c r="I130" s="161"/>
      <c r="J130" s="161"/>
      <c r="K130" s="161"/>
      <c r="L130" s="161"/>
      <c r="M130" s="161"/>
      <c r="N130" s="161"/>
      <c r="O130" s="161"/>
      <c r="P130" s="646">
        <f>SUM(H130:O130)</f>
        <v>36786</v>
      </c>
      <c r="Q130" s="522" t="s">
        <v>1261</v>
      </c>
    </row>
    <row r="131" spans="1:17" ht="13.5" customHeight="1">
      <c r="A131" s="162"/>
      <c r="B131" s="162"/>
      <c r="C131" s="34" t="s">
        <v>226</v>
      </c>
      <c r="D131" s="171"/>
      <c r="E131" s="33"/>
      <c r="F131" s="165"/>
      <c r="G131" s="165"/>
      <c r="H131" s="165">
        <f aca="true" t="shared" si="12" ref="H131:P131">SUM(H120:H130)</f>
        <v>125185</v>
      </c>
      <c r="I131" s="165">
        <f t="shared" si="12"/>
        <v>0</v>
      </c>
      <c r="J131" s="165">
        <f t="shared" si="12"/>
        <v>0</v>
      </c>
      <c r="K131" s="165">
        <f t="shared" si="12"/>
        <v>0</v>
      </c>
      <c r="L131" s="165">
        <f t="shared" si="12"/>
        <v>0</v>
      </c>
      <c r="M131" s="165">
        <f t="shared" si="12"/>
        <v>0</v>
      </c>
      <c r="N131" s="165">
        <f t="shared" si="12"/>
        <v>0</v>
      </c>
      <c r="O131" s="165">
        <f t="shared" si="12"/>
        <v>0</v>
      </c>
      <c r="P131" s="165">
        <f t="shared" si="12"/>
        <v>125185</v>
      </c>
      <c r="Q131" s="520"/>
    </row>
    <row r="132" spans="1:17" ht="13.5" customHeight="1">
      <c r="A132" s="20"/>
      <c r="B132" s="20"/>
      <c r="C132" s="32" t="s">
        <v>940</v>
      </c>
      <c r="D132" s="170"/>
      <c r="E132" s="619"/>
      <c r="F132" s="20"/>
      <c r="G132" s="20"/>
      <c r="H132" s="20"/>
      <c r="I132" s="20"/>
      <c r="J132" s="20"/>
      <c r="K132" s="161">
        <f>7!J246</f>
        <v>-505661</v>
      </c>
      <c r="L132" s="161"/>
      <c r="M132" s="161">
        <f>7!K246</f>
        <v>-130</v>
      </c>
      <c r="N132" s="161"/>
      <c r="O132" s="20"/>
      <c r="P132" s="28">
        <f>SUM(F132:O132)</f>
        <v>-505791</v>
      </c>
      <c r="Q132" s="521"/>
    </row>
    <row r="133" spans="1:17" ht="13.5" customHeight="1">
      <c r="A133" s="20"/>
      <c r="B133" s="20"/>
      <c r="C133" s="32" t="s">
        <v>208</v>
      </c>
      <c r="D133" s="170"/>
      <c r="E133" s="619"/>
      <c r="F133" s="20"/>
      <c r="G133" s="20"/>
      <c r="H133" s="20"/>
      <c r="I133" s="20"/>
      <c r="J133" s="20"/>
      <c r="K133" s="161"/>
      <c r="L133" s="161">
        <f>8!J202</f>
        <v>228540</v>
      </c>
      <c r="M133" s="161">
        <f>8!K202</f>
        <v>0</v>
      </c>
      <c r="N133" s="161"/>
      <c r="O133" s="20"/>
      <c r="P133" s="28">
        <f>SUM(F133:O133)</f>
        <v>228540</v>
      </c>
      <c r="Q133" s="521"/>
    </row>
    <row r="134" spans="1:17" ht="13.5" customHeight="1">
      <c r="A134" s="164"/>
      <c r="B134" s="164"/>
      <c r="C134" s="34" t="s">
        <v>1214</v>
      </c>
      <c r="D134" s="171"/>
      <c r="E134" s="33"/>
      <c r="F134" s="165">
        <f>SUM(F131:F133)</f>
        <v>0</v>
      </c>
      <c r="G134" s="165">
        <f aca="true" t="shared" si="13" ref="G134:P134">SUM(G131:G133)</f>
        <v>0</v>
      </c>
      <c r="H134" s="165">
        <f t="shared" si="13"/>
        <v>125185</v>
      </c>
      <c r="I134" s="165">
        <f t="shared" si="13"/>
        <v>0</v>
      </c>
      <c r="J134" s="165">
        <f t="shared" si="13"/>
        <v>0</v>
      </c>
      <c r="K134" s="165">
        <f t="shared" si="13"/>
        <v>-505661</v>
      </c>
      <c r="L134" s="165">
        <f t="shared" si="13"/>
        <v>228540</v>
      </c>
      <c r="M134" s="165">
        <f t="shared" si="13"/>
        <v>-130</v>
      </c>
      <c r="N134" s="165"/>
      <c r="O134" s="165">
        <f t="shared" si="13"/>
        <v>0</v>
      </c>
      <c r="P134" s="165">
        <f t="shared" si="13"/>
        <v>-152066</v>
      </c>
      <c r="Q134" s="520"/>
    </row>
    <row r="135" spans="1:17" ht="13.5" customHeight="1">
      <c r="A135" s="17">
        <v>1</v>
      </c>
      <c r="B135" s="17">
        <v>17</v>
      </c>
      <c r="C135" s="37" t="s">
        <v>198</v>
      </c>
      <c r="D135" s="170"/>
      <c r="E135" s="619"/>
      <c r="F135" s="20"/>
      <c r="G135" s="20"/>
      <c r="H135" s="20"/>
      <c r="I135" s="20"/>
      <c r="J135" s="20"/>
      <c r="K135" s="167"/>
      <c r="L135" s="167"/>
      <c r="M135" s="167"/>
      <c r="N135" s="167"/>
      <c r="O135" s="20"/>
      <c r="P135" s="28"/>
      <c r="Q135" s="521"/>
    </row>
    <row r="136" spans="1:17" ht="15" customHeight="1">
      <c r="A136" s="17"/>
      <c r="B136" s="17"/>
      <c r="C136" s="844" t="s">
        <v>1021</v>
      </c>
      <c r="D136" s="845"/>
      <c r="E136" s="618"/>
      <c r="F136" s="20"/>
      <c r="G136" s="20"/>
      <c r="H136" s="20"/>
      <c r="I136" s="20"/>
      <c r="J136" s="20"/>
      <c r="K136" s="167"/>
      <c r="L136" s="167"/>
      <c r="M136" s="167"/>
      <c r="N136" s="167"/>
      <c r="O136" s="20"/>
      <c r="P136" s="28"/>
      <c r="Q136" s="521"/>
    </row>
    <row r="137" spans="1:17" ht="15" customHeight="1">
      <c r="A137" s="17"/>
      <c r="B137" s="17"/>
      <c r="C137" s="840" t="s">
        <v>725</v>
      </c>
      <c r="D137" s="841"/>
      <c r="E137" s="618">
        <v>1</v>
      </c>
      <c r="F137" s="20"/>
      <c r="G137" s="20"/>
      <c r="H137" s="161">
        <v>1100</v>
      </c>
      <c r="I137" s="20"/>
      <c r="J137" s="20"/>
      <c r="K137" s="167"/>
      <c r="L137" s="167"/>
      <c r="M137" s="167"/>
      <c r="N137" s="167"/>
      <c r="O137" s="20"/>
      <c r="P137" s="28">
        <f>SUM(H137:O137)</f>
        <v>1100</v>
      </c>
      <c r="Q137" s="519" t="s">
        <v>210</v>
      </c>
    </row>
    <row r="138" spans="1:17" ht="15" customHeight="1">
      <c r="A138" s="17"/>
      <c r="B138" s="17"/>
      <c r="C138" s="32" t="s">
        <v>38</v>
      </c>
      <c r="D138" s="30"/>
      <c r="E138" s="618">
        <v>1</v>
      </c>
      <c r="F138" s="20"/>
      <c r="G138" s="20"/>
      <c r="H138" s="161">
        <v>-1100</v>
      </c>
      <c r="I138" s="20"/>
      <c r="J138" s="20"/>
      <c r="K138" s="167"/>
      <c r="L138" s="167"/>
      <c r="M138" s="167"/>
      <c r="N138" s="167"/>
      <c r="O138" s="20"/>
      <c r="P138" s="28">
        <f aca="true" t="shared" si="14" ref="P138:P143">SUM(H138:O138)</f>
        <v>-1100</v>
      </c>
      <c r="Q138" s="519" t="s">
        <v>1261</v>
      </c>
    </row>
    <row r="139" spans="1:17" ht="24" customHeight="1">
      <c r="A139" s="17"/>
      <c r="B139" s="17"/>
      <c r="C139" s="786" t="s">
        <v>726</v>
      </c>
      <c r="D139" s="787"/>
      <c r="E139" s="618">
        <v>1</v>
      </c>
      <c r="F139" s="20"/>
      <c r="G139" s="20"/>
      <c r="H139" s="161">
        <v>-2533</v>
      </c>
      <c r="I139" s="20"/>
      <c r="J139" s="20"/>
      <c r="K139" s="167"/>
      <c r="L139" s="167"/>
      <c r="M139" s="167"/>
      <c r="N139" s="167"/>
      <c r="O139" s="20"/>
      <c r="P139" s="28">
        <f t="shared" si="14"/>
        <v>-2533</v>
      </c>
      <c r="Q139" s="519" t="s">
        <v>1261</v>
      </c>
    </row>
    <row r="140" spans="1:17" ht="15" customHeight="1">
      <c r="A140" s="17"/>
      <c r="B140" s="17"/>
      <c r="C140" s="786" t="s">
        <v>727</v>
      </c>
      <c r="D140" s="787"/>
      <c r="E140" s="618">
        <v>1</v>
      </c>
      <c r="F140" s="20"/>
      <c r="G140" s="20"/>
      <c r="H140" s="161">
        <v>-1000</v>
      </c>
      <c r="I140" s="20"/>
      <c r="J140" s="20"/>
      <c r="K140" s="167"/>
      <c r="L140" s="167"/>
      <c r="M140" s="167"/>
      <c r="N140" s="167"/>
      <c r="O140" s="20"/>
      <c r="P140" s="28">
        <f t="shared" si="14"/>
        <v>-1000</v>
      </c>
      <c r="Q140" s="519" t="s">
        <v>210</v>
      </c>
    </row>
    <row r="141" spans="1:17" ht="23.25" customHeight="1">
      <c r="A141" s="17"/>
      <c r="B141" s="17"/>
      <c r="C141" s="776" t="s">
        <v>728</v>
      </c>
      <c r="D141" s="837"/>
      <c r="E141" s="618">
        <v>1</v>
      </c>
      <c r="F141" s="20"/>
      <c r="G141" s="20"/>
      <c r="H141" s="161">
        <v>-2500</v>
      </c>
      <c r="I141" s="20"/>
      <c r="J141" s="20"/>
      <c r="K141" s="167"/>
      <c r="L141" s="167"/>
      <c r="M141" s="167"/>
      <c r="N141" s="167"/>
      <c r="O141" s="20"/>
      <c r="P141" s="28">
        <f t="shared" si="14"/>
        <v>-2500</v>
      </c>
      <c r="Q141" s="519" t="s">
        <v>210</v>
      </c>
    </row>
    <row r="142" spans="1:17" ht="18" customHeight="1">
      <c r="A142" s="17"/>
      <c r="B142" s="17"/>
      <c r="C142" s="776" t="s">
        <v>729</v>
      </c>
      <c r="D142" s="837"/>
      <c r="E142" s="618">
        <v>1</v>
      </c>
      <c r="F142" s="20"/>
      <c r="G142" s="20"/>
      <c r="H142" s="161">
        <v>-1500</v>
      </c>
      <c r="I142" s="20"/>
      <c r="J142" s="20"/>
      <c r="K142" s="167"/>
      <c r="L142" s="167"/>
      <c r="M142" s="167"/>
      <c r="N142" s="167"/>
      <c r="O142" s="20"/>
      <c r="P142" s="28">
        <f t="shared" si="14"/>
        <v>-1500</v>
      </c>
      <c r="Q142" s="519" t="s">
        <v>210</v>
      </c>
    </row>
    <row r="143" spans="1:17" ht="15" customHeight="1">
      <c r="A143" s="17"/>
      <c r="B143" s="17"/>
      <c r="C143" s="840" t="s">
        <v>730</v>
      </c>
      <c r="D143" s="841"/>
      <c r="E143" s="618">
        <v>1</v>
      </c>
      <c r="F143" s="20"/>
      <c r="G143" s="20"/>
      <c r="H143" s="161">
        <v>1432</v>
      </c>
      <c r="I143" s="20"/>
      <c r="J143" s="20"/>
      <c r="K143" s="167"/>
      <c r="L143" s="167"/>
      <c r="M143" s="167"/>
      <c r="N143" s="167"/>
      <c r="O143" s="20"/>
      <c r="P143" s="28">
        <f t="shared" si="14"/>
        <v>1432</v>
      </c>
      <c r="Q143" s="519" t="s">
        <v>210</v>
      </c>
    </row>
    <row r="144" spans="1:17" ht="15" customHeight="1">
      <c r="A144" s="17"/>
      <c r="B144" s="17"/>
      <c r="C144" s="838" t="s">
        <v>442</v>
      </c>
      <c r="D144" s="839"/>
      <c r="E144" s="29">
        <v>1</v>
      </c>
      <c r="F144" s="20"/>
      <c r="G144" s="20"/>
      <c r="H144" s="161">
        <v>-117</v>
      </c>
      <c r="I144" s="20"/>
      <c r="J144" s="161"/>
      <c r="K144" s="167"/>
      <c r="L144" s="167"/>
      <c r="M144" s="167"/>
      <c r="N144" s="167"/>
      <c r="O144" s="20"/>
      <c r="P144" s="28">
        <f>SUM(F144:O144)</f>
        <v>-117</v>
      </c>
      <c r="Q144" s="519" t="s">
        <v>210</v>
      </c>
    </row>
    <row r="145" spans="1:17" ht="13.5" customHeight="1">
      <c r="A145" s="17"/>
      <c r="B145" s="17"/>
      <c r="C145" s="815" t="s">
        <v>1033</v>
      </c>
      <c r="D145" s="816"/>
      <c r="E145" s="29">
        <v>1</v>
      </c>
      <c r="F145" s="20"/>
      <c r="G145" s="20"/>
      <c r="H145" s="161">
        <v>2247</v>
      </c>
      <c r="I145" s="20"/>
      <c r="J145" s="161"/>
      <c r="K145" s="167"/>
      <c r="L145" s="167"/>
      <c r="M145" s="167"/>
      <c r="N145" s="167"/>
      <c r="O145" s="20"/>
      <c r="P145" s="28">
        <v>2247</v>
      </c>
      <c r="Q145" s="519" t="s">
        <v>1261</v>
      </c>
    </row>
    <row r="146" spans="1:17" ht="14.25" customHeight="1">
      <c r="A146" s="17"/>
      <c r="B146" s="17"/>
      <c r="C146" s="815" t="s">
        <v>630</v>
      </c>
      <c r="D146" s="816"/>
      <c r="E146" s="29">
        <v>1</v>
      </c>
      <c r="F146" s="20"/>
      <c r="G146" s="20"/>
      <c r="H146" s="161">
        <v>1003</v>
      </c>
      <c r="I146" s="20"/>
      <c r="J146" s="161"/>
      <c r="K146" s="167"/>
      <c r="L146" s="167"/>
      <c r="M146" s="167"/>
      <c r="N146" s="167"/>
      <c r="O146" s="20"/>
      <c r="P146" s="28">
        <f>SUM(H146:O146)</f>
        <v>1003</v>
      </c>
      <c r="Q146" s="519" t="s">
        <v>210</v>
      </c>
    </row>
    <row r="147" spans="1:17" ht="15" customHeight="1">
      <c r="A147" s="17"/>
      <c r="B147" s="17"/>
      <c r="C147" s="776" t="s">
        <v>731</v>
      </c>
      <c r="D147" s="907"/>
      <c r="E147" s="29"/>
      <c r="F147" s="20"/>
      <c r="G147" s="20"/>
      <c r="H147" s="161"/>
      <c r="I147" s="20"/>
      <c r="J147" s="161"/>
      <c r="K147" s="167"/>
      <c r="L147" s="167"/>
      <c r="M147" s="167"/>
      <c r="N147" s="167"/>
      <c r="O147" s="20"/>
      <c r="P147" s="28">
        <f>SUM(F147:O147)</f>
        <v>0</v>
      </c>
      <c r="Q147" s="519" t="s">
        <v>1261</v>
      </c>
    </row>
    <row r="148" spans="1:17" ht="18" customHeight="1">
      <c r="A148" s="17"/>
      <c r="B148" s="17"/>
      <c r="C148" s="776" t="s">
        <v>732</v>
      </c>
      <c r="D148" s="837"/>
      <c r="E148" s="29">
        <v>2</v>
      </c>
      <c r="F148" s="20"/>
      <c r="G148" s="20"/>
      <c r="H148" s="161">
        <v>100</v>
      </c>
      <c r="I148" s="20"/>
      <c r="J148" s="161"/>
      <c r="K148" s="167"/>
      <c r="L148" s="167"/>
      <c r="M148" s="167"/>
      <c r="N148" s="167"/>
      <c r="O148" s="20"/>
      <c r="P148" s="28">
        <f>SUM(F148:O148)</f>
        <v>100</v>
      </c>
      <c r="Q148" s="519" t="s">
        <v>1261</v>
      </c>
    </row>
    <row r="149" spans="1:17" ht="24.75" customHeight="1">
      <c r="A149" s="17"/>
      <c r="B149" s="17"/>
      <c r="C149" s="852" t="s">
        <v>639</v>
      </c>
      <c r="D149" s="910"/>
      <c r="E149" s="29"/>
      <c r="F149" s="20"/>
      <c r="G149" s="20"/>
      <c r="H149" s="161"/>
      <c r="I149" s="20"/>
      <c r="J149" s="161"/>
      <c r="K149" s="167"/>
      <c r="L149" s="167"/>
      <c r="M149" s="167"/>
      <c r="N149" s="167"/>
      <c r="O149" s="20"/>
      <c r="P149" s="28"/>
      <c r="Q149" s="519"/>
    </row>
    <row r="150" spans="1:17" ht="13.5" customHeight="1">
      <c r="A150" s="17"/>
      <c r="B150" s="17"/>
      <c r="C150" s="908" t="s">
        <v>733</v>
      </c>
      <c r="D150" s="909"/>
      <c r="E150" s="29">
        <v>2</v>
      </c>
      <c r="F150" s="20"/>
      <c r="G150" s="20"/>
      <c r="H150" s="161"/>
      <c r="I150" s="20"/>
      <c r="J150" s="161"/>
      <c r="K150" s="167"/>
      <c r="L150" s="167"/>
      <c r="M150" s="167"/>
      <c r="N150" s="167"/>
      <c r="O150" s="161">
        <v>2499</v>
      </c>
      <c r="P150" s="28">
        <f>SUM(F150:O150)</f>
        <v>2499</v>
      </c>
      <c r="Q150" s="519" t="s">
        <v>1261</v>
      </c>
    </row>
    <row r="151" spans="1:17" ht="13.5" customHeight="1">
      <c r="A151" s="162"/>
      <c r="B151" s="162"/>
      <c r="C151" s="34" t="s">
        <v>1134</v>
      </c>
      <c r="D151" s="171"/>
      <c r="E151" s="33"/>
      <c r="F151" s="165">
        <f>SUM(F137:F150)</f>
        <v>0</v>
      </c>
      <c r="G151" s="165">
        <f aca="true" t="shared" si="15" ref="G151:P151">SUM(G137:G150)</f>
        <v>0</v>
      </c>
      <c r="H151" s="165">
        <f t="shared" si="15"/>
        <v>-2868</v>
      </c>
      <c r="I151" s="165">
        <f t="shared" si="15"/>
        <v>0</v>
      </c>
      <c r="J151" s="165">
        <f t="shared" si="15"/>
        <v>0</v>
      </c>
      <c r="K151" s="165">
        <f t="shared" si="15"/>
        <v>0</v>
      </c>
      <c r="L151" s="165">
        <f t="shared" si="15"/>
        <v>0</v>
      </c>
      <c r="M151" s="165">
        <f t="shared" si="15"/>
        <v>0</v>
      </c>
      <c r="N151" s="165">
        <f t="shared" si="15"/>
        <v>0</v>
      </c>
      <c r="O151" s="165">
        <f t="shared" si="15"/>
        <v>2499</v>
      </c>
      <c r="P151" s="165">
        <f t="shared" si="15"/>
        <v>-369</v>
      </c>
      <c r="Q151" s="520"/>
    </row>
    <row r="152" spans="1:17" ht="13.5" customHeight="1">
      <c r="A152" s="17"/>
      <c r="B152" s="17"/>
      <c r="C152" s="32" t="s">
        <v>938</v>
      </c>
      <c r="D152" s="170"/>
      <c r="E152" s="619"/>
      <c r="F152" s="20"/>
      <c r="G152" s="20"/>
      <c r="H152" s="20"/>
      <c r="I152" s="20"/>
      <c r="J152" s="20"/>
      <c r="K152" s="167">
        <f>7!J259</f>
        <v>3299</v>
      </c>
      <c r="L152" s="161"/>
      <c r="M152" s="161">
        <f>7!K259</f>
        <v>0</v>
      </c>
      <c r="N152" s="161"/>
      <c r="O152" s="20"/>
      <c r="P152" s="28">
        <f>SUM(F152:O152)</f>
        <v>3299</v>
      </c>
      <c r="Q152" s="521"/>
    </row>
    <row r="153" spans="1:17" ht="13.5" customHeight="1">
      <c r="A153" s="17"/>
      <c r="B153" s="17"/>
      <c r="C153" s="32" t="s">
        <v>204</v>
      </c>
      <c r="D153" s="170"/>
      <c r="E153" s="619"/>
      <c r="F153" s="20"/>
      <c r="G153" s="20"/>
      <c r="H153" s="20"/>
      <c r="I153" s="20"/>
      <c r="J153" s="20"/>
      <c r="K153" s="167"/>
      <c r="L153" s="161">
        <f>8!J211</f>
        <v>373</v>
      </c>
      <c r="M153" s="161">
        <f>8!K211</f>
        <v>3868</v>
      </c>
      <c r="N153" s="161"/>
      <c r="O153" s="20"/>
      <c r="P153" s="28">
        <f>SUM(F153:O153)</f>
        <v>4241</v>
      </c>
      <c r="Q153" s="521"/>
    </row>
    <row r="154" spans="1:17" ht="13.5" customHeight="1">
      <c r="A154" s="162"/>
      <c r="B154" s="162"/>
      <c r="C154" s="34" t="s">
        <v>1215</v>
      </c>
      <c r="D154" s="171"/>
      <c r="E154" s="33"/>
      <c r="F154" s="165">
        <f>SUM(F151:F153)</f>
        <v>0</v>
      </c>
      <c r="G154" s="165">
        <f aca="true" t="shared" si="16" ref="G154:P154">SUM(G151:G153)</f>
        <v>0</v>
      </c>
      <c r="H154" s="165">
        <f t="shared" si="16"/>
        <v>-2868</v>
      </c>
      <c r="I154" s="165">
        <f t="shared" si="16"/>
        <v>0</v>
      </c>
      <c r="J154" s="165">
        <f t="shared" si="16"/>
        <v>0</v>
      </c>
      <c r="K154" s="165">
        <f t="shared" si="16"/>
        <v>3299</v>
      </c>
      <c r="L154" s="165">
        <f t="shared" si="16"/>
        <v>373</v>
      </c>
      <c r="M154" s="165">
        <f t="shared" si="16"/>
        <v>3868</v>
      </c>
      <c r="N154" s="165">
        <f t="shared" si="16"/>
        <v>0</v>
      </c>
      <c r="O154" s="165">
        <f t="shared" si="16"/>
        <v>2499</v>
      </c>
      <c r="P154" s="165">
        <f t="shared" si="16"/>
        <v>7171</v>
      </c>
      <c r="Q154" s="520"/>
    </row>
    <row r="155" spans="1:17" ht="13.5" customHeight="1">
      <c r="A155" s="17">
        <v>1</v>
      </c>
      <c r="B155" s="17">
        <v>18</v>
      </c>
      <c r="C155" s="37" t="s">
        <v>1135</v>
      </c>
      <c r="D155" s="170"/>
      <c r="E155" s="619"/>
      <c r="F155" s="20"/>
      <c r="G155" s="20"/>
      <c r="H155" s="20"/>
      <c r="I155" s="20"/>
      <c r="J155" s="20"/>
      <c r="K155" s="167"/>
      <c r="L155" s="167"/>
      <c r="M155" s="167"/>
      <c r="N155" s="167"/>
      <c r="O155" s="20"/>
      <c r="P155" s="28"/>
      <c r="Q155" s="521"/>
    </row>
    <row r="156" spans="1:17" ht="13.5" customHeight="1">
      <c r="A156" s="17"/>
      <c r="B156" s="17"/>
      <c r="C156" s="825" t="s">
        <v>1044</v>
      </c>
      <c r="D156" s="826"/>
      <c r="E156" s="619"/>
      <c r="F156" s="20"/>
      <c r="G156" s="20"/>
      <c r="H156" s="20"/>
      <c r="I156" s="20"/>
      <c r="J156" s="20"/>
      <c r="K156" s="167"/>
      <c r="L156" s="167"/>
      <c r="M156" s="167"/>
      <c r="N156" s="167"/>
      <c r="O156" s="20"/>
      <c r="P156" s="28"/>
      <c r="Q156" s="521"/>
    </row>
    <row r="157" spans="1:17" ht="13.5" customHeight="1">
      <c r="A157" s="17"/>
      <c r="B157" s="17"/>
      <c r="C157" s="827" t="s">
        <v>302</v>
      </c>
      <c r="D157" s="828"/>
      <c r="E157" s="29">
        <v>2</v>
      </c>
      <c r="F157" s="20"/>
      <c r="G157" s="20"/>
      <c r="H157" s="161">
        <v>600</v>
      </c>
      <c r="I157" s="20"/>
      <c r="J157" s="20"/>
      <c r="K157" s="167"/>
      <c r="L157" s="167"/>
      <c r="M157" s="167"/>
      <c r="N157" s="167"/>
      <c r="O157" s="20"/>
      <c r="P157" s="28">
        <v>600</v>
      </c>
      <c r="Q157" s="519" t="s">
        <v>1261</v>
      </c>
    </row>
    <row r="158" spans="1:17" ht="13.5" customHeight="1">
      <c r="A158" s="162"/>
      <c r="B158" s="162"/>
      <c r="C158" s="34" t="s">
        <v>1136</v>
      </c>
      <c r="D158" s="171"/>
      <c r="E158" s="33"/>
      <c r="F158" s="165"/>
      <c r="G158" s="165"/>
      <c r="H158" s="165">
        <f>SUM(H157:H157)</f>
        <v>600</v>
      </c>
      <c r="I158" s="165"/>
      <c r="J158" s="165"/>
      <c r="K158" s="165"/>
      <c r="L158" s="165"/>
      <c r="M158" s="165"/>
      <c r="N158" s="165"/>
      <c r="O158" s="165"/>
      <c r="P158" s="165">
        <f>SUM(P157:P157)</f>
        <v>600</v>
      </c>
      <c r="Q158" s="520"/>
    </row>
    <row r="159" spans="1:17" ht="13.5" customHeight="1">
      <c r="A159" s="17"/>
      <c r="B159" s="17"/>
      <c r="C159" s="32" t="s">
        <v>938</v>
      </c>
      <c r="D159" s="170"/>
      <c r="E159" s="619"/>
      <c r="F159" s="20"/>
      <c r="G159" s="20"/>
      <c r="H159" s="20"/>
      <c r="I159" s="20"/>
      <c r="J159" s="20"/>
      <c r="K159" s="167">
        <f>7!J262</f>
        <v>0</v>
      </c>
      <c r="L159" s="167"/>
      <c r="M159" s="167">
        <f>7!K262</f>
        <v>0</v>
      </c>
      <c r="N159" s="167"/>
      <c r="O159" s="20"/>
      <c r="P159" s="28">
        <f>SUM(F159:O159)</f>
        <v>0</v>
      </c>
      <c r="Q159" s="521"/>
    </row>
    <row r="160" spans="1:17" ht="13.5" customHeight="1">
      <c r="A160" s="162"/>
      <c r="B160" s="162"/>
      <c r="C160" s="34" t="s">
        <v>1216</v>
      </c>
      <c r="D160" s="171"/>
      <c r="E160" s="33"/>
      <c r="F160" s="165">
        <f>SUM(F158:F159)</f>
        <v>0</v>
      </c>
      <c r="G160" s="165">
        <f aca="true" t="shared" si="17" ref="G160:P160">SUM(G158:G159)</f>
        <v>0</v>
      </c>
      <c r="H160" s="165">
        <f t="shared" si="17"/>
        <v>600</v>
      </c>
      <c r="I160" s="165">
        <f t="shared" si="17"/>
        <v>0</v>
      </c>
      <c r="J160" s="165">
        <f t="shared" si="17"/>
        <v>0</v>
      </c>
      <c r="K160" s="165">
        <f t="shared" si="17"/>
        <v>0</v>
      </c>
      <c r="L160" s="165">
        <f t="shared" si="17"/>
        <v>0</v>
      </c>
      <c r="M160" s="165">
        <f t="shared" si="17"/>
        <v>0</v>
      </c>
      <c r="N160" s="165">
        <f t="shared" si="17"/>
        <v>0</v>
      </c>
      <c r="O160" s="165">
        <f t="shared" si="17"/>
        <v>0</v>
      </c>
      <c r="P160" s="165">
        <f t="shared" si="17"/>
        <v>600</v>
      </c>
      <c r="Q160" s="520"/>
    </row>
    <row r="161" spans="1:17" ht="13.5" customHeight="1">
      <c r="A161" s="39">
        <v>1</v>
      </c>
      <c r="B161" s="39">
        <v>19</v>
      </c>
      <c r="C161" s="44" t="s">
        <v>199</v>
      </c>
      <c r="D161" s="604"/>
      <c r="E161" s="3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8"/>
      <c r="Q161" s="517"/>
    </row>
    <row r="162" spans="1:17" ht="24.75" customHeight="1">
      <c r="A162" s="39"/>
      <c r="B162" s="39"/>
      <c r="C162" s="823" t="s">
        <v>1118</v>
      </c>
      <c r="D162" s="824"/>
      <c r="E162" s="606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28"/>
      <c r="Q162" s="517"/>
    </row>
    <row r="163" spans="1:17" ht="13.5" customHeight="1">
      <c r="A163" s="39"/>
      <c r="B163" s="39"/>
      <c r="C163" s="40" t="s">
        <v>227</v>
      </c>
      <c r="D163" s="613"/>
      <c r="E163" s="617">
        <v>1</v>
      </c>
      <c r="F163" s="161"/>
      <c r="G163" s="161"/>
      <c r="H163" s="161">
        <v>39881</v>
      </c>
      <c r="I163" s="161"/>
      <c r="J163" s="161"/>
      <c r="K163" s="161"/>
      <c r="L163" s="161"/>
      <c r="M163" s="161"/>
      <c r="N163" s="161"/>
      <c r="O163" s="161"/>
      <c r="P163" s="28">
        <f>SUM(F163:O163)</f>
        <v>39881</v>
      </c>
      <c r="Q163" s="517" t="s">
        <v>1261</v>
      </c>
    </row>
    <row r="164" spans="1:17" ht="24.75" customHeight="1">
      <c r="A164" s="39"/>
      <c r="B164" s="39"/>
      <c r="C164" s="887" t="s">
        <v>1022</v>
      </c>
      <c r="D164" s="888"/>
      <c r="E164" s="39">
        <v>1</v>
      </c>
      <c r="F164" s="161"/>
      <c r="G164" s="161"/>
      <c r="H164" s="161"/>
      <c r="I164" s="161"/>
      <c r="J164" s="161">
        <v>17421</v>
      </c>
      <c r="K164" s="161"/>
      <c r="L164" s="161"/>
      <c r="M164" s="161"/>
      <c r="N164" s="161"/>
      <c r="O164" s="161"/>
      <c r="P164" s="28">
        <f>SUM(F164:O164)</f>
        <v>17421</v>
      </c>
      <c r="Q164" s="517" t="s">
        <v>1261</v>
      </c>
    </row>
    <row r="165" spans="1:17" ht="24.75" customHeight="1">
      <c r="A165" s="39"/>
      <c r="B165" s="39"/>
      <c r="C165" s="863" t="s">
        <v>1023</v>
      </c>
      <c r="D165" s="889"/>
      <c r="E165" s="617">
        <v>1</v>
      </c>
      <c r="F165" s="161"/>
      <c r="G165" s="161"/>
      <c r="H165" s="161"/>
      <c r="I165" s="161"/>
      <c r="J165" s="161">
        <v>9850</v>
      </c>
      <c r="K165" s="161"/>
      <c r="L165" s="161"/>
      <c r="M165" s="161"/>
      <c r="N165" s="161"/>
      <c r="O165" s="161"/>
      <c r="P165" s="28">
        <f>SUM(F165:O165)</f>
        <v>9850</v>
      </c>
      <c r="Q165" s="517" t="s">
        <v>1261</v>
      </c>
    </row>
    <row r="166" spans="1:17" ht="13.5" customHeight="1">
      <c r="A166" s="39"/>
      <c r="B166" s="39"/>
      <c r="C166" s="817" t="s">
        <v>734</v>
      </c>
      <c r="D166" s="818"/>
      <c r="E166" s="617">
        <v>2</v>
      </c>
      <c r="F166" s="161"/>
      <c r="G166" s="161"/>
      <c r="H166" s="161">
        <v>635</v>
      </c>
      <c r="I166" s="161"/>
      <c r="J166" s="161">
        <v>-635</v>
      </c>
      <c r="K166" s="161"/>
      <c r="L166" s="161"/>
      <c r="M166" s="161"/>
      <c r="N166" s="161"/>
      <c r="O166" s="161"/>
      <c r="P166" s="28">
        <f>SUM(F166:O166)</f>
        <v>0</v>
      </c>
      <c r="Q166" s="517" t="s">
        <v>1261</v>
      </c>
    </row>
    <row r="167" spans="1:17" ht="13.5" customHeight="1">
      <c r="A167" s="39"/>
      <c r="B167" s="39"/>
      <c r="C167" s="817" t="s">
        <v>1037</v>
      </c>
      <c r="D167" s="818"/>
      <c r="E167" s="617">
        <v>1</v>
      </c>
      <c r="F167" s="161"/>
      <c r="G167" s="161"/>
      <c r="H167" s="161"/>
      <c r="I167" s="161"/>
      <c r="J167" s="161">
        <v>184</v>
      </c>
      <c r="K167" s="161"/>
      <c r="L167" s="161"/>
      <c r="M167" s="161"/>
      <c r="N167" s="161"/>
      <c r="O167" s="161"/>
      <c r="P167" s="28">
        <v>184</v>
      </c>
      <c r="Q167" s="517" t="s">
        <v>1261</v>
      </c>
    </row>
    <row r="168" spans="1:17" ht="24.75" customHeight="1">
      <c r="A168" s="39"/>
      <c r="B168" s="39"/>
      <c r="C168" s="852" t="s">
        <v>639</v>
      </c>
      <c r="D168" s="853"/>
      <c r="E168" s="617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28"/>
      <c r="Q168" s="517"/>
    </row>
    <row r="169" spans="1:17" ht="12" customHeight="1">
      <c r="A169" s="39"/>
      <c r="B169" s="39"/>
      <c r="C169" s="863" t="s">
        <v>733</v>
      </c>
      <c r="D169" s="864"/>
      <c r="E169" s="620">
        <v>2</v>
      </c>
      <c r="F169" s="161"/>
      <c r="G169" s="161"/>
      <c r="H169" s="161"/>
      <c r="I169" s="161"/>
      <c r="J169" s="161"/>
      <c r="K169" s="161"/>
      <c r="L169" s="161"/>
      <c r="M169" s="161"/>
      <c r="N169" s="161"/>
      <c r="O169" s="161">
        <v>8481</v>
      </c>
      <c r="P169" s="28">
        <f>SUM(F169:O169)</f>
        <v>8481</v>
      </c>
      <c r="Q169" s="517" t="s">
        <v>1261</v>
      </c>
    </row>
    <row r="170" spans="1:17" ht="24" customHeight="1">
      <c r="A170" s="39"/>
      <c r="B170" s="39"/>
      <c r="C170" s="776" t="s">
        <v>305</v>
      </c>
      <c r="D170" s="812"/>
      <c r="E170" s="620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28">
        <f>SUM(H170:O170)</f>
        <v>0</v>
      </c>
      <c r="Q170" s="517" t="s">
        <v>222</v>
      </c>
    </row>
    <row r="171" spans="1:17" ht="15" customHeight="1">
      <c r="A171" s="39"/>
      <c r="B171" s="39"/>
      <c r="C171" s="887" t="s">
        <v>735</v>
      </c>
      <c r="D171" s="888"/>
      <c r="E171" s="620">
        <v>2</v>
      </c>
      <c r="F171" s="161"/>
      <c r="G171" s="161"/>
      <c r="H171" s="161"/>
      <c r="I171" s="161"/>
      <c r="J171" s="161">
        <v>27224</v>
      </c>
      <c r="K171" s="161"/>
      <c r="L171" s="161"/>
      <c r="M171" s="161"/>
      <c r="N171" s="161"/>
      <c r="O171" s="161"/>
      <c r="P171" s="28">
        <f>SUM(H171:O171)</f>
        <v>27224</v>
      </c>
      <c r="Q171" s="517" t="s">
        <v>1261</v>
      </c>
    </row>
    <row r="172" spans="1:17" ht="13.5" customHeight="1">
      <c r="A172" s="166"/>
      <c r="B172" s="166"/>
      <c r="C172" s="34" t="s">
        <v>1137</v>
      </c>
      <c r="D172" s="163"/>
      <c r="E172" s="166"/>
      <c r="F172" s="165">
        <f aca="true" t="shared" si="18" ref="F172:P172">SUM(F162:F171)</f>
        <v>0</v>
      </c>
      <c r="G172" s="165">
        <f t="shared" si="18"/>
        <v>0</v>
      </c>
      <c r="H172" s="165">
        <f t="shared" si="18"/>
        <v>40516</v>
      </c>
      <c r="I172" s="165">
        <f t="shared" si="18"/>
        <v>0</v>
      </c>
      <c r="J172" s="165">
        <f t="shared" si="18"/>
        <v>54044</v>
      </c>
      <c r="K172" s="165">
        <f t="shared" si="18"/>
        <v>0</v>
      </c>
      <c r="L172" s="165">
        <f t="shared" si="18"/>
        <v>0</v>
      </c>
      <c r="M172" s="165">
        <f t="shared" si="18"/>
        <v>0</v>
      </c>
      <c r="N172" s="165">
        <f t="shared" si="18"/>
        <v>0</v>
      </c>
      <c r="O172" s="165">
        <f t="shared" si="18"/>
        <v>8481</v>
      </c>
      <c r="P172" s="165">
        <f t="shared" si="18"/>
        <v>103041</v>
      </c>
      <c r="Q172" s="518"/>
    </row>
    <row r="173" spans="1:17" ht="13.5" customHeight="1">
      <c r="A173" s="17"/>
      <c r="B173" s="17"/>
      <c r="C173" s="40" t="s">
        <v>938</v>
      </c>
      <c r="D173" s="19"/>
      <c r="E173" s="39"/>
      <c r="F173" s="20"/>
      <c r="G173" s="20"/>
      <c r="H173" s="20"/>
      <c r="I173" s="20"/>
      <c r="J173" s="20"/>
      <c r="K173" s="167">
        <f>7!J271</f>
        <v>0</v>
      </c>
      <c r="L173" s="167"/>
      <c r="M173" s="161">
        <f>7!K271</f>
        <v>800</v>
      </c>
      <c r="N173" s="161"/>
      <c r="O173" s="20"/>
      <c r="P173" s="28">
        <f>SUM(F173:O173)</f>
        <v>800</v>
      </c>
      <c r="Q173" s="517"/>
    </row>
    <row r="174" spans="1:17" ht="13.5" customHeight="1">
      <c r="A174" s="17"/>
      <c r="B174" s="17"/>
      <c r="C174" s="40" t="s">
        <v>204</v>
      </c>
      <c r="D174" s="19"/>
      <c r="E174" s="39"/>
      <c r="F174" s="20"/>
      <c r="G174" s="20"/>
      <c r="H174" s="20"/>
      <c r="I174" s="20"/>
      <c r="J174" s="20"/>
      <c r="K174" s="167"/>
      <c r="L174" s="167">
        <f>8!K215</f>
        <v>0</v>
      </c>
      <c r="M174" s="161">
        <f>8!K215</f>
        <v>0</v>
      </c>
      <c r="N174" s="161"/>
      <c r="O174" s="20"/>
      <c r="P174" s="28">
        <f>SUM(F174:O174)</f>
        <v>0</v>
      </c>
      <c r="Q174" s="517"/>
    </row>
    <row r="175" spans="1:17" ht="13.5" customHeight="1">
      <c r="A175" s="162"/>
      <c r="B175" s="162"/>
      <c r="C175" s="34" t="s">
        <v>200</v>
      </c>
      <c r="D175" s="163"/>
      <c r="E175" s="166"/>
      <c r="F175" s="165">
        <f>SUM(F172:F174)</f>
        <v>0</v>
      </c>
      <c r="G175" s="165">
        <f aca="true" t="shared" si="19" ref="G175:P175">SUM(G172:G174)</f>
        <v>0</v>
      </c>
      <c r="H175" s="165">
        <f t="shared" si="19"/>
        <v>40516</v>
      </c>
      <c r="I175" s="165">
        <f t="shared" si="19"/>
        <v>0</v>
      </c>
      <c r="J175" s="165">
        <f t="shared" si="19"/>
        <v>54044</v>
      </c>
      <c r="K175" s="165">
        <f t="shared" si="19"/>
        <v>0</v>
      </c>
      <c r="L175" s="165">
        <f t="shared" si="19"/>
        <v>0</v>
      </c>
      <c r="M175" s="165">
        <f t="shared" si="19"/>
        <v>800</v>
      </c>
      <c r="N175" s="165">
        <f t="shared" si="19"/>
        <v>0</v>
      </c>
      <c r="O175" s="165">
        <f t="shared" si="19"/>
        <v>8481</v>
      </c>
      <c r="P175" s="165">
        <f t="shared" si="19"/>
        <v>103841</v>
      </c>
      <c r="Q175" s="518"/>
    </row>
    <row r="176" spans="1:17" ht="24.75" customHeight="1">
      <c r="A176" s="17">
        <v>1</v>
      </c>
      <c r="B176" s="17">
        <v>20</v>
      </c>
      <c r="C176" s="831" t="s">
        <v>1118</v>
      </c>
      <c r="D176" s="892"/>
      <c r="E176" s="29"/>
      <c r="F176" s="20"/>
      <c r="G176" s="20"/>
      <c r="H176" s="174"/>
      <c r="I176" s="174"/>
      <c r="J176" s="174"/>
      <c r="K176" s="174"/>
      <c r="L176" s="174"/>
      <c r="M176" s="174"/>
      <c r="N176" s="174"/>
      <c r="O176" s="174"/>
      <c r="P176" s="28">
        <f aca="true" t="shared" si="20" ref="P176:P188">SUM(F176:O176)</f>
        <v>0</v>
      </c>
      <c r="Q176" s="519"/>
    </row>
    <row r="177" spans="1:17" ht="13.5" customHeight="1">
      <c r="A177" s="162"/>
      <c r="B177" s="162"/>
      <c r="C177" s="34" t="s">
        <v>108</v>
      </c>
      <c r="D177" s="163"/>
      <c r="E177" s="166">
        <v>1</v>
      </c>
      <c r="F177" s="165">
        <f>SUM(F176:F176)</f>
        <v>0</v>
      </c>
      <c r="G177" s="165">
        <f>SUM(G176:G176)</f>
        <v>0</v>
      </c>
      <c r="H177" s="165">
        <v>0</v>
      </c>
      <c r="I177" s="165">
        <f aca="true" t="shared" si="21" ref="I177:O177">SUM(I176:I176)</f>
        <v>0</v>
      </c>
      <c r="J177" s="165">
        <f t="shared" si="21"/>
        <v>0</v>
      </c>
      <c r="K177" s="165">
        <f t="shared" si="21"/>
        <v>0</v>
      </c>
      <c r="L177" s="165">
        <f t="shared" si="21"/>
        <v>0</v>
      </c>
      <c r="M177" s="165">
        <f t="shared" si="21"/>
        <v>0</v>
      </c>
      <c r="N177" s="165">
        <f t="shared" si="21"/>
        <v>0</v>
      </c>
      <c r="O177" s="165">
        <f t="shared" si="21"/>
        <v>0</v>
      </c>
      <c r="P177" s="165">
        <f t="shared" si="20"/>
        <v>0</v>
      </c>
      <c r="Q177" s="518" t="s">
        <v>1261</v>
      </c>
    </row>
    <row r="178" spans="1:17" ht="13.5" customHeight="1">
      <c r="A178" s="168">
        <v>1</v>
      </c>
      <c r="B178" s="168">
        <v>22</v>
      </c>
      <c r="C178" s="882" t="s">
        <v>1016</v>
      </c>
      <c r="D178" s="883"/>
      <c r="E178" s="621"/>
      <c r="F178" s="20"/>
      <c r="G178" s="20"/>
      <c r="H178" s="20"/>
      <c r="I178" s="20"/>
      <c r="J178" s="20"/>
      <c r="K178" s="167"/>
      <c r="L178" s="167"/>
      <c r="M178" s="167"/>
      <c r="N178" s="167"/>
      <c r="O178" s="20"/>
      <c r="P178" s="28"/>
      <c r="Q178" s="517"/>
    </row>
    <row r="179" spans="1:17" ht="13.5" customHeight="1">
      <c r="A179" s="168"/>
      <c r="B179" s="168"/>
      <c r="C179" s="890" t="s">
        <v>1118</v>
      </c>
      <c r="D179" s="891"/>
      <c r="E179" s="617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28"/>
      <c r="Q179" s="517"/>
    </row>
    <row r="180" spans="1:17" ht="13.5" customHeight="1">
      <c r="A180" s="168"/>
      <c r="B180" s="168"/>
      <c r="C180" s="181" t="s">
        <v>228</v>
      </c>
      <c r="D180" s="614"/>
      <c r="E180" s="605">
        <v>2</v>
      </c>
      <c r="F180" s="161">
        <v>2800</v>
      </c>
      <c r="G180" s="161">
        <v>-1700</v>
      </c>
      <c r="H180" s="161">
        <v>-1750</v>
      </c>
      <c r="I180" s="161"/>
      <c r="J180" s="161">
        <v>500</v>
      </c>
      <c r="K180" s="161"/>
      <c r="L180" s="161"/>
      <c r="M180" s="161"/>
      <c r="N180" s="161"/>
      <c r="O180" s="161"/>
      <c r="P180" s="28">
        <f t="shared" si="20"/>
        <v>-150</v>
      </c>
      <c r="Q180" s="519" t="s">
        <v>1261</v>
      </c>
    </row>
    <row r="181" spans="1:17" ht="13.5" customHeight="1">
      <c r="A181" s="168"/>
      <c r="B181" s="168"/>
      <c r="C181" s="177" t="s">
        <v>736</v>
      </c>
      <c r="D181" s="614"/>
      <c r="E181" s="605">
        <v>1</v>
      </c>
      <c r="F181" s="161">
        <v>100</v>
      </c>
      <c r="G181" s="161">
        <v>25</v>
      </c>
      <c r="H181" s="161">
        <v>-125</v>
      </c>
      <c r="I181" s="161"/>
      <c r="J181" s="161"/>
      <c r="K181" s="161"/>
      <c r="L181" s="161"/>
      <c r="M181" s="161"/>
      <c r="N181" s="161"/>
      <c r="O181" s="161"/>
      <c r="P181" s="28">
        <f t="shared" si="20"/>
        <v>0</v>
      </c>
      <c r="Q181" s="519"/>
    </row>
    <row r="182" spans="1:17" ht="13.5" customHeight="1">
      <c r="A182" s="168"/>
      <c r="B182" s="168"/>
      <c r="C182" s="177" t="s">
        <v>737</v>
      </c>
      <c r="D182" s="614"/>
      <c r="E182" s="605">
        <v>2</v>
      </c>
      <c r="F182" s="161">
        <v>-291</v>
      </c>
      <c r="G182" s="161">
        <v>-70</v>
      </c>
      <c r="H182" s="161">
        <v>1010</v>
      </c>
      <c r="I182" s="161"/>
      <c r="J182" s="161">
        <v>-21</v>
      </c>
      <c r="K182" s="161"/>
      <c r="L182" s="161"/>
      <c r="M182" s="161"/>
      <c r="N182" s="161"/>
      <c r="O182" s="161"/>
      <c r="P182" s="28">
        <f t="shared" si="20"/>
        <v>628</v>
      </c>
      <c r="Q182" s="519" t="s">
        <v>1261</v>
      </c>
    </row>
    <row r="183" spans="1:17" ht="13.5" customHeight="1">
      <c r="A183" s="168"/>
      <c r="B183" s="168"/>
      <c r="C183" s="32" t="s">
        <v>445</v>
      </c>
      <c r="D183" s="614"/>
      <c r="E183" s="605">
        <v>2</v>
      </c>
      <c r="F183" s="161"/>
      <c r="G183" s="161"/>
      <c r="H183" s="161"/>
      <c r="I183" s="161"/>
      <c r="J183" s="161">
        <v>-500</v>
      </c>
      <c r="K183" s="161"/>
      <c r="L183" s="161"/>
      <c r="M183" s="161"/>
      <c r="N183" s="161"/>
      <c r="O183" s="161"/>
      <c r="P183" s="28">
        <f t="shared" si="20"/>
        <v>-500</v>
      </c>
      <c r="Q183" s="519" t="s">
        <v>1261</v>
      </c>
    </row>
    <row r="184" spans="1:17" ht="13.5" customHeight="1">
      <c r="A184" s="168"/>
      <c r="B184" s="168"/>
      <c r="C184" s="32" t="s">
        <v>303</v>
      </c>
      <c r="D184" s="614"/>
      <c r="E184" s="605">
        <v>1</v>
      </c>
      <c r="F184" s="161">
        <v>4173</v>
      </c>
      <c r="G184" s="161">
        <v>1223</v>
      </c>
      <c r="H184" s="161"/>
      <c r="I184" s="161"/>
      <c r="J184" s="161"/>
      <c r="K184" s="161"/>
      <c r="L184" s="161"/>
      <c r="M184" s="161"/>
      <c r="N184" s="161"/>
      <c r="O184" s="161"/>
      <c r="P184" s="28">
        <f>SUM(F184:O184)</f>
        <v>5396</v>
      </c>
      <c r="Q184" s="519" t="s">
        <v>1261</v>
      </c>
    </row>
    <row r="185" spans="1:17" ht="13.5" customHeight="1">
      <c r="A185" s="168"/>
      <c r="B185" s="168"/>
      <c r="C185" s="859" t="s">
        <v>1041</v>
      </c>
      <c r="D185" s="884"/>
      <c r="E185" s="605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28"/>
      <c r="Q185" s="519"/>
    </row>
    <row r="186" spans="1:17" ht="13.5" customHeight="1">
      <c r="A186" s="168"/>
      <c r="B186" s="168"/>
      <c r="C186" s="40" t="s">
        <v>1042</v>
      </c>
      <c r="D186" s="604"/>
      <c r="E186" s="605">
        <v>2</v>
      </c>
      <c r="F186" s="161">
        <v>-200</v>
      </c>
      <c r="G186" s="161">
        <v>1000</v>
      </c>
      <c r="H186" s="161">
        <v>50</v>
      </c>
      <c r="I186" s="161"/>
      <c r="J186" s="161">
        <v>-200</v>
      </c>
      <c r="K186" s="161"/>
      <c r="L186" s="161"/>
      <c r="M186" s="161"/>
      <c r="N186" s="161"/>
      <c r="O186" s="161"/>
      <c r="P186" s="28">
        <f t="shared" si="20"/>
        <v>650</v>
      </c>
      <c r="Q186" s="519" t="s">
        <v>1261</v>
      </c>
    </row>
    <row r="187" spans="1:17" ht="13.5" customHeight="1">
      <c r="A187" s="168"/>
      <c r="B187" s="168"/>
      <c r="C187" s="177" t="s">
        <v>1020</v>
      </c>
      <c r="D187" s="185"/>
      <c r="E187" s="29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28"/>
      <c r="Q187" s="519"/>
    </row>
    <row r="188" spans="1:17" ht="13.5" customHeight="1">
      <c r="A188" s="168"/>
      <c r="B188" s="168"/>
      <c r="C188" s="852" t="s">
        <v>446</v>
      </c>
      <c r="D188" s="853"/>
      <c r="E188" s="29">
        <v>2</v>
      </c>
      <c r="F188" s="161"/>
      <c r="G188" s="161"/>
      <c r="H188" s="161"/>
      <c r="I188" s="161"/>
      <c r="J188" s="161">
        <v>1350</v>
      </c>
      <c r="K188" s="161"/>
      <c r="L188" s="161"/>
      <c r="M188" s="161"/>
      <c r="N188" s="161"/>
      <c r="O188" s="161"/>
      <c r="P188" s="28">
        <f t="shared" si="20"/>
        <v>1350</v>
      </c>
      <c r="Q188" s="519" t="s">
        <v>1261</v>
      </c>
    </row>
    <row r="189" spans="1:17" ht="13.5" customHeight="1">
      <c r="A189" s="168"/>
      <c r="B189" s="168"/>
      <c r="C189" s="184" t="s">
        <v>229</v>
      </c>
      <c r="D189" s="183"/>
      <c r="E189" s="606">
        <v>2</v>
      </c>
      <c r="F189" s="161"/>
      <c r="G189" s="161"/>
      <c r="H189" s="161">
        <v>-737</v>
      </c>
      <c r="I189" s="161"/>
      <c r="J189" s="161">
        <v>1005</v>
      </c>
      <c r="K189" s="161"/>
      <c r="L189" s="161"/>
      <c r="M189" s="161"/>
      <c r="N189" s="161"/>
      <c r="O189" s="161"/>
      <c r="P189" s="28">
        <f>SUM(F189:O189)</f>
        <v>268</v>
      </c>
      <c r="Q189" s="519" t="s">
        <v>1261</v>
      </c>
    </row>
    <row r="190" spans="1:17" ht="13.5" customHeight="1">
      <c r="A190" s="175"/>
      <c r="B190" s="175"/>
      <c r="C190" s="79" t="s">
        <v>127</v>
      </c>
      <c r="D190" s="176"/>
      <c r="E190" s="622"/>
      <c r="F190" s="165">
        <f aca="true" t="shared" si="22" ref="F190:P190">SUM(F178:F189)</f>
        <v>6582</v>
      </c>
      <c r="G190" s="165">
        <f t="shared" si="22"/>
        <v>478</v>
      </c>
      <c r="H190" s="165">
        <f t="shared" si="22"/>
        <v>-1552</v>
      </c>
      <c r="I190" s="165">
        <f t="shared" si="22"/>
        <v>0</v>
      </c>
      <c r="J190" s="165">
        <f t="shared" si="22"/>
        <v>2134</v>
      </c>
      <c r="K190" s="165">
        <f t="shared" si="22"/>
        <v>0</v>
      </c>
      <c r="L190" s="165">
        <f t="shared" si="22"/>
        <v>0</v>
      </c>
      <c r="M190" s="165">
        <f t="shared" si="22"/>
        <v>0</v>
      </c>
      <c r="N190" s="165">
        <f t="shared" si="22"/>
        <v>0</v>
      </c>
      <c r="O190" s="165">
        <f t="shared" si="22"/>
        <v>0</v>
      </c>
      <c r="P190" s="165">
        <f t="shared" si="22"/>
        <v>7642</v>
      </c>
      <c r="Q190" s="520"/>
    </row>
    <row r="191" spans="1:17" ht="13.5" customHeight="1">
      <c r="A191" s="17"/>
      <c r="B191" s="17"/>
      <c r="C191" s="40" t="s">
        <v>938</v>
      </c>
      <c r="D191" s="19"/>
      <c r="E191" s="39"/>
      <c r="F191" s="20"/>
      <c r="G191" s="20"/>
      <c r="H191" s="20"/>
      <c r="I191" s="20"/>
      <c r="J191" s="20"/>
      <c r="K191" s="161">
        <f>7!J277</f>
        <v>0</v>
      </c>
      <c r="L191" s="161"/>
      <c r="M191" s="161">
        <f>7!K277</f>
        <v>107736</v>
      </c>
      <c r="N191" s="161"/>
      <c r="O191" s="20"/>
      <c r="P191" s="28">
        <f>SUM(F191:O191)</f>
        <v>107736</v>
      </c>
      <c r="Q191" s="517" t="s">
        <v>1261</v>
      </c>
    </row>
    <row r="192" spans="1:17" ht="13.5" customHeight="1">
      <c r="A192" s="162"/>
      <c r="B192" s="162"/>
      <c r="C192" s="34" t="s">
        <v>1017</v>
      </c>
      <c r="D192" s="163"/>
      <c r="E192" s="166"/>
      <c r="F192" s="165">
        <f>SUM(F190:F191)</f>
        <v>6582</v>
      </c>
      <c r="G192" s="165">
        <f aca="true" t="shared" si="23" ref="G192:P192">SUM(G190:G191)</f>
        <v>478</v>
      </c>
      <c r="H192" s="165">
        <f t="shared" si="23"/>
        <v>-1552</v>
      </c>
      <c r="I192" s="165">
        <f t="shared" si="23"/>
        <v>0</v>
      </c>
      <c r="J192" s="165">
        <f t="shared" si="23"/>
        <v>2134</v>
      </c>
      <c r="K192" s="165">
        <f t="shared" si="23"/>
        <v>0</v>
      </c>
      <c r="L192" s="165">
        <f t="shared" si="23"/>
        <v>0</v>
      </c>
      <c r="M192" s="165">
        <f t="shared" si="23"/>
        <v>107736</v>
      </c>
      <c r="N192" s="165">
        <f t="shared" si="23"/>
        <v>0</v>
      </c>
      <c r="O192" s="165">
        <f t="shared" si="23"/>
        <v>0</v>
      </c>
      <c r="P192" s="165">
        <f t="shared" si="23"/>
        <v>115378</v>
      </c>
      <c r="Q192" s="518"/>
    </row>
    <row r="193" spans="1:17" ht="13.5" customHeight="1">
      <c r="A193" s="39">
        <v>1</v>
      </c>
      <c r="B193" s="39">
        <v>30</v>
      </c>
      <c r="C193" s="44" t="s">
        <v>1263</v>
      </c>
      <c r="D193" s="604"/>
      <c r="E193" s="39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28"/>
      <c r="Q193" s="517"/>
    </row>
    <row r="194" spans="1:17" ht="13.5" customHeight="1">
      <c r="A194" s="39"/>
      <c r="B194" s="655">
        <v>31</v>
      </c>
      <c r="C194" s="44" t="s">
        <v>65</v>
      </c>
      <c r="D194" s="43"/>
      <c r="E194" s="39">
        <v>1</v>
      </c>
      <c r="F194" s="41"/>
      <c r="G194" s="41"/>
      <c r="H194" s="41"/>
      <c r="I194" s="41"/>
      <c r="J194" s="41">
        <v>-1450</v>
      </c>
      <c r="K194" s="41"/>
      <c r="L194" s="41"/>
      <c r="M194" s="41"/>
      <c r="N194" s="41"/>
      <c r="O194" s="41"/>
      <c r="P194" s="28">
        <f>SUM(F194:O194)</f>
        <v>-1450</v>
      </c>
      <c r="Q194" s="517" t="s">
        <v>1261</v>
      </c>
    </row>
    <row r="195" spans="1:17" ht="13.5" customHeight="1">
      <c r="A195" s="39"/>
      <c r="B195" s="39">
        <v>32</v>
      </c>
      <c r="C195" s="44" t="s">
        <v>177</v>
      </c>
      <c r="D195" s="604"/>
      <c r="E195" s="39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28"/>
      <c r="Q195" s="517"/>
    </row>
    <row r="196" spans="1:17" ht="12.75" customHeight="1">
      <c r="A196" s="39"/>
      <c r="B196" s="39"/>
      <c r="C196" s="840" t="s">
        <v>1257</v>
      </c>
      <c r="D196" s="841"/>
      <c r="E196" s="39">
        <v>1</v>
      </c>
      <c r="F196" s="41"/>
      <c r="G196" s="41"/>
      <c r="H196" s="41"/>
      <c r="I196" s="41"/>
      <c r="J196" s="41">
        <v>-2388</v>
      </c>
      <c r="K196" s="41"/>
      <c r="L196" s="41"/>
      <c r="M196" s="41"/>
      <c r="N196" s="41"/>
      <c r="O196" s="41"/>
      <c r="P196" s="28">
        <f>SUM(F196:O196)</f>
        <v>-2388</v>
      </c>
      <c r="Q196" s="517" t="s">
        <v>1261</v>
      </c>
    </row>
    <row r="197" spans="1:17" ht="12.75" customHeight="1">
      <c r="A197" s="39"/>
      <c r="B197" s="39"/>
      <c r="C197" s="857" t="s">
        <v>447</v>
      </c>
      <c r="D197" s="858"/>
      <c r="E197" s="606">
        <v>1</v>
      </c>
      <c r="F197" s="41"/>
      <c r="G197" s="41"/>
      <c r="H197" s="41"/>
      <c r="I197" s="41"/>
      <c r="J197" s="41">
        <v>-14634</v>
      </c>
      <c r="K197" s="41"/>
      <c r="L197" s="41"/>
      <c r="M197" s="41"/>
      <c r="N197" s="41"/>
      <c r="O197" s="41"/>
      <c r="P197" s="28">
        <f>SUM(F197:O197)</f>
        <v>-14634</v>
      </c>
      <c r="Q197" s="517" t="s">
        <v>1261</v>
      </c>
    </row>
    <row r="198" spans="1:17" ht="24.75" customHeight="1">
      <c r="A198" s="39"/>
      <c r="B198" s="39"/>
      <c r="C198" s="852" t="s">
        <v>448</v>
      </c>
      <c r="D198" s="853"/>
      <c r="E198" s="606">
        <v>1</v>
      </c>
      <c r="F198" s="41"/>
      <c r="G198" s="41"/>
      <c r="H198" s="41"/>
      <c r="I198" s="41"/>
      <c r="J198" s="41">
        <v>-32227</v>
      </c>
      <c r="K198" s="41"/>
      <c r="L198" s="41"/>
      <c r="M198" s="41"/>
      <c r="N198" s="41"/>
      <c r="O198" s="41"/>
      <c r="P198" s="28">
        <f>SUM(F198:O198)</f>
        <v>-32227</v>
      </c>
      <c r="Q198" s="517" t="s">
        <v>1261</v>
      </c>
    </row>
    <row r="199" spans="1:17" ht="12.75" customHeight="1">
      <c r="A199" s="39" t="s">
        <v>306</v>
      </c>
      <c r="B199" s="39"/>
      <c r="C199" s="178" t="s">
        <v>213</v>
      </c>
      <c r="D199" s="604"/>
      <c r="E199" s="39"/>
      <c r="F199" s="41"/>
      <c r="G199" s="41"/>
      <c r="H199" s="41"/>
      <c r="I199" s="41"/>
      <c r="J199" s="41"/>
      <c r="K199" s="41">
        <f>7!J280</f>
        <v>0</v>
      </c>
      <c r="L199" s="41">
        <f>8!J218</f>
        <v>-882</v>
      </c>
      <c r="M199" s="41"/>
      <c r="N199" s="41"/>
      <c r="O199" s="41"/>
      <c r="P199" s="28">
        <f>SUM(K199:O199)</f>
        <v>-882</v>
      </c>
      <c r="Q199" s="517"/>
    </row>
    <row r="200" spans="1:17" ht="13.5" customHeight="1">
      <c r="A200" s="33"/>
      <c r="B200" s="33"/>
      <c r="C200" s="34" t="s">
        <v>1220</v>
      </c>
      <c r="D200" s="615"/>
      <c r="E200" s="33"/>
      <c r="F200" s="35">
        <f aca="true" t="shared" si="24" ref="F200:P200">SUM(F193:F199)</f>
        <v>0</v>
      </c>
      <c r="G200" s="35">
        <f t="shared" si="24"/>
        <v>0</v>
      </c>
      <c r="H200" s="35">
        <f t="shared" si="24"/>
        <v>0</v>
      </c>
      <c r="I200" s="35">
        <f t="shared" si="24"/>
        <v>0</v>
      </c>
      <c r="J200" s="35">
        <f t="shared" si="24"/>
        <v>-50699</v>
      </c>
      <c r="K200" s="35">
        <f t="shared" si="24"/>
        <v>0</v>
      </c>
      <c r="L200" s="35">
        <f t="shared" si="24"/>
        <v>-882</v>
      </c>
      <c r="M200" s="35">
        <f t="shared" si="24"/>
        <v>0</v>
      </c>
      <c r="N200" s="35">
        <f t="shared" si="24"/>
        <v>0</v>
      </c>
      <c r="O200" s="35">
        <f t="shared" si="24"/>
        <v>0</v>
      </c>
      <c r="P200" s="35">
        <f t="shared" si="24"/>
        <v>-51581</v>
      </c>
      <c r="Q200" s="518"/>
    </row>
    <row r="201" spans="1:17" ht="25.5" customHeight="1">
      <c r="A201" s="33"/>
      <c r="B201" s="33"/>
      <c r="C201" s="885" t="s">
        <v>1252</v>
      </c>
      <c r="D201" s="886"/>
      <c r="E201" s="623"/>
      <c r="F201" s="35">
        <f aca="true" t="shared" si="25" ref="F201:P201">SUM(F28+F72+F117+F134+F154+F160+F175+F177+F192+F200)</f>
        <v>8612</v>
      </c>
      <c r="G201" s="35">
        <f t="shared" si="25"/>
        <v>2438</v>
      </c>
      <c r="H201" s="35">
        <f t="shared" si="25"/>
        <v>159075</v>
      </c>
      <c r="I201" s="35">
        <f t="shared" si="25"/>
        <v>-21218</v>
      </c>
      <c r="J201" s="35">
        <f t="shared" si="25"/>
        <v>4869</v>
      </c>
      <c r="K201" s="35">
        <f t="shared" si="25"/>
        <v>-481509</v>
      </c>
      <c r="L201" s="35">
        <f t="shared" si="25"/>
        <v>490431</v>
      </c>
      <c r="M201" s="35">
        <f t="shared" si="25"/>
        <v>92776</v>
      </c>
      <c r="N201" s="35">
        <f t="shared" si="25"/>
        <v>0</v>
      </c>
      <c r="O201" s="35">
        <f t="shared" si="25"/>
        <v>10980</v>
      </c>
      <c r="P201" s="35">
        <f t="shared" si="25"/>
        <v>266454</v>
      </c>
      <c r="Q201" s="35"/>
    </row>
    <row r="202" spans="1:17" ht="12.75" customHeight="1">
      <c r="A202" s="29">
        <v>2</v>
      </c>
      <c r="B202" s="29"/>
      <c r="C202" s="78" t="s">
        <v>1249</v>
      </c>
      <c r="D202" s="180"/>
      <c r="E202" s="29"/>
      <c r="F202" s="31">
        <f>'táj.2.'!C20</f>
        <v>62241</v>
      </c>
      <c r="G202" s="31">
        <f>'táj.2.'!D20</f>
        <v>27747</v>
      </c>
      <c r="H202" s="31">
        <f>'táj.2.'!E20</f>
        <v>-42424</v>
      </c>
      <c r="I202" s="31">
        <f>'táj.2.'!F20</f>
        <v>0</v>
      </c>
      <c r="J202" s="31">
        <f>'táj.2.'!G20</f>
        <v>-631</v>
      </c>
      <c r="K202" s="31">
        <f>'táj.2.'!H20</f>
        <v>17264</v>
      </c>
      <c r="L202" s="31">
        <f>'táj.2.'!I20</f>
        <v>47865</v>
      </c>
      <c r="M202" s="31">
        <f>'táj.2.'!J20</f>
        <v>0</v>
      </c>
      <c r="N202" s="31"/>
      <c r="O202" s="31"/>
      <c r="P202" s="28">
        <f>SUM(F202:O202)</f>
        <v>112062</v>
      </c>
      <c r="Q202" s="36"/>
    </row>
    <row r="203" spans="1:17" ht="12.75" customHeight="1">
      <c r="A203" s="33"/>
      <c r="B203" s="33"/>
      <c r="C203" s="61" t="s">
        <v>1221</v>
      </c>
      <c r="D203" s="615"/>
      <c r="E203" s="33"/>
      <c r="F203" s="35">
        <f>SUM(F201:F202)</f>
        <v>70853</v>
      </c>
      <c r="G203" s="35">
        <f aca="true" t="shared" si="26" ref="G203:P203">SUM(G201:G202)</f>
        <v>30185</v>
      </c>
      <c r="H203" s="35">
        <f t="shared" si="26"/>
        <v>116651</v>
      </c>
      <c r="I203" s="35">
        <f t="shared" si="26"/>
        <v>-21218</v>
      </c>
      <c r="J203" s="35">
        <f t="shared" si="26"/>
        <v>4238</v>
      </c>
      <c r="K203" s="35">
        <f t="shared" si="26"/>
        <v>-464245</v>
      </c>
      <c r="L203" s="35">
        <f t="shared" si="26"/>
        <v>538296</v>
      </c>
      <c r="M203" s="35">
        <f t="shared" si="26"/>
        <v>92776</v>
      </c>
      <c r="N203" s="35">
        <f t="shared" si="26"/>
        <v>0</v>
      </c>
      <c r="O203" s="35">
        <f t="shared" si="26"/>
        <v>10980</v>
      </c>
      <c r="P203" s="35">
        <f t="shared" si="26"/>
        <v>378516</v>
      </c>
      <c r="Q203" s="35"/>
    </row>
    <row r="204" spans="3:5" ht="12.75">
      <c r="C204" s="880"/>
      <c r="D204" s="881"/>
      <c r="E204" s="202"/>
    </row>
  </sheetData>
  <sheetProtection/>
  <mergeCells count="111">
    <mergeCell ref="C164:D164"/>
    <mergeCell ref="C147:D147"/>
    <mergeCell ref="C150:D150"/>
    <mergeCell ref="C148:D148"/>
    <mergeCell ref="C149:D149"/>
    <mergeCell ref="C43:D43"/>
    <mergeCell ref="C44:D44"/>
    <mergeCell ref="C33:D33"/>
    <mergeCell ref="C40:D40"/>
    <mergeCell ref="C22:D22"/>
    <mergeCell ref="C34:D34"/>
    <mergeCell ref="C32:D32"/>
    <mergeCell ref="C35:D35"/>
    <mergeCell ref="C50:D50"/>
    <mergeCell ref="C93:D93"/>
    <mergeCell ref="C84:D84"/>
    <mergeCell ref="C48:D48"/>
    <mergeCell ref="C52:D52"/>
    <mergeCell ref="C76:D76"/>
    <mergeCell ref="C56:D56"/>
    <mergeCell ref="C59:D59"/>
    <mergeCell ref="C67:D67"/>
    <mergeCell ref="Q1:Q2"/>
    <mergeCell ref="P1:P2"/>
    <mergeCell ref="E1:E2"/>
    <mergeCell ref="F1:M1"/>
    <mergeCell ref="N1:O1"/>
    <mergeCell ref="C39:D39"/>
    <mergeCell ref="C18:D18"/>
    <mergeCell ref="C38:D38"/>
    <mergeCell ref="C171:D171"/>
    <mergeCell ref="C165:D165"/>
    <mergeCell ref="C179:D179"/>
    <mergeCell ref="C169:D169"/>
    <mergeCell ref="C168:D168"/>
    <mergeCell ref="C166:D166"/>
    <mergeCell ref="C176:D176"/>
    <mergeCell ref="C170:D170"/>
    <mergeCell ref="C5:D5"/>
    <mergeCell ref="C36:D36"/>
    <mergeCell ref="C196:D196"/>
    <mergeCell ref="C204:D204"/>
    <mergeCell ref="C178:D178"/>
    <mergeCell ref="C197:D197"/>
    <mergeCell ref="C185:D185"/>
    <mergeCell ref="C198:D198"/>
    <mergeCell ref="C201:D201"/>
    <mergeCell ref="C188:D188"/>
    <mergeCell ref="C87:D87"/>
    <mergeCell ref="C79:D79"/>
    <mergeCell ref="C86:D86"/>
    <mergeCell ref="C94:D94"/>
    <mergeCell ref="C90:D90"/>
    <mergeCell ref="A1:A2"/>
    <mergeCell ref="B1:B2"/>
    <mergeCell ref="C1:D2"/>
    <mergeCell ref="C13:D13"/>
    <mergeCell ref="C12:D12"/>
    <mergeCell ref="C53:D53"/>
    <mergeCell ref="C54:D54"/>
    <mergeCell ref="C55:D55"/>
    <mergeCell ref="C78:D78"/>
    <mergeCell ref="C61:D61"/>
    <mergeCell ref="C63:D63"/>
    <mergeCell ref="C66:D66"/>
    <mergeCell ref="C41:D41"/>
    <mergeCell ref="C95:D95"/>
    <mergeCell ref="C119:D119"/>
    <mergeCell ref="C42:D42"/>
    <mergeCell ref="C98:D98"/>
    <mergeCell ref="C100:D100"/>
    <mergeCell ref="C107:D107"/>
    <mergeCell ref="C49:D49"/>
    <mergeCell ref="C46:D46"/>
    <mergeCell ref="C47:D47"/>
    <mergeCell ref="C110:D110"/>
    <mergeCell ref="C121:D121"/>
    <mergeCell ref="C122:D122"/>
    <mergeCell ref="C97:D97"/>
    <mergeCell ref="C113:D113"/>
    <mergeCell ref="C120:D120"/>
    <mergeCell ref="C103:D103"/>
    <mergeCell ref="C112:D112"/>
    <mergeCell ref="C106:D106"/>
    <mergeCell ref="C141:D141"/>
    <mergeCell ref="C137:D137"/>
    <mergeCell ref="C130:D130"/>
    <mergeCell ref="C136:D136"/>
    <mergeCell ref="C127:D127"/>
    <mergeCell ref="C126:D126"/>
    <mergeCell ref="C128:D128"/>
    <mergeCell ref="C20:D20"/>
    <mergeCell ref="C8:D8"/>
    <mergeCell ref="C145:D145"/>
    <mergeCell ref="C109:D109"/>
    <mergeCell ref="C129:D129"/>
    <mergeCell ref="C142:D142"/>
    <mergeCell ref="C144:D144"/>
    <mergeCell ref="C143:D143"/>
    <mergeCell ref="C139:D139"/>
    <mergeCell ref="C140:D140"/>
    <mergeCell ref="C146:D146"/>
    <mergeCell ref="C167:D167"/>
    <mergeCell ref="C104:D104"/>
    <mergeCell ref="C45:D45"/>
    <mergeCell ref="C162:D162"/>
    <mergeCell ref="C156:D156"/>
    <mergeCell ref="C157:D157"/>
    <mergeCell ref="C123:D123"/>
    <mergeCell ref="C124:D124"/>
    <mergeCell ref="C125:D125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IV. NEGYEDÉVBEN
&amp;R&amp;"Times New Roman CE,Félkövér dőlt"12. 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4" sqref="K4"/>
    </sheetView>
  </sheetViews>
  <sheetFormatPr defaultColWidth="10.625" defaultRowHeight="12.75"/>
  <cols>
    <col min="1" max="1" width="10.625" style="711" customWidth="1"/>
    <col min="2" max="2" width="42.50390625" style="711" customWidth="1"/>
    <col min="3" max="3" width="12.125" style="711" customWidth="1"/>
    <col min="4" max="4" width="9.00390625" style="711" customWidth="1"/>
    <col min="5" max="5" width="6.625" style="711" customWidth="1"/>
    <col min="6" max="6" width="8.50390625" style="711" customWidth="1"/>
    <col min="7" max="7" width="8.375" style="711" customWidth="1"/>
    <col min="8" max="8" width="8.125" style="711" customWidth="1"/>
    <col min="9" max="9" width="7.50390625" style="711" customWidth="1"/>
    <col min="10" max="10" width="8.625" style="711" customWidth="1"/>
    <col min="11" max="11" width="11.00390625" style="711" customWidth="1"/>
    <col min="12" max="12" width="10.375" style="711" customWidth="1"/>
    <col min="13" max="16384" width="10.625" style="711" customWidth="1"/>
  </cols>
  <sheetData>
    <row r="1" spans="1:12" ht="54">
      <c r="A1" s="707" t="s">
        <v>1078</v>
      </c>
      <c r="B1" s="708" t="s">
        <v>192</v>
      </c>
      <c r="C1" s="709" t="s">
        <v>1079</v>
      </c>
      <c r="D1" s="708" t="s">
        <v>1080</v>
      </c>
      <c r="E1" s="708" t="s">
        <v>1081</v>
      </c>
      <c r="F1" s="708" t="s">
        <v>1082</v>
      </c>
      <c r="G1" s="709" t="s">
        <v>1083</v>
      </c>
      <c r="H1" s="710" t="s">
        <v>1084</v>
      </c>
      <c r="I1" s="710" t="s">
        <v>1085</v>
      </c>
      <c r="J1" s="710" t="s">
        <v>1086</v>
      </c>
      <c r="K1" s="709" t="s">
        <v>1087</v>
      </c>
      <c r="L1" s="710" t="s">
        <v>1088</v>
      </c>
    </row>
    <row r="2" spans="1:12" ht="12.75">
      <c r="A2" s="712" t="s">
        <v>45</v>
      </c>
      <c r="B2" s="117" t="s">
        <v>1248</v>
      </c>
      <c r="C2" s="713">
        <v>1</v>
      </c>
      <c r="D2" s="714">
        <v>3</v>
      </c>
      <c r="E2" s="714"/>
      <c r="F2" s="714"/>
      <c r="G2" s="714"/>
      <c r="H2" s="714"/>
      <c r="I2" s="714"/>
      <c r="J2" s="715">
        <v>1</v>
      </c>
      <c r="K2" s="716">
        <f>SUM(D2:J2)</f>
        <v>4</v>
      </c>
      <c r="L2" s="716">
        <f aca="true" t="shared" si="0" ref="L2:L19">K2-C2</f>
        <v>3</v>
      </c>
    </row>
    <row r="3" spans="1:12" ht="12.75">
      <c r="A3" s="712" t="s">
        <v>124</v>
      </c>
      <c r="B3" s="717" t="s">
        <v>196</v>
      </c>
      <c r="C3" s="718">
        <v>171</v>
      </c>
      <c r="D3" s="718">
        <v>141</v>
      </c>
      <c r="E3" s="677"/>
      <c r="F3" s="677"/>
      <c r="G3" s="719"/>
      <c r="H3" s="14"/>
      <c r="I3" s="14">
        <v>18</v>
      </c>
      <c r="J3" s="14">
        <v>9</v>
      </c>
      <c r="K3" s="718">
        <f>SUM(D3:J3)</f>
        <v>168</v>
      </c>
      <c r="L3" s="720">
        <f t="shared" si="0"/>
        <v>-3</v>
      </c>
    </row>
    <row r="4" spans="1:13" ht="12.75">
      <c r="A4" s="712" t="s">
        <v>126</v>
      </c>
      <c r="B4" s="717" t="s">
        <v>1089</v>
      </c>
      <c r="C4" s="718">
        <v>168</v>
      </c>
      <c r="D4" s="718"/>
      <c r="E4" s="677"/>
      <c r="F4" s="677"/>
      <c r="G4" s="718"/>
      <c r="H4" s="720"/>
      <c r="I4" s="718">
        <v>43.5</v>
      </c>
      <c r="J4" s="718">
        <v>124.5</v>
      </c>
      <c r="K4" s="718">
        <f>SUM(D4:J4)</f>
        <v>168</v>
      </c>
      <c r="L4" s="720">
        <f t="shared" si="0"/>
        <v>0</v>
      </c>
      <c r="M4" s="721"/>
    </row>
    <row r="5" spans="1:12" ht="12.75">
      <c r="A5" s="712" t="s">
        <v>128</v>
      </c>
      <c r="B5" s="117" t="s">
        <v>231</v>
      </c>
      <c r="C5" s="718">
        <v>122.5</v>
      </c>
      <c r="D5" s="718"/>
      <c r="E5" s="677">
        <v>0.5</v>
      </c>
      <c r="F5" s="720"/>
      <c r="G5" s="718"/>
      <c r="H5" s="720">
        <v>77</v>
      </c>
      <c r="I5" s="718">
        <v>4</v>
      </c>
      <c r="J5" s="718">
        <v>41</v>
      </c>
      <c r="K5" s="718">
        <f>SUM(D5:J5)</f>
        <v>122.5</v>
      </c>
      <c r="L5" s="720">
        <f t="shared" si="0"/>
        <v>0</v>
      </c>
    </row>
    <row r="6" spans="1:12" ht="12.75">
      <c r="A6" s="712" t="s">
        <v>129</v>
      </c>
      <c r="B6" s="117" t="s">
        <v>1090</v>
      </c>
      <c r="C6" s="718">
        <v>56.5</v>
      </c>
      <c r="D6" s="718"/>
      <c r="E6" s="677">
        <v>4</v>
      </c>
      <c r="F6" s="677"/>
      <c r="G6" s="718"/>
      <c r="H6" s="720">
        <v>45.5</v>
      </c>
      <c r="I6" s="718"/>
      <c r="J6" s="718">
        <v>7</v>
      </c>
      <c r="K6" s="718">
        <v>56.5</v>
      </c>
      <c r="L6" s="720">
        <f t="shared" si="0"/>
        <v>0</v>
      </c>
    </row>
    <row r="7" spans="1:12" ht="12.75">
      <c r="A7" s="712" t="s">
        <v>130</v>
      </c>
      <c r="B7" s="117" t="s">
        <v>1091</v>
      </c>
      <c r="C7" s="718">
        <v>72.5</v>
      </c>
      <c r="D7" s="718"/>
      <c r="E7" s="677"/>
      <c r="F7" s="677">
        <v>40.5</v>
      </c>
      <c r="G7" s="718"/>
      <c r="H7" s="720">
        <v>24</v>
      </c>
      <c r="I7" s="718"/>
      <c r="J7" s="718">
        <v>8</v>
      </c>
      <c r="K7" s="718">
        <v>72.5</v>
      </c>
      <c r="L7" s="720">
        <f t="shared" si="0"/>
        <v>0</v>
      </c>
    </row>
    <row r="8" spans="1:12" ht="12.75">
      <c r="A8" s="712" t="s">
        <v>181</v>
      </c>
      <c r="B8" s="117" t="s">
        <v>1092</v>
      </c>
      <c r="C8" s="718">
        <v>67</v>
      </c>
      <c r="D8" s="718"/>
      <c r="E8" s="677"/>
      <c r="F8" s="677">
        <v>37</v>
      </c>
      <c r="G8" s="718"/>
      <c r="H8" s="720">
        <v>22</v>
      </c>
      <c r="I8" s="718"/>
      <c r="J8" s="718">
        <v>8</v>
      </c>
      <c r="K8" s="718">
        <v>67</v>
      </c>
      <c r="L8" s="720">
        <f t="shared" si="0"/>
        <v>0</v>
      </c>
    </row>
    <row r="9" spans="1:12" ht="12.75">
      <c r="A9" s="712" t="s">
        <v>182</v>
      </c>
      <c r="B9" s="117" t="s">
        <v>235</v>
      </c>
      <c r="C9" s="718">
        <v>69</v>
      </c>
      <c r="D9" s="718"/>
      <c r="E9" s="677"/>
      <c r="F9" s="677">
        <v>39</v>
      </c>
      <c r="G9" s="718"/>
      <c r="H9" s="720">
        <v>23</v>
      </c>
      <c r="I9" s="718"/>
      <c r="J9" s="718">
        <v>7</v>
      </c>
      <c r="K9" s="718">
        <v>69</v>
      </c>
      <c r="L9" s="720">
        <f t="shared" si="0"/>
        <v>0</v>
      </c>
    </row>
    <row r="10" spans="1:12" ht="12.75">
      <c r="A10" s="712" t="s">
        <v>186</v>
      </c>
      <c r="B10" s="117" t="s">
        <v>236</v>
      </c>
      <c r="C10" s="718">
        <v>67.5</v>
      </c>
      <c r="D10" s="718"/>
      <c r="E10" s="677"/>
      <c r="F10" s="677">
        <v>37</v>
      </c>
      <c r="G10" s="718"/>
      <c r="H10" s="720">
        <v>21</v>
      </c>
      <c r="I10" s="718">
        <v>0.5</v>
      </c>
      <c r="J10" s="718">
        <v>9</v>
      </c>
      <c r="K10" s="718">
        <v>67.5</v>
      </c>
      <c r="L10" s="720">
        <f t="shared" si="0"/>
        <v>0</v>
      </c>
    </row>
    <row r="11" spans="1:12" ht="25.5">
      <c r="A11" s="712" t="s">
        <v>1093</v>
      </c>
      <c r="B11" s="201" t="s">
        <v>1094</v>
      </c>
      <c r="C11" s="718">
        <v>25.5</v>
      </c>
      <c r="D11" s="722"/>
      <c r="E11" s="723"/>
      <c r="F11" s="723"/>
      <c r="G11" s="722">
        <v>11.5</v>
      </c>
      <c r="H11" s="724"/>
      <c r="I11" s="722">
        <v>4</v>
      </c>
      <c r="J11" s="722">
        <v>10</v>
      </c>
      <c r="K11" s="718">
        <f>SUM(D11:J11)</f>
        <v>25.5</v>
      </c>
      <c r="L11" s="720">
        <f t="shared" si="0"/>
        <v>0</v>
      </c>
    </row>
    <row r="12" spans="1:12" ht="12.75">
      <c r="A12" s="712" t="s">
        <v>1095</v>
      </c>
      <c r="B12" s="78" t="s">
        <v>1096</v>
      </c>
      <c r="C12" s="718">
        <v>48</v>
      </c>
      <c r="D12" s="722"/>
      <c r="E12" s="723"/>
      <c r="F12" s="723"/>
      <c r="G12" s="722">
        <v>9.5</v>
      </c>
      <c r="H12" s="725">
        <v>4</v>
      </c>
      <c r="I12" s="722">
        <v>9.5</v>
      </c>
      <c r="J12" s="722">
        <v>25</v>
      </c>
      <c r="K12" s="718">
        <v>48</v>
      </c>
      <c r="L12" s="720">
        <f t="shared" si="0"/>
        <v>0</v>
      </c>
    </row>
    <row r="13" spans="1:12" ht="25.5">
      <c r="A13" s="712" t="s">
        <v>1097</v>
      </c>
      <c r="B13" s="201" t="s">
        <v>239</v>
      </c>
      <c r="C13" s="718">
        <v>3</v>
      </c>
      <c r="D13" s="722"/>
      <c r="E13" s="723"/>
      <c r="F13" s="723"/>
      <c r="G13" s="722"/>
      <c r="H13" s="725">
        <v>3</v>
      </c>
      <c r="I13" s="722"/>
      <c r="J13" s="722"/>
      <c r="K13" s="718">
        <v>3</v>
      </c>
      <c r="L13" s="720">
        <f t="shared" si="0"/>
        <v>0</v>
      </c>
    </row>
    <row r="14" spans="1:12" ht="12.75">
      <c r="A14" s="712" t="s">
        <v>1098</v>
      </c>
      <c r="B14" s="726" t="s">
        <v>1266</v>
      </c>
      <c r="C14" s="718">
        <v>50</v>
      </c>
      <c r="D14" s="722"/>
      <c r="E14" s="723"/>
      <c r="F14" s="723"/>
      <c r="G14" s="722">
        <v>38</v>
      </c>
      <c r="H14" s="725">
        <v>5.5</v>
      </c>
      <c r="I14" s="722">
        <v>1</v>
      </c>
      <c r="J14" s="722">
        <v>5.5</v>
      </c>
      <c r="K14" s="718">
        <v>50</v>
      </c>
      <c r="L14" s="720">
        <f t="shared" si="0"/>
        <v>0</v>
      </c>
    </row>
    <row r="15" spans="1:13" ht="12.75">
      <c r="A15" s="712" t="s">
        <v>1099</v>
      </c>
      <c r="B15" s="726" t="s">
        <v>1267</v>
      </c>
      <c r="C15" s="718">
        <v>62</v>
      </c>
      <c r="D15" s="722"/>
      <c r="E15" s="723"/>
      <c r="F15" s="723"/>
      <c r="G15" s="727"/>
      <c r="H15" s="725">
        <v>45</v>
      </c>
      <c r="I15" s="722">
        <v>7</v>
      </c>
      <c r="J15" s="722">
        <v>10</v>
      </c>
      <c r="K15" s="718">
        <f>SUM(D15:J15)</f>
        <v>62</v>
      </c>
      <c r="L15" s="720">
        <f t="shared" si="0"/>
        <v>0</v>
      </c>
      <c r="M15" s="721"/>
    </row>
    <row r="16" spans="1:12" ht="12.75">
      <c r="A16" s="712" t="s">
        <v>1100</v>
      </c>
      <c r="B16" s="726" t="s">
        <v>1101</v>
      </c>
      <c r="C16" s="718">
        <v>127</v>
      </c>
      <c r="D16" s="722"/>
      <c r="E16" s="723"/>
      <c r="F16" s="723"/>
      <c r="G16" s="727"/>
      <c r="H16" s="725">
        <v>39</v>
      </c>
      <c r="I16" s="722">
        <v>16</v>
      </c>
      <c r="J16" s="722">
        <v>72</v>
      </c>
      <c r="K16" s="718">
        <v>127</v>
      </c>
      <c r="L16" s="720">
        <f t="shared" si="0"/>
        <v>0</v>
      </c>
    </row>
    <row r="17" spans="1:12" ht="12.75">
      <c r="A17" s="712" t="s">
        <v>1102</v>
      </c>
      <c r="B17" s="726" t="s">
        <v>1269</v>
      </c>
      <c r="C17" s="718">
        <v>17</v>
      </c>
      <c r="D17" s="722"/>
      <c r="E17" s="723"/>
      <c r="F17" s="723"/>
      <c r="G17" s="727"/>
      <c r="H17" s="725">
        <v>10</v>
      </c>
      <c r="I17" s="722">
        <v>1</v>
      </c>
      <c r="J17" s="722">
        <v>6</v>
      </c>
      <c r="K17" s="718">
        <v>17</v>
      </c>
      <c r="L17" s="720">
        <f t="shared" si="0"/>
        <v>0</v>
      </c>
    </row>
    <row r="18" spans="1:12" ht="12.75">
      <c r="A18" s="712" t="s">
        <v>1103</v>
      </c>
      <c r="B18" s="726" t="s">
        <v>1268</v>
      </c>
      <c r="C18" s="718">
        <v>21</v>
      </c>
      <c r="D18" s="722"/>
      <c r="E18" s="723"/>
      <c r="F18" s="723"/>
      <c r="G18" s="727"/>
      <c r="H18" s="725"/>
      <c r="I18" s="722">
        <v>5</v>
      </c>
      <c r="J18" s="722">
        <v>16</v>
      </c>
      <c r="K18" s="718">
        <f>SUM(D18:J18)</f>
        <v>21</v>
      </c>
      <c r="L18" s="720">
        <f t="shared" si="0"/>
        <v>0</v>
      </c>
    </row>
    <row r="19" spans="1:12" ht="12.75">
      <c r="A19" s="712" t="s">
        <v>1104</v>
      </c>
      <c r="B19" s="726" t="s">
        <v>1236</v>
      </c>
      <c r="C19" s="718">
        <v>11</v>
      </c>
      <c r="D19" s="722"/>
      <c r="E19" s="723"/>
      <c r="F19" s="723"/>
      <c r="G19" s="727"/>
      <c r="H19" s="725"/>
      <c r="I19" s="722">
        <v>3</v>
      </c>
      <c r="J19" s="722">
        <v>8</v>
      </c>
      <c r="K19" s="718">
        <f>SUM(I19:J19)</f>
        <v>11</v>
      </c>
      <c r="L19" s="720">
        <f t="shared" si="0"/>
        <v>0</v>
      </c>
    </row>
    <row r="20" spans="1:12" ht="15">
      <c r="A20" s="728"/>
      <c r="B20" s="729" t="s">
        <v>1105</v>
      </c>
      <c r="C20" s="730">
        <f aca="true" t="shared" si="1" ref="C20:L20">SUM(C3:C19)</f>
        <v>1158.5</v>
      </c>
      <c r="D20" s="730">
        <f t="shared" si="1"/>
        <v>141</v>
      </c>
      <c r="E20" s="730">
        <f t="shared" si="1"/>
        <v>4.5</v>
      </c>
      <c r="F20" s="730">
        <f t="shared" si="1"/>
        <v>153.5</v>
      </c>
      <c r="G20" s="730">
        <f t="shared" si="1"/>
        <v>59</v>
      </c>
      <c r="H20" s="730">
        <f t="shared" si="1"/>
        <v>319</v>
      </c>
      <c r="I20" s="730">
        <f t="shared" si="1"/>
        <v>112.5</v>
      </c>
      <c r="J20" s="730">
        <f t="shared" si="1"/>
        <v>366</v>
      </c>
      <c r="K20" s="730">
        <f t="shared" si="1"/>
        <v>1155.5</v>
      </c>
      <c r="L20" s="731">
        <f t="shared" si="1"/>
        <v>-3</v>
      </c>
    </row>
    <row r="21" spans="1:12" s="735" customFormat="1" ht="15">
      <c r="A21" s="732"/>
      <c r="B21" s="733" t="s">
        <v>1106</v>
      </c>
      <c r="C21" s="734">
        <f aca="true" t="shared" si="2" ref="C21:L21">SUM(C2+C20)</f>
        <v>1159.5</v>
      </c>
      <c r="D21" s="734">
        <f t="shared" si="2"/>
        <v>144</v>
      </c>
      <c r="E21" s="734">
        <f t="shared" si="2"/>
        <v>4.5</v>
      </c>
      <c r="F21" s="734">
        <f t="shared" si="2"/>
        <v>153.5</v>
      </c>
      <c r="G21" s="734">
        <f t="shared" si="2"/>
        <v>59</v>
      </c>
      <c r="H21" s="734">
        <f t="shared" si="2"/>
        <v>319</v>
      </c>
      <c r="I21" s="734">
        <f t="shared" si="2"/>
        <v>112.5</v>
      </c>
      <c r="J21" s="734">
        <f t="shared" si="2"/>
        <v>367</v>
      </c>
      <c r="K21" s="734">
        <f t="shared" si="2"/>
        <v>1159.5</v>
      </c>
      <c r="L21" s="734">
        <f t="shared" si="2"/>
        <v>0</v>
      </c>
    </row>
    <row r="23" spans="2:4" ht="15.75">
      <c r="B23" s="736"/>
      <c r="D23" s="737"/>
    </row>
    <row r="24" spans="2:4" ht="12.75">
      <c r="B24" s="738"/>
      <c r="D24" s="739"/>
    </row>
    <row r="25" spans="2:4" ht="12.75">
      <c r="B25" s="738"/>
      <c r="D25" s="739"/>
    </row>
    <row r="26" spans="2:8" ht="15.75">
      <c r="B26" s="738"/>
      <c r="D26" s="740"/>
      <c r="F26" s="741"/>
      <c r="G26" s="741"/>
      <c r="H26" s="741"/>
    </row>
    <row r="27" spans="2:8" ht="15.75">
      <c r="B27" s="742"/>
      <c r="D27" s="740"/>
      <c r="F27" s="911"/>
      <c r="G27" s="911"/>
      <c r="H27" s="911"/>
    </row>
    <row r="28" ht="15.75">
      <c r="B28" s="743"/>
    </row>
    <row r="29" ht="12.75">
      <c r="B29" s="744"/>
    </row>
    <row r="30" ht="12.75">
      <c r="B30" s="745"/>
    </row>
    <row r="31" s="746" customFormat="1" ht="15.75">
      <c r="B31" s="737"/>
    </row>
    <row r="32" ht="12.75">
      <c r="B32" s="739"/>
    </row>
    <row r="33" ht="12.75">
      <c r="B33" s="739"/>
    </row>
    <row r="34" ht="15.75">
      <c r="B34" s="740"/>
    </row>
    <row r="35" ht="15.75">
      <c r="B35" s="740"/>
    </row>
    <row r="36" ht="12.75">
      <c r="B36" s="739"/>
    </row>
    <row r="37" ht="12.75">
      <c r="B37" s="721"/>
    </row>
    <row r="38" ht="12.75">
      <c r="B38" s="721"/>
    </row>
    <row r="39" ht="12.75">
      <c r="B39" s="721"/>
    </row>
  </sheetData>
  <sheetProtection/>
  <mergeCells count="1">
    <mergeCell ref="F27:H27"/>
  </mergeCells>
  <printOptions/>
  <pageMargins left="0.7874015748031497" right="0.7874015748031497" top="1.3779527559055118" bottom="0.984251968503937" header="0.7086614173228347" footer="0.5118110236220472"/>
  <pageSetup horizontalDpi="600" verticalDpi="600" orientation="landscape" paperSize="9" r:id="rId1"/>
  <headerFooter alignWithMargins="0">
    <oddHeader>&amp;CZALAEGERSZEG  MEGYEI JOGÚ VÁROS ÖNKORMÁNYZATA ÉS ÁLTALA IRÁNYÍTOTT KÖLTSÉGVETÉSI SZERVEK 
2014. ÉVI LÉTSZÁM ELŐIRÁNYZATAI&amp;R&amp;"Times New Roman CE,Félkövér dőlt"13.  melléklet
Adatok: főben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20" sqref="C20:J20"/>
    </sheetView>
  </sheetViews>
  <sheetFormatPr defaultColWidth="9.00390625" defaultRowHeight="12.75"/>
  <cols>
    <col min="1" max="1" width="3.00390625" style="56" customWidth="1"/>
    <col min="2" max="2" width="35.00390625" style="53" customWidth="1"/>
    <col min="3" max="3" width="12.625" style="53" customWidth="1"/>
    <col min="4" max="4" width="14.125" style="53" customWidth="1"/>
    <col min="5" max="5" width="10.50390625" style="53" customWidth="1"/>
    <col min="6" max="6" width="14.125" style="53" customWidth="1"/>
    <col min="7" max="7" width="12.50390625" style="53" customWidth="1"/>
    <col min="8" max="8" width="13.125" style="53" customWidth="1"/>
    <col min="9" max="9" width="14.50390625" style="53" customWidth="1"/>
    <col min="10" max="10" width="12.50390625" style="53" customWidth="1"/>
    <col min="11" max="11" width="14.125" style="53" customWidth="1"/>
    <col min="12" max="12" width="14.625" style="53" customWidth="1"/>
    <col min="13" max="13" width="13.125" style="53" customWidth="1"/>
    <col min="14" max="16384" width="9.375" style="53" customWidth="1"/>
  </cols>
  <sheetData>
    <row r="1" spans="1:13" ht="14.25" customHeight="1">
      <c r="A1" s="798" t="s">
        <v>240</v>
      </c>
      <c r="B1" s="798" t="s">
        <v>1253</v>
      </c>
      <c r="C1" s="798" t="s">
        <v>247</v>
      </c>
      <c r="D1" s="800"/>
      <c r="E1" s="800"/>
      <c r="F1" s="800"/>
      <c r="G1" s="800"/>
      <c r="H1" s="800"/>
      <c r="I1" s="800"/>
      <c r="J1" s="801" t="s">
        <v>248</v>
      </c>
      <c r="K1" s="800"/>
      <c r="L1" s="800"/>
      <c r="M1" s="798" t="s">
        <v>249</v>
      </c>
    </row>
    <row r="2" spans="1:13" ht="90" customHeight="1">
      <c r="A2" s="799"/>
      <c r="B2" s="799"/>
      <c r="C2" s="211" t="s">
        <v>250</v>
      </c>
      <c r="D2" s="211" t="s">
        <v>251</v>
      </c>
      <c r="E2" s="211" t="s">
        <v>1006</v>
      </c>
      <c r="F2" s="211" t="s">
        <v>252</v>
      </c>
      <c r="G2" s="211" t="s">
        <v>1250</v>
      </c>
      <c r="H2" s="211" t="s">
        <v>253</v>
      </c>
      <c r="I2" s="211" t="s">
        <v>254</v>
      </c>
      <c r="J2" s="211" t="s">
        <v>255</v>
      </c>
      <c r="K2" s="211" t="s">
        <v>256</v>
      </c>
      <c r="L2" s="211" t="s">
        <v>257</v>
      </c>
      <c r="M2" s="798"/>
    </row>
    <row r="3" spans="1:13" ht="15" customHeight="1">
      <c r="A3" s="210">
        <v>2</v>
      </c>
      <c r="B3" s="151" t="s">
        <v>196</v>
      </c>
      <c r="C3" s="212">
        <v>9128</v>
      </c>
      <c r="D3" s="212"/>
      <c r="E3" s="212"/>
      <c r="F3" s="585">
        <v>3000</v>
      </c>
      <c r="G3" s="585">
        <v>264</v>
      </c>
      <c r="H3" s="585"/>
      <c r="I3" s="585"/>
      <c r="J3" s="585"/>
      <c r="K3" s="585">
        <v>-8613</v>
      </c>
      <c r="L3" s="585"/>
      <c r="M3" s="585">
        <f>SUM(C3:L3)</f>
        <v>3779</v>
      </c>
    </row>
    <row r="4" spans="1:13" s="54" customFormat="1" ht="28.5" customHeight="1">
      <c r="A4" s="210">
        <v>3</v>
      </c>
      <c r="B4" s="151" t="s">
        <v>230</v>
      </c>
      <c r="C4" s="585">
        <v>937</v>
      </c>
      <c r="D4" s="585">
        <v>1400</v>
      </c>
      <c r="E4" s="585"/>
      <c r="F4" s="585"/>
      <c r="G4" s="585"/>
      <c r="H4" s="585"/>
      <c r="I4" s="585"/>
      <c r="J4" s="585"/>
      <c r="K4" s="585">
        <v>724</v>
      </c>
      <c r="L4" s="585"/>
      <c r="M4" s="585">
        <f aca="true" t="shared" si="0" ref="M4:M19">SUM(C4:L4)</f>
        <v>3061</v>
      </c>
    </row>
    <row r="5" spans="1:13" s="54" customFormat="1" ht="19.5" customHeight="1">
      <c r="A5" s="210">
        <v>4</v>
      </c>
      <c r="B5" s="151" t="s">
        <v>231</v>
      </c>
      <c r="C5" s="585">
        <v>1066</v>
      </c>
      <c r="D5" s="585"/>
      <c r="E5" s="585"/>
      <c r="F5" s="585">
        <v>1200</v>
      </c>
      <c r="G5" s="585"/>
      <c r="H5" s="585"/>
      <c r="I5" s="585"/>
      <c r="J5" s="585"/>
      <c r="K5" s="585">
        <v>4884</v>
      </c>
      <c r="L5" s="585"/>
      <c r="M5" s="585">
        <f t="shared" si="0"/>
        <v>7150</v>
      </c>
    </row>
    <row r="6" spans="1:13" s="54" customFormat="1" ht="15" customHeight="1">
      <c r="A6" s="210">
        <v>5</v>
      </c>
      <c r="B6" s="117" t="s">
        <v>232</v>
      </c>
      <c r="C6" s="585"/>
      <c r="D6" s="585"/>
      <c r="E6" s="585"/>
      <c r="F6" s="585"/>
      <c r="G6" s="585"/>
      <c r="H6" s="585"/>
      <c r="I6" s="585"/>
      <c r="J6" s="585"/>
      <c r="K6" s="585">
        <v>1687</v>
      </c>
      <c r="L6" s="585"/>
      <c r="M6" s="585">
        <f t="shared" si="0"/>
        <v>1687</v>
      </c>
    </row>
    <row r="7" spans="1:13" s="54" customFormat="1" ht="12.75">
      <c r="A7" s="210">
        <v>6</v>
      </c>
      <c r="B7" s="117" t="s">
        <v>233</v>
      </c>
      <c r="C7" s="585">
        <v>400</v>
      </c>
      <c r="D7" s="585">
        <v>600</v>
      </c>
      <c r="E7" s="585"/>
      <c r="F7" s="585"/>
      <c r="G7" s="585"/>
      <c r="H7" s="585"/>
      <c r="I7" s="585"/>
      <c r="J7" s="585"/>
      <c r="K7" s="585">
        <v>7351</v>
      </c>
      <c r="L7" s="585"/>
      <c r="M7" s="585">
        <f t="shared" si="0"/>
        <v>8351</v>
      </c>
    </row>
    <row r="8" spans="1:13" s="54" customFormat="1" ht="17.25" customHeight="1">
      <c r="A8" s="210">
        <v>7</v>
      </c>
      <c r="B8" s="117" t="s">
        <v>234</v>
      </c>
      <c r="C8" s="585"/>
      <c r="D8" s="585"/>
      <c r="E8" s="585"/>
      <c r="F8" s="585"/>
      <c r="G8" s="585"/>
      <c r="H8" s="585"/>
      <c r="I8" s="585"/>
      <c r="J8" s="585"/>
      <c r="K8" s="585">
        <v>-7687</v>
      </c>
      <c r="L8" s="585"/>
      <c r="M8" s="585">
        <f t="shared" si="0"/>
        <v>-7687</v>
      </c>
    </row>
    <row r="9" spans="1:13" s="54" customFormat="1" ht="15" customHeight="1">
      <c r="A9" s="210">
        <v>8</v>
      </c>
      <c r="B9" s="117" t="s">
        <v>235</v>
      </c>
      <c r="C9" s="585">
        <v>500</v>
      </c>
      <c r="D9" s="585"/>
      <c r="E9" s="585"/>
      <c r="F9" s="585">
        <v>100</v>
      </c>
      <c r="G9" s="585"/>
      <c r="H9" s="585"/>
      <c r="I9" s="585"/>
      <c r="J9" s="585"/>
      <c r="K9" s="585">
        <v>6505</v>
      </c>
      <c r="L9" s="585"/>
      <c r="M9" s="585">
        <f t="shared" si="0"/>
        <v>7105</v>
      </c>
    </row>
    <row r="10" spans="1:13" s="54" customFormat="1" ht="19.5" customHeight="1">
      <c r="A10" s="210">
        <v>9</v>
      </c>
      <c r="B10" s="117" t="s">
        <v>236</v>
      </c>
      <c r="C10" s="585"/>
      <c r="D10" s="585"/>
      <c r="E10" s="585"/>
      <c r="F10" s="585"/>
      <c r="G10" s="585"/>
      <c r="H10" s="585"/>
      <c r="I10" s="585"/>
      <c r="J10" s="585"/>
      <c r="K10" s="585">
        <v>-5926</v>
      </c>
      <c r="L10" s="585"/>
      <c r="M10" s="585">
        <f t="shared" si="0"/>
        <v>-5926</v>
      </c>
    </row>
    <row r="11" spans="1:13" s="54" customFormat="1" ht="27" customHeight="1">
      <c r="A11" s="210">
        <v>10</v>
      </c>
      <c r="B11" s="201" t="s">
        <v>237</v>
      </c>
      <c r="C11" s="585">
        <v>3400</v>
      </c>
      <c r="D11" s="585">
        <v>500</v>
      </c>
      <c r="E11" s="585"/>
      <c r="F11" s="585">
        <v>1500</v>
      </c>
      <c r="G11" s="585"/>
      <c r="H11" s="585"/>
      <c r="I11" s="585"/>
      <c r="J11" s="585"/>
      <c r="K11" s="585">
        <v>423</v>
      </c>
      <c r="L11" s="585"/>
      <c r="M11" s="585">
        <f t="shared" si="0"/>
        <v>5823</v>
      </c>
    </row>
    <row r="12" spans="1:13" s="54" customFormat="1" ht="20.25" customHeight="1">
      <c r="A12" s="210">
        <v>11</v>
      </c>
      <c r="B12" s="117" t="s">
        <v>238</v>
      </c>
      <c r="C12" s="585">
        <v>13144</v>
      </c>
      <c r="D12" s="585">
        <v>120</v>
      </c>
      <c r="E12" s="585"/>
      <c r="F12" s="585"/>
      <c r="G12" s="585"/>
      <c r="H12" s="585"/>
      <c r="I12" s="585"/>
      <c r="J12" s="585"/>
      <c r="K12" s="585">
        <v>783</v>
      </c>
      <c r="L12" s="585"/>
      <c r="M12" s="585">
        <f t="shared" si="0"/>
        <v>14047</v>
      </c>
    </row>
    <row r="13" spans="1:13" s="54" customFormat="1" ht="30" customHeight="1">
      <c r="A13" s="210">
        <v>12</v>
      </c>
      <c r="B13" s="201" t="s">
        <v>239</v>
      </c>
      <c r="C13" s="585">
        <v>41</v>
      </c>
      <c r="D13" s="585"/>
      <c r="E13" s="585"/>
      <c r="F13" s="585">
        <v>200</v>
      </c>
      <c r="G13" s="585"/>
      <c r="H13" s="585"/>
      <c r="I13" s="585"/>
      <c r="J13" s="585"/>
      <c r="K13" s="585">
        <v>-8</v>
      </c>
      <c r="L13" s="585"/>
      <c r="M13" s="585">
        <f t="shared" si="0"/>
        <v>233</v>
      </c>
    </row>
    <row r="14" spans="1:13" s="54" customFormat="1" ht="16.5" customHeight="1">
      <c r="A14" s="210">
        <v>13</v>
      </c>
      <c r="B14" s="117" t="s">
        <v>1266</v>
      </c>
      <c r="C14" s="585">
        <v>25600</v>
      </c>
      <c r="D14" s="585"/>
      <c r="E14" s="585"/>
      <c r="F14" s="585"/>
      <c r="G14" s="585"/>
      <c r="H14" s="585"/>
      <c r="I14" s="585"/>
      <c r="J14" s="585"/>
      <c r="K14" s="585">
        <v>1913</v>
      </c>
      <c r="L14" s="585"/>
      <c r="M14" s="585">
        <f t="shared" si="0"/>
        <v>27513</v>
      </c>
    </row>
    <row r="15" spans="1:13" s="54" customFormat="1" ht="16.5" customHeight="1">
      <c r="A15" s="210">
        <v>14</v>
      </c>
      <c r="B15" s="117" t="s">
        <v>1267</v>
      </c>
      <c r="C15" s="585">
        <v>1583</v>
      </c>
      <c r="D15" s="585"/>
      <c r="E15" s="585"/>
      <c r="F15" s="585">
        <v>15275</v>
      </c>
      <c r="G15" s="585"/>
      <c r="H15" s="585"/>
      <c r="I15" s="585"/>
      <c r="J15" s="585"/>
      <c r="K15" s="585">
        <v>741</v>
      </c>
      <c r="L15" s="585"/>
      <c r="M15" s="585">
        <f t="shared" si="0"/>
        <v>17599</v>
      </c>
    </row>
    <row r="16" spans="1:13" s="54" customFormat="1" ht="18" customHeight="1">
      <c r="A16" s="210">
        <v>15</v>
      </c>
      <c r="B16" s="117" t="s">
        <v>2</v>
      </c>
      <c r="C16" s="585">
        <v>1500</v>
      </c>
      <c r="D16" s="585">
        <v>800</v>
      </c>
      <c r="E16" s="585"/>
      <c r="F16" s="585">
        <v>3500</v>
      </c>
      <c r="G16" s="585"/>
      <c r="H16" s="585">
        <v>4367</v>
      </c>
      <c r="I16" s="585"/>
      <c r="J16" s="585"/>
      <c r="K16" s="585">
        <v>5174</v>
      </c>
      <c r="L16" s="585"/>
      <c r="M16" s="585">
        <f t="shared" si="0"/>
        <v>15341</v>
      </c>
    </row>
    <row r="17" spans="1:13" s="54" customFormat="1" ht="18.75" customHeight="1">
      <c r="A17" s="210">
        <v>16</v>
      </c>
      <c r="B17" s="117" t="s">
        <v>1269</v>
      </c>
      <c r="C17" s="585">
        <v>700</v>
      </c>
      <c r="D17" s="585"/>
      <c r="E17" s="585"/>
      <c r="F17" s="585"/>
      <c r="G17" s="585"/>
      <c r="H17" s="585">
        <v>1070</v>
      </c>
      <c r="I17" s="585"/>
      <c r="J17" s="585"/>
      <c r="K17" s="585">
        <v>827</v>
      </c>
      <c r="L17" s="585"/>
      <c r="M17" s="585">
        <f t="shared" si="0"/>
        <v>2597</v>
      </c>
    </row>
    <row r="18" spans="1:13" s="54" customFormat="1" ht="18" customHeight="1">
      <c r="A18" s="210">
        <v>17</v>
      </c>
      <c r="B18" s="117" t="s">
        <v>1268</v>
      </c>
      <c r="C18" s="585"/>
      <c r="D18" s="585"/>
      <c r="E18" s="585"/>
      <c r="F18" s="585">
        <v>1350</v>
      </c>
      <c r="G18" s="585"/>
      <c r="H18" s="585"/>
      <c r="I18" s="585"/>
      <c r="J18" s="585"/>
      <c r="K18" s="585">
        <v>-73</v>
      </c>
      <c r="L18" s="585"/>
      <c r="M18" s="585">
        <f t="shared" si="0"/>
        <v>1277</v>
      </c>
    </row>
    <row r="19" spans="1:13" s="54" customFormat="1" ht="18.75" customHeight="1">
      <c r="A19" s="210">
        <v>18</v>
      </c>
      <c r="B19" s="78" t="s">
        <v>1236</v>
      </c>
      <c r="C19" s="585">
        <v>185</v>
      </c>
      <c r="D19" s="585">
        <v>2815</v>
      </c>
      <c r="E19" s="585"/>
      <c r="F19" s="585">
        <v>7000</v>
      </c>
      <c r="G19" s="585"/>
      <c r="H19" s="585"/>
      <c r="I19" s="585"/>
      <c r="J19" s="585"/>
      <c r="K19" s="585">
        <v>112</v>
      </c>
      <c r="L19" s="585"/>
      <c r="M19" s="585">
        <f t="shared" si="0"/>
        <v>10112</v>
      </c>
    </row>
    <row r="20" spans="1:13" s="54" customFormat="1" ht="24" customHeight="1">
      <c r="A20" s="63"/>
      <c r="B20" s="64" t="s">
        <v>1254</v>
      </c>
      <c r="C20" s="65">
        <f aca="true" t="shared" si="1" ref="C20:M20">SUM(C3:C19)</f>
        <v>58184</v>
      </c>
      <c r="D20" s="65">
        <f t="shared" si="1"/>
        <v>6235</v>
      </c>
      <c r="E20" s="65">
        <f t="shared" si="1"/>
        <v>0</v>
      </c>
      <c r="F20" s="65">
        <f t="shared" si="1"/>
        <v>33125</v>
      </c>
      <c r="G20" s="65">
        <f t="shared" si="1"/>
        <v>264</v>
      </c>
      <c r="H20" s="65">
        <f t="shared" si="1"/>
        <v>5437</v>
      </c>
      <c r="I20" s="65">
        <f t="shared" si="1"/>
        <v>0</v>
      </c>
      <c r="J20" s="65">
        <f t="shared" si="1"/>
        <v>0</v>
      </c>
      <c r="K20" s="65">
        <f t="shared" si="1"/>
        <v>8817</v>
      </c>
      <c r="L20" s="65">
        <f t="shared" si="1"/>
        <v>0</v>
      </c>
      <c r="M20" s="65">
        <f t="shared" si="1"/>
        <v>112062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2014. ÉVI  BEVÉTELI ELŐIRÁNYZATAINAK  MÓDOSÍTÁSA A IV. NEGYEDÉVBEN&amp;R&amp;"Times New Roman,Dőlt"&amp;9
 1. tájékoztató tábla
Adatok eFt-ban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5.875" style="56" customWidth="1"/>
    <col min="2" max="2" width="40.625" style="53" customWidth="1"/>
    <col min="3" max="3" width="12.625" style="53" customWidth="1"/>
    <col min="4" max="4" width="14.125" style="53" customWidth="1"/>
    <col min="5" max="5" width="14.00390625" style="53" customWidth="1"/>
    <col min="6" max="6" width="14.125" style="53" customWidth="1"/>
    <col min="7" max="7" width="12.50390625" style="53" customWidth="1"/>
    <col min="8" max="8" width="13.125" style="53" customWidth="1"/>
    <col min="9" max="9" width="14.50390625" style="53" customWidth="1"/>
    <col min="10" max="10" width="12.50390625" style="53" customWidth="1"/>
    <col min="11" max="11" width="14.125" style="53" customWidth="1"/>
    <col min="12" max="12" width="14.625" style="53" customWidth="1"/>
    <col min="13" max="16384" width="9.375" style="53" customWidth="1"/>
  </cols>
  <sheetData>
    <row r="1" spans="1:12" ht="14.25" customHeight="1">
      <c r="A1" s="798" t="s">
        <v>240</v>
      </c>
      <c r="B1" s="798" t="s">
        <v>1253</v>
      </c>
      <c r="C1" s="798" t="s">
        <v>241</v>
      </c>
      <c r="D1" s="804"/>
      <c r="E1" s="804"/>
      <c r="F1" s="804"/>
      <c r="G1" s="804"/>
      <c r="H1" s="804"/>
      <c r="I1" s="804"/>
      <c r="J1" s="804"/>
      <c r="K1" s="805" t="s">
        <v>245</v>
      </c>
      <c r="L1" s="805" t="s">
        <v>107</v>
      </c>
    </row>
    <row r="2" spans="1:12" ht="82.5" customHeight="1">
      <c r="A2" s="799"/>
      <c r="B2" s="799"/>
      <c r="C2" s="211" t="s">
        <v>987</v>
      </c>
      <c r="D2" s="211" t="s">
        <v>242</v>
      </c>
      <c r="E2" s="211" t="s">
        <v>1235</v>
      </c>
      <c r="F2" s="211" t="s">
        <v>243</v>
      </c>
      <c r="G2" s="211" t="s">
        <v>990</v>
      </c>
      <c r="H2" s="211" t="s">
        <v>999</v>
      </c>
      <c r="I2" s="211" t="s">
        <v>1000</v>
      </c>
      <c r="J2" s="211" t="s">
        <v>244</v>
      </c>
      <c r="K2" s="806"/>
      <c r="L2" s="806"/>
    </row>
    <row r="3" spans="1:12" ht="15" customHeight="1">
      <c r="A3" s="210">
        <v>2</v>
      </c>
      <c r="B3" s="151" t="s">
        <v>196</v>
      </c>
      <c r="C3" s="212">
        <v>52446</v>
      </c>
      <c r="D3" s="212">
        <v>25089</v>
      </c>
      <c r="E3" s="212">
        <v>-77512</v>
      </c>
      <c r="F3" s="213"/>
      <c r="G3" s="213">
        <v>167</v>
      </c>
      <c r="H3" s="213">
        <v>3589</v>
      </c>
      <c r="I3" s="213"/>
      <c r="J3" s="213"/>
      <c r="K3" s="213"/>
      <c r="L3" s="213">
        <f>SUM(C3:K3)</f>
        <v>3779</v>
      </c>
    </row>
    <row r="4" spans="1:12" s="54" customFormat="1" ht="14.25" customHeight="1">
      <c r="A4" s="210">
        <v>3</v>
      </c>
      <c r="B4" s="151" t="s">
        <v>230</v>
      </c>
      <c r="C4" s="585">
        <v>4275</v>
      </c>
      <c r="D4" s="585">
        <v>-5314</v>
      </c>
      <c r="E4" s="585">
        <v>-42300</v>
      </c>
      <c r="F4" s="585"/>
      <c r="G4" s="585"/>
      <c r="H4" s="585">
        <v>5000</v>
      </c>
      <c r="I4" s="585">
        <v>41400</v>
      </c>
      <c r="J4" s="585"/>
      <c r="K4" s="585"/>
      <c r="L4" s="213">
        <f aca="true" t="shared" si="0" ref="L4:L19">SUM(C4:K4)</f>
        <v>3061</v>
      </c>
    </row>
    <row r="5" spans="1:12" s="54" customFormat="1" ht="19.5" customHeight="1">
      <c r="A5" s="210">
        <v>4</v>
      </c>
      <c r="B5" s="151" t="s">
        <v>231</v>
      </c>
      <c r="C5" s="585">
        <v>4114</v>
      </c>
      <c r="D5" s="585">
        <v>6560</v>
      </c>
      <c r="E5" s="585">
        <v>-3824</v>
      </c>
      <c r="F5" s="585"/>
      <c r="G5" s="585"/>
      <c r="H5" s="585">
        <v>-3350</v>
      </c>
      <c r="I5" s="585">
        <v>3650</v>
      </c>
      <c r="J5" s="585"/>
      <c r="K5" s="585"/>
      <c r="L5" s="213">
        <f t="shared" si="0"/>
        <v>7150</v>
      </c>
    </row>
    <row r="6" spans="1:12" s="54" customFormat="1" ht="15" customHeight="1">
      <c r="A6" s="210">
        <v>5</v>
      </c>
      <c r="B6" s="117" t="s">
        <v>232</v>
      </c>
      <c r="C6" s="585">
        <v>1641</v>
      </c>
      <c r="D6" s="585">
        <v>46</v>
      </c>
      <c r="E6" s="585"/>
      <c r="F6" s="585"/>
      <c r="G6" s="585"/>
      <c r="H6" s="585"/>
      <c r="I6" s="585"/>
      <c r="J6" s="585"/>
      <c r="K6" s="585"/>
      <c r="L6" s="213">
        <f t="shared" si="0"/>
        <v>1687</v>
      </c>
    </row>
    <row r="7" spans="1:12" s="54" customFormat="1" ht="12.75">
      <c r="A7" s="210">
        <v>6</v>
      </c>
      <c r="B7" s="117" t="s">
        <v>233</v>
      </c>
      <c r="C7" s="585">
        <v>2357</v>
      </c>
      <c r="D7" s="585">
        <v>620</v>
      </c>
      <c r="E7" s="585">
        <v>4774</v>
      </c>
      <c r="F7" s="585"/>
      <c r="G7" s="585"/>
      <c r="H7" s="585">
        <v>600</v>
      </c>
      <c r="I7" s="585"/>
      <c r="J7" s="585"/>
      <c r="K7" s="585"/>
      <c r="L7" s="213">
        <f t="shared" si="0"/>
        <v>8351</v>
      </c>
    </row>
    <row r="8" spans="1:12" s="54" customFormat="1" ht="17.25" customHeight="1">
      <c r="A8" s="210">
        <v>7</v>
      </c>
      <c r="B8" s="117" t="s">
        <v>234</v>
      </c>
      <c r="C8" s="585">
        <v>-1921</v>
      </c>
      <c r="D8" s="585">
        <v>-2181</v>
      </c>
      <c r="E8" s="585">
        <v>-3685</v>
      </c>
      <c r="F8" s="585"/>
      <c r="G8" s="585"/>
      <c r="H8" s="585">
        <v>100</v>
      </c>
      <c r="I8" s="585"/>
      <c r="J8" s="585"/>
      <c r="K8" s="585"/>
      <c r="L8" s="213">
        <f t="shared" si="0"/>
        <v>-7687</v>
      </c>
    </row>
    <row r="9" spans="1:12" s="54" customFormat="1" ht="15" customHeight="1">
      <c r="A9" s="210">
        <v>8</v>
      </c>
      <c r="B9" s="117" t="s">
        <v>235</v>
      </c>
      <c r="C9" s="585">
        <v>4215</v>
      </c>
      <c r="D9" s="585">
        <v>1876</v>
      </c>
      <c r="E9" s="585">
        <v>1014</v>
      </c>
      <c r="F9" s="585"/>
      <c r="G9" s="585"/>
      <c r="H9" s="585"/>
      <c r="I9" s="585"/>
      <c r="J9" s="585"/>
      <c r="K9" s="585"/>
      <c r="L9" s="213">
        <f t="shared" si="0"/>
        <v>7105</v>
      </c>
    </row>
    <row r="10" spans="1:12" s="54" customFormat="1" ht="19.5" customHeight="1">
      <c r="A10" s="210">
        <v>9</v>
      </c>
      <c r="B10" s="117" t="s">
        <v>236</v>
      </c>
      <c r="C10" s="585">
        <v>-3072</v>
      </c>
      <c r="D10" s="585">
        <v>-1651</v>
      </c>
      <c r="E10" s="585">
        <v>-1203</v>
      </c>
      <c r="F10" s="585"/>
      <c r="G10" s="585"/>
      <c r="H10" s="585"/>
      <c r="I10" s="585"/>
      <c r="J10" s="585"/>
      <c r="K10" s="585"/>
      <c r="L10" s="213">
        <f t="shared" si="0"/>
        <v>-5926</v>
      </c>
    </row>
    <row r="11" spans="1:12" s="54" customFormat="1" ht="27" customHeight="1">
      <c r="A11" s="210">
        <v>10</v>
      </c>
      <c r="B11" s="201" t="s">
        <v>237</v>
      </c>
      <c r="C11" s="585">
        <v>1661</v>
      </c>
      <c r="D11" s="585">
        <v>162</v>
      </c>
      <c r="E11" s="585">
        <v>3500</v>
      </c>
      <c r="F11" s="585"/>
      <c r="G11" s="585"/>
      <c r="H11" s="585">
        <v>500</v>
      </c>
      <c r="I11" s="585"/>
      <c r="J11" s="585"/>
      <c r="K11" s="585"/>
      <c r="L11" s="213">
        <f t="shared" si="0"/>
        <v>5823</v>
      </c>
    </row>
    <row r="12" spans="1:12" s="54" customFormat="1" ht="20.25" customHeight="1">
      <c r="A12" s="210">
        <v>11</v>
      </c>
      <c r="B12" s="117" t="s">
        <v>238</v>
      </c>
      <c r="C12" s="585">
        <v>-3783</v>
      </c>
      <c r="D12" s="585">
        <v>-1537</v>
      </c>
      <c r="E12" s="585">
        <v>19247</v>
      </c>
      <c r="F12" s="585"/>
      <c r="G12" s="585"/>
      <c r="H12" s="585">
        <v>120</v>
      </c>
      <c r="I12" s="585"/>
      <c r="J12" s="585"/>
      <c r="K12" s="585"/>
      <c r="L12" s="213">
        <f t="shared" si="0"/>
        <v>14047</v>
      </c>
    </row>
    <row r="13" spans="1:12" s="54" customFormat="1" ht="30" customHeight="1">
      <c r="A13" s="210">
        <v>12</v>
      </c>
      <c r="B13" s="201" t="s">
        <v>239</v>
      </c>
      <c r="C13" s="585">
        <v>-13</v>
      </c>
      <c r="D13" s="585">
        <v>46</v>
      </c>
      <c r="E13" s="585">
        <v>180</v>
      </c>
      <c r="F13" s="585"/>
      <c r="G13" s="585"/>
      <c r="H13" s="585">
        <v>20</v>
      </c>
      <c r="I13" s="585"/>
      <c r="J13" s="585"/>
      <c r="K13" s="585"/>
      <c r="L13" s="213">
        <f t="shared" si="0"/>
        <v>233</v>
      </c>
    </row>
    <row r="14" spans="1:12" s="54" customFormat="1" ht="16.5" customHeight="1">
      <c r="A14" s="210">
        <v>13</v>
      </c>
      <c r="B14" s="117" t="s">
        <v>1266</v>
      </c>
      <c r="C14" s="585">
        <v>1545</v>
      </c>
      <c r="D14" s="585">
        <v>1065</v>
      </c>
      <c r="E14" s="585">
        <v>22900</v>
      </c>
      <c r="F14" s="585"/>
      <c r="G14" s="585"/>
      <c r="H14" s="585">
        <v>2003</v>
      </c>
      <c r="I14" s="585"/>
      <c r="J14" s="585"/>
      <c r="K14" s="585"/>
      <c r="L14" s="213">
        <f t="shared" si="0"/>
        <v>27513</v>
      </c>
    </row>
    <row r="15" spans="1:12" s="54" customFormat="1" ht="16.5" customHeight="1">
      <c r="A15" s="210">
        <v>14</v>
      </c>
      <c r="B15" s="117" t="s">
        <v>1267</v>
      </c>
      <c r="C15" s="585">
        <v>4339</v>
      </c>
      <c r="D15" s="585">
        <v>2120</v>
      </c>
      <c r="E15" s="585">
        <v>9290</v>
      </c>
      <c r="F15" s="585"/>
      <c r="G15" s="585">
        <v>-950</v>
      </c>
      <c r="H15" s="585">
        <v>2800</v>
      </c>
      <c r="I15" s="585"/>
      <c r="J15" s="585"/>
      <c r="K15" s="585"/>
      <c r="L15" s="213">
        <f t="shared" si="0"/>
        <v>17599</v>
      </c>
    </row>
    <row r="16" spans="1:12" s="54" customFormat="1" ht="18" customHeight="1">
      <c r="A16" s="210">
        <v>15</v>
      </c>
      <c r="B16" s="117" t="s">
        <v>2</v>
      </c>
      <c r="C16" s="585">
        <v>-9299</v>
      </c>
      <c r="D16" s="585">
        <v>731</v>
      </c>
      <c r="E16" s="585">
        <v>22800</v>
      </c>
      <c r="F16" s="585"/>
      <c r="G16" s="585">
        <v>142</v>
      </c>
      <c r="H16" s="585">
        <v>967</v>
      </c>
      <c r="I16" s="585"/>
      <c r="J16" s="585"/>
      <c r="K16" s="585"/>
      <c r="L16" s="213">
        <f t="shared" si="0"/>
        <v>15341</v>
      </c>
    </row>
    <row r="17" spans="1:12" s="54" customFormat="1" ht="18.75" customHeight="1">
      <c r="A17" s="210">
        <v>16</v>
      </c>
      <c r="B17" s="117" t="s">
        <v>1269</v>
      </c>
      <c r="C17" s="585">
        <v>651</v>
      </c>
      <c r="D17" s="585">
        <v>166</v>
      </c>
      <c r="E17" s="585">
        <v>1770</v>
      </c>
      <c r="F17" s="585"/>
      <c r="G17" s="585">
        <v>10</v>
      </c>
      <c r="H17" s="585"/>
      <c r="I17" s="585"/>
      <c r="J17" s="585"/>
      <c r="K17" s="585"/>
      <c r="L17" s="213">
        <f t="shared" si="0"/>
        <v>2597</v>
      </c>
    </row>
    <row r="18" spans="1:12" s="54" customFormat="1" ht="18" customHeight="1">
      <c r="A18" s="210">
        <v>17</v>
      </c>
      <c r="B18" s="117" t="s">
        <v>1268</v>
      </c>
      <c r="C18" s="585">
        <v>1682</v>
      </c>
      <c r="D18" s="585">
        <v>-405</v>
      </c>
      <c r="E18" s="585">
        <v>-4000</v>
      </c>
      <c r="F18" s="585"/>
      <c r="G18" s="585"/>
      <c r="H18" s="585">
        <v>4000</v>
      </c>
      <c r="I18" s="585"/>
      <c r="J18" s="585"/>
      <c r="K18" s="585"/>
      <c r="L18" s="213">
        <f t="shared" si="0"/>
        <v>1277</v>
      </c>
    </row>
    <row r="19" spans="1:12" s="54" customFormat="1" ht="18.75" customHeight="1">
      <c r="A19" s="210">
        <v>18</v>
      </c>
      <c r="B19" s="78" t="s">
        <v>1236</v>
      </c>
      <c r="C19" s="585">
        <v>1403</v>
      </c>
      <c r="D19" s="585">
        <v>354</v>
      </c>
      <c r="E19" s="585">
        <v>4625</v>
      </c>
      <c r="F19" s="585"/>
      <c r="G19" s="585"/>
      <c r="H19" s="585">
        <v>915</v>
      </c>
      <c r="I19" s="585">
        <v>2815</v>
      </c>
      <c r="J19" s="585"/>
      <c r="K19" s="585"/>
      <c r="L19" s="213">
        <f t="shared" si="0"/>
        <v>10112</v>
      </c>
    </row>
    <row r="20" spans="1:12" s="54" customFormat="1" ht="18" customHeight="1">
      <c r="A20" s="63"/>
      <c r="B20" s="64" t="s">
        <v>1254</v>
      </c>
      <c r="C20" s="65">
        <f>SUM(C3:C19)</f>
        <v>62241</v>
      </c>
      <c r="D20" s="65">
        <f aca="true" t="shared" si="1" ref="D20:L20">SUM(D3:D19)</f>
        <v>27747</v>
      </c>
      <c r="E20" s="65">
        <f t="shared" si="1"/>
        <v>-42424</v>
      </c>
      <c r="F20" s="65">
        <f t="shared" si="1"/>
        <v>0</v>
      </c>
      <c r="G20" s="65">
        <f t="shared" si="1"/>
        <v>-631</v>
      </c>
      <c r="H20" s="65">
        <f t="shared" si="1"/>
        <v>17264</v>
      </c>
      <c r="I20" s="65">
        <f t="shared" si="1"/>
        <v>47865</v>
      </c>
      <c r="J20" s="65">
        <f t="shared" si="1"/>
        <v>0</v>
      </c>
      <c r="K20" s="65">
        <f t="shared" si="1"/>
        <v>0</v>
      </c>
      <c r="L20" s="65">
        <f t="shared" si="1"/>
        <v>112062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ELŐIRÁNYZATAINAK MÓDOSÍTÁSA A IV.. NEGYEDÉVBEN&amp;R&amp;"Times New Roman,Dőlt"&amp;9
 2. tájékoztató tábla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E5" sqref="E5:E10"/>
    </sheetView>
  </sheetViews>
  <sheetFormatPr defaultColWidth="9.00390625" defaultRowHeight="12.75"/>
  <cols>
    <col min="1" max="1" width="8.375" style="109" customWidth="1"/>
    <col min="2" max="2" width="63.875" style="97" customWidth="1"/>
    <col min="3" max="3" width="11.875" style="97" customWidth="1"/>
    <col min="4" max="5" width="11.875" style="47" customWidth="1"/>
    <col min="6" max="6" width="12.00390625" style="47" customWidth="1"/>
    <col min="7" max="16384" width="9.375" style="47" customWidth="1"/>
  </cols>
  <sheetData>
    <row r="1" spans="1:5" s="85" customFormat="1" ht="69.75" customHeight="1" thickBot="1">
      <c r="A1" s="98" t="s">
        <v>454</v>
      </c>
      <c r="B1" s="99" t="s">
        <v>192</v>
      </c>
      <c r="C1" s="105" t="s">
        <v>610</v>
      </c>
      <c r="D1" s="506" t="s">
        <v>986</v>
      </c>
      <c r="E1" s="506" t="s">
        <v>611</v>
      </c>
    </row>
    <row r="2" spans="1:5" s="102" customFormat="1" ht="14.25" customHeight="1">
      <c r="A2" s="100" t="s">
        <v>455</v>
      </c>
      <c r="B2" s="101" t="s">
        <v>5</v>
      </c>
      <c r="C2" s="101"/>
      <c r="D2" s="530"/>
      <c r="E2" s="530"/>
    </row>
    <row r="3" spans="1:5" s="85" customFormat="1" ht="14.25" customHeight="1">
      <c r="A3" s="100" t="s">
        <v>456</v>
      </c>
      <c r="B3" s="101" t="s">
        <v>457</v>
      </c>
      <c r="C3" s="103"/>
      <c r="D3" s="531"/>
      <c r="E3" s="531"/>
    </row>
    <row r="4" spans="1:5" s="85" customFormat="1" ht="14.25" customHeight="1">
      <c r="A4" s="532" t="s">
        <v>458</v>
      </c>
      <c r="B4" s="103" t="s">
        <v>459</v>
      </c>
      <c r="C4" s="103"/>
      <c r="D4" s="531"/>
      <c r="E4" s="531"/>
    </row>
    <row r="5" spans="1:6" s="85" customFormat="1" ht="14.25" customHeight="1">
      <c r="A5" s="152" t="s">
        <v>460</v>
      </c>
      <c r="B5" s="103" t="s">
        <v>461</v>
      </c>
      <c r="C5" s="103">
        <v>267882</v>
      </c>
      <c r="D5" s="533">
        <v>-1</v>
      </c>
      <c r="E5" s="533">
        <f aca="true" t="shared" si="0" ref="E5:E11">SUM(C5:D5)</f>
        <v>267881</v>
      </c>
      <c r="F5" s="704"/>
    </row>
    <row r="6" spans="1:6" s="85" customFormat="1" ht="14.25" customHeight="1">
      <c r="A6" s="152" t="s">
        <v>462</v>
      </c>
      <c r="B6" s="103" t="s">
        <v>463</v>
      </c>
      <c r="C6" s="103">
        <v>832456</v>
      </c>
      <c r="D6" s="533">
        <v>-422</v>
      </c>
      <c r="E6" s="533">
        <f t="shared" si="0"/>
        <v>832034</v>
      </c>
      <c r="F6" s="704"/>
    </row>
    <row r="7" spans="1:6" s="85" customFormat="1" ht="24.75" customHeight="1">
      <c r="A7" s="152" t="s">
        <v>464</v>
      </c>
      <c r="B7" s="103" t="s">
        <v>465</v>
      </c>
      <c r="C7" s="103">
        <v>628845</v>
      </c>
      <c r="D7" s="31">
        <v>213821</v>
      </c>
      <c r="E7" s="31">
        <f t="shared" si="0"/>
        <v>842666</v>
      </c>
      <c r="F7" s="704"/>
    </row>
    <row r="8" spans="1:6" s="85" customFormat="1" ht="15" customHeight="1">
      <c r="A8" s="152" t="s">
        <v>466</v>
      </c>
      <c r="B8" s="103" t="s">
        <v>467</v>
      </c>
      <c r="C8" s="103">
        <v>651383</v>
      </c>
      <c r="D8" s="533">
        <v>12</v>
      </c>
      <c r="E8" s="533">
        <f t="shared" si="0"/>
        <v>651395</v>
      </c>
      <c r="F8" s="704"/>
    </row>
    <row r="9" spans="1:6" s="85" customFormat="1" ht="15" customHeight="1">
      <c r="A9" s="152" t="s">
        <v>468</v>
      </c>
      <c r="B9" s="103" t="s">
        <v>469</v>
      </c>
      <c r="C9" s="103">
        <v>19133</v>
      </c>
      <c r="D9" s="533">
        <v>78622</v>
      </c>
      <c r="E9" s="533">
        <f t="shared" si="0"/>
        <v>97755</v>
      </c>
      <c r="F9" s="704"/>
    </row>
    <row r="10" spans="1:6" s="85" customFormat="1" ht="15" customHeight="1">
      <c r="A10" s="152" t="s">
        <v>1202</v>
      </c>
      <c r="B10" s="103" t="s">
        <v>933</v>
      </c>
      <c r="C10" s="103"/>
      <c r="D10" s="533">
        <v>220787</v>
      </c>
      <c r="E10" s="533">
        <f t="shared" si="0"/>
        <v>220787</v>
      </c>
      <c r="F10" s="704"/>
    </row>
    <row r="11" spans="1:6" s="85" customFormat="1" ht="15" customHeight="1">
      <c r="A11" s="532" t="s">
        <v>470</v>
      </c>
      <c r="B11" s="103" t="s">
        <v>471</v>
      </c>
      <c r="C11" s="103">
        <v>421218</v>
      </c>
      <c r="D11" s="533">
        <v>226038</v>
      </c>
      <c r="E11" s="533">
        <f t="shared" si="0"/>
        <v>647256</v>
      </c>
      <c r="F11" s="704"/>
    </row>
    <row r="12" spans="1:6" s="88" customFormat="1" ht="14.25" customHeight="1">
      <c r="A12" s="105"/>
      <c r="B12" s="106" t="s">
        <v>472</v>
      </c>
      <c r="C12" s="106">
        <f>SUM(C4:C11)</f>
        <v>2820917</v>
      </c>
      <c r="D12" s="106">
        <f>SUM(D4:D11)</f>
        <v>738857</v>
      </c>
      <c r="E12" s="106">
        <f>SUM(E4:E11)</f>
        <v>3559774</v>
      </c>
      <c r="F12" s="704"/>
    </row>
    <row r="13" spans="1:6" s="85" customFormat="1" ht="14.25" customHeight="1">
      <c r="A13" s="100" t="s">
        <v>473</v>
      </c>
      <c r="B13" s="101" t="s">
        <v>474</v>
      </c>
      <c r="C13" s="103"/>
      <c r="D13" s="533"/>
      <c r="E13" s="533">
        <f>SUM(C13:D13)</f>
        <v>0</v>
      </c>
      <c r="F13" s="704"/>
    </row>
    <row r="14" spans="1:6" s="85" customFormat="1" ht="14.25" customHeight="1">
      <c r="A14" s="532" t="s">
        <v>475</v>
      </c>
      <c r="B14" s="103" t="s">
        <v>476</v>
      </c>
      <c r="C14" s="103"/>
      <c r="D14" s="533">
        <v>1298608</v>
      </c>
      <c r="E14" s="533">
        <f>SUM(C14:D14)</f>
        <v>1298608</v>
      </c>
      <c r="F14" s="704"/>
    </row>
    <row r="15" spans="1:6" s="85" customFormat="1" ht="23.25" customHeight="1">
      <c r="A15" s="532" t="s">
        <v>477</v>
      </c>
      <c r="B15" s="103" t="s">
        <v>478</v>
      </c>
      <c r="C15" s="103">
        <v>4607238</v>
      </c>
      <c r="D15" s="31">
        <v>464209</v>
      </c>
      <c r="E15" s="31">
        <f>SUM(C15:D15)</f>
        <v>5071447</v>
      </c>
      <c r="F15" s="704"/>
    </row>
    <row r="16" spans="1:6" s="88" customFormat="1" ht="14.25" customHeight="1">
      <c r="A16" s="105"/>
      <c r="B16" s="106" t="s">
        <v>479</v>
      </c>
      <c r="C16" s="106">
        <f>SUM(C14:C15)</f>
        <v>4607238</v>
      </c>
      <c r="D16" s="106">
        <f>SUM(D14:D15)</f>
        <v>1762817</v>
      </c>
      <c r="E16" s="106">
        <f>SUM(E14:E15)</f>
        <v>6370055</v>
      </c>
      <c r="F16" s="704"/>
    </row>
    <row r="17" spans="1:6" s="85" customFormat="1" ht="14.25" customHeight="1">
      <c r="A17" s="100" t="s">
        <v>480</v>
      </c>
      <c r="B17" s="101" t="s">
        <v>1006</v>
      </c>
      <c r="C17" s="103"/>
      <c r="D17" s="533"/>
      <c r="E17" s="533">
        <f aca="true" t="shared" si="1" ref="E17:E22">SUM(C17:D17)</f>
        <v>0</v>
      </c>
      <c r="F17" s="704"/>
    </row>
    <row r="18" spans="1:6" s="85" customFormat="1" ht="14.25" customHeight="1">
      <c r="A18" s="532" t="s">
        <v>481</v>
      </c>
      <c r="B18" s="103" t="s">
        <v>482</v>
      </c>
      <c r="C18" s="103"/>
      <c r="D18" s="533"/>
      <c r="E18" s="533">
        <f t="shared" si="1"/>
        <v>0</v>
      </c>
      <c r="F18" s="704"/>
    </row>
    <row r="19" spans="1:6" s="85" customFormat="1" ht="14.25" customHeight="1">
      <c r="A19" s="152" t="s">
        <v>483</v>
      </c>
      <c r="B19" s="103" t="s">
        <v>484</v>
      </c>
      <c r="C19" s="103">
        <v>4000000</v>
      </c>
      <c r="D19" s="533">
        <v>-620551</v>
      </c>
      <c r="E19" s="533">
        <f t="shared" si="1"/>
        <v>3379449</v>
      </c>
      <c r="F19" s="704"/>
    </row>
    <row r="20" spans="1:6" s="85" customFormat="1" ht="14.25" customHeight="1">
      <c r="A20" s="152" t="s">
        <v>485</v>
      </c>
      <c r="B20" s="103" t="s">
        <v>486</v>
      </c>
      <c r="C20" s="103">
        <v>240000</v>
      </c>
      <c r="D20" s="533"/>
      <c r="E20" s="533">
        <f t="shared" si="1"/>
        <v>240000</v>
      </c>
      <c r="F20" s="704"/>
    </row>
    <row r="21" spans="1:6" s="85" customFormat="1" ht="14.25" customHeight="1">
      <c r="A21" s="152" t="s">
        <v>487</v>
      </c>
      <c r="B21" s="103" t="s">
        <v>488</v>
      </c>
      <c r="C21" s="103">
        <v>13500</v>
      </c>
      <c r="D21" s="533">
        <v>1595</v>
      </c>
      <c r="E21" s="533">
        <f t="shared" si="1"/>
        <v>15095</v>
      </c>
      <c r="F21" s="704"/>
    </row>
    <row r="22" spans="1:6" s="85" customFormat="1" ht="14.25" customHeight="1">
      <c r="A22" s="532" t="s">
        <v>489</v>
      </c>
      <c r="B22" s="103" t="s">
        <v>490</v>
      </c>
      <c r="C22" s="103">
        <v>5000</v>
      </c>
      <c r="D22" s="533">
        <v>22950</v>
      </c>
      <c r="E22" s="533">
        <f t="shared" si="1"/>
        <v>27950</v>
      </c>
      <c r="F22" s="704"/>
    </row>
    <row r="23" spans="1:6" ht="15" customHeight="1">
      <c r="A23" s="105"/>
      <c r="B23" s="106" t="s">
        <v>491</v>
      </c>
      <c r="C23" s="106">
        <f>SUM(C17:C22)</f>
        <v>4258500</v>
      </c>
      <c r="D23" s="106">
        <f>SUM(D17:D22)</f>
        <v>-596006</v>
      </c>
      <c r="E23" s="106">
        <f>SUM(E17:E22)</f>
        <v>3662494</v>
      </c>
      <c r="F23" s="704"/>
    </row>
    <row r="24" spans="1:6" s="85" customFormat="1" ht="15" customHeight="1">
      <c r="A24" s="100" t="s">
        <v>492</v>
      </c>
      <c r="B24" s="101" t="s">
        <v>252</v>
      </c>
      <c r="C24" s="101">
        <v>2115965</v>
      </c>
      <c r="D24" s="101">
        <v>730273</v>
      </c>
      <c r="E24" s="101">
        <f>SUM(C24:D24)</f>
        <v>2846238</v>
      </c>
      <c r="F24" s="704"/>
    </row>
    <row r="25" spans="1:6" s="85" customFormat="1" ht="15" customHeight="1">
      <c r="A25" s="100" t="s">
        <v>493</v>
      </c>
      <c r="B25" s="101" t="s">
        <v>1250</v>
      </c>
      <c r="C25" s="103"/>
      <c r="D25" s="533"/>
      <c r="E25" s="533"/>
      <c r="F25" s="704"/>
    </row>
    <row r="26" spans="1:6" s="85" customFormat="1" ht="15" customHeight="1">
      <c r="A26" s="104" t="s">
        <v>494</v>
      </c>
      <c r="B26" s="103" t="s">
        <v>495</v>
      </c>
      <c r="C26" s="103">
        <v>251100</v>
      </c>
      <c r="D26" s="533">
        <v>111507</v>
      </c>
      <c r="E26" s="533">
        <f>SUM(C26:D26)</f>
        <v>362607</v>
      </c>
      <c r="F26" s="704"/>
    </row>
    <row r="27" spans="1:6" s="85" customFormat="1" ht="15" customHeight="1">
      <c r="A27" s="104" t="s">
        <v>555</v>
      </c>
      <c r="B27" s="103" t="s">
        <v>556</v>
      </c>
      <c r="C27" s="103"/>
      <c r="D27" s="533">
        <v>664</v>
      </c>
      <c r="E27" s="533">
        <f>SUM(C27:D27)</f>
        <v>664</v>
      </c>
      <c r="F27" s="704"/>
    </row>
    <row r="28" spans="1:6" s="85" customFormat="1" ht="15" customHeight="1">
      <c r="A28" s="104" t="s">
        <v>981</v>
      </c>
      <c r="B28" s="103" t="s">
        <v>982</v>
      </c>
      <c r="C28" s="103"/>
      <c r="D28" s="533">
        <v>180</v>
      </c>
      <c r="E28" s="533">
        <f>SUM(C28:D28)</f>
        <v>180</v>
      </c>
      <c r="F28" s="704"/>
    </row>
    <row r="29" spans="1:6" s="85" customFormat="1" ht="15" customHeight="1">
      <c r="A29" s="107"/>
      <c r="B29" s="106" t="s">
        <v>496</v>
      </c>
      <c r="C29" s="106">
        <f>SUM(C26:C27)</f>
        <v>251100</v>
      </c>
      <c r="D29" s="106">
        <f>SUM(D26:D28)</f>
        <v>112351</v>
      </c>
      <c r="E29" s="106">
        <f>SUM(E26:E28)</f>
        <v>363451</v>
      </c>
      <c r="F29" s="704"/>
    </row>
    <row r="30" spans="1:6" s="85" customFormat="1" ht="15" customHeight="1">
      <c r="A30" s="105" t="s">
        <v>497</v>
      </c>
      <c r="B30" s="106" t="s">
        <v>253</v>
      </c>
      <c r="C30" s="106">
        <v>59600</v>
      </c>
      <c r="D30" s="106">
        <v>17865</v>
      </c>
      <c r="E30" s="106">
        <f>SUM(C30:D30)</f>
        <v>77465</v>
      </c>
      <c r="F30" s="704"/>
    </row>
    <row r="31" spans="1:6" s="85" customFormat="1" ht="15" customHeight="1">
      <c r="A31" s="100" t="s">
        <v>498</v>
      </c>
      <c r="B31" s="101" t="s">
        <v>254</v>
      </c>
      <c r="C31" s="101"/>
      <c r="D31" s="533"/>
      <c r="E31" s="533">
        <f>SUM(C31:D31)</f>
        <v>0</v>
      </c>
      <c r="F31" s="704"/>
    </row>
    <row r="32" spans="1:6" s="85" customFormat="1" ht="24.75" customHeight="1">
      <c r="A32" s="104" t="s">
        <v>499</v>
      </c>
      <c r="B32" s="103" t="s">
        <v>500</v>
      </c>
      <c r="C32" s="103">
        <v>20000</v>
      </c>
      <c r="D32" s="533"/>
      <c r="E32" s="533">
        <f>SUM(C32:D32)</f>
        <v>20000</v>
      </c>
      <c r="F32" s="704"/>
    </row>
    <row r="33" spans="1:6" s="85" customFormat="1" ht="15" customHeight="1">
      <c r="A33" s="104" t="s">
        <v>501</v>
      </c>
      <c r="B33" s="103" t="s">
        <v>502</v>
      </c>
      <c r="C33" s="103">
        <v>200000</v>
      </c>
      <c r="D33" s="533">
        <v>27577</v>
      </c>
      <c r="E33" s="533">
        <f>SUM(C33:D33)</f>
        <v>227577</v>
      </c>
      <c r="F33" s="704"/>
    </row>
    <row r="34" spans="1:6" s="85" customFormat="1" ht="15" customHeight="1">
      <c r="A34" s="107"/>
      <c r="B34" s="106" t="s">
        <v>503</v>
      </c>
      <c r="C34" s="106">
        <f>SUM(C32:C33)</f>
        <v>220000</v>
      </c>
      <c r="D34" s="106">
        <f>SUM(D32:D33)</f>
        <v>27577</v>
      </c>
      <c r="E34" s="106">
        <f>SUM(E32:E33)</f>
        <v>247577</v>
      </c>
      <c r="F34" s="704"/>
    </row>
    <row r="35" spans="1:6" s="85" customFormat="1" ht="15" customHeight="1">
      <c r="A35" s="105" t="s">
        <v>504</v>
      </c>
      <c r="B35" s="106" t="s">
        <v>247</v>
      </c>
      <c r="C35" s="106">
        <f>SUM(C12+C16+C23+C24+C29+C30+C34)</f>
        <v>14333320</v>
      </c>
      <c r="D35" s="106">
        <f>SUM(D12+D16+D23+D24+D29+D30+D34)</f>
        <v>2793734</v>
      </c>
      <c r="E35" s="106">
        <f>SUM(E12+E16+E23+E24+E29+E30+E34)</f>
        <v>17127054</v>
      </c>
      <c r="F35" s="704"/>
    </row>
    <row r="36" spans="1:6" s="85" customFormat="1" ht="15.75" customHeight="1">
      <c r="A36" s="100" t="s">
        <v>505</v>
      </c>
      <c r="B36" s="101" t="s">
        <v>248</v>
      </c>
      <c r="C36" s="101"/>
      <c r="D36" s="533"/>
      <c r="E36" s="533">
        <f>SUM(C36:D36)</f>
        <v>0</v>
      </c>
      <c r="F36" s="704"/>
    </row>
    <row r="37" spans="1:6" s="85" customFormat="1" ht="14.25" customHeight="1">
      <c r="A37" s="532" t="s">
        <v>506</v>
      </c>
      <c r="B37" s="103" t="s">
        <v>507</v>
      </c>
      <c r="C37" s="103"/>
      <c r="D37" s="533"/>
      <c r="E37" s="533">
        <f>SUM(C37:D37)</f>
        <v>0</v>
      </c>
      <c r="F37" s="704"/>
    </row>
    <row r="38" spans="1:6" s="85" customFormat="1" ht="14.25" customHeight="1">
      <c r="A38" s="534" t="s">
        <v>508</v>
      </c>
      <c r="B38" s="108" t="s">
        <v>509</v>
      </c>
      <c r="C38" s="103">
        <v>658892</v>
      </c>
      <c r="D38" s="533">
        <v>-185000</v>
      </c>
      <c r="E38" s="533">
        <f>SUM(C38:D38)</f>
        <v>473892</v>
      </c>
      <c r="F38" s="704"/>
    </row>
    <row r="39" spans="1:6" s="85" customFormat="1" ht="14.25" customHeight="1">
      <c r="A39" s="534" t="s">
        <v>510</v>
      </c>
      <c r="B39" s="108" t="s">
        <v>255</v>
      </c>
      <c r="C39" s="103">
        <v>2966806</v>
      </c>
      <c r="D39" s="533">
        <v>1063809</v>
      </c>
      <c r="E39" s="533">
        <f>SUM(C39:D39)</f>
        <v>4030615</v>
      </c>
      <c r="F39" s="704"/>
    </row>
    <row r="40" spans="1:6" s="85" customFormat="1" ht="14.25" customHeight="1">
      <c r="A40" s="535"/>
      <c r="B40" s="106" t="s">
        <v>511</v>
      </c>
      <c r="C40" s="536">
        <f>SUM(C38:C39)</f>
        <v>3625698</v>
      </c>
      <c r="D40" s="536">
        <f>SUM(D38:D39)</f>
        <v>878809</v>
      </c>
      <c r="E40" s="536">
        <f>SUM(E38:E39)</f>
        <v>4504507</v>
      </c>
      <c r="F40" s="704"/>
    </row>
    <row r="41" spans="1:6" ht="15.75" customHeight="1">
      <c r="A41" s="105"/>
      <c r="B41" s="106" t="s">
        <v>512</v>
      </c>
      <c r="C41" s="106">
        <f>SUM(C35+C40)</f>
        <v>17959018</v>
      </c>
      <c r="D41" s="106">
        <f>SUM(D35+D40)</f>
        <v>3672543</v>
      </c>
      <c r="E41" s="106">
        <f>SUM(E35+E40)</f>
        <v>21631561</v>
      </c>
      <c r="F41" s="704"/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90" zoomScaleNormal="90"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3" sqref="K73"/>
    </sheetView>
  </sheetViews>
  <sheetFormatPr defaultColWidth="9.00390625" defaultRowHeight="12.75"/>
  <cols>
    <col min="1" max="1" width="81.00390625" style="120" customWidth="1"/>
    <col min="2" max="2" width="8.875" style="120" customWidth="1"/>
    <col min="3" max="3" width="10.00390625" style="120" customWidth="1"/>
    <col min="4" max="4" width="12.50390625" style="120" customWidth="1"/>
    <col min="5" max="5" width="11.50390625" style="120" customWidth="1"/>
    <col min="6" max="6" width="10.50390625" style="120" customWidth="1"/>
    <col min="7" max="7" width="9.875" style="119" customWidth="1"/>
    <col min="8" max="8" width="10.375" style="119" customWidth="1"/>
    <col min="9" max="9" width="12.875" style="119" customWidth="1"/>
    <col min="10" max="10" width="10.625" style="119" customWidth="1"/>
    <col min="11" max="11" width="11.375" style="119" customWidth="1"/>
    <col min="12" max="12" width="9.375" style="119" customWidth="1"/>
    <col min="13" max="13" width="10.375" style="119" bestFit="1" customWidth="1"/>
    <col min="14" max="14" width="9.375" style="119" customWidth="1"/>
    <col min="15" max="16384" width="9.375" style="120" customWidth="1"/>
  </cols>
  <sheetData>
    <row r="1" spans="1:14" ht="23.25" customHeight="1" thickBot="1">
      <c r="A1" s="541"/>
      <c r="B1" s="754" t="s">
        <v>942</v>
      </c>
      <c r="C1" s="755"/>
      <c r="D1" s="755"/>
      <c r="E1" s="755"/>
      <c r="F1" s="755"/>
      <c r="G1" s="756" t="s">
        <v>943</v>
      </c>
      <c r="H1" s="756"/>
      <c r="I1" s="756"/>
      <c r="J1" s="756"/>
      <c r="K1" s="756"/>
      <c r="N1" s="120"/>
    </row>
    <row r="2" spans="1:13" s="122" customFormat="1" ht="45.75" customHeight="1" thickBot="1">
      <c r="A2" s="542" t="s">
        <v>100</v>
      </c>
      <c r="B2" s="543" t="s">
        <v>101</v>
      </c>
      <c r="C2" s="544" t="s">
        <v>102</v>
      </c>
      <c r="D2" s="544" t="s">
        <v>103</v>
      </c>
      <c r="E2" s="544" t="s">
        <v>141</v>
      </c>
      <c r="F2" s="557" t="s">
        <v>104</v>
      </c>
      <c r="G2" s="559" t="s">
        <v>101</v>
      </c>
      <c r="H2" s="559" t="s">
        <v>102</v>
      </c>
      <c r="I2" s="559" t="s">
        <v>103</v>
      </c>
      <c r="J2" s="559" t="s">
        <v>141</v>
      </c>
      <c r="K2" s="559" t="s">
        <v>104</v>
      </c>
      <c r="L2" s="121"/>
      <c r="M2" s="121"/>
    </row>
    <row r="3" spans="1:14" ht="13.5" customHeight="1">
      <c r="A3" s="545" t="s">
        <v>913</v>
      </c>
      <c r="B3" s="550"/>
      <c r="C3" s="550"/>
      <c r="D3" s="550"/>
      <c r="E3" s="550"/>
      <c r="F3" s="560"/>
      <c r="G3" s="550"/>
      <c r="H3" s="550"/>
      <c r="I3" s="550"/>
      <c r="J3" s="550"/>
      <c r="K3" s="608"/>
      <c r="M3" s="120"/>
      <c r="N3" s="120"/>
    </row>
    <row r="4" spans="1:14" ht="13.5" customHeight="1">
      <c r="A4" s="546" t="s">
        <v>142</v>
      </c>
      <c r="B4" s="561"/>
      <c r="C4" s="561">
        <v>134.94</v>
      </c>
      <c r="D4" s="550">
        <v>4580000</v>
      </c>
      <c r="E4" s="550">
        <v>618025</v>
      </c>
      <c r="F4" s="560"/>
      <c r="G4" s="561"/>
      <c r="H4" s="561">
        <v>134.94</v>
      </c>
      <c r="I4" s="550">
        <v>4580000</v>
      </c>
      <c r="J4" s="550">
        <v>618025</v>
      </c>
      <c r="K4" s="550"/>
      <c r="M4" s="120"/>
      <c r="N4" s="120"/>
    </row>
    <row r="5" spans="1:14" ht="13.5" customHeight="1">
      <c r="A5" s="546" t="s">
        <v>143</v>
      </c>
      <c r="B5" s="561"/>
      <c r="C5" s="561"/>
      <c r="D5" s="550"/>
      <c r="E5" s="550"/>
      <c r="F5" s="560">
        <v>106378</v>
      </c>
      <c r="G5" s="561"/>
      <c r="H5" s="561"/>
      <c r="I5" s="550"/>
      <c r="J5" s="550"/>
      <c r="K5" s="550">
        <v>106378</v>
      </c>
      <c r="M5" s="120"/>
      <c r="N5" s="120"/>
    </row>
    <row r="6" spans="1:14" ht="13.5" customHeight="1">
      <c r="A6" s="546" t="s">
        <v>144</v>
      </c>
      <c r="B6" s="550"/>
      <c r="C6" s="550"/>
      <c r="D6" s="550"/>
      <c r="E6" s="550"/>
      <c r="F6" s="560"/>
      <c r="G6" s="550"/>
      <c r="H6" s="550"/>
      <c r="I6" s="550"/>
      <c r="J6" s="550"/>
      <c r="K6" s="550"/>
      <c r="M6" s="120"/>
      <c r="N6" s="120"/>
    </row>
    <row r="7" spans="1:14" ht="13.5" customHeight="1">
      <c r="A7" s="546" t="s">
        <v>145</v>
      </c>
      <c r="B7" s="550"/>
      <c r="C7" s="550"/>
      <c r="D7" s="550"/>
      <c r="E7" s="550"/>
      <c r="F7" s="560">
        <v>0</v>
      </c>
      <c r="G7" s="550"/>
      <c r="H7" s="550"/>
      <c r="I7" s="550"/>
      <c r="J7" s="550"/>
      <c r="K7" s="550">
        <v>0</v>
      </c>
      <c r="M7" s="120"/>
      <c r="N7" s="120"/>
    </row>
    <row r="8" spans="1:14" ht="13.5" customHeight="1">
      <c r="A8" s="546" t="s">
        <v>914</v>
      </c>
      <c r="B8" s="550"/>
      <c r="C8" s="561"/>
      <c r="D8" s="550">
        <v>22300</v>
      </c>
      <c r="E8" s="550">
        <v>50222</v>
      </c>
      <c r="F8" s="560"/>
      <c r="G8" s="550"/>
      <c r="H8" s="561"/>
      <c r="I8" s="550">
        <v>22300</v>
      </c>
      <c r="J8" s="550">
        <v>50222</v>
      </c>
      <c r="K8" s="550"/>
      <c r="M8" s="120"/>
      <c r="N8" s="120"/>
    </row>
    <row r="9" spans="1:14" ht="13.5" customHeight="1">
      <c r="A9" s="546" t="s">
        <v>915</v>
      </c>
      <c r="B9" s="550"/>
      <c r="C9" s="550"/>
      <c r="D9" s="550">
        <v>423700</v>
      </c>
      <c r="E9" s="550">
        <v>158963</v>
      </c>
      <c r="F9" s="560"/>
      <c r="G9" s="550"/>
      <c r="H9" s="550"/>
      <c r="I9" s="550">
        <v>423700</v>
      </c>
      <c r="J9" s="550">
        <v>158963</v>
      </c>
      <c r="K9" s="550"/>
      <c r="M9" s="120"/>
      <c r="N9" s="120"/>
    </row>
    <row r="10" spans="1:14" ht="13.5" customHeight="1">
      <c r="A10" s="546" t="s">
        <v>916</v>
      </c>
      <c r="B10" s="550"/>
      <c r="C10" s="550">
        <v>323446</v>
      </c>
      <c r="D10" s="550">
        <v>70</v>
      </c>
      <c r="E10" s="550">
        <v>22641</v>
      </c>
      <c r="F10" s="560"/>
      <c r="G10" s="550"/>
      <c r="H10" s="550">
        <v>323446</v>
      </c>
      <c r="I10" s="550">
        <v>70</v>
      </c>
      <c r="J10" s="550">
        <v>22641</v>
      </c>
      <c r="K10" s="550"/>
      <c r="M10" s="120"/>
      <c r="N10" s="120"/>
    </row>
    <row r="11" spans="1:14" ht="13.5" customHeight="1">
      <c r="A11" s="546" t="s">
        <v>917</v>
      </c>
      <c r="B11" s="550"/>
      <c r="C11" s="550"/>
      <c r="D11" s="550"/>
      <c r="E11" s="550">
        <v>102643</v>
      </c>
      <c r="F11" s="560"/>
      <c r="G11" s="550"/>
      <c r="H11" s="550"/>
      <c r="I11" s="550"/>
      <c r="J11" s="550">
        <v>102643</v>
      </c>
      <c r="K11" s="550"/>
      <c r="M11" s="120"/>
      <c r="N11" s="120"/>
    </row>
    <row r="12" spans="1:14" ht="13.5" customHeight="1">
      <c r="A12" s="546" t="s">
        <v>147</v>
      </c>
      <c r="B12" s="550">
        <v>59097</v>
      </c>
      <c r="C12" s="550"/>
      <c r="D12" s="550">
        <v>2700</v>
      </c>
      <c r="E12" s="550">
        <v>159562</v>
      </c>
      <c r="F12" s="560"/>
      <c r="G12" s="550">
        <v>59097</v>
      </c>
      <c r="H12" s="550"/>
      <c r="I12" s="550">
        <v>2700</v>
      </c>
      <c r="J12" s="550">
        <v>159562</v>
      </c>
      <c r="K12" s="550"/>
      <c r="M12" s="120"/>
      <c r="N12" s="120"/>
    </row>
    <row r="13" spans="1:14" ht="13.5" customHeight="1">
      <c r="A13" s="546" t="s">
        <v>148</v>
      </c>
      <c r="B13" s="550"/>
      <c r="C13" s="550"/>
      <c r="D13" s="550"/>
      <c r="E13" s="550"/>
      <c r="F13" s="560">
        <v>79781</v>
      </c>
      <c r="G13" s="550"/>
      <c r="H13" s="550"/>
      <c r="I13" s="550"/>
      <c r="J13" s="550"/>
      <c r="K13" s="550">
        <v>79781</v>
      </c>
      <c r="M13" s="120"/>
      <c r="N13" s="120"/>
    </row>
    <row r="14" spans="1:14" ht="13.5" customHeight="1">
      <c r="A14" s="546" t="s">
        <v>149</v>
      </c>
      <c r="B14" s="550">
        <v>59097</v>
      </c>
      <c r="C14" s="550"/>
      <c r="D14" s="550" t="s">
        <v>925</v>
      </c>
      <c r="E14" s="550">
        <v>163145</v>
      </c>
      <c r="F14" s="560"/>
      <c r="G14" s="550">
        <v>59097</v>
      </c>
      <c r="H14" s="550"/>
      <c r="I14" s="550" t="s">
        <v>925</v>
      </c>
      <c r="J14" s="550">
        <v>163145</v>
      </c>
      <c r="K14" s="550"/>
      <c r="M14" s="120"/>
      <c r="N14" s="120"/>
    </row>
    <row r="15" spans="1:14" ht="13.5" customHeight="1">
      <c r="A15" s="546" t="s">
        <v>150</v>
      </c>
      <c r="B15" s="550"/>
      <c r="C15" s="550"/>
      <c r="D15" s="550"/>
      <c r="E15" s="550"/>
      <c r="F15" s="560">
        <v>81573</v>
      </c>
      <c r="G15" s="550"/>
      <c r="H15" s="550"/>
      <c r="I15" s="550"/>
      <c r="J15" s="550"/>
      <c r="K15" s="550">
        <v>81572</v>
      </c>
      <c r="M15" s="120"/>
      <c r="N15" s="120"/>
    </row>
    <row r="16" spans="1:14" ht="13.5" customHeight="1">
      <c r="A16" s="546" t="s">
        <v>151</v>
      </c>
      <c r="B16" s="550"/>
      <c r="C16" s="550"/>
      <c r="D16" s="550"/>
      <c r="E16" s="550">
        <v>-1007470</v>
      </c>
      <c r="F16" s="560"/>
      <c r="G16" s="550"/>
      <c r="H16" s="550"/>
      <c r="I16" s="550"/>
      <c r="J16" s="550">
        <v>-1007470</v>
      </c>
      <c r="K16" s="550"/>
      <c r="M16" s="120"/>
      <c r="N16" s="120"/>
    </row>
    <row r="17" spans="1:14" ht="13.5" customHeight="1">
      <c r="A17" s="546" t="s">
        <v>152</v>
      </c>
      <c r="B17" s="550"/>
      <c r="C17" s="550">
        <v>1500</v>
      </c>
      <c r="D17" s="550">
        <v>100</v>
      </c>
      <c r="E17" s="550"/>
      <c r="F17" s="560">
        <f>SUM(C17*D17)/1000</f>
        <v>150</v>
      </c>
      <c r="G17" s="550"/>
      <c r="H17" s="550">
        <v>1500</v>
      </c>
      <c r="I17" s="550">
        <v>100</v>
      </c>
      <c r="J17" s="550"/>
      <c r="K17" s="550">
        <f>SUM(H17*I17)/1000</f>
        <v>150</v>
      </c>
      <c r="M17" s="120"/>
      <c r="N17" s="120"/>
    </row>
    <row r="18" spans="1:14" ht="13.5" customHeight="1">
      <c r="A18" s="545" t="s">
        <v>918</v>
      </c>
      <c r="B18" s="550"/>
      <c r="C18" s="550"/>
      <c r="D18" s="550"/>
      <c r="E18" s="550"/>
      <c r="F18" s="560"/>
      <c r="G18" s="550"/>
      <c r="H18" s="550"/>
      <c r="I18" s="550"/>
      <c r="J18" s="550"/>
      <c r="K18" s="550"/>
      <c r="M18" s="120"/>
      <c r="N18" s="120"/>
    </row>
    <row r="19" spans="1:14" ht="24.75" customHeight="1">
      <c r="A19" s="547" t="s">
        <v>919</v>
      </c>
      <c r="B19" s="550"/>
      <c r="C19" s="550"/>
      <c r="D19" s="550"/>
      <c r="E19" s="550"/>
      <c r="F19" s="560"/>
      <c r="G19" s="550"/>
      <c r="H19" s="550"/>
      <c r="I19" s="550"/>
      <c r="J19" s="550"/>
      <c r="K19" s="550"/>
      <c r="M19" s="120"/>
      <c r="N19" s="120"/>
    </row>
    <row r="20" spans="1:14" ht="15" customHeight="1">
      <c r="A20" s="547" t="s">
        <v>153</v>
      </c>
      <c r="B20" s="550"/>
      <c r="C20" s="562">
        <v>144.3</v>
      </c>
      <c r="D20" s="561">
        <v>2674666.67</v>
      </c>
      <c r="E20" s="561"/>
      <c r="F20" s="560">
        <f>SUM(C20*D20)/1000</f>
        <v>385954.400481</v>
      </c>
      <c r="G20" s="550"/>
      <c r="H20" s="562">
        <v>144.1</v>
      </c>
      <c r="I20" s="561">
        <v>2674666.67</v>
      </c>
      <c r="J20" s="561"/>
      <c r="K20" s="550">
        <v>385419</v>
      </c>
      <c r="M20" s="120"/>
      <c r="N20" s="120"/>
    </row>
    <row r="21" spans="1:14" ht="15" customHeight="1">
      <c r="A21" s="547" t="s">
        <v>154</v>
      </c>
      <c r="B21" s="550"/>
      <c r="C21" s="562">
        <v>141.2</v>
      </c>
      <c r="D21" s="561">
        <v>1337333.33</v>
      </c>
      <c r="E21" s="561"/>
      <c r="F21" s="560">
        <f>SUM(C21*D21)/1000</f>
        <v>188831.46619600002</v>
      </c>
      <c r="G21" s="550"/>
      <c r="H21" s="562">
        <v>141.5</v>
      </c>
      <c r="I21" s="561">
        <v>1337333.33</v>
      </c>
      <c r="J21" s="561"/>
      <c r="K21" s="550">
        <f>SUM(H21*I21)/1000</f>
        <v>189232.66619500003</v>
      </c>
      <c r="M21" s="120"/>
      <c r="N21" s="120"/>
    </row>
    <row r="22" spans="1:14" ht="15" customHeight="1">
      <c r="A22" s="548" t="s">
        <v>155</v>
      </c>
      <c r="B22" s="550"/>
      <c r="C22" s="562">
        <v>141.2</v>
      </c>
      <c r="D22" s="550">
        <v>34400</v>
      </c>
      <c r="E22" s="550"/>
      <c r="F22" s="560">
        <f>SUM(C22*D22)/1000</f>
        <v>4857.28</v>
      </c>
      <c r="G22" s="550"/>
      <c r="H22" s="562">
        <v>141.5</v>
      </c>
      <c r="I22" s="550">
        <v>34400</v>
      </c>
      <c r="J22" s="550"/>
      <c r="K22" s="550">
        <f>SUM(H22*I22)/1000</f>
        <v>4867.6</v>
      </c>
      <c r="M22" s="120"/>
      <c r="N22" s="120"/>
    </row>
    <row r="23" spans="1:14" ht="24.75" customHeight="1">
      <c r="A23" s="547" t="s">
        <v>156</v>
      </c>
      <c r="B23" s="550"/>
      <c r="C23" s="550">
        <v>90</v>
      </c>
      <c r="D23" s="550">
        <v>1200000</v>
      </c>
      <c r="E23" s="563"/>
      <c r="F23" s="560">
        <f>SUM(C23*D23)/1000</f>
        <v>108000</v>
      </c>
      <c r="G23" s="550"/>
      <c r="H23" s="550">
        <v>90</v>
      </c>
      <c r="I23" s="550">
        <v>1200000</v>
      </c>
      <c r="J23" s="563"/>
      <c r="K23" s="550">
        <f>SUM(H23*I23)/1000</f>
        <v>108000</v>
      </c>
      <c r="M23" s="120"/>
      <c r="N23" s="120"/>
    </row>
    <row r="24" spans="1:14" ht="24.75" customHeight="1">
      <c r="A24" s="547" t="s">
        <v>157</v>
      </c>
      <c r="B24" s="550"/>
      <c r="C24" s="550">
        <v>90</v>
      </c>
      <c r="D24" s="550">
        <v>600000</v>
      </c>
      <c r="E24" s="563"/>
      <c r="F24" s="560">
        <f>SUM(C24*D24)/1000</f>
        <v>54000</v>
      </c>
      <c r="G24" s="550"/>
      <c r="H24" s="550">
        <v>90</v>
      </c>
      <c r="I24" s="550">
        <v>600000</v>
      </c>
      <c r="J24" s="563"/>
      <c r="K24" s="550">
        <f>SUM(H24*I24)/1000</f>
        <v>54000</v>
      </c>
      <c r="M24" s="120"/>
      <c r="N24" s="120"/>
    </row>
    <row r="25" spans="1:14" ht="13.5" customHeight="1">
      <c r="A25" s="546" t="s">
        <v>920</v>
      </c>
      <c r="B25" s="561">
        <v>1621.67</v>
      </c>
      <c r="C25" s="550"/>
      <c r="D25" s="550">
        <v>56000</v>
      </c>
      <c r="E25" s="563"/>
      <c r="F25" s="560">
        <v>90814</v>
      </c>
      <c r="G25" s="561">
        <v>1616.34</v>
      </c>
      <c r="H25" s="550"/>
      <c r="I25" s="550">
        <v>56000</v>
      </c>
      <c r="J25" s="563"/>
      <c r="K25" s="550">
        <v>90516</v>
      </c>
      <c r="M25" s="120"/>
      <c r="N25" s="120"/>
    </row>
    <row r="26" spans="1:14" ht="13.5" customHeight="1">
      <c r="A26" s="545" t="s">
        <v>924</v>
      </c>
      <c r="B26" s="550"/>
      <c r="C26" s="550"/>
      <c r="D26" s="563"/>
      <c r="E26" s="563"/>
      <c r="F26" s="560"/>
      <c r="G26" s="550"/>
      <c r="H26" s="550"/>
      <c r="I26" s="563"/>
      <c r="J26" s="563"/>
      <c r="K26" s="550"/>
      <c r="M26" s="120"/>
      <c r="N26" s="120"/>
    </row>
    <row r="27" spans="1:14" ht="13.5" customHeight="1">
      <c r="A27" s="546" t="s">
        <v>926</v>
      </c>
      <c r="B27" s="550">
        <v>59859</v>
      </c>
      <c r="C27" s="564">
        <v>11.9718</v>
      </c>
      <c r="D27" s="550">
        <v>3950000</v>
      </c>
      <c r="E27" s="550"/>
      <c r="F27" s="560">
        <f>SUM(C27*D27)/1000</f>
        <v>47288.61</v>
      </c>
      <c r="G27" s="550">
        <v>59859</v>
      </c>
      <c r="H27" s="564">
        <v>11.9718</v>
      </c>
      <c r="I27" s="550">
        <v>3950000</v>
      </c>
      <c r="J27" s="550"/>
      <c r="K27" s="550">
        <f>SUM(H27*I27)/1000</f>
        <v>47288.61</v>
      </c>
      <c r="M27" s="120"/>
      <c r="N27" s="120"/>
    </row>
    <row r="28" spans="1:14" ht="13.5" customHeight="1">
      <c r="A28" s="546" t="s">
        <v>927</v>
      </c>
      <c r="B28" s="550">
        <v>59859</v>
      </c>
      <c r="C28" s="550"/>
      <c r="D28" s="550">
        <v>300</v>
      </c>
      <c r="E28" s="550"/>
      <c r="F28" s="560">
        <f>SUM(B28*D28)/1000</f>
        <v>17957.7</v>
      </c>
      <c r="G28" s="550">
        <v>59859</v>
      </c>
      <c r="H28" s="550"/>
      <c r="I28" s="550">
        <v>300</v>
      </c>
      <c r="J28" s="550"/>
      <c r="K28" s="550">
        <f>SUM(G28*I28)/1000</f>
        <v>17957.7</v>
      </c>
      <c r="M28" s="120"/>
      <c r="N28" s="120"/>
    </row>
    <row r="29" spans="1:14" ht="24.75" customHeight="1">
      <c r="A29" s="547" t="s">
        <v>928</v>
      </c>
      <c r="B29" s="550">
        <v>9067</v>
      </c>
      <c r="C29" s="550"/>
      <c r="D29" s="550">
        <v>1200</v>
      </c>
      <c r="E29" s="550"/>
      <c r="F29" s="560">
        <f>SUM(B29*D29)/1000</f>
        <v>10880.4</v>
      </c>
      <c r="G29" s="550">
        <v>9067</v>
      </c>
      <c r="H29" s="550"/>
      <c r="I29" s="550">
        <v>1200</v>
      </c>
      <c r="J29" s="550"/>
      <c r="K29" s="550">
        <f>SUM(G29*I29)/1000</f>
        <v>10880.4</v>
      </c>
      <c r="M29" s="120"/>
      <c r="N29" s="120"/>
    </row>
    <row r="30" spans="1:14" ht="13.5" customHeight="1">
      <c r="A30" s="546" t="s">
        <v>929</v>
      </c>
      <c r="B30" s="550"/>
      <c r="C30" s="550"/>
      <c r="D30" s="550"/>
      <c r="E30" s="550"/>
      <c r="F30" s="560"/>
      <c r="G30" s="550"/>
      <c r="H30" s="550"/>
      <c r="I30" s="550"/>
      <c r="J30" s="550"/>
      <c r="K30" s="550"/>
      <c r="M30" s="120"/>
      <c r="N30" s="120"/>
    </row>
    <row r="31" spans="1:14" ht="13.5" customHeight="1">
      <c r="A31" s="546" t="s">
        <v>930</v>
      </c>
      <c r="B31" s="550"/>
      <c r="C31" s="550">
        <v>1</v>
      </c>
      <c r="D31" s="550">
        <v>2099400</v>
      </c>
      <c r="E31" s="550"/>
      <c r="F31" s="560">
        <f aca="true" t="shared" si="0" ref="F31:F36">SUM(C31*D31)/1000</f>
        <v>2099.4</v>
      </c>
      <c r="G31" s="550"/>
      <c r="H31" s="550">
        <v>1</v>
      </c>
      <c r="I31" s="550">
        <v>2099400</v>
      </c>
      <c r="J31" s="550"/>
      <c r="K31" s="550">
        <f aca="true" t="shared" si="1" ref="K31:K36">SUM(H31*I31)/1000</f>
        <v>2099.4</v>
      </c>
      <c r="M31" s="120"/>
      <c r="N31" s="120"/>
    </row>
    <row r="32" spans="1:14" ht="13.5" customHeight="1">
      <c r="A32" s="546" t="s">
        <v>931</v>
      </c>
      <c r="B32" s="549"/>
      <c r="C32" s="550">
        <v>450</v>
      </c>
      <c r="D32" s="550">
        <v>60896</v>
      </c>
      <c r="E32" s="550"/>
      <c r="F32" s="560">
        <f t="shared" si="0"/>
        <v>27403.2</v>
      </c>
      <c r="G32" s="549"/>
      <c r="H32" s="550">
        <v>390</v>
      </c>
      <c r="I32" s="550">
        <v>60896</v>
      </c>
      <c r="J32" s="550"/>
      <c r="K32" s="550">
        <f t="shared" si="1"/>
        <v>23749.44</v>
      </c>
      <c r="M32" s="120"/>
      <c r="N32" s="120"/>
    </row>
    <row r="33" spans="1:14" ht="13.5" customHeight="1">
      <c r="A33" s="546" t="s">
        <v>932</v>
      </c>
      <c r="B33" s="549"/>
      <c r="C33" s="550">
        <v>65</v>
      </c>
      <c r="D33" s="550">
        <v>188500</v>
      </c>
      <c r="E33" s="550"/>
      <c r="F33" s="560">
        <f t="shared" si="0"/>
        <v>12252.5</v>
      </c>
      <c r="G33" s="549"/>
      <c r="H33" s="550">
        <v>65</v>
      </c>
      <c r="I33" s="550">
        <v>188500</v>
      </c>
      <c r="J33" s="550"/>
      <c r="K33" s="550">
        <f t="shared" si="1"/>
        <v>12252.5</v>
      </c>
      <c r="M33" s="120"/>
      <c r="N33" s="120"/>
    </row>
    <row r="34" spans="1:14" ht="13.5" customHeight="1">
      <c r="A34" s="547" t="s">
        <v>934</v>
      </c>
      <c r="B34" s="565"/>
      <c r="C34" s="550">
        <v>83</v>
      </c>
      <c r="D34" s="550">
        <v>163500</v>
      </c>
      <c r="E34" s="550"/>
      <c r="F34" s="560">
        <f t="shared" si="0"/>
        <v>13570.5</v>
      </c>
      <c r="G34" s="565"/>
      <c r="H34" s="550">
        <v>80</v>
      </c>
      <c r="I34" s="550">
        <v>163500</v>
      </c>
      <c r="J34" s="550"/>
      <c r="K34" s="550">
        <f t="shared" si="1"/>
        <v>13080</v>
      </c>
      <c r="M34" s="120"/>
      <c r="N34" s="120"/>
    </row>
    <row r="35" spans="1:14" ht="13.5" customHeight="1">
      <c r="A35" s="547" t="s">
        <v>961</v>
      </c>
      <c r="B35" s="565"/>
      <c r="C35" s="550">
        <v>6</v>
      </c>
      <c r="D35" s="550">
        <v>550000</v>
      </c>
      <c r="E35" s="550"/>
      <c r="F35" s="560">
        <f t="shared" si="0"/>
        <v>3300</v>
      </c>
      <c r="G35" s="565"/>
      <c r="H35" s="550">
        <v>6</v>
      </c>
      <c r="I35" s="550">
        <v>550000</v>
      </c>
      <c r="J35" s="550"/>
      <c r="K35" s="550">
        <f t="shared" si="1"/>
        <v>3300</v>
      </c>
      <c r="M35" s="120"/>
      <c r="N35" s="120"/>
    </row>
    <row r="36" spans="1:14" ht="13.5" customHeight="1">
      <c r="A36" s="547" t="s">
        <v>965</v>
      </c>
      <c r="B36" s="565"/>
      <c r="C36" s="550">
        <v>21</v>
      </c>
      <c r="D36" s="550">
        <v>372000</v>
      </c>
      <c r="E36" s="550"/>
      <c r="F36" s="560">
        <f t="shared" si="0"/>
        <v>7812</v>
      </c>
      <c r="G36" s="565"/>
      <c r="H36" s="550">
        <v>21</v>
      </c>
      <c r="I36" s="550">
        <v>372000</v>
      </c>
      <c r="J36" s="550"/>
      <c r="K36" s="550">
        <f t="shared" si="1"/>
        <v>7812</v>
      </c>
      <c r="M36" s="120"/>
      <c r="N36" s="120"/>
    </row>
    <row r="37" spans="1:14" ht="15" customHeight="1">
      <c r="A37" s="547" t="s">
        <v>966</v>
      </c>
      <c r="B37" s="565"/>
      <c r="C37" s="550"/>
      <c r="D37" s="550"/>
      <c r="E37" s="550"/>
      <c r="F37" s="560"/>
      <c r="G37" s="565"/>
      <c r="H37" s="550"/>
      <c r="I37" s="550"/>
      <c r="J37" s="550"/>
      <c r="K37" s="550"/>
      <c r="M37" s="120"/>
      <c r="N37" s="120"/>
    </row>
    <row r="38" spans="1:14" ht="13.5" customHeight="1">
      <c r="A38" s="546" t="s">
        <v>967</v>
      </c>
      <c r="B38" s="546"/>
      <c r="C38" s="546">
        <v>258</v>
      </c>
      <c r="D38" s="549">
        <v>494100</v>
      </c>
      <c r="E38" s="549"/>
      <c r="F38" s="560">
        <f>SUM(C38*D38)/1000</f>
        <v>127477.8</v>
      </c>
      <c r="G38" s="546"/>
      <c r="H38" s="546">
        <v>258</v>
      </c>
      <c r="I38" s="549">
        <v>494100</v>
      </c>
      <c r="J38" s="549"/>
      <c r="K38" s="550">
        <f>SUM(H38*I38)/1000</f>
        <v>127477.8</v>
      </c>
      <c r="M38" s="120"/>
      <c r="N38" s="120"/>
    </row>
    <row r="39" spans="1:14" ht="13.5" customHeight="1">
      <c r="A39" s="546" t="s">
        <v>968</v>
      </c>
      <c r="B39" s="546"/>
      <c r="C39" s="553">
        <v>4</v>
      </c>
      <c r="D39" s="550">
        <v>741150</v>
      </c>
      <c r="E39" s="550"/>
      <c r="F39" s="560">
        <f>SUM(C39*D39)/1000</f>
        <v>2964.6</v>
      </c>
      <c r="G39" s="546"/>
      <c r="H39" s="553">
        <v>4</v>
      </c>
      <c r="I39" s="550">
        <v>741150</v>
      </c>
      <c r="J39" s="550"/>
      <c r="K39" s="550">
        <f>SUM(H39*I39)/1000</f>
        <v>2964.6</v>
      </c>
      <c r="M39" s="120"/>
      <c r="N39" s="120"/>
    </row>
    <row r="40" spans="1:11" ht="13.5" customHeight="1">
      <c r="A40" s="546" t="s">
        <v>158</v>
      </c>
      <c r="B40" s="566"/>
      <c r="C40" s="550">
        <v>20</v>
      </c>
      <c r="D40" s="550">
        <v>518805</v>
      </c>
      <c r="E40" s="550"/>
      <c r="F40" s="560">
        <f>SUM(C40*D40)/1000</f>
        <v>10376.1</v>
      </c>
      <c r="G40" s="566"/>
      <c r="H40" s="550"/>
      <c r="I40" s="550"/>
      <c r="J40" s="550"/>
      <c r="K40" s="550">
        <f>SUM(H40*I40)/1000</f>
        <v>0</v>
      </c>
    </row>
    <row r="41" spans="1:11" ht="13.5" customHeight="1">
      <c r="A41" s="546" t="s">
        <v>969</v>
      </c>
      <c r="B41" s="566"/>
      <c r="C41" s="550">
        <v>1</v>
      </c>
      <c r="D41" s="550">
        <v>635650</v>
      </c>
      <c r="E41" s="550"/>
      <c r="F41" s="560">
        <f>SUM(C41*D41)/1000</f>
        <v>635.65</v>
      </c>
      <c r="G41" s="566"/>
      <c r="H41" s="550">
        <v>1</v>
      </c>
      <c r="I41" s="550">
        <v>635650</v>
      </c>
      <c r="J41" s="550"/>
      <c r="K41" s="550">
        <f>SUM(H41*I41)/1000</f>
        <v>635.65</v>
      </c>
    </row>
    <row r="42" spans="1:11" ht="24.75" customHeight="1">
      <c r="A42" s="547" t="s">
        <v>970</v>
      </c>
      <c r="B42" s="549"/>
      <c r="C42" s="550"/>
      <c r="D42" s="550"/>
      <c r="E42" s="550"/>
      <c r="F42" s="560"/>
      <c r="G42" s="549"/>
      <c r="H42" s="550"/>
      <c r="I42" s="550"/>
      <c r="J42" s="550"/>
      <c r="K42" s="550"/>
    </row>
    <row r="43" spans="1:11" ht="15" customHeight="1">
      <c r="A43" s="547" t="s">
        <v>971</v>
      </c>
      <c r="B43" s="549"/>
      <c r="C43" s="550">
        <v>37</v>
      </c>
      <c r="D43" s="550">
        <v>2606040</v>
      </c>
      <c r="E43" s="550"/>
      <c r="F43" s="560">
        <f>SUM(C43*D43)/1000</f>
        <v>96423.48</v>
      </c>
      <c r="G43" s="549"/>
      <c r="H43" s="550">
        <v>37</v>
      </c>
      <c r="I43" s="550">
        <v>2606040</v>
      </c>
      <c r="J43" s="550"/>
      <c r="K43" s="550">
        <f>SUM(H43*I43)/1000</f>
        <v>96423.48</v>
      </c>
    </row>
    <row r="44" spans="1:11" ht="13.5" customHeight="1">
      <c r="A44" s="546" t="s">
        <v>972</v>
      </c>
      <c r="B44" s="549"/>
      <c r="C44" s="550"/>
      <c r="D44" s="550"/>
      <c r="E44" s="550"/>
      <c r="F44" s="560">
        <v>18351</v>
      </c>
      <c r="G44" s="549"/>
      <c r="H44" s="550"/>
      <c r="I44" s="550"/>
      <c r="J44" s="550"/>
      <c r="K44" s="550">
        <v>10301</v>
      </c>
    </row>
    <row r="45" spans="1:11" ht="13.5" customHeight="1">
      <c r="A45" s="567" t="s">
        <v>159</v>
      </c>
      <c r="B45" s="550"/>
      <c r="C45" s="550"/>
      <c r="D45" s="563"/>
      <c r="E45" s="563"/>
      <c r="F45" s="560"/>
      <c r="G45" s="550"/>
      <c r="H45" s="550"/>
      <c r="I45" s="563"/>
      <c r="J45" s="563"/>
      <c r="K45" s="550"/>
    </row>
    <row r="46" spans="1:11" ht="13.5" customHeight="1">
      <c r="A46" s="551" t="s">
        <v>160</v>
      </c>
      <c r="B46" s="561">
        <v>113.67</v>
      </c>
      <c r="C46" s="550"/>
      <c r="D46" s="550">
        <v>1632000</v>
      </c>
      <c r="E46" s="563"/>
      <c r="F46" s="560">
        <v>185509</v>
      </c>
      <c r="G46" s="561">
        <v>113.27</v>
      </c>
      <c r="H46" s="550"/>
      <c r="I46" s="550">
        <v>1632000</v>
      </c>
      <c r="J46" s="563"/>
      <c r="K46" s="550">
        <v>184856</v>
      </c>
    </row>
    <row r="47" spans="1:11" ht="13.5" customHeight="1">
      <c r="A47" s="551" t="s">
        <v>161</v>
      </c>
      <c r="B47" s="550"/>
      <c r="C47" s="550"/>
      <c r="D47" s="563"/>
      <c r="E47" s="563"/>
      <c r="F47" s="560">
        <v>44543</v>
      </c>
      <c r="G47" s="550"/>
      <c r="H47" s="550"/>
      <c r="I47" s="563"/>
      <c r="J47" s="563"/>
      <c r="K47" s="550">
        <v>37248</v>
      </c>
    </row>
    <row r="48" spans="1:11" ht="13.5" customHeight="1">
      <c r="A48" s="551" t="s">
        <v>995</v>
      </c>
      <c r="B48" s="550"/>
      <c r="C48" s="550"/>
      <c r="D48" s="563"/>
      <c r="E48" s="563"/>
      <c r="F48" s="560"/>
      <c r="G48" s="550"/>
      <c r="H48" s="550"/>
      <c r="I48" s="563"/>
      <c r="J48" s="563"/>
      <c r="K48" s="550">
        <v>244209</v>
      </c>
    </row>
    <row r="49" spans="1:11" ht="13.5" customHeight="1">
      <c r="A49" s="551" t="s">
        <v>996</v>
      </c>
      <c r="B49" s="550"/>
      <c r="C49" s="550"/>
      <c r="D49" s="563"/>
      <c r="E49" s="563"/>
      <c r="F49" s="560"/>
      <c r="G49" s="550"/>
      <c r="H49" s="550"/>
      <c r="I49" s="563"/>
      <c r="J49" s="563"/>
      <c r="K49" s="550">
        <v>130</v>
      </c>
    </row>
    <row r="50" spans="1:11" ht="13.5" customHeight="1">
      <c r="A50" s="552" t="s">
        <v>973</v>
      </c>
      <c r="B50" s="549"/>
      <c r="C50" s="550"/>
      <c r="D50" s="568"/>
      <c r="E50" s="568"/>
      <c r="F50" s="560"/>
      <c r="G50" s="549"/>
      <c r="H50" s="550"/>
      <c r="I50" s="568"/>
      <c r="J50" s="568"/>
      <c r="K50" s="550"/>
    </row>
    <row r="51" spans="1:11" ht="13.5" customHeight="1">
      <c r="A51" s="547" t="s">
        <v>974</v>
      </c>
      <c r="B51" s="549"/>
      <c r="C51" s="550"/>
      <c r="D51" s="568"/>
      <c r="E51" s="568"/>
      <c r="F51" s="560">
        <v>101100</v>
      </c>
      <c r="G51" s="549"/>
      <c r="H51" s="550"/>
      <c r="I51" s="568"/>
      <c r="J51" s="568"/>
      <c r="K51" s="550">
        <v>101100</v>
      </c>
    </row>
    <row r="52" spans="1:11" ht="24.75" customHeight="1">
      <c r="A52" s="547" t="s">
        <v>975</v>
      </c>
      <c r="B52" s="549"/>
      <c r="C52" s="550"/>
      <c r="D52" s="568"/>
      <c r="E52" s="568"/>
      <c r="F52" s="560">
        <v>112600</v>
      </c>
      <c r="G52" s="549"/>
      <c r="H52" s="550"/>
      <c r="I52" s="568"/>
      <c r="J52" s="568"/>
      <c r="K52" s="550">
        <v>112600</v>
      </c>
    </row>
    <row r="53" spans="1:11" ht="13.5" customHeight="1">
      <c r="A53" s="547" t="s">
        <v>976</v>
      </c>
      <c r="B53" s="569">
        <v>59097</v>
      </c>
      <c r="C53" s="550"/>
      <c r="D53" s="568">
        <v>400</v>
      </c>
      <c r="E53" s="568"/>
      <c r="F53" s="560">
        <f>SUM(B53*D53)/1000</f>
        <v>23638.8</v>
      </c>
      <c r="G53" s="569">
        <v>59097</v>
      </c>
      <c r="H53" s="550"/>
      <c r="I53" s="568">
        <v>400</v>
      </c>
      <c r="J53" s="568"/>
      <c r="K53" s="550">
        <f>SUM(G53*I53)/1000</f>
        <v>23638.8</v>
      </c>
    </row>
    <row r="54" spans="1:11" ht="24.75" customHeight="1">
      <c r="A54" s="547" t="s">
        <v>977</v>
      </c>
      <c r="B54" s="549"/>
      <c r="C54" s="550"/>
      <c r="D54" s="550"/>
      <c r="E54" s="550"/>
      <c r="F54" s="560">
        <v>167444</v>
      </c>
      <c r="G54" s="549"/>
      <c r="H54" s="550"/>
      <c r="I54" s="550"/>
      <c r="J54" s="550"/>
      <c r="K54" s="550">
        <v>167456</v>
      </c>
    </row>
    <row r="55" spans="1:11" ht="15" customHeight="1">
      <c r="A55" s="547" t="s">
        <v>978</v>
      </c>
      <c r="B55" s="549"/>
      <c r="C55" s="550"/>
      <c r="D55" s="550"/>
      <c r="E55" s="550"/>
      <c r="F55" s="560"/>
      <c r="G55" s="549"/>
      <c r="H55" s="550"/>
      <c r="I55" s="550"/>
      <c r="J55" s="550"/>
      <c r="K55" s="550"/>
    </row>
    <row r="56" spans="1:11" ht="15" customHeight="1">
      <c r="A56" s="547" t="s">
        <v>983</v>
      </c>
      <c r="B56" s="549"/>
      <c r="C56" s="550"/>
      <c r="D56" s="550"/>
      <c r="E56" s="550"/>
      <c r="F56" s="560"/>
      <c r="G56" s="549"/>
      <c r="H56" s="550"/>
      <c r="I56" s="550"/>
      <c r="J56" s="550"/>
      <c r="K56" s="550"/>
    </row>
    <row r="57" spans="1:11" ht="15" customHeight="1">
      <c r="A57" s="553" t="s">
        <v>162</v>
      </c>
      <c r="B57" s="549"/>
      <c r="C57" s="550"/>
      <c r="D57" s="550"/>
      <c r="E57" s="550"/>
      <c r="F57" s="560">
        <v>246600</v>
      </c>
      <c r="G57" s="549"/>
      <c r="H57" s="550"/>
      <c r="I57" s="550"/>
      <c r="J57" s="550"/>
      <c r="K57" s="550">
        <v>246600</v>
      </c>
    </row>
    <row r="58" spans="1:11" ht="15" customHeight="1">
      <c r="A58" s="554" t="s">
        <v>984</v>
      </c>
      <c r="B58" s="549"/>
      <c r="C58" s="550"/>
      <c r="D58" s="550"/>
      <c r="E58" s="550"/>
      <c r="F58" s="560"/>
      <c r="G58" s="549"/>
      <c r="H58" s="550"/>
      <c r="I58" s="550"/>
      <c r="J58" s="550"/>
      <c r="K58" s="550"/>
    </row>
    <row r="59" spans="1:11" ht="15" customHeight="1">
      <c r="A59" s="547" t="s">
        <v>1195</v>
      </c>
      <c r="B59" s="549"/>
      <c r="C59" s="550"/>
      <c r="D59" s="550"/>
      <c r="E59" s="550"/>
      <c r="F59" s="560">
        <v>8699</v>
      </c>
      <c r="G59" s="549"/>
      <c r="H59" s="550"/>
      <c r="I59" s="550"/>
      <c r="J59" s="550"/>
      <c r="K59" s="550">
        <v>8699</v>
      </c>
    </row>
    <row r="60" spans="1:11" ht="15" customHeight="1">
      <c r="A60" s="547" t="s">
        <v>1196</v>
      </c>
      <c r="B60" s="549"/>
      <c r="C60" s="549">
        <v>6955723</v>
      </c>
      <c r="D60" s="562">
        <v>1.5</v>
      </c>
      <c r="E60" s="562"/>
      <c r="F60" s="560">
        <f>SUM(C60*D60)/1000</f>
        <v>10433.5845</v>
      </c>
      <c r="G60" s="549"/>
      <c r="H60" s="549">
        <v>6955723</v>
      </c>
      <c r="I60" s="562">
        <v>1.5</v>
      </c>
      <c r="J60" s="562"/>
      <c r="K60" s="550">
        <f>SUM(H60*I60)/1000</f>
        <v>10433.5845</v>
      </c>
    </row>
    <row r="61" spans="1:11" ht="15" customHeight="1">
      <c r="A61" s="547" t="s">
        <v>1198</v>
      </c>
      <c r="B61" s="549"/>
      <c r="C61" s="549"/>
      <c r="D61" s="562"/>
      <c r="E61" s="562"/>
      <c r="F61" s="560"/>
      <c r="G61" s="549"/>
      <c r="H61" s="549"/>
      <c r="I61" s="562"/>
      <c r="J61" s="562"/>
      <c r="K61" s="550">
        <v>32091</v>
      </c>
    </row>
    <row r="62" spans="1:11" ht="15" customHeight="1">
      <c r="A62" s="547" t="s">
        <v>1200</v>
      </c>
      <c r="B62" s="549"/>
      <c r="C62" s="549"/>
      <c r="D62" s="562"/>
      <c r="E62" s="562"/>
      <c r="F62" s="560"/>
      <c r="G62" s="549"/>
      <c r="H62" s="549"/>
      <c r="I62" s="562"/>
      <c r="J62" s="562"/>
      <c r="K62" s="550">
        <v>8084</v>
      </c>
    </row>
    <row r="63" spans="1:11" ht="15" customHeight="1">
      <c r="A63" s="547" t="s">
        <v>1199</v>
      </c>
      <c r="B63" s="549"/>
      <c r="C63" s="549"/>
      <c r="D63" s="562"/>
      <c r="E63" s="562"/>
      <c r="F63" s="560"/>
      <c r="G63" s="549"/>
      <c r="H63" s="549"/>
      <c r="I63" s="562"/>
      <c r="J63" s="562"/>
      <c r="K63" s="550">
        <v>24</v>
      </c>
    </row>
    <row r="64" spans="1:11" ht="15" customHeight="1">
      <c r="A64" s="547" t="s">
        <v>1197</v>
      </c>
      <c r="B64" s="549"/>
      <c r="C64" s="549"/>
      <c r="D64" s="562"/>
      <c r="E64" s="562"/>
      <c r="F64" s="560"/>
      <c r="G64" s="549"/>
      <c r="H64" s="549"/>
      <c r="I64" s="562"/>
      <c r="J64" s="562"/>
      <c r="K64" s="550">
        <v>117161</v>
      </c>
    </row>
    <row r="65" spans="1:11" ht="15" customHeight="1">
      <c r="A65" s="547" t="s">
        <v>1201</v>
      </c>
      <c r="B65" s="549"/>
      <c r="C65" s="549"/>
      <c r="D65" s="562"/>
      <c r="E65" s="562"/>
      <c r="F65" s="560"/>
      <c r="G65" s="549"/>
      <c r="H65" s="549"/>
      <c r="I65" s="562"/>
      <c r="J65" s="562"/>
      <c r="K65" s="550">
        <v>6000</v>
      </c>
    </row>
    <row r="66" spans="1:11" ht="15" customHeight="1">
      <c r="A66" s="547" t="s">
        <v>1129</v>
      </c>
      <c r="B66" s="549"/>
      <c r="C66" s="549"/>
      <c r="D66" s="562"/>
      <c r="E66" s="562"/>
      <c r="F66" s="560"/>
      <c r="G66" s="549"/>
      <c r="H66" s="549"/>
      <c r="I66" s="562"/>
      <c r="J66" s="562"/>
      <c r="K66" s="550">
        <v>2528</v>
      </c>
    </row>
    <row r="67" spans="1:11" ht="15" customHeight="1">
      <c r="A67" s="547" t="s">
        <v>1128</v>
      </c>
      <c r="B67" s="549"/>
      <c r="C67" s="549"/>
      <c r="D67" s="562"/>
      <c r="E67" s="562"/>
      <c r="F67" s="560"/>
      <c r="G67" s="549"/>
      <c r="H67" s="549"/>
      <c r="I67" s="562"/>
      <c r="J67" s="562"/>
      <c r="K67" s="550">
        <v>63</v>
      </c>
    </row>
    <row r="68" spans="1:11" ht="15" customHeight="1">
      <c r="A68" s="547" t="s">
        <v>994</v>
      </c>
      <c r="B68" s="549"/>
      <c r="C68" s="549"/>
      <c r="D68" s="562"/>
      <c r="E68" s="562"/>
      <c r="F68" s="560"/>
      <c r="G68" s="549"/>
      <c r="H68" s="549"/>
      <c r="I68" s="562"/>
      <c r="J68" s="562"/>
      <c r="K68" s="550">
        <v>4349</v>
      </c>
    </row>
    <row r="69" spans="1:11" ht="15" customHeight="1">
      <c r="A69" s="547" t="s">
        <v>980</v>
      </c>
      <c r="B69" s="549"/>
      <c r="C69" s="549"/>
      <c r="D69" s="562"/>
      <c r="E69" s="562"/>
      <c r="F69" s="560"/>
      <c r="G69" s="549"/>
      <c r="H69" s="549"/>
      <c r="I69" s="562"/>
      <c r="J69" s="562"/>
      <c r="K69" s="550">
        <v>2045</v>
      </c>
    </row>
    <row r="70" spans="1:11" ht="15" customHeight="1">
      <c r="A70" s="547" t="s">
        <v>356</v>
      </c>
      <c r="B70" s="549"/>
      <c r="C70" s="549"/>
      <c r="D70" s="562"/>
      <c r="E70" s="562"/>
      <c r="F70" s="560"/>
      <c r="G70" s="549"/>
      <c r="H70" s="549"/>
      <c r="I70" s="562"/>
      <c r="J70" s="562"/>
      <c r="K70" s="550">
        <v>32053</v>
      </c>
    </row>
    <row r="71" spans="1:11" ht="15" customHeight="1">
      <c r="A71" s="552" t="s">
        <v>1192</v>
      </c>
      <c r="B71" s="549"/>
      <c r="C71" s="549"/>
      <c r="D71" s="562"/>
      <c r="E71" s="562"/>
      <c r="F71" s="560"/>
      <c r="G71" s="549"/>
      <c r="H71" s="549"/>
      <c r="I71" s="562"/>
      <c r="J71" s="562"/>
      <c r="K71" s="550"/>
    </row>
    <row r="72" spans="1:11" ht="15" customHeight="1">
      <c r="A72" s="547" t="s">
        <v>1193</v>
      </c>
      <c r="B72" s="549"/>
      <c r="C72" s="549"/>
      <c r="D72" s="562"/>
      <c r="E72" s="562"/>
      <c r="F72" s="560"/>
      <c r="G72" s="549"/>
      <c r="H72" s="549"/>
      <c r="I72" s="562"/>
      <c r="J72" s="562"/>
      <c r="K72" s="550">
        <v>80422</v>
      </c>
    </row>
    <row r="73" spans="1:11" ht="15" customHeight="1">
      <c r="A73" s="547" t="s">
        <v>1194</v>
      </c>
      <c r="B73" s="549"/>
      <c r="C73" s="549"/>
      <c r="D73" s="562"/>
      <c r="E73" s="562"/>
      <c r="F73" s="560"/>
      <c r="G73" s="549"/>
      <c r="H73" s="549"/>
      <c r="I73" s="562"/>
      <c r="J73" s="562"/>
      <c r="K73" s="550">
        <v>1243940</v>
      </c>
    </row>
    <row r="74" spans="1:11" ht="15" customHeight="1">
      <c r="A74" s="551" t="s">
        <v>1127</v>
      </c>
      <c r="B74" s="550"/>
      <c r="C74" s="550"/>
      <c r="D74" s="563"/>
      <c r="E74" s="563"/>
      <c r="F74" s="560"/>
      <c r="G74" s="550"/>
      <c r="H74" s="550"/>
      <c r="I74" s="563"/>
      <c r="J74" s="563"/>
      <c r="K74" s="550">
        <v>37293</v>
      </c>
    </row>
    <row r="75" spans="1:11" ht="15" customHeight="1">
      <c r="A75" s="551" t="s">
        <v>307</v>
      </c>
      <c r="B75" s="550"/>
      <c r="C75" s="550"/>
      <c r="D75" s="563"/>
      <c r="E75" s="563"/>
      <c r="F75" s="560"/>
      <c r="G75" s="550"/>
      <c r="H75" s="550"/>
      <c r="I75" s="563"/>
      <c r="J75" s="563"/>
      <c r="K75" s="550">
        <v>31964</v>
      </c>
    </row>
    <row r="76" spans="1:14" s="122" customFormat="1" ht="13.5" customHeight="1">
      <c r="A76" s="555" t="s">
        <v>985</v>
      </c>
      <c r="B76" s="556"/>
      <c r="C76" s="556"/>
      <c r="D76" s="556"/>
      <c r="E76" s="556"/>
      <c r="F76" s="558">
        <f>SUM(F4:F60)</f>
        <v>2399699.4711769996</v>
      </c>
      <c r="G76" s="556"/>
      <c r="H76" s="556"/>
      <c r="I76" s="556"/>
      <c r="J76" s="556"/>
      <c r="K76" s="556">
        <f>SUM(K4:K75)</f>
        <v>4211126.230695</v>
      </c>
      <c r="L76" s="121"/>
      <c r="M76" s="121"/>
      <c r="N76" s="121"/>
    </row>
    <row r="77" spans="1:6" ht="12.75" customHeight="1">
      <c r="A77" s="123"/>
      <c r="B77" s="123"/>
      <c r="C77" s="123"/>
      <c r="D77" s="123"/>
      <c r="E77" s="123"/>
      <c r="F77" s="129"/>
    </row>
    <row r="78" spans="1:6" ht="18" customHeight="1">
      <c r="A78" s="124"/>
      <c r="B78" s="125"/>
      <c r="C78" s="125"/>
      <c r="D78" s="125"/>
      <c r="E78" s="125"/>
      <c r="F78" s="130"/>
    </row>
    <row r="79" ht="12" hidden="1"/>
    <row r="80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375" style="47" customWidth="1"/>
    <col min="2" max="2" width="50.50390625" style="47" customWidth="1"/>
    <col min="3" max="3" width="16.375" style="47" customWidth="1"/>
    <col min="4" max="4" width="14.50390625" style="47" customWidth="1"/>
    <col min="5" max="5" width="15.125" style="47" customWidth="1"/>
    <col min="6" max="16384" width="9.375" style="47" customWidth="1"/>
  </cols>
  <sheetData>
    <row r="1" spans="1:5" s="131" customFormat="1" ht="49.5" customHeight="1">
      <c r="A1" s="682" t="s">
        <v>454</v>
      </c>
      <c r="B1" s="682" t="s">
        <v>192</v>
      </c>
      <c r="C1" s="682" t="s">
        <v>610</v>
      </c>
      <c r="D1" s="539" t="s">
        <v>986</v>
      </c>
      <c r="E1" s="539" t="s">
        <v>611</v>
      </c>
    </row>
    <row r="2" spans="1:5" s="131" customFormat="1" ht="19.5" customHeight="1">
      <c r="A2" s="537"/>
      <c r="B2" s="538" t="s">
        <v>241</v>
      </c>
      <c r="C2" s="537"/>
      <c r="D2" s="681"/>
      <c r="E2" s="681"/>
    </row>
    <row r="3" spans="1:5" s="136" customFormat="1" ht="12.75">
      <c r="A3" s="133" t="s">
        <v>513</v>
      </c>
      <c r="B3" s="134" t="s">
        <v>987</v>
      </c>
      <c r="C3" s="135">
        <v>2951765</v>
      </c>
      <c r="D3" s="25">
        <v>228705</v>
      </c>
      <c r="E3" s="25">
        <f>SUM(C3:D3)</f>
        <v>3180470</v>
      </c>
    </row>
    <row r="4" spans="1:5" s="69" customFormat="1" ht="12.75">
      <c r="A4" s="133" t="s">
        <v>514</v>
      </c>
      <c r="B4" s="137" t="s">
        <v>988</v>
      </c>
      <c r="C4" s="138">
        <v>809399</v>
      </c>
      <c r="D4" s="23">
        <v>52847</v>
      </c>
      <c r="E4" s="25">
        <f>SUM(C4:D4)</f>
        <v>862246</v>
      </c>
    </row>
    <row r="5" spans="1:5" s="69" customFormat="1" ht="12.75">
      <c r="A5" s="133" t="s">
        <v>515</v>
      </c>
      <c r="B5" s="139" t="s">
        <v>989</v>
      </c>
      <c r="C5" s="138">
        <v>4417840</v>
      </c>
      <c r="D5" s="23">
        <v>581992</v>
      </c>
      <c r="E5" s="25">
        <f>SUM(C5:D5)</f>
        <v>4999832</v>
      </c>
    </row>
    <row r="6" spans="1:5" s="69" customFormat="1" ht="12.75">
      <c r="A6" s="133" t="s">
        <v>516</v>
      </c>
      <c r="B6" s="139" t="s">
        <v>243</v>
      </c>
      <c r="C6" s="140">
        <v>143280</v>
      </c>
      <c r="D6" s="23">
        <v>269167</v>
      </c>
      <c r="E6" s="25">
        <f>SUM(C6:D6)</f>
        <v>412447</v>
      </c>
    </row>
    <row r="7" spans="1:5" s="69" customFormat="1" ht="12.75">
      <c r="A7" s="133" t="s">
        <v>517</v>
      </c>
      <c r="B7" s="139" t="s">
        <v>990</v>
      </c>
      <c r="C7" s="138">
        <v>1583144</v>
      </c>
      <c r="D7" s="23">
        <v>229233</v>
      </c>
      <c r="E7" s="25">
        <f>SUM(C7:D7)</f>
        <v>1812377</v>
      </c>
    </row>
    <row r="8" spans="1:5" s="69" customFormat="1" ht="13.5">
      <c r="A8" s="133"/>
      <c r="B8" s="132" t="s">
        <v>998</v>
      </c>
      <c r="C8" s="141">
        <f>SUM(C3:C7)</f>
        <v>9905428</v>
      </c>
      <c r="D8" s="141">
        <f>SUM(D3:D7)</f>
        <v>1361944</v>
      </c>
      <c r="E8" s="141">
        <f>SUM(E3:E7)</f>
        <v>11267372</v>
      </c>
    </row>
    <row r="9" spans="1:5" s="69" customFormat="1" ht="12.75">
      <c r="A9" s="143" t="s">
        <v>518</v>
      </c>
      <c r="B9" s="138" t="s">
        <v>999</v>
      </c>
      <c r="C9" s="138">
        <v>6800899</v>
      </c>
      <c r="D9" s="23">
        <v>-218556</v>
      </c>
      <c r="E9" s="25">
        <f>SUM(C9:D9)</f>
        <v>6582343</v>
      </c>
    </row>
    <row r="10" spans="1:5" s="69" customFormat="1" ht="12.75">
      <c r="A10" s="143" t="s">
        <v>519</v>
      </c>
      <c r="B10" s="138" t="s">
        <v>1000</v>
      </c>
      <c r="C10" s="138">
        <v>701881</v>
      </c>
      <c r="D10" s="23">
        <v>655297</v>
      </c>
      <c r="E10" s="25">
        <f>SUM(C10:D10)</f>
        <v>1357178</v>
      </c>
    </row>
    <row r="11" spans="1:5" s="69" customFormat="1" ht="12.75">
      <c r="A11" s="143" t="s">
        <v>520</v>
      </c>
      <c r="B11" s="138" t="s">
        <v>244</v>
      </c>
      <c r="C11" s="140">
        <v>516142</v>
      </c>
      <c r="D11" s="23">
        <v>504881</v>
      </c>
      <c r="E11" s="25">
        <f>SUM(C11:D11)</f>
        <v>1021023</v>
      </c>
    </row>
    <row r="12" spans="1:5" s="69" customFormat="1" ht="13.5">
      <c r="A12" s="143"/>
      <c r="B12" s="142" t="s">
        <v>1002</v>
      </c>
      <c r="C12" s="144">
        <f>SUM(C9:C11)</f>
        <v>8018922</v>
      </c>
      <c r="D12" s="144">
        <f>SUM(D9:D11)</f>
        <v>941622</v>
      </c>
      <c r="E12" s="144">
        <f>SUM(E9:E11)</f>
        <v>8960544</v>
      </c>
    </row>
    <row r="13" spans="1:5" s="69" customFormat="1" ht="18" customHeight="1">
      <c r="A13" s="143" t="s">
        <v>521</v>
      </c>
      <c r="B13" s="142" t="s">
        <v>522</v>
      </c>
      <c r="C13" s="144">
        <f>SUM(C8+C12)</f>
        <v>17924350</v>
      </c>
      <c r="D13" s="144">
        <f>SUM(D8+D12)</f>
        <v>2303566</v>
      </c>
      <c r="E13" s="144">
        <f>SUM(E8+E12)</f>
        <v>20227916</v>
      </c>
    </row>
    <row r="14" spans="1:5" s="69" customFormat="1" ht="16.5" customHeight="1">
      <c r="A14" s="143" t="s">
        <v>523</v>
      </c>
      <c r="B14" s="142" t="s">
        <v>245</v>
      </c>
      <c r="C14" s="144">
        <v>34668</v>
      </c>
      <c r="D14" s="540">
        <v>1368977</v>
      </c>
      <c r="E14" s="144">
        <f>SUM(C14:D14)</f>
        <v>1403645</v>
      </c>
    </row>
    <row r="15" spans="1:5" s="71" customFormat="1" ht="18.75" customHeight="1">
      <c r="A15" s="145"/>
      <c r="B15" s="146" t="s">
        <v>1003</v>
      </c>
      <c r="C15" s="147">
        <f>SUM(C13:C14)</f>
        <v>17959018</v>
      </c>
      <c r="D15" s="147">
        <f>SUM(D13:D14)</f>
        <v>3672543</v>
      </c>
      <c r="E15" s="147">
        <f>SUM(E13:E14)</f>
        <v>21631561</v>
      </c>
    </row>
    <row r="16" spans="1:3" s="46" customFormat="1" ht="12.75">
      <c r="A16" s="148"/>
      <c r="B16" s="149"/>
      <c r="C16" s="149"/>
    </row>
    <row r="17" spans="1:3" s="16" customFormat="1" ht="12.75">
      <c r="A17" s="148"/>
      <c r="B17" s="148"/>
      <c r="C17" s="148"/>
    </row>
    <row r="18" spans="1:3" s="16" customFormat="1" ht="12.75">
      <c r="A18" s="148"/>
      <c r="B18" s="148"/>
      <c r="C18" s="148"/>
    </row>
    <row r="19" spans="1:3" s="16" customFormat="1" ht="12.75">
      <c r="A19" s="148"/>
      <c r="B19" s="148"/>
      <c r="C19" s="148"/>
    </row>
    <row r="20" spans="1:3" s="16" customFormat="1" ht="12.75">
      <c r="A20" s="148"/>
      <c r="B20" s="148"/>
      <c r="C20" s="148"/>
    </row>
    <row r="21" spans="1:3" s="16" customFormat="1" ht="12.75">
      <c r="A21" s="148"/>
      <c r="B21" s="148"/>
      <c r="C21" s="148"/>
    </row>
    <row r="22" spans="1:3" s="16" customFormat="1" ht="12.75">
      <c r="A22" s="148"/>
      <c r="B22" s="148"/>
      <c r="C22" s="148"/>
    </row>
    <row r="23" spans="1:3" s="16" customFormat="1" ht="12.75">
      <c r="A23" s="148"/>
      <c r="B23" s="148"/>
      <c r="C23" s="148"/>
    </row>
    <row r="24" spans="1:3" s="16" customFormat="1" ht="12.75">
      <c r="A24" s="148"/>
      <c r="B24" s="148"/>
      <c r="C24" s="148"/>
    </row>
    <row r="25" spans="1:3" s="16" customFormat="1" ht="12.75">
      <c r="A25" s="148"/>
      <c r="B25" s="148"/>
      <c r="C25" s="148"/>
    </row>
    <row r="26" spans="1:3" s="16" customFormat="1" ht="12.75">
      <c r="A26" s="150"/>
      <c r="B26" s="148"/>
      <c r="C26" s="148"/>
    </row>
    <row r="27" spans="1:3" ht="12.75">
      <c r="A27" s="150"/>
      <c r="B27" s="150"/>
      <c r="C27" s="150"/>
    </row>
    <row r="28" spans="1:3" ht="12.75">
      <c r="A28" s="150"/>
      <c r="B28" s="150"/>
      <c r="C28" s="150"/>
    </row>
    <row r="29" spans="1:3" ht="12.75">
      <c r="A29" s="150"/>
      <c r="B29" s="150"/>
      <c r="C29" s="150"/>
    </row>
    <row r="30" spans="1:3" ht="12.75">
      <c r="A30" s="150"/>
      <c r="B30" s="150"/>
      <c r="C30" s="150"/>
    </row>
    <row r="31" spans="1:3" ht="12.75">
      <c r="A31" s="150"/>
      <c r="B31" s="150"/>
      <c r="C31" s="150"/>
    </row>
    <row r="32" spans="2:3" ht="12.75">
      <c r="B32" s="150"/>
      <c r="C32" s="150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.375" style="49" customWidth="1"/>
    <col min="2" max="2" width="7.00390625" style="49" customWidth="1"/>
    <col min="3" max="3" width="32.00390625" style="49" customWidth="1"/>
    <col min="4" max="4" width="11.50390625" style="49" customWidth="1"/>
    <col min="5" max="5" width="14.875" style="49" customWidth="1"/>
    <col min="6" max="6" width="11.625" style="49" customWidth="1"/>
    <col min="7" max="7" width="10.375" style="49" customWidth="1"/>
    <col min="8" max="8" width="11.875" style="49" customWidth="1"/>
    <col min="9" max="9" width="12.00390625" style="49" customWidth="1"/>
    <col min="10" max="11" width="10.875" style="49" customWidth="1"/>
    <col min="12" max="12" width="12.50390625" style="49" customWidth="1"/>
    <col min="13" max="13" width="12.625" style="49" customWidth="1"/>
    <col min="14" max="14" width="15.625" style="49" customWidth="1"/>
    <col min="15" max="16384" width="9.375" style="49" customWidth="1"/>
  </cols>
  <sheetData>
    <row r="1" spans="1:14" s="50" customFormat="1" ht="42" customHeight="1">
      <c r="A1" s="757" t="s">
        <v>240</v>
      </c>
      <c r="B1" s="757" t="s">
        <v>608</v>
      </c>
      <c r="C1" s="761" t="s">
        <v>192</v>
      </c>
      <c r="D1" s="757" t="s">
        <v>247</v>
      </c>
      <c r="E1" s="757"/>
      <c r="F1" s="757"/>
      <c r="G1" s="757"/>
      <c r="H1" s="757"/>
      <c r="I1" s="757"/>
      <c r="J1" s="757"/>
      <c r="K1" s="758" t="s">
        <v>248</v>
      </c>
      <c r="L1" s="757"/>
      <c r="M1" s="757"/>
      <c r="N1" s="759" t="s">
        <v>195</v>
      </c>
    </row>
    <row r="2" spans="1:14" s="50" customFormat="1" ht="84.75" customHeight="1">
      <c r="A2" s="757"/>
      <c r="B2" s="757"/>
      <c r="C2" s="761"/>
      <c r="D2" s="509" t="s">
        <v>250</v>
      </c>
      <c r="E2" s="509" t="s">
        <v>251</v>
      </c>
      <c r="F2" s="510" t="s">
        <v>1006</v>
      </c>
      <c r="G2" s="509" t="s">
        <v>252</v>
      </c>
      <c r="H2" s="509" t="s">
        <v>1250</v>
      </c>
      <c r="I2" s="509" t="s">
        <v>253</v>
      </c>
      <c r="J2" s="509" t="s">
        <v>254</v>
      </c>
      <c r="K2" s="509" t="s">
        <v>51</v>
      </c>
      <c r="L2" s="509" t="s">
        <v>255</v>
      </c>
      <c r="M2" s="509" t="s">
        <v>257</v>
      </c>
      <c r="N2" s="760"/>
    </row>
    <row r="3" spans="1:14" ht="16.5" customHeight="1">
      <c r="A3" s="154">
        <v>1</v>
      </c>
      <c r="B3" s="110"/>
      <c r="C3" s="110" t="s">
        <v>1251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6.5" customHeight="1">
      <c r="A4" s="58"/>
      <c r="B4" s="58">
        <v>12</v>
      </c>
      <c r="C4" s="57" t="s">
        <v>1008</v>
      </c>
      <c r="D4" s="59">
        <f>83+'11'!D11</f>
        <v>13115</v>
      </c>
      <c r="E4" s="59">
        <f>0+'11'!E11</f>
        <v>0</v>
      </c>
      <c r="F4" s="59">
        <f>0+'11'!F11</f>
        <v>0</v>
      </c>
      <c r="G4" s="59">
        <f>16669+'11'!G11</f>
        <v>18363</v>
      </c>
      <c r="H4" s="59">
        <f>0+'11'!H11</f>
        <v>0</v>
      </c>
      <c r="I4" s="59">
        <f>0+'11'!I11</f>
        <v>0</v>
      </c>
      <c r="J4" s="59">
        <f>0+'11'!J11</f>
        <v>0</v>
      </c>
      <c r="K4" s="59">
        <f>0+'11'!K11</f>
        <v>0</v>
      </c>
      <c r="L4" s="59">
        <f>0+'11'!L11</f>
        <v>0</v>
      </c>
      <c r="M4" s="59">
        <f>0+'11'!M11</f>
        <v>0</v>
      </c>
      <c r="N4" s="59">
        <f>SUM(D4:M4)</f>
        <v>31478</v>
      </c>
    </row>
    <row r="5" spans="1:14" ht="16.5" customHeight="1">
      <c r="A5" s="58"/>
      <c r="B5" s="58">
        <v>13</v>
      </c>
      <c r="C5" s="57" t="s">
        <v>1009</v>
      </c>
      <c r="D5" s="59">
        <f>49150+'11'!D16</f>
        <v>49150</v>
      </c>
      <c r="E5" s="59">
        <f>200441+'11'!E16</f>
        <v>200441</v>
      </c>
      <c r="F5" s="59">
        <f>0+'11'!F16</f>
        <v>0</v>
      </c>
      <c r="G5" s="59">
        <f>5461+'11'!G16</f>
        <v>5461</v>
      </c>
      <c r="H5" s="59">
        <f>0+'11'!H16</f>
        <v>0</v>
      </c>
      <c r="I5" s="59">
        <f>2200+'11'!I16</f>
        <v>4400</v>
      </c>
      <c r="J5" s="59">
        <f>0+'11'!J16</f>
        <v>0</v>
      </c>
      <c r="K5" s="59">
        <f>0+'11'!K16</f>
        <v>0</v>
      </c>
      <c r="L5" s="59">
        <f>0+'11'!L16</f>
        <v>0</v>
      </c>
      <c r="M5" s="59">
        <f>0+'11'!M16</f>
        <v>0</v>
      </c>
      <c r="N5" s="59">
        <f aca="true" t="shared" si="0" ref="N5:N12">SUM(D5:M5)</f>
        <v>259452</v>
      </c>
    </row>
    <row r="6" spans="1:14" ht="16.5" customHeight="1">
      <c r="A6" s="58"/>
      <c r="B6" s="58">
        <v>15</v>
      </c>
      <c r="C6" s="57" t="s">
        <v>197</v>
      </c>
      <c r="D6" s="59">
        <f>1711+'11'!D30</f>
        <v>1711</v>
      </c>
      <c r="E6" s="59">
        <f>337391+'11'!E30</f>
        <v>577891</v>
      </c>
      <c r="F6" s="59">
        <f>174+'11'!F30</f>
        <v>564</v>
      </c>
      <c r="G6" s="59">
        <f>664092+'11'!G30</f>
        <v>669477</v>
      </c>
      <c r="H6" s="59">
        <f>0+'11'!H30</f>
        <v>0</v>
      </c>
      <c r="I6" s="59">
        <f>0+'11'!I30</f>
        <v>0</v>
      </c>
      <c r="J6" s="59">
        <f>4106+'11'!J30</f>
        <v>4906</v>
      </c>
      <c r="K6" s="59">
        <f>0+'11'!K30</f>
        <v>0</v>
      </c>
      <c r="L6" s="59">
        <f>0+'11'!L30</f>
        <v>0</v>
      </c>
      <c r="M6" s="59">
        <f>0+'11'!M30</f>
        <v>0</v>
      </c>
      <c r="N6" s="59">
        <f t="shared" si="0"/>
        <v>1254549</v>
      </c>
    </row>
    <row r="7" spans="1:14" ht="16.5" customHeight="1">
      <c r="A7" s="58"/>
      <c r="B7" s="58">
        <v>16</v>
      </c>
      <c r="C7" s="57" t="s">
        <v>1225</v>
      </c>
      <c r="D7" s="59">
        <f>0+'11'!D35</f>
        <v>0</v>
      </c>
      <c r="E7" s="59">
        <f>4293411+'11'!E35</f>
        <v>4314385</v>
      </c>
      <c r="F7" s="59">
        <f>0+'11'!F35</f>
        <v>0</v>
      </c>
      <c r="G7" s="59">
        <f>5695+'11'!G35</f>
        <v>3080</v>
      </c>
      <c r="H7" s="59">
        <f>0+'11'!H35</f>
        <v>0</v>
      </c>
      <c r="I7" s="59">
        <f>0+'11'!I35</f>
        <v>0</v>
      </c>
      <c r="J7" s="59">
        <f>220000+'11'!J35</f>
        <v>220000</v>
      </c>
      <c r="K7" s="59">
        <f>0+'11'!K35</f>
        <v>0</v>
      </c>
      <c r="L7" s="59">
        <f>0+'11'!L35</f>
        <v>0</v>
      </c>
      <c r="M7" s="59">
        <f>0+'11'!M35</f>
        <v>0</v>
      </c>
      <c r="N7" s="59">
        <f t="shared" si="0"/>
        <v>4537465</v>
      </c>
    </row>
    <row r="8" spans="1:14" ht="16.5" customHeight="1">
      <c r="A8" s="58"/>
      <c r="B8" s="58">
        <v>17</v>
      </c>
      <c r="C8" s="57" t="s">
        <v>198</v>
      </c>
      <c r="D8" s="59">
        <f>0+'11'!D46</f>
        <v>0</v>
      </c>
      <c r="E8" s="59">
        <f>0+'11'!E46</f>
        <v>0</v>
      </c>
      <c r="F8" s="59">
        <f>0+'11'!F46</f>
        <v>0</v>
      </c>
      <c r="G8" s="59">
        <f>368603+'11'!G46</f>
        <v>407669</v>
      </c>
      <c r="H8" s="59">
        <f>253600+'11'!H46</f>
        <v>362607</v>
      </c>
      <c r="I8" s="59">
        <f>0+'11'!I46</f>
        <v>2500</v>
      </c>
      <c r="J8" s="59">
        <f>20000+'11'!J46</f>
        <v>20000</v>
      </c>
      <c r="K8" s="59">
        <f>0+'11'!K46</f>
        <v>0</v>
      </c>
      <c r="L8" s="59">
        <f>342239+'11'!L46</f>
        <v>342239</v>
      </c>
      <c r="M8" s="59">
        <f>0+'11'!M46</f>
        <v>0</v>
      </c>
      <c r="N8" s="59">
        <f t="shared" si="0"/>
        <v>1135015</v>
      </c>
    </row>
    <row r="9" spans="1:14" ht="16.5" customHeight="1">
      <c r="A9" s="58"/>
      <c r="B9" s="58">
        <v>18</v>
      </c>
      <c r="C9" s="57" t="s">
        <v>1224</v>
      </c>
      <c r="D9" s="59">
        <f>0+'11'!D52</f>
        <v>0</v>
      </c>
      <c r="E9" s="59">
        <f>0+'11'!E52</f>
        <v>0</v>
      </c>
      <c r="F9" s="59">
        <f>5000+'11'!F52</f>
        <v>8000</v>
      </c>
      <c r="G9" s="59">
        <f>41910+'11'!G52</f>
        <v>39510</v>
      </c>
      <c r="H9" s="59">
        <f>0+'11'!H52</f>
        <v>0</v>
      </c>
      <c r="I9" s="59">
        <f>0+'11'!I52</f>
        <v>0</v>
      </c>
      <c r="J9" s="59">
        <f>0+'11'!J52</f>
        <v>0</v>
      </c>
      <c r="K9" s="59">
        <f>0+'11'!K52</f>
        <v>0</v>
      </c>
      <c r="L9" s="59">
        <f>0+'11'!L52</f>
        <v>0</v>
      </c>
      <c r="M9" s="59">
        <f>0+'11'!M52</f>
        <v>0</v>
      </c>
      <c r="N9" s="59">
        <f t="shared" si="0"/>
        <v>47510</v>
      </c>
    </row>
    <row r="10" spans="1:14" ht="16.5" customHeight="1">
      <c r="A10" s="58"/>
      <c r="B10" s="58">
        <v>19</v>
      </c>
      <c r="C10" s="57" t="s">
        <v>199</v>
      </c>
      <c r="D10" s="59">
        <f>2973464+'11'!D74</f>
        <v>2976447</v>
      </c>
      <c r="E10" s="59">
        <f>1236776+'11'!E74</f>
        <v>1181447</v>
      </c>
      <c r="F10" s="59">
        <f>3824319+'11'!F74</f>
        <v>3653768</v>
      </c>
      <c r="G10" s="59">
        <f>405779+'11'!G74</f>
        <v>501770</v>
      </c>
      <c r="H10" s="59">
        <f>0+'11'!H74</f>
        <v>0</v>
      </c>
      <c r="I10" s="59">
        <f>0+'11'!I74</f>
        <v>0</v>
      </c>
      <c r="J10" s="59">
        <f>0+'11'!J74</f>
        <v>0</v>
      </c>
      <c r="K10" s="59">
        <f>638892+'11'!K74</f>
        <v>473892</v>
      </c>
      <c r="L10" s="59">
        <f>3198984+'11'!L74</f>
        <v>3332613</v>
      </c>
      <c r="M10" s="59">
        <f>0+'11'!M74</f>
        <v>0</v>
      </c>
      <c r="N10" s="59">
        <f t="shared" si="0"/>
        <v>12119937</v>
      </c>
    </row>
    <row r="11" spans="1:14" ht="16.5" customHeight="1">
      <c r="A11" s="58"/>
      <c r="B11" s="58">
        <v>20</v>
      </c>
      <c r="C11" s="32" t="s">
        <v>108</v>
      </c>
      <c r="D11" s="59">
        <f>0+'11'!D77</f>
        <v>0</v>
      </c>
      <c r="E11" s="59">
        <f>0+'11'!E77</f>
        <v>0</v>
      </c>
      <c r="F11" s="59">
        <f>162+'11'!F77</f>
        <v>162</v>
      </c>
      <c r="G11" s="59">
        <f>0+'11'!G77</f>
        <v>0</v>
      </c>
      <c r="H11" s="59">
        <f>0+'11'!H77</f>
        <v>0</v>
      </c>
      <c r="I11" s="59">
        <f>0+'11'!I77</f>
        <v>0</v>
      </c>
      <c r="J11" s="59">
        <f>0+'11'!J77</f>
        <v>0</v>
      </c>
      <c r="K11" s="59">
        <f>0+'11'!K77</f>
        <v>0</v>
      </c>
      <c r="L11" s="59">
        <f>0+'11'!L77</f>
        <v>0</v>
      </c>
      <c r="M11" s="59">
        <f>0+'11'!M77</f>
        <v>0</v>
      </c>
      <c r="N11" s="59">
        <f t="shared" si="0"/>
        <v>162</v>
      </c>
    </row>
    <row r="12" spans="1:14" ht="16.5" customHeight="1">
      <c r="A12" s="58"/>
      <c r="B12" s="58">
        <v>22</v>
      </c>
      <c r="C12" s="57" t="s">
        <v>1016</v>
      </c>
      <c r="D12" s="59">
        <f>7185+'11'!D81</f>
        <v>7185</v>
      </c>
      <c r="E12" s="59">
        <f>0+'11'!E81</f>
        <v>0</v>
      </c>
      <c r="F12" s="59">
        <f>0+'11'!F81</f>
        <v>0</v>
      </c>
      <c r="G12" s="59">
        <f>2168+'11'!G81</f>
        <v>2183</v>
      </c>
      <c r="H12" s="59">
        <f>180+'11'!H81</f>
        <v>180</v>
      </c>
      <c r="I12" s="59">
        <f>1000+'11'!I81</f>
        <v>1000</v>
      </c>
      <c r="J12" s="59">
        <f>2671+'11'!J81</f>
        <v>2671</v>
      </c>
      <c r="K12" s="59">
        <f>0+'11'!K81</f>
        <v>0</v>
      </c>
      <c r="L12" s="59">
        <f>0+'11'!L81</f>
        <v>0</v>
      </c>
      <c r="M12" s="59">
        <f>0+'11'!M81</f>
        <v>0</v>
      </c>
      <c r="N12" s="59">
        <f t="shared" si="0"/>
        <v>13219</v>
      </c>
    </row>
    <row r="13" spans="1:14" ht="27.75" customHeight="1">
      <c r="A13" s="60"/>
      <c r="B13" s="60"/>
      <c r="C13" s="116" t="s">
        <v>1252</v>
      </c>
      <c r="D13" s="111">
        <f aca="true" t="shared" si="1" ref="D13:N13">SUM(D4:D12)</f>
        <v>3047608</v>
      </c>
      <c r="E13" s="111">
        <f t="shared" si="1"/>
        <v>6274164</v>
      </c>
      <c r="F13" s="111">
        <f t="shared" si="1"/>
        <v>3662494</v>
      </c>
      <c r="G13" s="111">
        <f t="shared" si="1"/>
        <v>1647513</v>
      </c>
      <c r="H13" s="111">
        <f t="shared" si="1"/>
        <v>362787</v>
      </c>
      <c r="I13" s="111">
        <f t="shared" si="1"/>
        <v>7900</v>
      </c>
      <c r="J13" s="111">
        <f t="shared" si="1"/>
        <v>247577</v>
      </c>
      <c r="K13" s="111">
        <f t="shared" si="1"/>
        <v>473892</v>
      </c>
      <c r="L13" s="111">
        <f t="shared" si="1"/>
        <v>3674852</v>
      </c>
      <c r="M13" s="111">
        <f t="shared" si="1"/>
        <v>0</v>
      </c>
      <c r="N13" s="111">
        <f t="shared" si="1"/>
        <v>19398787</v>
      </c>
    </row>
    <row r="14" spans="1:14" ht="16.5" customHeight="1">
      <c r="A14" s="62">
        <v>2</v>
      </c>
      <c r="B14" s="62"/>
      <c r="C14" s="57" t="s">
        <v>1249</v>
      </c>
      <c r="D14" s="59">
        <f>453982+'táj.1.'!C20</f>
        <v>512166</v>
      </c>
      <c r="E14" s="59">
        <f>89656+'táj.1.'!D20</f>
        <v>95891</v>
      </c>
      <c r="F14" s="59">
        <f>0+'táj.1.'!E20</f>
        <v>0</v>
      </c>
      <c r="G14" s="59">
        <f>1165600+'táj.1.'!F20</f>
        <v>1198725</v>
      </c>
      <c r="H14" s="59">
        <f>400+'táj.1.'!G20</f>
        <v>664</v>
      </c>
      <c r="I14" s="59">
        <f>64128+'táj.1.'!H20</f>
        <v>69565</v>
      </c>
      <c r="J14" s="59">
        <f>0+'táj.1.'!I20</f>
        <v>0</v>
      </c>
      <c r="K14" s="59"/>
      <c r="L14" s="59">
        <f>355763+'táj.1.'!J20</f>
        <v>355763</v>
      </c>
      <c r="M14" s="59">
        <f>0+'táj.1.'!L20</f>
        <v>0</v>
      </c>
      <c r="N14" s="59">
        <f>SUM(D14:M14)</f>
        <v>2232774</v>
      </c>
    </row>
    <row r="15" spans="1:14" ht="16.5" customHeight="1">
      <c r="A15" s="60"/>
      <c r="B15" s="60"/>
      <c r="C15" s="61" t="s">
        <v>1221</v>
      </c>
      <c r="D15" s="111">
        <f aca="true" t="shared" si="2" ref="D15:N15">SUM(D13:D14)</f>
        <v>3559774</v>
      </c>
      <c r="E15" s="111">
        <f t="shared" si="2"/>
        <v>6370055</v>
      </c>
      <c r="F15" s="111">
        <f t="shared" si="2"/>
        <v>3662494</v>
      </c>
      <c r="G15" s="111">
        <f t="shared" si="2"/>
        <v>2846238</v>
      </c>
      <c r="H15" s="111">
        <f t="shared" si="2"/>
        <v>363451</v>
      </c>
      <c r="I15" s="111">
        <f t="shared" si="2"/>
        <v>77465</v>
      </c>
      <c r="J15" s="111">
        <f t="shared" si="2"/>
        <v>247577</v>
      </c>
      <c r="K15" s="111">
        <f t="shared" si="2"/>
        <v>473892</v>
      </c>
      <c r="L15" s="111">
        <f t="shared" si="2"/>
        <v>4030615</v>
      </c>
      <c r="M15" s="111">
        <f t="shared" si="2"/>
        <v>0</v>
      </c>
      <c r="N15" s="111">
        <f t="shared" si="2"/>
        <v>21631561</v>
      </c>
    </row>
    <row r="16" spans="3:12" ht="16.5" customHeight="1">
      <c r="C16" s="51"/>
      <c r="D16" s="52"/>
      <c r="E16" s="52"/>
      <c r="F16" s="52"/>
      <c r="G16" s="52"/>
      <c r="H16" s="52"/>
      <c r="I16" s="52"/>
      <c r="J16" s="52"/>
      <c r="K16" s="52"/>
      <c r="L16" s="52"/>
    </row>
    <row r="17" spans="3:11" ht="13.5" customHeight="1">
      <c r="C17" s="51"/>
      <c r="D17" s="52"/>
      <c r="E17" s="52"/>
      <c r="F17" s="52"/>
      <c r="G17" s="52"/>
      <c r="H17" s="52"/>
      <c r="I17" s="52"/>
      <c r="J17" s="52"/>
      <c r="K17" s="52"/>
    </row>
    <row r="18" spans="4:11" ht="13.5" customHeight="1">
      <c r="D18" s="52"/>
      <c r="E18" s="52"/>
      <c r="F18" s="52"/>
      <c r="G18" s="52"/>
      <c r="H18" s="52"/>
      <c r="I18" s="52"/>
      <c r="J18" s="52"/>
      <c r="K18" s="52"/>
    </row>
    <row r="19" spans="4:11" ht="13.5" customHeight="1">
      <c r="D19" s="52"/>
      <c r="E19" s="52"/>
      <c r="F19" s="52"/>
      <c r="G19" s="52"/>
      <c r="H19" s="52"/>
      <c r="I19" s="52"/>
      <c r="J19" s="52"/>
      <c r="K19" s="52"/>
    </row>
    <row r="20" spans="4:11" ht="13.5" customHeight="1">
      <c r="D20" s="52"/>
      <c r="E20" s="52"/>
      <c r="F20" s="52"/>
      <c r="G20" s="52"/>
      <c r="H20" s="52"/>
      <c r="I20" s="52"/>
      <c r="J20" s="52"/>
      <c r="K20" s="52"/>
    </row>
    <row r="21" spans="4:11" ht="13.5" customHeight="1">
      <c r="D21" s="52"/>
      <c r="E21" s="52"/>
      <c r="F21" s="52"/>
      <c r="G21" s="52"/>
      <c r="H21" s="52"/>
      <c r="I21" s="52"/>
      <c r="J21" s="52"/>
      <c r="K21" s="52"/>
    </row>
    <row r="22" spans="4:11" ht="13.5" customHeight="1">
      <c r="D22" s="52"/>
      <c r="E22" s="52"/>
      <c r="F22" s="52"/>
      <c r="G22" s="52"/>
      <c r="H22" s="52"/>
      <c r="I22" s="52"/>
      <c r="J22" s="52"/>
      <c r="K22" s="52"/>
    </row>
    <row r="23" spans="4:11" ht="13.5" customHeight="1">
      <c r="D23" s="52"/>
      <c r="E23" s="52"/>
      <c r="F23" s="52"/>
      <c r="G23" s="52"/>
      <c r="H23" s="52"/>
      <c r="I23" s="52"/>
      <c r="J23" s="52"/>
      <c r="K23" s="52"/>
    </row>
    <row r="24" spans="4:11" ht="13.5" customHeight="1">
      <c r="D24" s="52"/>
      <c r="E24" s="52"/>
      <c r="F24" s="52"/>
      <c r="G24" s="52"/>
      <c r="H24" s="52"/>
      <c r="I24" s="52"/>
      <c r="J24" s="52"/>
      <c r="K24" s="52"/>
    </row>
    <row r="25" spans="4:11" ht="13.5" customHeight="1">
      <c r="D25" s="52"/>
      <c r="E25" s="52"/>
      <c r="F25" s="52"/>
      <c r="G25" s="52"/>
      <c r="H25" s="52"/>
      <c r="I25" s="52"/>
      <c r="J25" s="52"/>
      <c r="K25" s="5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17" sqref="D17:M17"/>
    </sheetView>
  </sheetViews>
  <sheetFormatPr defaultColWidth="9.00390625" defaultRowHeight="12.75"/>
  <cols>
    <col min="1" max="1" width="6.875" style="47" customWidth="1"/>
    <col min="2" max="2" width="7.00390625" style="47" customWidth="1"/>
    <col min="3" max="3" width="28.00390625" style="47" customWidth="1"/>
    <col min="4" max="4" width="10.00390625" style="47" customWidth="1"/>
    <col min="5" max="5" width="11.875" style="47" customWidth="1"/>
    <col min="6" max="6" width="9.875" style="47" customWidth="1"/>
    <col min="7" max="7" width="9.625" style="47" customWidth="1"/>
    <col min="8" max="8" width="10.50390625" style="47" customWidth="1"/>
    <col min="9" max="9" width="10.00390625" style="47" bestFit="1" customWidth="1"/>
    <col min="10" max="10" width="9.50390625" style="47" bestFit="1" customWidth="1"/>
    <col min="11" max="11" width="9.50390625" style="47" customWidth="1"/>
    <col min="12" max="12" width="11.00390625" style="47" customWidth="1"/>
    <col min="13" max="13" width="11.625" style="72" customWidth="1"/>
    <col min="14" max="14" width="10.875" style="72" customWidth="1"/>
    <col min="15" max="16384" width="9.375" style="47" customWidth="1"/>
  </cols>
  <sheetData>
    <row r="1" spans="1:14" s="67" customFormat="1" ht="12.75">
      <c r="A1" s="643"/>
      <c r="B1" s="644"/>
      <c r="C1" s="644"/>
      <c r="D1" s="762" t="s">
        <v>241</v>
      </c>
      <c r="E1" s="763"/>
      <c r="F1" s="763"/>
      <c r="G1" s="763"/>
      <c r="H1" s="763"/>
      <c r="I1" s="763"/>
      <c r="J1" s="763"/>
      <c r="K1" s="764"/>
      <c r="L1" s="765" t="s">
        <v>245</v>
      </c>
      <c r="M1" s="766"/>
      <c r="N1" s="645"/>
    </row>
    <row r="2" spans="1:14" s="68" customFormat="1" ht="60" customHeight="1" thickBot="1">
      <c r="A2" s="73" t="s">
        <v>201</v>
      </c>
      <c r="B2" s="74" t="s">
        <v>202</v>
      </c>
      <c r="C2" s="74" t="s">
        <v>192</v>
      </c>
      <c r="D2" s="155" t="s">
        <v>987</v>
      </c>
      <c r="E2" s="155" t="s">
        <v>1121</v>
      </c>
      <c r="F2" s="155" t="s">
        <v>1235</v>
      </c>
      <c r="G2" s="155" t="s">
        <v>243</v>
      </c>
      <c r="H2" s="155" t="s">
        <v>990</v>
      </c>
      <c r="I2" s="155" t="s">
        <v>999</v>
      </c>
      <c r="J2" s="155" t="s">
        <v>1000</v>
      </c>
      <c r="K2" s="155" t="s">
        <v>244</v>
      </c>
      <c r="L2" s="155" t="s">
        <v>935</v>
      </c>
      <c r="M2" s="155" t="s">
        <v>936</v>
      </c>
      <c r="N2" s="156" t="s">
        <v>107</v>
      </c>
    </row>
    <row r="3" spans="1:14" s="68" customFormat="1" ht="15" customHeight="1">
      <c r="A3" s="17">
        <v>1</v>
      </c>
      <c r="B3" s="17"/>
      <c r="C3" s="157" t="s">
        <v>1248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68" customFormat="1" ht="15" customHeight="1">
      <c r="A4" s="17">
        <v>1</v>
      </c>
      <c r="B4" s="17">
        <v>1</v>
      </c>
      <c r="C4" s="158" t="s">
        <v>1010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69" customFormat="1" ht="13.5" customHeight="1">
      <c r="A5" s="21"/>
      <c r="B5" s="21">
        <v>12</v>
      </c>
      <c r="C5" s="157" t="s">
        <v>1008</v>
      </c>
      <c r="D5" s="22">
        <f>0+'12'!F25</f>
        <v>0</v>
      </c>
      <c r="E5" s="22">
        <f>1500+'12'!G25</f>
        <v>2500</v>
      </c>
      <c r="F5" s="22">
        <f>24800+'12'!H25</f>
        <v>21955</v>
      </c>
      <c r="G5" s="22">
        <f>414965+'12'!I25</f>
        <v>394242</v>
      </c>
      <c r="H5" s="22">
        <f>24800+'12'!J25</f>
        <v>24800</v>
      </c>
      <c r="I5" s="22">
        <f>0+'12'!K28</f>
        <v>0</v>
      </c>
      <c r="J5" s="22">
        <f>0+'12'!L28</f>
        <v>0</v>
      </c>
      <c r="K5" s="22">
        <f>42519+'12'!M28</f>
        <v>36924</v>
      </c>
      <c r="L5" s="22">
        <f>0+'12'!N25</f>
        <v>0</v>
      </c>
      <c r="M5" s="22">
        <f>0+'12'!O25</f>
        <v>0</v>
      </c>
      <c r="N5" s="22">
        <f aca="true" t="shared" si="0" ref="N5:N14">SUM(D5:M5)</f>
        <v>480421</v>
      </c>
    </row>
    <row r="6" spans="1:14" s="136" customFormat="1" ht="13.5" customHeight="1">
      <c r="A6" s="24"/>
      <c r="B6" s="24">
        <v>13</v>
      </c>
      <c r="C6" s="160" t="s">
        <v>1009</v>
      </c>
      <c r="D6" s="665">
        <f>8517+'12'!F69</f>
        <v>10398</v>
      </c>
      <c r="E6" s="665">
        <f>2250+'12'!G69</f>
        <v>3128</v>
      </c>
      <c r="F6" s="665">
        <f>218361+'12'!H69</f>
        <v>214004</v>
      </c>
      <c r="G6" s="665">
        <f>18700+'12'!I69</f>
        <v>18205</v>
      </c>
      <c r="H6" s="665">
        <f>486711+'12'!J69</f>
        <v>489095</v>
      </c>
      <c r="I6" s="665">
        <f>259975+'12'!K72</f>
        <v>284814</v>
      </c>
      <c r="J6" s="665">
        <f>194758+'12'!L72</f>
        <v>201563</v>
      </c>
      <c r="K6" s="665">
        <f>154396+'12'!M72</f>
        <v>139493</v>
      </c>
      <c r="L6" s="665">
        <f>0+'12'!N69</f>
        <v>0</v>
      </c>
      <c r="M6" s="665">
        <f>0+'12'!O69</f>
        <v>0</v>
      </c>
      <c r="N6" s="665">
        <f t="shared" si="0"/>
        <v>1360700</v>
      </c>
    </row>
    <row r="7" spans="1:14" s="69" customFormat="1" ht="13.5" customHeight="1">
      <c r="A7" s="21"/>
      <c r="B7" s="21">
        <v>15</v>
      </c>
      <c r="C7" s="76" t="s">
        <v>197</v>
      </c>
      <c r="D7" s="22">
        <f>2547+'12'!F114</f>
        <v>2696</v>
      </c>
      <c r="E7" s="22">
        <f>533+'12'!G114</f>
        <v>615</v>
      </c>
      <c r="F7" s="22">
        <f>1305983+'12'!H114</f>
        <v>1310379</v>
      </c>
      <c r="G7" s="22">
        <f>0+'12'!I114</f>
        <v>0</v>
      </c>
      <c r="H7" s="22">
        <f>42638+'12'!J114</f>
        <v>39644</v>
      </c>
      <c r="I7" s="22">
        <f>257268+'12'!K117</f>
        <v>253282</v>
      </c>
      <c r="J7" s="22">
        <f>400564+'12'!L117</f>
        <v>656159</v>
      </c>
      <c r="K7" s="22">
        <f>639049+'12'!M117</f>
        <v>640049</v>
      </c>
      <c r="L7" s="22">
        <f>0+'12'!N114</f>
        <v>0</v>
      </c>
      <c r="M7" s="22">
        <f>0+'12'!O114</f>
        <v>0</v>
      </c>
      <c r="N7" s="22">
        <f t="shared" si="0"/>
        <v>2902824</v>
      </c>
    </row>
    <row r="8" spans="1:15" s="69" customFormat="1" ht="13.5" customHeight="1">
      <c r="A8" s="21"/>
      <c r="B8" s="21">
        <v>16</v>
      </c>
      <c r="C8" s="76" t="s">
        <v>1225</v>
      </c>
      <c r="D8" s="22">
        <f>0+'12'!F131</f>
        <v>0</v>
      </c>
      <c r="E8" s="22">
        <f>0+'12'!G131</f>
        <v>0</v>
      </c>
      <c r="F8" s="22">
        <f>13208+'12'!H131</f>
        <v>138393</v>
      </c>
      <c r="G8" s="22">
        <f>0+'12'!I131</f>
        <v>0</v>
      </c>
      <c r="H8" s="22">
        <f>42208+'12'!J131</f>
        <v>42208</v>
      </c>
      <c r="I8" s="22">
        <f>5904057+'12'!K134</f>
        <v>5398396</v>
      </c>
      <c r="J8" s="22">
        <f>105420+'12'!L134</f>
        <v>333960</v>
      </c>
      <c r="K8" s="22">
        <f>47453+'12'!M134</f>
        <v>47323</v>
      </c>
      <c r="L8" s="22">
        <f>0+'12'!N131</f>
        <v>0</v>
      </c>
      <c r="M8" s="22">
        <f>0+'12'!O131</f>
        <v>0</v>
      </c>
      <c r="N8" s="22">
        <f t="shared" si="0"/>
        <v>5960280</v>
      </c>
      <c r="O8" s="70"/>
    </row>
    <row r="9" spans="1:14" s="69" customFormat="1" ht="13.5" customHeight="1">
      <c r="A9" s="21"/>
      <c r="B9" s="21">
        <v>17</v>
      </c>
      <c r="C9" s="76" t="s">
        <v>198</v>
      </c>
      <c r="D9" s="22">
        <f>0+'12'!F151</f>
        <v>0</v>
      </c>
      <c r="E9" s="22">
        <f>0+'12'!G151</f>
        <v>0</v>
      </c>
      <c r="F9" s="22">
        <f>93460+'12'!H151</f>
        <v>90592</v>
      </c>
      <c r="G9" s="22">
        <f>0+'12'!I151</f>
        <v>0</v>
      </c>
      <c r="H9" s="22">
        <f>72207+'12'!J151</f>
        <v>72207</v>
      </c>
      <c r="I9" s="22">
        <f>452043+'12'!K154</f>
        <v>455342</v>
      </c>
      <c r="J9" s="22">
        <f>31564+'12'!L154</f>
        <v>31937</v>
      </c>
      <c r="K9" s="22">
        <f>25101+'12'!M154</f>
        <v>28969</v>
      </c>
      <c r="L9" s="22">
        <f>0+'12'!N151</f>
        <v>0</v>
      </c>
      <c r="M9" s="22">
        <f>61342+'12'!O151</f>
        <v>63841</v>
      </c>
      <c r="N9" s="22">
        <f t="shared" si="0"/>
        <v>742888</v>
      </c>
    </row>
    <row r="10" spans="1:14" s="69" customFormat="1" ht="13.5" customHeight="1">
      <c r="A10" s="21"/>
      <c r="B10" s="21">
        <v>18</v>
      </c>
      <c r="C10" s="76" t="s">
        <v>42</v>
      </c>
      <c r="D10" s="22">
        <f>0+'12'!F158</f>
        <v>0</v>
      </c>
      <c r="E10" s="22">
        <f>0+'12'!G158</f>
        <v>0</v>
      </c>
      <c r="F10" s="22">
        <f>37574+'12'!H158</f>
        <v>38174</v>
      </c>
      <c r="G10" s="22">
        <f>0+'12'!I158</f>
        <v>0</v>
      </c>
      <c r="H10" s="22">
        <f>1100+'12'!J158</f>
        <v>1100</v>
      </c>
      <c r="I10" s="22">
        <f>500+'12'!K160</f>
        <v>500</v>
      </c>
      <c r="J10" s="22">
        <f>0+'12'!L160</f>
        <v>0</v>
      </c>
      <c r="K10" s="22">
        <f>0+'12'!M160</f>
        <v>0</v>
      </c>
      <c r="L10" s="22">
        <f>0+'12'!N158</f>
        <v>0</v>
      </c>
      <c r="M10" s="22">
        <f>0+'12'!O158</f>
        <v>0</v>
      </c>
      <c r="N10" s="22">
        <f t="shared" si="0"/>
        <v>39774</v>
      </c>
    </row>
    <row r="11" spans="1:14" s="69" customFormat="1" ht="13.5" customHeight="1">
      <c r="A11" s="21"/>
      <c r="B11" s="21">
        <v>19</v>
      </c>
      <c r="C11" s="75" t="s">
        <v>199</v>
      </c>
      <c r="D11" s="22">
        <f>0+'12'!F172</f>
        <v>0</v>
      </c>
      <c r="E11" s="22">
        <f>0+'12'!G172</f>
        <v>0</v>
      </c>
      <c r="F11" s="22">
        <f>458264+'12'!H172</f>
        <v>498780</v>
      </c>
      <c r="G11" s="22">
        <f>0+'12'!I172</f>
        <v>0</v>
      </c>
      <c r="H11" s="22">
        <f>813667+'12'!J172</f>
        <v>867711</v>
      </c>
      <c r="I11" s="22">
        <f>0+'12'!K175</f>
        <v>0</v>
      </c>
      <c r="J11" s="22">
        <f>0+'12'!L175</f>
        <v>0</v>
      </c>
      <c r="K11" s="22">
        <f>14664+'12'!M175</f>
        <v>15464</v>
      </c>
      <c r="L11" s="22">
        <f>951340+'12'!N172</f>
        <v>951340</v>
      </c>
      <c r="M11" s="22">
        <f>379983+'12'!O172</f>
        <v>388464</v>
      </c>
      <c r="N11" s="22">
        <f t="shared" si="0"/>
        <v>2721759</v>
      </c>
    </row>
    <row r="12" spans="1:14" s="69" customFormat="1" ht="12.75" customHeight="1">
      <c r="A12" s="21"/>
      <c r="B12" s="21">
        <v>20</v>
      </c>
      <c r="C12" s="75" t="s">
        <v>108</v>
      </c>
      <c r="D12" s="22">
        <f>0+'12'!F177</f>
        <v>0</v>
      </c>
      <c r="E12" s="22">
        <f>0+'12'!G177</f>
        <v>0</v>
      </c>
      <c r="F12" s="22">
        <f>0+'12'!H177</f>
        <v>0</v>
      </c>
      <c r="G12" s="22">
        <f>0+'12'!I177</f>
        <v>0</v>
      </c>
      <c r="H12" s="22">
        <f>0+'12'!J177</f>
        <v>0</v>
      </c>
      <c r="I12" s="22">
        <f>0+'12'!K177</f>
        <v>0</v>
      </c>
      <c r="J12" s="22">
        <f>0+'12'!L177</f>
        <v>0</v>
      </c>
      <c r="K12" s="22">
        <f>0+'12'!M177</f>
        <v>0</v>
      </c>
      <c r="L12" s="22">
        <f>0+'12'!N177</f>
        <v>0</v>
      </c>
      <c r="M12" s="22">
        <f>0+'12'!O177</f>
        <v>0</v>
      </c>
      <c r="N12" s="22">
        <f t="shared" si="0"/>
        <v>0</v>
      </c>
    </row>
    <row r="13" spans="1:14" s="69" customFormat="1" ht="12.75" customHeight="1">
      <c r="A13" s="21"/>
      <c r="B13" s="21">
        <v>21</v>
      </c>
      <c r="C13" s="75" t="s">
        <v>109</v>
      </c>
      <c r="D13" s="22">
        <f>70122+'12'!F190</f>
        <v>76704</v>
      </c>
      <c r="E13" s="22">
        <f>21596+'12'!G190</f>
        <v>22074</v>
      </c>
      <c r="F13" s="22">
        <f>67379+'12'!H190</f>
        <v>65827</v>
      </c>
      <c r="G13" s="22">
        <f>0+'12'!I190</f>
        <v>0</v>
      </c>
      <c r="H13" s="22">
        <f>101234+'12'!J190</f>
        <v>103368</v>
      </c>
      <c r="I13" s="22">
        <f>462+'12'!K192</f>
        <v>462</v>
      </c>
      <c r="J13" s="22">
        <f>0+'12'!L192</f>
        <v>0</v>
      </c>
      <c r="K13" s="22">
        <f>5065+'12'!M192</f>
        <v>112801</v>
      </c>
      <c r="L13" s="22">
        <f>0+'12'!N190</f>
        <v>0</v>
      </c>
      <c r="M13" s="22">
        <f>0+'12'!O190</f>
        <v>0</v>
      </c>
      <c r="N13" s="22">
        <f t="shared" si="0"/>
        <v>381236</v>
      </c>
    </row>
    <row r="14" spans="1:14" s="69" customFormat="1" ht="12.75" customHeight="1">
      <c r="A14" s="21"/>
      <c r="B14" s="21">
        <v>30</v>
      </c>
      <c r="C14" s="23" t="s">
        <v>7</v>
      </c>
      <c r="D14" s="22">
        <f>0+'12'!F200</f>
        <v>0</v>
      </c>
      <c r="E14" s="22">
        <f>0+'12'!G200</f>
        <v>0</v>
      </c>
      <c r="F14" s="22">
        <f>0+'12'!H200</f>
        <v>0</v>
      </c>
      <c r="G14" s="22">
        <f>0+'12'!I200</f>
        <v>0</v>
      </c>
      <c r="H14" s="22">
        <f>176806+'12'!J200</f>
        <v>126107</v>
      </c>
      <c r="I14" s="22">
        <f>0+'12'!K200</f>
        <v>0</v>
      </c>
      <c r="J14" s="22">
        <f>8633+'12'!L200</f>
        <v>7751</v>
      </c>
      <c r="K14" s="22">
        <f>0+'12'!M200</f>
        <v>0</v>
      </c>
      <c r="L14" s="22">
        <f>0+'12'!N200</f>
        <v>0</v>
      </c>
      <c r="M14" s="22">
        <f>0+'12'!O200</f>
        <v>0</v>
      </c>
      <c r="N14" s="22">
        <f t="shared" si="0"/>
        <v>133858</v>
      </c>
    </row>
    <row r="15" spans="1:14" s="71" customFormat="1" ht="24.75" customHeight="1">
      <c r="A15" s="77"/>
      <c r="B15" s="77"/>
      <c r="C15" s="159" t="s">
        <v>1122</v>
      </c>
      <c r="D15" s="26">
        <f>SUM(D3:D14)</f>
        <v>89798</v>
      </c>
      <c r="E15" s="26">
        <f aca="true" t="shared" si="1" ref="E15:M15">SUM(E3:E14)</f>
        <v>28317</v>
      </c>
      <c r="F15" s="26">
        <f t="shared" si="1"/>
        <v>2378104</v>
      </c>
      <c r="G15" s="26">
        <f t="shared" si="1"/>
        <v>412447</v>
      </c>
      <c r="H15" s="26">
        <f t="shared" si="1"/>
        <v>1766240</v>
      </c>
      <c r="I15" s="26">
        <f t="shared" si="1"/>
        <v>6392796</v>
      </c>
      <c r="J15" s="26">
        <f t="shared" si="1"/>
        <v>1231370</v>
      </c>
      <c r="K15" s="26">
        <f t="shared" si="1"/>
        <v>1021023</v>
      </c>
      <c r="L15" s="26">
        <f t="shared" si="1"/>
        <v>951340</v>
      </c>
      <c r="M15" s="26">
        <f t="shared" si="1"/>
        <v>452305</v>
      </c>
      <c r="N15" s="26">
        <f>SUM(N3:N14)</f>
        <v>14723740</v>
      </c>
    </row>
    <row r="16" spans="1:14" s="71" customFormat="1" ht="12.75" customHeight="1">
      <c r="A16" s="24">
        <v>2</v>
      </c>
      <c r="B16" s="27"/>
      <c r="C16" s="160" t="s">
        <v>1249</v>
      </c>
      <c r="D16" s="25">
        <f>3028431+'táj.2.'!C20</f>
        <v>3090672</v>
      </c>
      <c r="E16" s="25">
        <f>806182+'táj.2.'!D20</f>
        <v>833929</v>
      </c>
      <c r="F16" s="25">
        <f>2664152+'táj.2.'!E20</f>
        <v>2621728</v>
      </c>
      <c r="G16" s="25">
        <f>0+'táj.2.'!F20</f>
        <v>0</v>
      </c>
      <c r="H16" s="25">
        <f>46768+'táj.2.'!G20</f>
        <v>46137</v>
      </c>
      <c r="I16" s="25">
        <f>172283+'táj.2.'!H20</f>
        <v>189547</v>
      </c>
      <c r="J16" s="25">
        <f>77943+'táj.2.'!I20</f>
        <v>125808</v>
      </c>
      <c r="K16" s="25">
        <f>0+'táj.2.'!J20</f>
        <v>0</v>
      </c>
      <c r="L16" s="25">
        <f>0+'táj.2.'!K20</f>
        <v>0</v>
      </c>
      <c r="M16" s="25">
        <f>0+'táj.2.'!J20</f>
        <v>0</v>
      </c>
      <c r="N16" s="25">
        <f>SUM(D16:M16)</f>
        <v>6907821</v>
      </c>
    </row>
    <row r="17" spans="1:14" s="71" customFormat="1" ht="12.75" customHeight="1">
      <c r="A17" s="77"/>
      <c r="B17" s="77"/>
      <c r="C17" s="112" t="s">
        <v>1221</v>
      </c>
      <c r="D17" s="26">
        <f aca="true" t="shared" si="2" ref="D17:N17">SUM(D15:D16)</f>
        <v>3180470</v>
      </c>
      <c r="E17" s="26">
        <f t="shared" si="2"/>
        <v>862246</v>
      </c>
      <c r="F17" s="26">
        <f t="shared" si="2"/>
        <v>4999832</v>
      </c>
      <c r="G17" s="26">
        <f t="shared" si="2"/>
        <v>412447</v>
      </c>
      <c r="H17" s="26">
        <f t="shared" si="2"/>
        <v>1812377</v>
      </c>
      <c r="I17" s="26">
        <f t="shared" si="2"/>
        <v>6582343</v>
      </c>
      <c r="J17" s="26">
        <f t="shared" si="2"/>
        <v>1357178</v>
      </c>
      <c r="K17" s="26">
        <f t="shared" si="2"/>
        <v>1021023</v>
      </c>
      <c r="L17" s="26">
        <f t="shared" si="2"/>
        <v>951340</v>
      </c>
      <c r="M17" s="26">
        <f t="shared" si="2"/>
        <v>452305</v>
      </c>
      <c r="N17" s="26">
        <f t="shared" si="2"/>
        <v>21631561</v>
      </c>
    </row>
    <row r="18" spans="13:14" s="16" customFormat="1" ht="12">
      <c r="M18" s="48"/>
      <c r="N18" s="48"/>
    </row>
    <row r="19" spans="13:14" s="16" customFormat="1" ht="12">
      <c r="M19" s="48"/>
      <c r="N19" s="186"/>
    </row>
    <row r="20" spans="13:14" s="16" customFormat="1" ht="12">
      <c r="M20" s="48"/>
      <c r="N20" s="48"/>
    </row>
    <row r="21" spans="13:14" s="16" customFormat="1" ht="12">
      <c r="M21" s="48"/>
      <c r="N21" s="48"/>
    </row>
    <row r="22" spans="13:14" s="16" customFormat="1" ht="12">
      <c r="M22" s="48"/>
      <c r="N22" s="48"/>
    </row>
    <row r="23" spans="13:14" s="16" customFormat="1" ht="12">
      <c r="M23" s="48"/>
      <c r="N23" s="48"/>
    </row>
    <row r="24" spans="13:14" s="16" customFormat="1" ht="12">
      <c r="M24" s="48"/>
      <c r="N24" s="48"/>
    </row>
    <row r="25" spans="13:14" s="16" customFormat="1" ht="12">
      <c r="M25" s="48"/>
      <c r="N25" s="48"/>
    </row>
    <row r="26" spans="13:14" s="16" customFormat="1" ht="12">
      <c r="M26" s="48"/>
      <c r="N26" s="48"/>
    </row>
    <row r="27" spans="13:14" s="16" customFormat="1" ht="12">
      <c r="M27" s="48"/>
      <c r="N27" s="48"/>
    </row>
    <row r="28" spans="13:14" s="16" customFormat="1" ht="12">
      <c r="M28" s="48"/>
      <c r="N28" s="48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6"/>
  <sheetViews>
    <sheetView zoomScalePageLayoutView="0" workbookViewId="0" topLeftCell="A1">
      <pane ySplit="3" topLeftCell="A252" activePane="bottomLeft" state="frozen"/>
      <selection pane="topLeft" activeCell="A1" sqref="A1"/>
      <selection pane="bottomLeft" activeCell="F277" sqref="F277"/>
    </sheetView>
  </sheetViews>
  <sheetFormatPr defaultColWidth="9.00390625" defaultRowHeight="12.75"/>
  <cols>
    <col min="1" max="1" width="4.625" style="214" customWidth="1"/>
    <col min="2" max="2" width="4.375" style="214" customWidth="1"/>
    <col min="3" max="3" width="6.625" style="214" customWidth="1"/>
    <col min="4" max="4" width="64.375" style="214" customWidth="1"/>
    <col min="5" max="5" width="4.50390625" style="214" customWidth="1"/>
    <col min="6" max="6" width="5.00390625" style="214" customWidth="1"/>
    <col min="7" max="7" width="12.50390625" style="214" customWidth="1"/>
    <col min="8" max="8" width="10.875" style="214" customWidth="1"/>
    <col min="9" max="9" width="12.50390625" style="214" customWidth="1"/>
    <col min="10" max="10" width="11.125" style="214" customWidth="1"/>
    <col min="11" max="11" width="11.625" style="214" customWidth="1"/>
    <col min="12" max="12" width="12.375" style="214" customWidth="1"/>
    <col min="13" max="13" width="12.50390625" style="214" customWidth="1"/>
    <col min="14" max="14" width="14.50390625" style="214" customWidth="1"/>
    <col min="15" max="15" width="13.00390625" style="214" customWidth="1"/>
    <col min="16" max="16384" width="9.375" style="214" customWidth="1"/>
  </cols>
  <sheetData>
    <row r="1" spans="1:15" ht="37.5" customHeight="1">
      <c r="A1" s="772" t="s">
        <v>240</v>
      </c>
      <c r="B1" s="774" t="s">
        <v>608</v>
      </c>
      <c r="C1" s="774" t="s">
        <v>609</v>
      </c>
      <c r="D1" s="778" t="s">
        <v>1226</v>
      </c>
      <c r="E1" s="779"/>
      <c r="F1" s="770" t="s">
        <v>612</v>
      </c>
      <c r="G1" s="782" t="s">
        <v>184</v>
      </c>
      <c r="H1" s="783"/>
      <c r="I1" s="784"/>
      <c r="J1" s="785" t="s">
        <v>185</v>
      </c>
      <c r="K1" s="785"/>
      <c r="L1" s="785"/>
      <c r="M1" s="767" t="s">
        <v>611</v>
      </c>
      <c r="N1" s="768"/>
      <c r="O1" s="769"/>
    </row>
    <row r="2" spans="1:15" ht="95.25" thickBot="1">
      <c r="A2" s="773"/>
      <c r="B2" s="775"/>
      <c r="C2" s="775"/>
      <c r="D2" s="780"/>
      <c r="E2" s="781"/>
      <c r="F2" s="771"/>
      <c r="G2" s="662" t="s">
        <v>1227</v>
      </c>
      <c r="H2" s="663" t="s">
        <v>1138</v>
      </c>
      <c r="I2" s="662" t="s">
        <v>1139</v>
      </c>
      <c r="J2" s="662" t="s">
        <v>1227</v>
      </c>
      <c r="K2" s="663" t="s">
        <v>1138</v>
      </c>
      <c r="L2" s="662" t="s">
        <v>1139</v>
      </c>
      <c r="M2" s="662" t="s">
        <v>1227</v>
      </c>
      <c r="N2" s="663" t="s">
        <v>1138</v>
      </c>
      <c r="O2" s="662" t="s">
        <v>1139</v>
      </c>
    </row>
    <row r="3" spans="1:15" ht="13.5" customHeight="1">
      <c r="A3" s="215">
        <v>1</v>
      </c>
      <c r="B3" s="396"/>
      <c r="C3" s="396"/>
      <c r="D3" s="397" t="s">
        <v>1248</v>
      </c>
      <c r="E3" s="398"/>
      <c r="F3" s="398"/>
      <c r="G3" s="400"/>
      <c r="H3" s="400"/>
      <c r="I3" s="400"/>
      <c r="J3" s="329"/>
      <c r="K3" s="329"/>
      <c r="L3" s="329"/>
      <c r="M3" s="329"/>
      <c r="N3" s="329"/>
      <c r="O3" s="329"/>
    </row>
    <row r="4" spans="1:15" ht="13.5" customHeight="1">
      <c r="A4" s="219">
        <v>1</v>
      </c>
      <c r="B4" s="219">
        <v>12</v>
      </c>
      <c r="C4" s="220"/>
      <c r="D4" s="221" t="s">
        <v>1008</v>
      </c>
      <c r="E4" s="217"/>
      <c r="F4" s="217"/>
      <c r="G4" s="400"/>
      <c r="H4" s="400"/>
      <c r="I4" s="400"/>
      <c r="J4" s="329"/>
      <c r="K4" s="329"/>
      <c r="L4" s="329"/>
      <c r="M4" s="329"/>
      <c r="N4" s="329"/>
      <c r="O4" s="329"/>
    </row>
    <row r="5" spans="1:15" ht="24.75" customHeight="1">
      <c r="A5" s="215"/>
      <c r="B5" s="216"/>
      <c r="C5" s="215" t="s">
        <v>45</v>
      </c>
      <c r="D5" s="222" t="s">
        <v>258</v>
      </c>
      <c r="E5" s="223"/>
      <c r="F5" s="609" t="s">
        <v>1261</v>
      </c>
      <c r="G5" s="329">
        <v>0</v>
      </c>
      <c r="H5" s="289">
        <v>20000</v>
      </c>
      <c r="I5" s="224">
        <f>SUM(G5:H5)</f>
        <v>20000</v>
      </c>
      <c r="J5" s="673"/>
      <c r="K5" s="673">
        <v>-6795</v>
      </c>
      <c r="L5" s="673">
        <f aca="true" t="shared" si="0" ref="L5:L89">SUM(J5:K5)</f>
        <v>-6795</v>
      </c>
      <c r="M5" s="673">
        <f>SUM(G5+J5)</f>
        <v>0</v>
      </c>
      <c r="N5" s="673">
        <f>SUM(H5+K5)</f>
        <v>13205</v>
      </c>
      <c r="O5" s="673">
        <f aca="true" t="shared" si="1" ref="O5:O89">SUM(M5:N5)</f>
        <v>13205</v>
      </c>
    </row>
    <row r="6" spans="1:15" ht="24.75" customHeight="1">
      <c r="A6" s="215"/>
      <c r="B6" s="216"/>
      <c r="C6" s="215" t="s">
        <v>124</v>
      </c>
      <c r="D6" s="225" t="s">
        <v>259</v>
      </c>
      <c r="E6" s="226"/>
      <c r="F6" s="226"/>
      <c r="G6" s="329">
        <v>0</v>
      </c>
      <c r="H6" s="289">
        <v>22519</v>
      </c>
      <c r="I6" s="224">
        <f>SUM(G6:H6)</f>
        <v>22519</v>
      </c>
      <c r="J6" s="673"/>
      <c r="K6" s="673"/>
      <c r="L6" s="673">
        <f t="shared" si="0"/>
        <v>0</v>
      </c>
      <c r="M6" s="673">
        <f aca="true" t="shared" si="2" ref="M6:M89">SUM(G6+J6)</f>
        <v>0</v>
      </c>
      <c r="N6" s="673">
        <f aca="true" t="shared" si="3" ref="N6:N89">SUM(H6+K6)</f>
        <v>22519</v>
      </c>
      <c r="O6" s="673">
        <f t="shared" si="1"/>
        <v>22519</v>
      </c>
    </row>
    <row r="7" spans="1:15" ht="15" customHeight="1">
      <c r="A7" s="215"/>
      <c r="B7" s="216"/>
      <c r="C7" s="215" t="s">
        <v>126</v>
      </c>
      <c r="D7" s="697" t="s">
        <v>292</v>
      </c>
      <c r="E7" s="226"/>
      <c r="F7" s="698" t="s">
        <v>1261</v>
      </c>
      <c r="G7" s="329"/>
      <c r="H7" s="289"/>
      <c r="I7" s="224"/>
      <c r="J7" s="673"/>
      <c r="K7" s="673">
        <v>1200</v>
      </c>
      <c r="L7" s="673">
        <f t="shared" si="0"/>
        <v>1200</v>
      </c>
      <c r="M7" s="673"/>
      <c r="N7" s="673">
        <f t="shared" si="3"/>
        <v>1200</v>
      </c>
      <c r="O7" s="673">
        <f t="shared" si="1"/>
        <v>1200</v>
      </c>
    </row>
    <row r="8" spans="1:15" ht="13.5" customHeight="1">
      <c r="A8" s="227"/>
      <c r="B8" s="228"/>
      <c r="C8" s="227"/>
      <c r="D8" s="229" t="s">
        <v>260</v>
      </c>
      <c r="E8" s="230"/>
      <c r="F8" s="230"/>
      <c r="G8" s="664"/>
      <c r="H8" s="401">
        <f>SUM(H5:H7)</f>
        <v>42519</v>
      </c>
      <c r="I8" s="401">
        <f aca="true" t="shared" si="4" ref="I8:O8">SUM(I5:I7)</f>
        <v>42519</v>
      </c>
      <c r="J8" s="401">
        <f t="shared" si="4"/>
        <v>0</v>
      </c>
      <c r="K8" s="401">
        <f t="shared" si="4"/>
        <v>-5595</v>
      </c>
      <c r="L8" s="401">
        <f t="shared" si="4"/>
        <v>-5595</v>
      </c>
      <c r="M8" s="401">
        <f t="shared" si="4"/>
        <v>0</v>
      </c>
      <c r="N8" s="401">
        <f t="shared" si="4"/>
        <v>36924</v>
      </c>
      <c r="O8" s="401">
        <f t="shared" si="4"/>
        <v>36924</v>
      </c>
    </row>
    <row r="9" spans="1:15" ht="13.5" customHeight="1">
      <c r="A9" s="231">
        <v>1</v>
      </c>
      <c r="B9" s="231">
        <v>13</v>
      </c>
      <c r="C9" s="232"/>
      <c r="D9" s="233" t="s">
        <v>1009</v>
      </c>
      <c r="E9" s="234"/>
      <c r="F9" s="234"/>
      <c r="G9" s="329">
        <v>0</v>
      </c>
      <c r="H9" s="329">
        <v>0</v>
      </c>
      <c r="I9" s="235">
        <f>SUM(G9:H9)</f>
        <v>0</v>
      </c>
      <c r="J9" s="289"/>
      <c r="K9" s="289"/>
      <c r="L9" s="289"/>
      <c r="M9" s="289">
        <f t="shared" si="2"/>
        <v>0</v>
      </c>
      <c r="N9" s="289">
        <f t="shared" si="3"/>
        <v>0</v>
      </c>
      <c r="O9" s="289"/>
    </row>
    <row r="10" spans="1:15" ht="13.5" customHeight="1">
      <c r="A10" s="236"/>
      <c r="B10" s="237"/>
      <c r="C10" s="238" t="s">
        <v>45</v>
      </c>
      <c r="D10" s="239" t="s">
        <v>1244</v>
      </c>
      <c r="E10" s="234"/>
      <c r="F10" s="234"/>
      <c r="G10" s="329">
        <v>0</v>
      </c>
      <c r="H10" s="329">
        <v>0</v>
      </c>
      <c r="I10" s="235">
        <f aca="true" t="shared" si="5" ref="I10:I36">SUM(G10:H10)</f>
        <v>0</v>
      </c>
      <c r="J10" s="289"/>
      <c r="K10" s="289"/>
      <c r="L10" s="289"/>
      <c r="M10" s="289">
        <f t="shared" si="2"/>
        <v>0</v>
      </c>
      <c r="N10" s="289">
        <f t="shared" si="3"/>
        <v>0</v>
      </c>
      <c r="O10" s="289"/>
    </row>
    <row r="11" spans="1:15" ht="13.5" customHeight="1">
      <c r="A11" s="236"/>
      <c r="B11" s="237"/>
      <c r="C11" s="240" t="s">
        <v>261</v>
      </c>
      <c r="D11" s="241" t="s">
        <v>262</v>
      </c>
      <c r="E11" s="234"/>
      <c r="F11" s="591"/>
      <c r="G11" s="329">
        <v>0</v>
      </c>
      <c r="H11" s="329">
        <v>0</v>
      </c>
      <c r="I11" s="235">
        <f t="shared" si="5"/>
        <v>0</v>
      </c>
      <c r="J11" s="289"/>
      <c r="K11" s="289"/>
      <c r="L11" s="289"/>
      <c r="M11" s="289">
        <f t="shared" si="2"/>
        <v>0</v>
      </c>
      <c r="N11" s="289">
        <f t="shared" si="3"/>
        <v>0</v>
      </c>
      <c r="O11" s="289"/>
    </row>
    <row r="12" spans="1:15" ht="13.5" customHeight="1">
      <c r="A12" s="236"/>
      <c r="B12" s="237"/>
      <c r="C12" s="242" t="s">
        <v>263</v>
      </c>
      <c r="D12" s="243" t="s">
        <v>264</v>
      </c>
      <c r="E12" s="244"/>
      <c r="F12" s="244"/>
      <c r="G12" s="329">
        <v>0</v>
      </c>
      <c r="H12" s="329">
        <v>2000</v>
      </c>
      <c r="I12" s="235">
        <f t="shared" si="5"/>
        <v>2000</v>
      </c>
      <c r="J12" s="289"/>
      <c r="K12" s="289"/>
      <c r="L12" s="289">
        <f>SUM(J12:K12)</f>
        <v>0</v>
      </c>
      <c r="M12" s="289">
        <f t="shared" si="2"/>
        <v>0</v>
      </c>
      <c r="N12" s="289">
        <f t="shared" si="3"/>
        <v>2000</v>
      </c>
      <c r="O12" s="289">
        <f t="shared" si="1"/>
        <v>2000</v>
      </c>
    </row>
    <row r="13" spans="1:15" ht="13.5" customHeight="1">
      <c r="A13" s="236"/>
      <c r="B13" s="237"/>
      <c r="C13" s="242" t="s">
        <v>755</v>
      </c>
      <c r="D13" s="573" t="s">
        <v>1067</v>
      </c>
      <c r="E13" s="247"/>
      <c r="F13" s="600"/>
      <c r="G13" s="329">
        <v>0</v>
      </c>
      <c r="H13" s="329"/>
      <c r="I13" s="235">
        <f t="shared" si="5"/>
        <v>0</v>
      </c>
      <c r="J13" s="289"/>
      <c r="K13" s="289"/>
      <c r="L13" s="289">
        <f t="shared" si="0"/>
        <v>0</v>
      </c>
      <c r="M13" s="289">
        <f t="shared" si="2"/>
        <v>0</v>
      </c>
      <c r="N13" s="289"/>
      <c r="O13" s="289">
        <f t="shared" si="1"/>
        <v>0</v>
      </c>
    </row>
    <row r="14" spans="1:15" ht="13.5" customHeight="1">
      <c r="A14" s="236"/>
      <c r="B14" s="237"/>
      <c r="C14" s="242" t="s">
        <v>347</v>
      </c>
      <c r="D14" s="243" t="s">
        <v>348</v>
      </c>
      <c r="E14" s="247"/>
      <c r="F14" s="600"/>
      <c r="G14" s="329">
        <v>3500</v>
      </c>
      <c r="H14" s="329"/>
      <c r="I14" s="235">
        <f t="shared" si="5"/>
        <v>3500</v>
      </c>
      <c r="J14" s="289"/>
      <c r="K14" s="289"/>
      <c r="L14" s="289">
        <f t="shared" si="0"/>
        <v>0</v>
      </c>
      <c r="M14" s="289">
        <f t="shared" si="2"/>
        <v>3500</v>
      </c>
      <c r="N14" s="289"/>
      <c r="O14" s="289">
        <f t="shared" si="1"/>
        <v>3500</v>
      </c>
    </row>
    <row r="15" spans="1:15" ht="13.5" customHeight="1">
      <c r="A15" s="236"/>
      <c r="B15" s="237"/>
      <c r="C15" s="242" t="s">
        <v>265</v>
      </c>
      <c r="D15" s="246" t="s">
        <v>1245</v>
      </c>
      <c r="E15" s="247"/>
      <c r="F15" s="600"/>
      <c r="G15" s="329">
        <v>0</v>
      </c>
      <c r="H15" s="329">
        <v>0</v>
      </c>
      <c r="I15" s="235">
        <f t="shared" si="5"/>
        <v>0</v>
      </c>
      <c r="J15" s="289"/>
      <c r="K15" s="289"/>
      <c r="L15" s="289">
        <f t="shared" si="0"/>
        <v>0</v>
      </c>
      <c r="M15" s="289">
        <f t="shared" si="2"/>
        <v>0</v>
      </c>
      <c r="N15" s="289">
        <f t="shared" si="3"/>
        <v>0</v>
      </c>
      <c r="O15" s="289">
        <f t="shared" si="1"/>
        <v>0</v>
      </c>
    </row>
    <row r="16" spans="1:15" ht="15" customHeight="1">
      <c r="A16" s="236"/>
      <c r="B16" s="237"/>
      <c r="C16" s="242" t="s">
        <v>125</v>
      </c>
      <c r="D16" s="248" t="s">
        <v>266</v>
      </c>
      <c r="E16" s="247"/>
      <c r="F16" s="600"/>
      <c r="G16" s="329">
        <v>0</v>
      </c>
      <c r="H16" s="329">
        <v>13294</v>
      </c>
      <c r="I16" s="235">
        <f t="shared" si="5"/>
        <v>13294</v>
      </c>
      <c r="J16" s="289"/>
      <c r="K16" s="289"/>
      <c r="L16" s="289">
        <f t="shared" si="0"/>
        <v>0</v>
      </c>
      <c r="M16" s="289">
        <f t="shared" si="2"/>
        <v>0</v>
      </c>
      <c r="N16" s="289">
        <f t="shared" si="3"/>
        <v>13294</v>
      </c>
      <c r="O16" s="289">
        <f t="shared" si="1"/>
        <v>13294</v>
      </c>
    </row>
    <row r="17" spans="1:15" ht="14.25" customHeight="1">
      <c r="A17" s="236"/>
      <c r="B17" s="237"/>
      <c r="C17" s="242" t="s">
        <v>1237</v>
      </c>
      <c r="D17" s="249" t="s">
        <v>267</v>
      </c>
      <c r="E17" s="247"/>
      <c r="F17" s="600"/>
      <c r="G17" s="329">
        <v>0</v>
      </c>
      <c r="H17" s="329">
        <v>8000</v>
      </c>
      <c r="I17" s="235">
        <f t="shared" si="5"/>
        <v>8000</v>
      </c>
      <c r="J17" s="289"/>
      <c r="K17" s="289"/>
      <c r="L17" s="289">
        <f t="shared" si="0"/>
        <v>0</v>
      </c>
      <c r="M17" s="289">
        <f t="shared" si="2"/>
        <v>0</v>
      </c>
      <c r="N17" s="289">
        <f t="shared" si="3"/>
        <v>8000</v>
      </c>
      <c r="O17" s="289">
        <f t="shared" si="1"/>
        <v>8000</v>
      </c>
    </row>
    <row r="18" spans="1:15" ht="15" customHeight="1">
      <c r="A18" s="236"/>
      <c r="B18" s="237"/>
      <c r="C18" s="242" t="s">
        <v>911</v>
      </c>
      <c r="D18" s="250" t="s">
        <v>268</v>
      </c>
      <c r="E18" s="247"/>
      <c r="F18" s="600"/>
      <c r="G18" s="329">
        <v>3000</v>
      </c>
      <c r="H18" s="329">
        <v>0</v>
      </c>
      <c r="I18" s="235">
        <f t="shared" si="5"/>
        <v>3000</v>
      </c>
      <c r="J18" s="289"/>
      <c r="K18" s="289"/>
      <c r="L18" s="289">
        <f t="shared" si="0"/>
        <v>0</v>
      </c>
      <c r="M18" s="289">
        <f t="shared" si="2"/>
        <v>3000</v>
      </c>
      <c r="N18" s="289">
        <f t="shared" si="3"/>
        <v>0</v>
      </c>
      <c r="O18" s="289">
        <f t="shared" si="1"/>
        <v>3000</v>
      </c>
    </row>
    <row r="19" spans="1:15" ht="15" customHeight="1">
      <c r="A19" s="236"/>
      <c r="B19" s="237"/>
      <c r="C19" s="242" t="s">
        <v>1071</v>
      </c>
      <c r="D19" s="250" t="s">
        <v>1072</v>
      </c>
      <c r="E19" s="247"/>
      <c r="F19" s="600" t="s">
        <v>1261</v>
      </c>
      <c r="G19" s="329">
        <v>2000</v>
      </c>
      <c r="H19" s="329"/>
      <c r="I19" s="235">
        <f t="shared" si="5"/>
        <v>2000</v>
      </c>
      <c r="J19" s="289">
        <v>-202</v>
      </c>
      <c r="K19" s="289"/>
      <c r="L19" s="289">
        <f t="shared" si="0"/>
        <v>-202</v>
      </c>
      <c r="M19" s="289">
        <f t="shared" si="2"/>
        <v>1798</v>
      </c>
      <c r="N19" s="289">
        <f t="shared" si="3"/>
        <v>0</v>
      </c>
      <c r="O19" s="289">
        <f t="shared" si="1"/>
        <v>1798</v>
      </c>
    </row>
    <row r="20" spans="1:15" ht="15" customHeight="1">
      <c r="A20" s="236"/>
      <c r="B20" s="237"/>
      <c r="C20" s="242" t="s">
        <v>656</v>
      </c>
      <c r="D20" s="694" t="s">
        <v>657</v>
      </c>
      <c r="E20" s="247"/>
      <c r="F20" s="600" t="s">
        <v>1261</v>
      </c>
      <c r="G20" s="329"/>
      <c r="H20" s="329"/>
      <c r="I20" s="235"/>
      <c r="J20" s="289"/>
      <c r="K20" s="289">
        <v>140</v>
      </c>
      <c r="L20" s="289">
        <f t="shared" si="0"/>
        <v>140</v>
      </c>
      <c r="M20" s="289"/>
      <c r="N20" s="289">
        <f t="shared" si="3"/>
        <v>140</v>
      </c>
      <c r="O20" s="289">
        <f t="shared" si="1"/>
        <v>140</v>
      </c>
    </row>
    <row r="21" spans="1:15" ht="15" customHeight="1">
      <c r="A21" s="236"/>
      <c r="B21" s="237"/>
      <c r="C21" s="242" t="s">
        <v>658</v>
      </c>
      <c r="D21" s="694" t="s">
        <v>659</v>
      </c>
      <c r="E21" s="247"/>
      <c r="F21" s="600" t="s">
        <v>1261</v>
      </c>
      <c r="G21" s="329"/>
      <c r="H21" s="329"/>
      <c r="I21" s="235"/>
      <c r="J21" s="289"/>
      <c r="K21" s="289">
        <v>800</v>
      </c>
      <c r="L21" s="289">
        <f t="shared" si="0"/>
        <v>800</v>
      </c>
      <c r="M21" s="289"/>
      <c r="N21" s="289">
        <f t="shared" si="3"/>
        <v>800</v>
      </c>
      <c r="O21" s="289">
        <f t="shared" si="1"/>
        <v>800</v>
      </c>
    </row>
    <row r="22" spans="1:15" ht="15" customHeight="1">
      <c r="A22" s="236"/>
      <c r="B22" s="237"/>
      <c r="C22" s="240" t="s">
        <v>269</v>
      </c>
      <c r="D22" s="251" t="s">
        <v>270</v>
      </c>
      <c r="E22" s="247"/>
      <c r="F22" s="600"/>
      <c r="G22" s="329">
        <v>0</v>
      </c>
      <c r="H22" s="329">
        <v>0</v>
      </c>
      <c r="I22" s="235">
        <f t="shared" si="5"/>
        <v>0</v>
      </c>
      <c r="J22" s="289"/>
      <c r="K22" s="289"/>
      <c r="L22" s="289">
        <f t="shared" si="0"/>
        <v>0</v>
      </c>
      <c r="M22" s="289">
        <f t="shared" si="2"/>
        <v>0</v>
      </c>
      <c r="N22" s="289">
        <f t="shared" si="3"/>
        <v>0</v>
      </c>
      <c r="O22" s="289">
        <f t="shared" si="1"/>
        <v>0</v>
      </c>
    </row>
    <row r="23" spans="1:15" ht="24.75" customHeight="1">
      <c r="A23" s="236"/>
      <c r="B23" s="237"/>
      <c r="C23" s="232" t="s">
        <v>271</v>
      </c>
      <c r="D23" s="243" t="s">
        <v>1062</v>
      </c>
      <c r="E23" s="247"/>
      <c r="F23" s="600" t="s">
        <v>210</v>
      </c>
      <c r="G23" s="329">
        <v>0</v>
      </c>
      <c r="H23" s="289">
        <v>10325</v>
      </c>
      <c r="I23" s="235">
        <f t="shared" si="5"/>
        <v>10325</v>
      </c>
      <c r="J23" s="289">
        <v>15685</v>
      </c>
      <c r="K23" s="289">
        <v>-10325</v>
      </c>
      <c r="L23" s="289">
        <f t="shared" si="0"/>
        <v>5360</v>
      </c>
      <c r="M23" s="289">
        <f t="shared" si="2"/>
        <v>15685</v>
      </c>
      <c r="N23" s="289">
        <f t="shared" si="3"/>
        <v>0</v>
      </c>
      <c r="O23" s="289">
        <f t="shared" si="1"/>
        <v>15685</v>
      </c>
    </row>
    <row r="24" spans="1:15" ht="24.75" customHeight="1">
      <c r="A24" s="236"/>
      <c r="B24" s="237"/>
      <c r="C24" s="232" t="s">
        <v>272</v>
      </c>
      <c r="D24" s="243" t="s">
        <v>1063</v>
      </c>
      <c r="E24" s="247"/>
      <c r="F24" s="600" t="s">
        <v>210</v>
      </c>
      <c r="G24" s="329">
        <v>0</v>
      </c>
      <c r="H24" s="289">
        <v>44577</v>
      </c>
      <c r="I24" s="235">
        <f t="shared" si="5"/>
        <v>44577</v>
      </c>
      <c r="J24" s="289">
        <v>5656</v>
      </c>
      <c r="K24" s="289">
        <v>-6518</v>
      </c>
      <c r="L24" s="289">
        <f t="shared" si="0"/>
        <v>-862</v>
      </c>
      <c r="M24" s="289">
        <f t="shared" si="2"/>
        <v>5656</v>
      </c>
      <c r="N24" s="289">
        <f t="shared" si="3"/>
        <v>38059</v>
      </c>
      <c r="O24" s="289">
        <f t="shared" si="1"/>
        <v>43715</v>
      </c>
    </row>
    <row r="25" spans="1:15" ht="15" customHeight="1">
      <c r="A25" s="236"/>
      <c r="B25" s="237"/>
      <c r="C25" s="232" t="s">
        <v>273</v>
      </c>
      <c r="D25" s="243" t="s">
        <v>274</v>
      </c>
      <c r="E25" s="247"/>
      <c r="F25" s="600" t="s">
        <v>210</v>
      </c>
      <c r="G25" s="329">
        <v>5000</v>
      </c>
      <c r="H25" s="329">
        <v>0</v>
      </c>
      <c r="I25" s="235">
        <f t="shared" si="5"/>
        <v>5000</v>
      </c>
      <c r="J25" s="289">
        <v>7000</v>
      </c>
      <c r="K25" s="289"/>
      <c r="L25" s="289">
        <f t="shared" si="0"/>
        <v>7000</v>
      </c>
      <c r="M25" s="289">
        <f t="shared" si="2"/>
        <v>12000</v>
      </c>
      <c r="N25" s="289">
        <f t="shared" si="3"/>
        <v>0</v>
      </c>
      <c r="O25" s="289">
        <f t="shared" si="1"/>
        <v>12000</v>
      </c>
    </row>
    <row r="26" spans="1:15" ht="15" customHeight="1">
      <c r="A26" s="236"/>
      <c r="B26" s="237"/>
      <c r="C26" s="232" t="s">
        <v>275</v>
      </c>
      <c r="D26" s="249" t="s">
        <v>276</v>
      </c>
      <c r="E26" s="247"/>
      <c r="F26" s="600" t="s">
        <v>210</v>
      </c>
      <c r="G26" s="329">
        <v>4000</v>
      </c>
      <c r="H26" s="329">
        <v>0</v>
      </c>
      <c r="I26" s="235">
        <f t="shared" si="5"/>
        <v>4000</v>
      </c>
      <c r="J26" s="289">
        <v>1700</v>
      </c>
      <c r="K26" s="289"/>
      <c r="L26" s="289">
        <f t="shared" si="0"/>
        <v>1700</v>
      </c>
      <c r="M26" s="289">
        <f t="shared" si="2"/>
        <v>5700</v>
      </c>
      <c r="N26" s="289">
        <f t="shared" si="3"/>
        <v>0</v>
      </c>
      <c r="O26" s="289">
        <f t="shared" si="1"/>
        <v>5700</v>
      </c>
    </row>
    <row r="27" spans="1:15" ht="15" customHeight="1">
      <c r="A27" s="236"/>
      <c r="B27" s="237"/>
      <c r="C27" s="232" t="s">
        <v>277</v>
      </c>
      <c r="D27" s="252" t="s">
        <v>278</v>
      </c>
      <c r="E27" s="247"/>
      <c r="F27" s="600"/>
      <c r="G27" s="329">
        <v>0</v>
      </c>
      <c r="H27" s="329">
        <v>4933</v>
      </c>
      <c r="I27" s="235">
        <f t="shared" si="5"/>
        <v>4933</v>
      </c>
      <c r="J27" s="289"/>
      <c r="K27" s="289"/>
      <c r="L27" s="289">
        <f t="shared" si="0"/>
        <v>0</v>
      </c>
      <c r="M27" s="289">
        <f t="shared" si="2"/>
        <v>0</v>
      </c>
      <c r="N27" s="289">
        <f t="shared" si="3"/>
        <v>4933</v>
      </c>
      <c r="O27" s="289">
        <f t="shared" si="1"/>
        <v>4933</v>
      </c>
    </row>
    <row r="28" spans="1:15" ht="15" customHeight="1">
      <c r="A28" s="236"/>
      <c r="B28" s="237"/>
      <c r="C28" s="232" t="s">
        <v>1056</v>
      </c>
      <c r="D28" s="252" t="s">
        <v>1048</v>
      </c>
      <c r="E28" s="247"/>
      <c r="F28" s="600"/>
      <c r="G28" s="329">
        <v>50000</v>
      </c>
      <c r="H28" s="329"/>
      <c r="I28" s="235">
        <f t="shared" si="5"/>
        <v>50000</v>
      </c>
      <c r="J28" s="289"/>
      <c r="K28" s="289"/>
      <c r="L28" s="289">
        <f t="shared" si="0"/>
        <v>0</v>
      </c>
      <c r="M28" s="289">
        <f t="shared" si="2"/>
        <v>50000</v>
      </c>
      <c r="N28" s="289"/>
      <c r="O28" s="289">
        <f t="shared" si="1"/>
        <v>50000</v>
      </c>
    </row>
    <row r="29" spans="1:15" ht="24.75" customHeight="1">
      <c r="A29" s="236"/>
      <c r="B29" s="237"/>
      <c r="C29" s="269" t="s">
        <v>1051</v>
      </c>
      <c r="D29" s="252" t="s">
        <v>1052</v>
      </c>
      <c r="E29" s="247"/>
      <c r="F29" s="600"/>
      <c r="G29" s="329"/>
      <c r="H29" s="329">
        <v>200</v>
      </c>
      <c r="I29" s="235">
        <f t="shared" si="5"/>
        <v>200</v>
      </c>
      <c r="J29" s="289"/>
      <c r="K29" s="289"/>
      <c r="L29" s="289">
        <f t="shared" si="0"/>
        <v>0</v>
      </c>
      <c r="M29" s="289"/>
      <c r="N29" s="289">
        <v>200</v>
      </c>
      <c r="O29" s="289">
        <f t="shared" si="1"/>
        <v>200</v>
      </c>
    </row>
    <row r="30" spans="1:15" ht="15" customHeight="1">
      <c r="A30" s="236"/>
      <c r="B30" s="237"/>
      <c r="C30" s="269" t="s">
        <v>897</v>
      </c>
      <c r="D30" s="252" t="s">
        <v>146</v>
      </c>
      <c r="E30" s="247"/>
      <c r="F30" s="600"/>
      <c r="G30" s="329">
        <v>28000</v>
      </c>
      <c r="H30" s="329"/>
      <c r="I30" s="235">
        <f t="shared" si="5"/>
        <v>28000</v>
      </c>
      <c r="J30" s="289"/>
      <c r="K30" s="289"/>
      <c r="L30" s="289">
        <f t="shared" si="0"/>
        <v>0</v>
      </c>
      <c r="M30" s="289">
        <f t="shared" si="2"/>
        <v>28000</v>
      </c>
      <c r="N30" s="289"/>
      <c r="O30" s="289">
        <f t="shared" si="1"/>
        <v>28000</v>
      </c>
    </row>
    <row r="31" spans="1:15" ht="15" customHeight="1">
      <c r="A31" s="236"/>
      <c r="B31" s="237"/>
      <c r="C31" s="232">
        <v>5</v>
      </c>
      <c r="D31" s="253" t="s">
        <v>279</v>
      </c>
      <c r="E31" s="247"/>
      <c r="F31" s="600"/>
      <c r="G31" s="329">
        <v>0</v>
      </c>
      <c r="H31" s="329">
        <v>0</v>
      </c>
      <c r="I31" s="235">
        <f t="shared" si="5"/>
        <v>0</v>
      </c>
      <c r="J31" s="289"/>
      <c r="K31" s="289"/>
      <c r="L31" s="289">
        <f t="shared" si="0"/>
        <v>0</v>
      </c>
      <c r="M31" s="289">
        <f t="shared" si="2"/>
        <v>0</v>
      </c>
      <c r="N31" s="289">
        <f t="shared" si="3"/>
        <v>0</v>
      </c>
      <c r="O31" s="289">
        <f t="shared" si="1"/>
        <v>0</v>
      </c>
    </row>
    <row r="32" spans="1:15" ht="15" customHeight="1">
      <c r="A32" s="236"/>
      <c r="B32" s="237"/>
      <c r="C32" s="254" t="s">
        <v>280</v>
      </c>
      <c r="D32" s="255" t="s">
        <v>281</v>
      </c>
      <c r="E32" s="258"/>
      <c r="F32" s="601"/>
      <c r="G32" s="329">
        <v>19050</v>
      </c>
      <c r="H32" s="329">
        <v>0</v>
      </c>
      <c r="I32" s="235">
        <f t="shared" si="5"/>
        <v>19050</v>
      </c>
      <c r="J32" s="289"/>
      <c r="K32" s="289"/>
      <c r="L32" s="289">
        <f t="shared" si="0"/>
        <v>0</v>
      </c>
      <c r="M32" s="289">
        <f t="shared" si="2"/>
        <v>19050</v>
      </c>
      <c r="N32" s="289">
        <f t="shared" si="3"/>
        <v>0</v>
      </c>
      <c r="O32" s="289">
        <f t="shared" si="1"/>
        <v>19050</v>
      </c>
    </row>
    <row r="33" spans="1:15" ht="24.75" customHeight="1">
      <c r="A33" s="236"/>
      <c r="B33" s="237"/>
      <c r="C33" s="254" t="s">
        <v>282</v>
      </c>
      <c r="D33" s="257" t="s">
        <v>1142</v>
      </c>
      <c r="E33" s="258"/>
      <c r="F33" s="601"/>
      <c r="G33" s="329">
        <v>140425</v>
      </c>
      <c r="H33" s="329">
        <v>0</v>
      </c>
      <c r="I33" s="235">
        <f t="shared" si="5"/>
        <v>140425</v>
      </c>
      <c r="J33" s="289"/>
      <c r="K33" s="289"/>
      <c r="L33" s="289">
        <f t="shared" si="0"/>
        <v>0</v>
      </c>
      <c r="M33" s="289">
        <f t="shared" si="2"/>
        <v>140425</v>
      </c>
      <c r="N33" s="289">
        <f t="shared" si="3"/>
        <v>0</v>
      </c>
      <c r="O33" s="289">
        <f t="shared" si="1"/>
        <v>140425</v>
      </c>
    </row>
    <row r="34" spans="1:15" ht="24.75" customHeight="1">
      <c r="A34" s="236"/>
      <c r="B34" s="237"/>
      <c r="C34" s="254" t="s">
        <v>283</v>
      </c>
      <c r="D34" s="259" t="s">
        <v>1140</v>
      </c>
      <c r="E34" s="256"/>
      <c r="F34" s="588" t="s">
        <v>210</v>
      </c>
      <c r="G34" s="329">
        <v>2500</v>
      </c>
      <c r="H34" s="329">
        <v>0</v>
      </c>
      <c r="I34" s="235">
        <f t="shared" si="5"/>
        <v>2500</v>
      </c>
      <c r="J34" s="289">
        <v>-2500</v>
      </c>
      <c r="K34" s="289"/>
      <c r="L34" s="289">
        <f t="shared" si="0"/>
        <v>-2500</v>
      </c>
      <c r="M34" s="289">
        <f t="shared" si="2"/>
        <v>0</v>
      </c>
      <c r="N34" s="289">
        <f t="shared" si="3"/>
        <v>0</v>
      </c>
      <c r="O34" s="289">
        <f t="shared" si="1"/>
        <v>0</v>
      </c>
    </row>
    <row r="35" spans="1:15" ht="15" customHeight="1">
      <c r="A35" s="236"/>
      <c r="B35" s="237"/>
      <c r="C35" s="254" t="s">
        <v>284</v>
      </c>
      <c r="D35" s="259" t="s">
        <v>1141</v>
      </c>
      <c r="E35" s="256"/>
      <c r="F35" s="588" t="s">
        <v>210</v>
      </c>
      <c r="G35" s="329">
        <v>2500</v>
      </c>
      <c r="H35" s="329">
        <v>0</v>
      </c>
      <c r="I35" s="235">
        <f t="shared" si="5"/>
        <v>2500</v>
      </c>
      <c r="J35" s="289">
        <v>-2500</v>
      </c>
      <c r="K35" s="289"/>
      <c r="L35" s="289">
        <f t="shared" si="0"/>
        <v>-2500</v>
      </c>
      <c r="M35" s="289">
        <f t="shared" si="2"/>
        <v>0</v>
      </c>
      <c r="N35" s="289">
        <f t="shared" si="3"/>
        <v>0</v>
      </c>
      <c r="O35" s="289">
        <f t="shared" si="1"/>
        <v>0</v>
      </c>
    </row>
    <row r="36" spans="1:15" ht="24.75" customHeight="1">
      <c r="A36" s="236"/>
      <c r="B36" s="237"/>
      <c r="C36" s="254" t="s">
        <v>285</v>
      </c>
      <c r="D36" s="252" t="s">
        <v>286</v>
      </c>
      <c r="E36" s="260"/>
      <c r="F36" s="244"/>
      <c r="G36" s="329">
        <v>0</v>
      </c>
      <c r="H36" s="329">
        <v>29000</v>
      </c>
      <c r="I36" s="235">
        <f t="shared" si="5"/>
        <v>29000</v>
      </c>
      <c r="J36" s="289"/>
      <c r="K36" s="289"/>
      <c r="L36" s="289">
        <f t="shared" si="0"/>
        <v>0</v>
      </c>
      <c r="M36" s="289">
        <f t="shared" si="2"/>
        <v>0</v>
      </c>
      <c r="N36" s="289">
        <f t="shared" si="3"/>
        <v>29000</v>
      </c>
      <c r="O36" s="289">
        <f t="shared" si="1"/>
        <v>29000</v>
      </c>
    </row>
    <row r="37" spans="1:15" ht="12.75" customHeight="1">
      <c r="A37" s="261"/>
      <c r="B37" s="262"/>
      <c r="C37" s="263"/>
      <c r="D37" s="264" t="s">
        <v>1145</v>
      </c>
      <c r="E37" s="265"/>
      <c r="F37" s="592"/>
      <c r="G37" s="266">
        <f>SUM(G12:G36)</f>
        <v>259975</v>
      </c>
      <c r="H37" s="266">
        <f>SUM(H12:H36)</f>
        <v>112329</v>
      </c>
      <c r="I37" s="266">
        <f>SUM(I12:I36)</f>
        <v>372304</v>
      </c>
      <c r="J37" s="266">
        <f aca="true" t="shared" si="6" ref="J37:O37">SUM(J12:J36)</f>
        <v>24839</v>
      </c>
      <c r="K37" s="266">
        <f t="shared" si="6"/>
        <v>-15903</v>
      </c>
      <c r="L37" s="266">
        <f t="shared" si="6"/>
        <v>8936</v>
      </c>
      <c r="M37" s="266">
        <f t="shared" si="6"/>
        <v>284814</v>
      </c>
      <c r="N37" s="266">
        <f t="shared" si="6"/>
        <v>96426</v>
      </c>
      <c r="O37" s="266">
        <f t="shared" si="6"/>
        <v>381240</v>
      </c>
    </row>
    <row r="38" spans="1:15" ht="12.75" customHeight="1">
      <c r="A38" s="267">
        <v>1</v>
      </c>
      <c r="B38" s="268">
        <v>15</v>
      </c>
      <c r="C38" s="269"/>
      <c r="D38" s="270" t="s">
        <v>197</v>
      </c>
      <c r="E38" s="271"/>
      <c r="F38" s="593"/>
      <c r="G38" s="329"/>
      <c r="H38" s="329"/>
      <c r="I38" s="272"/>
      <c r="J38" s="289"/>
      <c r="K38" s="289"/>
      <c r="L38" s="289"/>
      <c r="M38" s="289"/>
      <c r="N38" s="289"/>
      <c r="O38" s="289"/>
    </row>
    <row r="39" spans="1:15" ht="12.75" customHeight="1">
      <c r="A39" s="267"/>
      <c r="B39" s="268"/>
      <c r="C39" s="273">
        <v>1</v>
      </c>
      <c r="D39" s="270" t="s">
        <v>209</v>
      </c>
      <c r="E39" s="271"/>
      <c r="F39" s="593"/>
      <c r="G39" s="329"/>
      <c r="H39" s="329"/>
      <c r="I39" s="272"/>
      <c r="J39" s="289"/>
      <c r="K39" s="289"/>
      <c r="L39" s="289"/>
      <c r="M39" s="289"/>
      <c r="N39" s="289"/>
      <c r="O39" s="289">
        <f t="shared" si="1"/>
        <v>0</v>
      </c>
    </row>
    <row r="40" spans="1:15" ht="15" customHeight="1">
      <c r="A40" s="267"/>
      <c r="B40" s="268"/>
      <c r="C40" s="269" t="s">
        <v>121</v>
      </c>
      <c r="D40" s="249" t="s">
        <v>287</v>
      </c>
      <c r="E40" s="271"/>
      <c r="F40" s="593"/>
      <c r="G40" s="329">
        <v>18800</v>
      </c>
      <c r="H40" s="329">
        <v>0</v>
      </c>
      <c r="I40" s="274">
        <f aca="true" t="shared" si="7" ref="I40:I110">SUM(G40:H40)</f>
        <v>18800</v>
      </c>
      <c r="J40" s="289"/>
      <c r="K40" s="289"/>
      <c r="L40" s="289">
        <f t="shared" si="0"/>
        <v>0</v>
      </c>
      <c r="M40" s="289">
        <f t="shared" si="2"/>
        <v>18800</v>
      </c>
      <c r="N40" s="289">
        <f t="shared" si="3"/>
        <v>0</v>
      </c>
      <c r="O40" s="289">
        <f t="shared" si="1"/>
        <v>18800</v>
      </c>
    </row>
    <row r="41" spans="1:15" ht="15" customHeight="1">
      <c r="A41" s="275"/>
      <c r="B41" s="276"/>
      <c r="C41" s="269" t="s">
        <v>122</v>
      </c>
      <c r="D41" s="249" t="s">
        <v>288</v>
      </c>
      <c r="E41" s="271"/>
      <c r="F41" s="593"/>
      <c r="G41" s="329">
        <v>700</v>
      </c>
      <c r="H41" s="329">
        <v>0</v>
      </c>
      <c r="I41" s="274">
        <f t="shared" si="7"/>
        <v>700</v>
      </c>
      <c r="J41" s="289"/>
      <c r="K41" s="289"/>
      <c r="L41" s="289">
        <f t="shared" si="0"/>
        <v>0</v>
      </c>
      <c r="M41" s="289">
        <f t="shared" si="2"/>
        <v>700</v>
      </c>
      <c r="N41" s="289">
        <f t="shared" si="3"/>
        <v>0</v>
      </c>
      <c r="O41" s="289">
        <f t="shared" si="1"/>
        <v>700</v>
      </c>
    </row>
    <row r="42" spans="1:15" ht="15" customHeight="1">
      <c r="A42" s="267"/>
      <c r="B42" s="268"/>
      <c r="C42" s="269" t="s">
        <v>123</v>
      </c>
      <c r="D42" s="277" t="s">
        <v>289</v>
      </c>
      <c r="E42" s="271"/>
      <c r="F42" s="593"/>
      <c r="G42" s="329">
        <v>0</v>
      </c>
      <c r="H42" s="329">
        <v>0</v>
      </c>
      <c r="I42" s="274">
        <f t="shared" si="7"/>
        <v>0</v>
      </c>
      <c r="J42" s="289"/>
      <c r="K42" s="289"/>
      <c r="L42" s="289">
        <f t="shared" si="0"/>
        <v>0</v>
      </c>
      <c r="M42" s="289">
        <f t="shared" si="2"/>
        <v>0</v>
      </c>
      <c r="N42" s="289">
        <f t="shared" si="3"/>
        <v>0</v>
      </c>
      <c r="O42" s="289">
        <f t="shared" si="1"/>
        <v>0</v>
      </c>
    </row>
    <row r="43" spans="1:15" ht="24.75" customHeight="1">
      <c r="A43" s="267"/>
      <c r="B43" s="268"/>
      <c r="C43" s="269" t="s">
        <v>110</v>
      </c>
      <c r="D43" s="277" t="s">
        <v>311</v>
      </c>
      <c r="E43" s="271"/>
      <c r="F43" s="593"/>
      <c r="G43" s="329">
        <v>5000</v>
      </c>
      <c r="H43" s="329">
        <v>0</v>
      </c>
      <c r="I43" s="274">
        <f t="shared" si="7"/>
        <v>5000</v>
      </c>
      <c r="J43" s="289"/>
      <c r="K43" s="289"/>
      <c r="L43" s="289">
        <f t="shared" si="0"/>
        <v>0</v>
      </c>
      <c r="M43" s="289">
        <f t="shared" si="2"/>
        <v>5000</v>
      </c>
      <c r="N43" s="289">
        <f t="shared" si="3"/>
        <v>0</v>
      </c>
      <c r="O43" s="289">
        <f t="shared" si="1"/>
        <v>5000</v>
      </c>
    </row>
    <row r="44" spans="1:15" ht="15" customHeight="1">
      <c r="A44" s="267"/>
      <c r="B44" s="268"/>
      <c r="C44" s="269" t="s">
        <v>111</v>
      </c>
      <c r="D44" s="249" t="s">
        <v>312</v>
      </c>
      <c r="E44" s="271"/>
      <c r="F44" s="593" t="s">
        <v>210</v>
      </c>
      <c r="G44" s="329">
        <v>3500</v>
      </c>
      <c r="H44" s="329">
        <v>0</v>
      </c>
      <c r="I44" s="274">
        <f t="shared" si="7"/>
        <v>3500</v>
      </c>
      <c r="J44" s="289">
        <v>-2750</v>
      </c>
      <c r="K44" s="289"/>
      <c r="L44" s="289">
        <f t="shared" si="0"/>
        <v>-2750</v>
      </c>
      <c r="M44" s="289">
        <f t="shared" si="2"/>
        <v>750</v>
      </c>
      <c r="N44" s="289">
        <f t="shared" si="3"/>
        <v>0</v>
      </c>
      <c r="O44" s="289">
        <f t="shared" si="1"/>
        <v>750</v>
      </c>
    </row>
    <row r="45" spans="1:15" ht="12.75" customHeight="1">
      <c r="A45" s="267"/>
      <c r="B45" s="268"/>
      <c r="C45" s="269" t="s">
        <v>922</v>
      </c>
      <c r="D45" s="277" t="s">
        <v>313</v>
      </c>
      <c r="E45" s="271"/>
      <c r="F45" s="593" t="s">
        <v>210</v>
      </c>
      <c r="G45" s="329">
        <v>1200</v>
      </c>
      <c r="H45" s="329">
        <v>0</v>
      </c>
      <c r="I45" s="274">
        <f t="shared" si="7"/>
        <v>1200</v>
      </c>
      <c r="J45" s="289">
        <v>-1200</v>
      </c>
      <c r="K45" s="289"/>
      <c r="L45" s="289">
        <f t="shared" si="0"/>
        <v>-1200</v>
      </c>
      <c r="M45" s="289">
        <f t="shared" si="2"/>
        <v>0</v>
      </c>
      <c r="N45" s="289">
        <f t="shared" si="3"/>
        <v>0</v>
      </c>
      <c r="O45" s="289">
        <f t="shared" si="1"/>
        <v>0</v>
      </c>
    </row>
    <row r="46" spans="1:15" ht="12.75" customHeight="1">
      <c r="A46" s="267"/>
      <c r="B46" s="268"/>
      <c r="C46" s="269" t="s">
        <v>923</v>
      </c>
      <c r="D46" s="277" t="s">
        <v>1151</v>
      </c>
      <c r="E46" s="271"/>
      <c r="F46" s="593" t="s">
        <v>210</v>
      </c>
      <c r="G46" s="329">
        <v>1000</v>
      </c>
      <c r="H46" s="329">
        <v>0</v>
      </c>
      <c r="I46" s="274">
        <f t="shared" si="7"/>
        <v>1000</v>
      </c>
      <c r="J46" s="289">
        <v>-1000</v>
      </c>
      <c r="K46" s="289"/>
      <c r="L46" s="289">
        <f t="shared" si="0"/>
        <v>-1000</v>
      </c>
      <c r="M46" s="289">
        <f t="shared" si="2"/>
        <v>0</v>
      </c>
      <c r="N46" s="289">
        <f t="shared" si="3"/>
        <v>0</v>
      </c>
      <c r="O46" s="289">
        <f t="shared" si="1"/>
        <v>0</v>
      </c>
    </row>
    <row r="47" spans="1:15" ht="12.75" customHeight="1">
      <c r="A47" s="267"/>
      <c r="B47" s="268"/>
      <c r="C47" s="269" t="s">
        <v>921</v>
      </c>
      <c r="D47" s="249" t="s">
        <v>900</v>
      </c>
      <c r="E47" s="271"/>
      <c r="F47" s="593" t="s">
        <v>210</v>
      </c>
      <c r="G47" s="329">
        <v>1000</v>
      </c>
      <c r="H47" s="329">
        <v>0</v>
      </c>
      <c r="I47" s="274">
        <f t="shared" si="7"/>
        <v>1000</v>
      </c>
      <c r="J47" s="289">
        <v>-800</v>
      </c>
      <c r="K47" s="289"/>
      <c r="L47" s="289">
        <f t="shared" si="0"/>
        <v>-800</v>
      </c>
      <c r="M47" s="289">
        <f t="shared" si="2"/>
        <v>200</v>
      </c>
      <c r="N47" s="289">
        <f t="shared" si="3"/>
        <v>0</v>
      </c>
      <c r="O47" s="289">
        <f t="shared" si="1"/>
        <v>200</v>
      </c>
    </row>
    <row r="48" spans="1:15" ht="12.75" customHeight="1">
      <c r="A48" s="267"/>
      <c r="B48" s="268"/>
      <c r="C48" s="269" t="s">
        <v>314</v>
      </c>
      <c r="D48" s="249" t="s">
        <v>315</v>
      </c>
      <c r="E48" s="271"/>
      <c r="F48" s="593" t="s">
        <v>210</v>
      </c>
      <c r="G48" s="329">
        <v>1000</v>
      </c>
      <c r="H48" s="329">
        <v>0</v>
      </c>
      <c r="I48" s="274">
        <f t="shared" si="7"/>
        <v>1000</v>
      </c>
      <c r="J48" s="289">
        <v>-1000</v>
      </c>
      <c r="K48" s="289"/>
      <c r="L48" s="289">
        <f t="shared" si="0"/>
        <v>-1000</v>
      </c>
      <c r="M48" s="289">
        <f t="shared" si="2"/>
        <v>0</v>
      </c>
      <c r="N48" s="289">
        <f t="shared" si="3"/>
        <v>0</v>
      </c>
      <c r="O48" s="289">
        <f t="shared" si="1"/>
        <v>0</v>
      </c>
    </row>
    <row r="49" spans="1:15" ht="12.75" customHeight="1">
      <c r="A49" s="267"/>
      <c r="B49" s="268"/>
      <c r="C49" s="269" t="s">
        <v>1115</v>
      </c>
      <c r="D49" s="249" t="s">
        <v>1116</v>
      </c>
      <c r="E49" s="271"/>
      <c r="F49" s="593" t="s">
        <v>1261</v>
      </c>
      <c r="G49" s="329">
        <v>0</v>
      </c>
      <c r="H49" s="329">
        <v>206514</v>
      </c>
      <c r="I49" s="274">
        <f t="shared" si="7"/>
        <v>206514</v>
      </c>
      <c r="J49" s="289"/>
      <c r="K49" s="289">
        <v>-206514</v>
      </c>
      <c r="L49" s="289">
        <f t="shared" si="0"/>
        <v>-206514</v>
      </c>
      <c r="M49" s="289">
        <f t="shared" si="2"/>
        <v>0</v>
      </c>
      <c r="N49" s="289">
        <f t="shared" si="3"/>
        <v>0</v>
      </c>
      <c r="O49" s="289">
        <f t="shared" si="1"/>
        <v>0</v>
      </c>
    </row>
    <row r="50" spans="1:15" ht="12.75" customHeight="1">
      <c r="A50" s="267"/>
      <c r="B50" s="268"/>
      <c r="C50" s="269" t="s">
        <v>1057</v>
      </c>
      <c r="D50" s="322" t="s">
        <v>1117</v>
      </c>
      <c r="E50" s="271"/>
      <c r="F50" s="593" t="s">
        <v>210</v>
      </c>
      <c r="G50" s="329">
        <v>746</v>
      </c>
      <c r="H50" s="329">
        <v>0</v>
      </c>
      <c r="I50" s="274">
        <f t="shared" si="7"/>
        <v>746</v>
      </c>
      <c r="J50" s="289">
        <v>-746</v>
      </c>
      <c r="K50" s="289"/>
      <c r="L50" s="289">
        <f t="shared" si="0"/>
        <v>-746</v>
      </c>
      <c r="M50" s="289">
        <f t="shared" si="2"/>
        <v>0</v>
      </c>
      <c r="N50" s="289">
        <f t="shared" si="3"/>
        <v>0</v>
      </c>
      <c r="O50" s="289">
        <f t="shared" si="1"/>
        <v>0</v>
      </c>
    </row>
    <row r="51" spans="1:15" ht="12.75" customHeight="1">
      <c r="A51" s="267"/>
      <c r="B51" s="268"/>
      <c r="C51" s="269" t="s">
        <v>660</v>
      </c>
      <c r="D51" s="322" t="s">
        <v>661</v>
      </c>
      <c r="E51" s="271"/>
      <c r="F51" s="593" t="s">
        <v>1261</v>
      </c>
      <c r="G51" s="329"/>
      <c r="H51" s="329"/>
      <c r="I51" s="274"/>
      <c r="J51" s="289">
        <v>15123</v>
      </c>
      <c r="K51" s="289"/>
      <c r="L51" s="289">
        <f t="shared" si="0"/>
        <v>15123</v>
      </c>
      <c r="M51" s="289">
        <f t="shared" si="2"/>
        <v>15123</v>
      </c>
      <c r="N51" s="289"/>
      <c r="O51" s="289">
        <f t="shared" si="1"/>
        <v>15123</v>
      </c>
    </row>
    <row r="52" spans="1:15" ht="12.75" customHeight="1">
      <c r="A52" s="267"/>
      <c r="B52" s="268"/>
      <c r="C52" s="269" t="s">
        <v>631</v>
      </c>
      <c r="D52" s="322" t="s">
        <v>1026</v>
      </c>
      <c r="E52" s="271"/>
      <c r="F52" s="593" t="s">
        <v>210</v>
      </c>
      <c r="G52" s="329"/>
      <c r="H52" s="329"/>
      <c r="I52" s="274"/>
      <c r="J52" s="289">
        <v>991</v>
      </c>
      <c r="K52" s="289"/>
      <c r="L52" s="289">
        <f t="shared" si="0"/>
        <v>991</v>
      </c>
      <c r="M52" s="289">
        <f t="shared" si="2"/>
        <v>991</v>
      </c>
      <c r="N52" s="289"/>
      <c r="O52" s="289">
        <f t="shared" si="1"/>
        <v>991</v>
      </c>
    </row>
    <row r="53" spans="1:15" ht="12.75" customHeight="1">
      <c r="A53" s="267"/>
      <c r="B53" s="268"/>
      <c r="C53" s="269"/>
      <c r="D53" s="278" t="s">
        <v>279</v>
      </c>
      <c r="E53" s="271"/>
      <c r="F53" s="593"/>
      <c r="G53" s="329">
        <v>0</v>
      </c>
      <c r="H53" s="329">
        <v>0</v>
      </c>
      <c r="I53" s="274">
        <f t="shared" si="7"/>
        <v>0</v>
      </c>
      <c r="J53" s="289"/>
      <c r="K53" s="289"/>
      <c r="L53" s="289">
        <f t="shared" si="0"/>
        <v>0</v>
      </c>
      <c r="M53" s="289">
        <f t="shared" si="2"/>
        <v>0</v>
      </c>
      <c r="N53" s="289">
        <f t="shared" si="3"/>
        <v>0</v>
      </c>
      <c r="O53" s="289">
        <f t="shared" si="1"/>
        <v>0</v>
      </c>
    </row>
    <row r="54" spans="1:15" ht="12.75" customHeight="1">
      <c r="A54" s="267"/>
      <c r="B54" s="268"/>
      <c r="C54" s="269" t="s">
        <v>1265</v>
      </c>
      <c r="D54" s="279" t="s">
        <v>316</v>
      </c>
      <c r="E54" s="280"/>
      <c r="F54" s="594"/>
      <c r="G54" s="329">
        <v>18326</v>
      </c>
      <c r="H54" s="329">
        <v>0</v>
      </c>
      <c r="I54" s="274">
        <f t="shared" si="7"/>
        <v>18326</v>
      </c>
      <c r="J54" s="289"/>
      <c r="K54" s="289"/>
      <c r="L54" s="289">
        <f t="shared" si="0"/>
        <v>0</v>
      </c>
      <c r="M54" s="289">
        <f t="shared" si="2"/>
        <v>18326</v>
      </c>
      <c r="N54" s="289">
        <f t="shared" si="3"/>
        <v>0</v>
      </c>
      <c r="O54" s="289">
        <f t="shared" si="1"/>
        <v>18326</v>
      </c>
    </row>
    <row r="55" spans="1:15" ht="12.75" customHeight="1">
      <c r="A55" s="267"/>
      <c r="B55" s="268"/>
      <c r="C55" s="281" t="s">
        <v>124</v>
      </c>
      <c r="D55" s="282" t="s">
        <v>901</v>
      </c>
      <c r="E55" s="271"/>
      <c r="F55" s="593"/>
      <c r="G55" s="329"/>
      <c r="H55" s="329"/>
      <c r="I55" s="274">
        <f t="shared" si="7"/>
        <v>0</v>
      </c>
      <c r="J55" s="289"/>
      <c r="K55" s="289"/>
      <c r="L55" s="289"/>
      <c r="M55" s="289"/>
      <c r="N55" s="289"/>
      <c r="O55" s="289"/>
    </row>
    <row r="56" spans="1:15" ht="12.75" customHeight="1">
      <c r="A56" s="267"/>
      <c r="B56" s="268"/>
      <c r="C56" s="269" t="s">
        <v>125</v>
      </c>
      <c r="D56" s="279" t="s">
        <v>1238</v>
      </c>
      <c r="E56" s="271"/>
      <c r="F56" s="593" t="s">
        <v>210</v>
      </c>
      <c r="G56" s="329">
        <v>3000</v>
      </c>
      <c r="H56" s="329">
        <v>0</v>
      </c>
      <c r="I56" s="274">
        <f t="shared" si="7"/>
        <v>3000</v>
      </c>
      <c r="J56" s="289">
        <v>-3000</v>
      </c>
      <c r="K56" s="289"/>
      <c r="L56" s="289">
        <f t="shared" si="0"/>
        <v>-3000</v>
      </c>
      <c r="M56" s="289">
        <f t="shared" si="2"/>
        <v>0</v>
      </c>
      <c r="N56" s="289">
        <f t="shared" si="3"/>
        <v>0</v>
      </c>
      <c r="O56" s="289">
        <f t="shared" si="1"/>
        <v>0</v>
      </c>
    </row>
    <row r="57" spans="1:15" ht="12.75" customHeight="1">
      <c r="A57" s="267"/>
      <c r="B57" s="268"/>
      <c r="C57" s="269" t="s">
        <v>1237</v>
      </c>
      <c r="D57" s="283" t="s">
        <v>317</v>
      </c>
      <c r="E57" s="271"/>
      <c r="F57" s="593"/>
      <c r="G57" s="329">
        <v>0</v>
      </c>
      <c r="H57" s="329">
        <v>57864</v>
      </c>
      <c r="I57" s="274">
        <f t="shared" si="7"/>
        <v>57864</v>
      </c>
      <c r="J57" s="289"/>
      <c r="K57" s="289"/>
      <c r="L57" s="289">
        <f t="shared" si="0"/>
        <v>0</v>
      </c>
      <c r="M57" s="289">
        <f t="shared" si="2"/>
        <v>0</v>
      </c>
      <c r="N57" s="289">
        <f t="shared" si="3"/>
        <v>57864</v>
      </c>
      <c r="O57" s="289">
        <f t="shared" si="1"/>
        <v>57864</v>
      </c>
    </row>
    <row r="58" spans="1:15" ht="12.75" customHeight="1">
      <c r="A58" s="267"/>
      <c r="B58" s="268"/>
      <c r="C58" s="269" t="s">
        <v>911</v>
      </c>
      <c r="D58" s="574" t="s">
        <v>218</v>
      </c>
      <c r="E58" s="271"/>
      <c r="F58" s="593"/>
      <c r="G58" s="329">
        <v>0</v>
      </c>
      <c r="H58" s="329">
        <v>0</v>
      </c>
      <c r="I58" s="274">
        <f t="shared" si="7"/>
        <v>0</v>
      </c>
      <c r="J58" s="289"/>
      <c r="K58" s="289"/>
      <c r="L58" s="289">
        <f t="shared" si="0"/>
        <v>0</v>
      </c>
      <c r="M58" s="289">
        <f t="shared" si="2"/>
        <v>0</v>
      </c>
      <c r="N58" s="289">
        <f t="shared" si="3"/>
        <v>0</v>
      </c>
      <c r="O58" s="289">
        <f t="shared" si="1"/>
        <v>0</v>
      </c>
    </row>
    <row r="59" spans="1:15" ht="15" customHeight="1">
      <c r="A59" s="267"/>
      <c r="B59" s="268"/>
      <c r="C59" s="269"/>
      <c r="D59" s="278" t="s">
        <v>279</v>
      </c>
      <c r="E59" s="271"/>
      <c r="F59" s="593"/>
      <c r="G59" s="329">
        <v>0</v>
      </c>
      <c r="H59" s="329">
        <v>0</v>
      </c>
      <c r="I59" s="274">
        <f t="shared" si="7"/>
        <v>0</v>
      </c>
      <c r="J59" s="289"/>
      <c r="K59" s="289"/>
      <c r="L59" s="289">
        <f t="shared" si="0"/>
        <v>0</v>
      </c>
      <c r="M59" s="289">
        <f t="shared" si="2"/>
        <v>0</v>
      </c>
      <c r="N59" s="289">
        <f t="shared" si="3"/>
        <v>0</v>
      </c>
      <c r="O59" s="289">
        <f t="shared" si="1"/>
        <v>0</v>
      </c>
    </row>
    <row r="60" spans="1:15" ht="24.75" customHeight="1">
      <c r="A60" s="267"/>
      <c r="B60" s="268"/>
      <c r="C60" s="269" t="s">
        <v>11</v>
      </c>
      <c r="D60" s="284" t="s">
        <v>318</v>
      </c>
      <c r="E60" s="271"/>
      <c r="F60" s="593"/>
      <c r="G60" s="329">
        <v>0</v>
      </c>
      <c r="H60" s="329">
        <v>355893</v>
      </c>
      <c r="I60" s="274">
        <f t="shared" si="7"/>
        <v>355893</v>
      </c>
      <c r="J60" s="289"/>
      <c r="K60" s="289"/>
      <c r="L60" s="289">
        <f t="shared" si="0"/>
        <v>0</v>
      </c>
      <c r="M60" s="289">
        <f t="shared" si="2"/>
        <v>0</v>
      </c>
      <c r="N60" s="289">
        <f t="shared" si="3"/>
        <v>355893</v>
      </c>
      <c r="O60" s="289">
        <f t="shared" si="1"/>
        <v>355893</v>
      </c>
    </row>
    <row r="61" spans="1:15" ht="12.75" customHeight="1">
      <c r="A61" s="267"/>
      <c r="B61" s="268"/>
      <c r="C61" s="285" t="s">
        <v>126</v>
      </c>
      <c r="D61" s="286" t="s">
        <v>46</v>
      </c>
      <c r="E61" s="271"/>
      <c r="F61" s="593"/>
      <c r="G61" s="329"/>
      <c r="H61" s="329"/>
      <c r="I61" s="274">
        <f t="shared" si="7"/>
        <v>0</v>
      </c>
      <c r="J61" s="289"/>
      <c r="K61" s="289"/>
      <c r="L61" s="289"/>
      <c r="M61" s="289"/>
      <c r="N61" s="289"/>
      <c r="O61" s="289"/>
    </row>
    <row r="62" spans="1:15" ht="12.75" customHeight="1">
      <c r="A62" s="267"/>
      <c r="B62" s="268"/>
      <c r="C62" s="269" t="s">
        <v>131</v>
      </c>
      <c r="D62" s="277" t="s">
        <v>319</v>
      </c>
      <c r="E62" s="271"/>
      <c r="F62" s="593" t="s">
        <v>210</v>
      </c>
      <c r="G62" s="329">
        <v>800</v>
      </c>
      <c r="H62" s="329">
        <v>0</v>
      </c>
      <c r="I62" s="274">
        <f t="shared" si="7"/>
        <v>800</v>
      </c>
      <c r="J62" s="289">
        <v>620</v>
      </c>
      <c r="K62" s="289"/>
      <c r="L62" s="289">
        <f t="shared" si="0"/>
        <v>620</v>
      </c>
      <c r="M62" s="289">
        <f t="shared" si="2"/>
        <v>1420</v>
      </c>
      <c r="N62" s="289">
        <f t="shared" si="3"/>
        <v>0</v>
      </c>
      <c r="O62" s="289">
        <f t="shared" si="1"/>
        <v>1420</v>
      </c>
    </row>
    <row r="63" spans="1:15" ht="12.75" customHeight="1">
      <c r="A63" s="267"/>
      <c r="B63" s="268"/>
      <c r="C63" s="269" t="s">
        <v>132</v>
      </c>
      <c r="D63" s="287" t="s">
        <v>320</v>
      </c>
      <c r="E63" s="288"/>
      <c r="F63" s="593" t="s">
        <v>210</v>
      </c>
      <c r="G63" s="329">
        <v>7000</v>
      </c>
      <c r="H63" s="329">
        <v>0</v>
      </c>
      <c r="I63" s="274">
        <f t="shared" si="7"/>
        <v>7000</v>
      </c>
      <c r="J63" s="289">
        <v>-3000</v>
      </c>
      <c r="K63" s="289"/>
      <c r="L63" s="289">
        <f t="shared" si="0"/>
        <v>-3000</v>
      </c>
      <c r="M63" s="289">
        <f t="shared" si="2"/>
        <v>4000</v>
      </c>
      <c r="N63" s="289">
        <f t="shared" si="3"/>
        <v>0</v>
      </c>
      <c r="O63" s="289">
        <f t="shared" si="1"/>
        <v>4000</v>
      </c>
    </row>
    <row r="64" spans="1:15" ht="12.75" customHeight="1">
      <c r="A64" s="267"/>
      <c r="B64" s="268"/>
      <c r="C64" s="269" t="s">
        <v>175</v>
      </c>
      <c r="D64" s="290" t="s">
        <v>321</v>
      </c>
      <c r="E64" s="288"/>
      <c r="F64" s="595"/>
      <c r="G64" s="329">
        <v>0</v>
      </c>
      <c r="H64" s="329">
        <v>0</v>
      </c>
      <c r="I64" s="274">
        <f t="shared" si="7"/>
        <v>0</v>
      </c>
      <c r="J64" s="289"/>
      <c r="K64" s="289"/>
      <c r="L64" s="289">
        <f t="shared" si="0"/>
        <v>0</v>
      </c>
      <c r="M64" s="289">
        <f t="shared" si="2"/>
        <v>0</v>
      </c>
      <c r="N64" s="289">
        <f t="shared" si="3"/>
        <v>0</v>
      </c>
      <c r="O64" s="289">
        <f t="shared" si="1"/>
        <v>0</v>
      </c>
    </row>
    <row r="65" spans="1:15" ht="37.5" customHeight="1">
      <c r="A65" s="267"/>
      <c r="B65" s="268"/>
      <c r="C65" s="269" t="s">
        <v>1247</v>
      </c>
      <c r="D65" s="290" t="s">
        <v>322</v>
      </c>
      <c r="E65" s="288"/>
      <c r="F65" s="595"/>
      <c r="G65" s="329">
        <v>1000</v>
      </c>
      <c r="H65" s="329">
        <v>0</v>
      </c>
      <c r="I65" s="274">
        <f t="shared" si="7"/>
        <v>1000</v>
      </c>
      <c r="J65" s="289"/>
      <c r="K65" s="289"/>
      <c r="L65" s="289">
        <f t="shared" si="0"/>
        <v>0</v>
      </c>
      <c r="M65" s="289">
        <f t="shared" si="2"/>
        <v>1000</v>
      </c>
      <c r="N65" s="289">
        <f t="shared" si="3"/>
        <v>0</v>
      </c>
      <c r="O65" s="289">
        <f t="shared" si="1"/>
        <v>1000</v>
      </c>
    </row>
    <row r="66" spans="1:15" ht="12.75" customHeight="1">
      <c r="A66" s="267"/>
      <c r="B66" s="268"/>
      <c r="C66" s="269" t="s">
        <v>962</v>
      </c>
      <c r="D66" s="290" t="s">
        <v>323</v>
      </c>
      <c r="E66" s="288"/>
      <c r="F66" s="595"/>
      <c r="G66" s="329">
        <v>2071</v>
      </c>
      <c r="H66" s="329">
        <v>0</v>
      </c>
      <c r="I66" s="274">
        <f t="shared" si="7"/>
        <v>2071</v>
      </c>
      <c r="J66" s="289"/>
      <c r="K66" s="289"/>
      <c r="L66" s="289">
        <f t="shared" si="0"/>
        <v>0</v>
      </c>
      <c r="M66" s="289">
        <f t="shared" si="2"/>
        <v>2071</v>
      </c>
      <c r="N66" s="289">
        <f t="shared" si="3"/>
        <v>0</v>
      </c>
      <c r="O66" s="289">
        <f t="shared" si="1"/>
        <v>2071</v>
      </c>
    </row>
    <row r="67" spans="1:15" ht="12.75" customHeight="1">
      <c r="A67" s="267"/>
      <c r="B67" s="268"/>
      <c r="C67" s="269" t="s">
        <v>963</v>
      </c>
      <c r="D67" s="290" t="s">
        <v>324</v>
      </c>
      <c r="E67" s="288"/>
      <c r="F67" s="595"/>
      <c r="G67" s="329">
        <v>1200</v>
      </c>
      <c r="H67" s="329">
        <v>0</v>
      </c>
      <c r="I67" s="274">
        <f t="shared" si="7"/>
        <v>1200</v>
      </c>
      <c r="J67" s="289"/>
      <c r="K67" s="289"/>
      <c r="L67" s="289">
        <f t="shared" si="0"/>
        <v>0</v>
      </c>
      <c r="M67" s="289">
        <f t="shared" si="2"/>
        <v>1200</v>
      </c>
      <c r="N67" s="289">
        <f t="shared" si="3"/>
        <v>0</v>
      </c>
      <c r="O67" s="289">
        <f t="shared" si="1"/>
        <v>1200</v>
      </c>
    </row>
    <row r="68" spans="1:15" ht="12.75" customHeight="1">
      <c r="A68" s="267"/>
      <c r="B68" s="268"/>
      <c r="C68" s="269" t="s">
        <v>964</v>
      </c>
      <c r="D68" s="290" t="s">
        <v>325</v>
      </c>
      <c r="E68" s="288"/>
      <c r="F68" s="595"/>
      <c r="G68" s="329">
        <v>1000</v>
      </c>
      <c r="H68" s="329">
        <v>0</v>
      </c>
      <c r="I68" s="274">
        <f t="shared" si="7"/>
        <v>1000</v>
      </c>
      <c r="J68" s="289"/>
      <c r="K68" s="289"/>
      <c r="L68" s="289">
        <f t="shared" si="0"/>
        <v>0</v>
      </c>
      <c r="M68" s="289">
        <f t="shared" si="2"/>
        <v>1000</v>
      </c>
      <c r="N68" s="289">
        <f t="shared" si="3"/>
        <v>0</v>
      </c>
      <c r="O68" s="289">
        <f t="shared" si="1"/>
        <v>1000</v>
      </c>
    </row>
    <row r="69" spans="1:15" ht="12.75" customHeight="1">
      <c r="A69" s="267"/>
      <c r="B69" s="268"/>
      <c r="C69" s="269" t="s">
        <v>1053</v>
      </c>
      <c r="D69" s="290" t="s">
        <v>1054</v>
      </c>
      <c r="E69" s="288"/>
      <c r="F69" s="595"/>
      <c r="G69" s="329">
        <v>1400</v>
      </c>
      <c r="H69" s="329">
        <v>0</v>
      </c>
      <c r="I69" s="274">
        <f t="shared" si="7"/>
        <v>1400</v>
      </c>
      <c r="J69" s="289"/>
      <c r="K69" s="289"/>
      <c r="L69" s="289">
        <f t="shared" si="0"/>
        <v>0</v>
      </c>
      <c r="M69" s="289">
        <f t="shared" si="2"/>
        <v>1400</v>
      </c>
      <c r="N69" s="289">
        <f t="shared" si="3"/>
        <v>0</v>
      </c>
      <c r="O69" s="289">
        <f t="shared" si="1"/>
        <v>1400</v>
      </c>
    </row>
    <row r="70" spans="1:15" ht="12.75" customHeight="1">
      <c r="A70" s="267"/>
      <c r="B70" s="268"/>
      <c r="C70" s="269" t="s">
        <v>217</v>
      </c>
      <c r="D70" s="575" t="s">
        <v>176</v>
      </c>
      <c r="E70" s="288"/>
      <c r="F70" s="595"/>
      <c r="G70" s="329">
        <v>0</v>
      </c>
      <c r="H70" s="329">
        <v>24</v>
      </c>
      <c r="I70" s="274">
        <f t="shared" si="7"/>
        <v>24</v>
      </c>
      <c r="J70" s="289"/>
      <c r="K70" s="289"/>
      <c r="L70" s="289">
        <f t="shared" si="0"/>
        <v>0</v>
      </c>
      <c r="M70" s="289">
        <f t="shared" si="2"/>
        <v>0</v>
      </c>
      <c r="N70" s="289">
        <f t="shared" si="3"/>
        <v>24</v>
      </c>
      <c r="O70" s="289">
        <f t="shared" si="1"/>
        <v>24</v>
      </c>
    </row>
    <row r="71" spans="1:15" ht="12.75" customHeight="1">
      <c r="A71" s="267"/>
      <c r="B71" s="268"/>
      <c r="C71" s="285"/>
      <c r="D71" s="278" t="s">
        <v>279</v>
      </c>
      <c r="E71" s="271"/>
      <c r="F71" s="593"/>
      <c r="G71" s="329">
        <v>0</v>
      </c>
      <c r="H71" s="329">
        <v>0</v>
      </c>
      <c r="I71" s="274">
        <f t="shared" si="7"/>
        <v>0</v>
      </c>
      <c r="J71" s="289"/>
      <c r="K71" s="289"/>
      <c r="L71" s="289">
        <f t="shared" si="0"/>
        <v>0</v>
      </c>
      <c r="M71" s="289">
        <f t="shared" si="2"/>
        <v>0</v>
      </c>
      <c r="N71" s="289">
        <f t="shared" si="3"/>
        <v>0</v>
      </c>
      <c r="O71" s="289">
        <f t="shared" si="1"/>
        <v>0</v>
      </c>
    </row>
    <row r="72" spans="1:15" ht="12.75" customHeight="1">
      <c r="A72" s="267"/>
      <c r="B72" s="268"/>
      <c r="C72" s="291" t="s">
        <v>326</v>
      </c>
      <c r="D72" s="292" t="s">
        <v>902</v>
      </c>
      <c r="E72" s="271"/>
      <c r="F72" s="593"/>
      <c r="G72" s="329">
        <v>2653</v>
      </c>
      <c r="H72" s="329">
        <v>0</v>
      </c>
      <c r="I72" s="274">
        <f t="shared" si="7"/>
        <v>2653</v>
      </c>
      <c r="J72" s="289"/>
      <c r="K72" s="289"/>
      <c r="L72" s="289">
        <f t="shared" si="0"/>
        <v>0</v>
      </c>
      <c r="M72" s="289">
        <f t="shared" si="2"/>
        <v>2653</v>
      </c>
      <c r="N72" s="289">
        <f t="shared" si="3"/>
        <v>0</v>
      </c>
      <c r="O72" s="289">
        <f t="shared" si="1"/>
        <v>2653</v>
      </c>
    </row>
    <row r="73" spans="1:15" ht="12.75" customHeight="1">
      <c r="A73" s="267"/>
      <c r="B73" s="268"/>
      <c r="C73" s="285" t="s">
        <v>128</v>
      </c>
      <c r="D73" s="293" t="s">
        <v>133</v>
      </c>
      <c r="E73" s="271"/>
      <c r="F73" s="593"/>
      <c r="G73" s="329"/>
      <c r="H73" s="329"/>
      <c r="I73" s="274">
        <f t="shared" si="7"/>
        <v>0</v>
      </c>
      <c r="J73" s="289"/>
      <c r="K73" s="289"/>
      <c r="L73" s="289"/>
      <c r="M73" s="289"/>
      <c r="N73" s="289"/>
      <c r="O73" s="289"/>
    </row>
    <row r="74" spans="1:15" ht="12.75" customHeight="1">
      <c r="A74" s="267"/>
      <c r="B74" s="268"/>
      <c r="C74" s="269" t="s">
        <v>134</v>
      </c>
      <c r="D74" s="294" t="s">
        <v>903</v>
      </c>
      <c r="E74" s="271"/>
      <c r="F74" s="593" t="s">
        <v>399</v>
      </c>
      <c r="G74" s="329">
        <v>8991</v>
      </c>
      <c r="H74" s="329">
        <v>0</v>
      </c>
      <c r="I74" s="274">
        <f t="shared" si="7"/>
        <v>8991</v>
      </c>
      <c r="J74" s="289">
        <v>-4990</v>
      </c>
      <c r="K74" s="289"/>
      <c r="L74" s="289">
        <f t="shared" si="0"/>
        <v>-4990</v>
      </c>
      <c r="M74" s="289">
        <f t="shared" si="2"/>
        <v>4001</v>
      </c>
      <c r="N74" s="289">
        <f t="shared" si="3"/>
        <v>0</v>
      </c>
      <c r="O74" s="289">
        <f t="shared" si="1"/>
        <v>4001</v>
      </c>
    </row>
    <row r="75" spans="1:15" ht="12.75" customHeight="1">
      <c r="A75" s="267"/>
      <c r="B75" s="268"/>
      <c r="C75" s="269" t="s">
        <v>135</v>
      </c>
      <c r="D75" s="294" t="s">
        <v>327</v>
      </c>
      <c r="E75" s="271"/>
      <c r="F75" s="593"/>
      <c r="G75" s="329">
        <v>10737</v>
      </c>
      <c r="H75" s="329">
        <v>0</v>
      </c>
      <c r="I75" s="274">
        <f t="shared" si="7"/>
        <v>10737</v>
      </c>
      <c r="J75" s="289"/>
      <c r="K75" s="289"/>
      <c r="L75" s="289">
        <f t="shared" si="0"/>
        <v>0</v>
      </c>
      <c r="M75" s="289">
        <f t="shared" si="2"/>
        <v>10737</v>
      </c>
      <c r="N75" s="289">
        <f t="shared" si="3"/>
        <v>0</v>
      </c>
      <c r="O75" s="289">
        <f t="shared" si="1"/>
        <v>10737</v>
      </c>
    </row>
    <row r="76" spans="1:15" ht="12.75" customHeight="1">
      <c r="A76" s="267"/>
      <c r="B76" s="268"/>
      <c r="C76" s="269" t="s">
        <v>136</v>
      </c>
      <c r="D76" s="294" t="s">
        <v>328</v>
      </c>
      <c r="E76" s="271"/>
      <c r="F76" s="593"/>
      <c r="G76" s="329">
        <v>3000</v>
      </c>
      <c r="H76" s="329">
        <v>0</v>
      </c>
      <c r="I76" s="274">
        <f t="shared" si="7"/>
        <v>3000</v>
      </c>
      <c r="J76" s="289"/>
      <c r="K76" s="289"/>
      <c r="L76" s="289">
        <f t="shared" si="0"/>
        <v>0</v>
      </c>
      <c r="M76" s="289">
        <f t="shared" si="2"/>
        <v>3000</v>
      </c>
      <c r="N76" s="289">
        <f t="shared" si="3"/>
        <v>0</v>
      </c>
      <c r="O76" s="289">
        <f t="shared" si="1"/>
        <v>3000</v>
      </c>
    </row>
    <row r="77" spans="1:15" ht="12.75" customHeight="1">
      <c r="A77" s="267"/>
      <c r="B77" s="268"/>
      <c r="C77" s="269" t="s">
        <v>137</v>
      </c>
      <c r="D77" s="283" t="s">
        <v>329</v>
      </c>
      <c r="E77" s="271"/>
      <c r="F77" s="593"/>
      <c r="G77" s="329">
        <v>3918</v>
      </c>
      <c r="H77" s="329">
        <v>0</v>
      </c>
      <c r="I77" s="274">
        <f t="shared" si="7"/>
        <v>3918</v>
      </c>
      <c r="J77" s="289"/>
      <c r="K77" s="289"/>
      <c r="L77" s="289">
        <f t="shared" si="0"/>
        <v>0</v>
      </c>
      <c r="M77" s="289">
        <f t="shared" si="2"/>
        <v>3918</v>
      </c>
      <c r="N77" s="289">
        <f t="shared" si="3"/>
        <v>0</v>
      </c>
      <c r="O77" s="289">
        <f t="shared" si="1"/>
        <v>3918</v>
      </c>
    </row>
    <row r="78" spans="1:15" ht="20.25" customHeight="1">
      <c r="A78" s="267"/>
      <c r="B78" s="268"/>
      <c r="C78" s="269" t="s">
        <v>138</v>
      </c>
      <c r="D78" s="294" t="s">
        <v>662</v>
      </c>
      <c r="E78" s="271"/>
      <c r="F78" s="593" t="s">
        <v>210</v>
      </c>
      <c r="G78" s="329">
        <v>2000</v>
      </c>
      <c r="H78" s="329">
        <v>0</v>
      </c>
      <c r="I78" s="274">
        <f t="shared" si="7"/>
        <v>2000</v>
      </c>
      <c r="J78" s="289">
        <v>902</v>
      </c>
      <c r="K78" s="289"/>
      <c r="L78" s="289">
        <f t="shared" si="0"/>
        <v>902</v>
      </c>
      <c r="M78" s="289">
        <f t="shared" si="2"/>
        <v>2902</v>
      </c>
      <c r="N78" s="289">
        <f t="shared" si="3"/>
        <v>0</v>
      </c>
      <c r="O78" s="289">
        <f t="shared" si="1"/>
        <v>2902</v>
      </c>
    </row>
    <row r="79" spans="1:15" ht="12.75" customHeight="1">
      <c r="A79" s="267"/>
      <c r="B79" s="268"/>
      <c r="C79" s="269" t="s">
        <v>139</v>
      </c>
      <c r="D79" s="295" t="s">
        <v>330</v>
      </c>
      <c r="E79" s="271"/>
      <c r="F79" s="593" t="s">
        <v>210</v>
      </c>
      <c r="G79" s="329">
        <v>2099</v>
      </c>
      <c r="H79" s="329">
        <v>0</v>
      </c>
      <c r="I79" s="274">
        <f t="shared" si="7"/>
        <v>2099</v>
      </c>
      <c r="J79" s="289">
        <v>-100</v>
      </c>
      <c r="K79" s="289"/>
      <c r="L79" s="289">
        <f t="shared" si="0"/>
        <v>-100</v>
      </c>
      <c r="M79" s="289">
        <f t="shared" si="2"/>
        <v>1999</v>
      </c>
      <c r="N79" s="289">
        <f t="shared" si="3"/>
        <v>0</v>
      </c>
      <c r="O79" s="289">
        <f t="shared" si="1"/>
        <v>1999</v>
      </c>
    </row>
    <row r="80" spans="1:15" ht="12.75" customHeight="1">
      <c r="A80" s="267"/>
      <c r="B80" s="268"/>
      <c r="C80" s="269" t="s">
        <v>140</v>
      </c>
      <c r="D80" s="294" t="s">
        <v>331</v>
      </c>
      <c r="E80" s="271"/>
      <c r="F80" s="593" t="s">
        <v>210</v>
      </c>
      <c r="G80" s="329">
        <v>13315</v>
      </c>
      <c r="H80" s="329">
        <v>0</v>
      </c>
      <c r="I80" s="274">
        <f t="shared" si="7"/>
        <v>13315</v>
      </c>
      <c r="J80" s="289">
        <v>729</v>
      </c>
      <c r="K80" s="289"/>
      <c r="L80" s="289">
        <f t="shared" si="0"/>
        <v>729</v>
      </c>
      <c r="M80" s="289">
        <f t="shared" si="2"/>
        <v>14044</v>
      </c>
      <c r="N80" s="289">
        <f t="shared" si="3"/>
        <v>0</v>
      </c>
      <c r="O80" s="289">
        <f t="shared" si="1"/>
        <v>14044</v>
      </c>
    </row>
    <row r="81" spans="1:15" ht="12.75" customHeight="1">
      <c r="A81" s="267"/>
      <c r="B81" s="268"/>
      <c r="C81" s="269" t="s">
        <v>897</v>
      </c>
      <c r="D81" s="283" t="s">
        <v>898</v>
      </c>
      <c r="E81" s="271"/>
      <c r="F81" s="593"/>
      <c r="G81" s="329">
        <v>3863</v>
      </c>
      <c r="H81" s="329"/>
      <c r="I81" s="274">
        <f t="shared" si="7"/>
        <v>3863</v>
      </c>
      <c r="J81" s="289"/>
      <c r="K81" s="289"/>
      <c r="L81" s="289">
        <f t="shared" si="0"/>
        <v>0</v>
      </c>
      <c r="M81" s="289">
        <f t="shared" si="2"/>
        <v>3863</v>
      </c>
      <c r="N81" s="289"/>
      <c r="O81" s="289">
        <f t="shared" si="1"/>
        <v>3863</v>
      </c>
    </row>
    <row r="82" spans="1:15" ht="12.75" customHeight="1">
      <c r="A82" s="267"/>
      <c r="B82" s="268"/>
      <c r="C82" s="269" t="s">
        <v>417</v>
      </c>
      <c r="D82" s="283" t="s">
        <v>418</v>
      </c>
      <c r="E82" s="271"/>
      <c r="F82" s="593"/>
      <c r="G82" s="329">
        <v>1000</v>
      </c>
      <c r="H82" s="329"/>
      <c r="I82" s="274">
        <f t="shared" si="7"/>
        <v>1000</v>
      </c>
      <c r="J82" s="289"/>
      <c r="K82" s="289"/>
      <c r="L82" s="289">
        <f t="shared" si="0"/>
        <v>0</v>
      </c>
      <c r="M82" s="289">
        <f t="shared" si="2"/>
        <v>1000</v>
      </c>
      <c r="N82" s="289"/>
      <c r="O82" s="289">
        <f t="shared" si="1"/>
        <v>1000</v>
      </c>
    </row>
    <row r="83" spans="1:15" ht="12.75" customHeight="1">
      <c r="A83" s="267"/>
      <c r="B83" s="268"/>
      <c r="C83" s="269" t="s">
        <v>419</v>
      </c>
      <c r="D83" s="283" t="s">
        <v>420</v>
      </c>
      <c r="E83" s="271"/>
      <c r="F83" s="593" t="s">
        <v>210</v>
      </c>
      <c r="G83" s="329">
        <v>1720</v>
      </c>
      <c r="H83" s="329"/>
      <c r="I83" s="274">
        <f t="shared" si="7"/>
        <v>1720</v>
      </c>
      <c r="J83" s="289">
        <v>-296</v>
      </c>
      <c r="K83" s="289"/>
      <c r="L83" s="289">
        <f t="shared" si="0"/>
        <v>-296</v>
      </c>
      <c r="M83" s="289">
        <f t="shared" si="2"/>
        <v>1424</v>
      </c>
      <c r="N83" s="289"/>
      <c r="O83" s="289">
        <f t="shared" si="1"/>
        <v>1424</v>
      </c>
    </row>
    <row r="84" spans="1:15" ht="12.75" customHeight="1">
      <c r="A84" s="267"/>
      <c r="B84" s="268"/>
      <c r="C84" s="269" t="s">
        <v>421</v>
      </c>
      <c r="D84" s="283" t="s">
        <v>426</v>
      </c>
      <c r="E84" s="271"/>
      <c r="F84" s="593"/>
      <c r="G84" s="329">
        <v>5507</v>
      </c>
      <c r="H84" s="329"/>
      <c r="I84" s="274">
        <f t="shared" si="7"/>
        <v>5507</v>
      </c>
      <c r="J84" s="289"/>
      <c r="K84" s="289"/>
      <c r="L84" s="289">
        <f t="shared" si="0"/>
        <v>0</v>
      </c>
      <c r="M84" s="289">
        <f t="shared" si="2"/>
        <v>5507</v>
      </c>
      <c r="N84" s="289"/>
      <c r="O84" s="289">
        <f t="shared" si="1"/>
        <v>5507</v>
      </c>
    </row>
    <row r="85" spans="1:15" ht="12.75" customHeight="1">
      <c r="A85" s="267"/>
      <c r="B85" s="268"/>
      <c r="C85" s="269" t="s">
        <v>422</v>
      </c>
      <c r="D85" s="283" t="s">
        <v>423</v>
      </c>
      <c r="E85" s="271"/>
      <c r="F85" s="593"/>
      <c r="G85" s="329">
        <v>910</v>
      </c>
      <c r="H85" s="329"/>
      <c r="I85" s="274">
        <f t="shared" si="7"/>
        <v>910</v>
      </c>
      <c r="J85" s="289"/>
      <c r="K85" s="289"/>
      <c r="L85" s="289">
        <f t="shared" si="0"/>
        <v>0</v>
      </c>
      <c r="M85" s="289">
        <f t="shared" si="2"/>
        <v>910</v>
      </c>
      <c r="N85" s="289"/>
      <c r="O85" s="289">
        <f t="shared" si="1"/>
        <v>910</v>
      </c>
    </row>
    <row r="86" spans="1:15" ht="12.75" customHeight="1">
      <c r="A86" s="267"/>
      <c r="B86" s="268"/>
      <c r="C86" s="285"/>
      <c r="D86" s="278" t="s">
        <v>279</v>
      </c>
      <c r="E86" s="271"/>
      <c r="F86" s="593"/>
      <c r="G86" s="329"/>
      <c r="H86" s="329"/>
      <c r="I86" s="274">
        <f t="shared" si="7"/>
        <v>0</v>
      </c>
      <c r="J86" s="289"/>
      <c r="K86" s="289"/>
      <c r="L86" s="289"/>
      <c r="M86" s="289"/>
      <c r="N86" s="289"/>
      <c r="O86" s="289"/>
    </row>
    <row r="87" spans="1:15" ht="24.75" customHeight="1">
      <c r="A87" s="275"/>
      <c r="B87" s="276"/>
      <c r="C87" s="269" t="s">
        <v>12</v>
      </c>
      <c r="D87" s="296" t="s">
        <v>1147</v>
      </c>
      <c r="E87" s="271"/>
      <c r="F87" s="593"/>
      <c r="G87" s="329">
        <v>1415</v>
      </c>
      <c r="H87" s="329">
        <v>0</v>
      </c>
      <c r="I87" s="274">
        <f t="shared" si="7"/>
        <v>1415</v>
      </c>
      <c r="J87" s="289"/>
      <c r="K87" s="289"/>
      <c r="L87" s="289">
        <f t="shared" si="0"/>
        <v>0</v>
      </c>
      <c r="M87" s="289">
        <f t="shared" si="2"/>
        <v>1415</v>
      </c>
      <c r="N87" s="289">
        <f t="shared" si="3"/>
        <v>0</v>
      </c>
      <c r="O87" s="289">
        <f t="shared" si="1"/>
        <v>1415</v>
      </c>
    </row>
    <row r="88" spans="1:15" ht="15" customHeight="1">
      <c r="A88" s="267"/>
      <c r="B88" s="268"/>
      <c r="C88" s="269" t="s">
        <v>135</v>
      </c>
      <c r="D88" s="297" t="s">
        <v>332</v>
      </c>
      <c r="E88" s="271"/>
      <c r="F88" s="593"/>
      <c r="G88" s="329">
        <v>1987</v>
      </c>
      <c r="H88" s="329">
        <v>0</v>
      </c>
      <c r="I88" s="274">
        <f t="shared" si="7"/>
        <v>1987</v>
      </c>
      <c r="J88" s="289"/>
      <c r="K88" s="289"/>
      <c r="L88" s="289">
        <f t="shared" si="0"/>
        <v>0</v>
      </c>
      <c r="M88" s="289">
        <f t="shared" si="2"/>
        <v>1987</v>
      </c>
      <c r="N88" s="289">
        <f t="shared" si="3"/>
        <v>0</v>
      </c>
      <c r="O88" s="289">
        <f t="shared" si="1"/>
        <v>1987</v>
      </c>
    </row>
    <row r="89" spans="1:15" ht="12.75" customHeight="1">
      <c r="A89" s="267"/>
      <c r="B89" s="268"/>
      <c r="C89" s="269" t="s">
        <v>136</v>
      </c>
      <c r="D89" s="296" t="s">
        <v>333</v>
      </c>
      <c r="E89" s="271"/>
      <c r="F89" s="593" t="s">
        <v>210</v>
      </c>
      <c r="G89" s="329">
        <v>1380</v>
      </c>
      <c r="H89" s="329">
        <v>0</v>
      </c>
      <c r="I89" s="274">
        <f t="shared" si="7"/>
        <v>1380</v>
      </c>
      <c r="J89" s="289">
        <v>1570</v>
      </c>
      <c r="K89" s="289"/>
      <c r="L89" s="289">
        <f t="shared" si="0"/>
        <v>1570</v>
      </c>
      <c r="M89" s="289">
        <f t="shared" si="2"/>
        <v>2950</v>
      </c>
      <c r="N89" s="289">
        <f t="shared" si="3"/>
        <v>0</v>
      </c>
      <c r="O89" s="289">
        <f t="shared" si="1"/>
        <v>2950</v>
      </c>
    </row>
    <row r="90" spans="1:15" ht="12.75" customHeight="1">
      <c r="A90" s="267"/>
      <c r="B90" s="268"/>
      <c r="C90" s="285" t="s">
        <v>129</v>
      </c>
      <c r="D90" s="286" t="s">
        <v>47</v>
      </c>
      <c r="E90" s="271"/>
      <c r="F90" s="593"/>
      <c r="G90" s="329"/>
      <c r="H90" s="329"/>
      <c r="I90" s="274">
        <f t="shared" si="7"/>
        <v>0</v>
      </c>
      <c r="J90" s="289"/>
      <c r="K90" s="289"/>
      <c r="L90" s="289"/>
      <c r="M90" s="289"/>
      <c r="N90" s="289"/>
      <c r="O90" s="289"/>
    </row>
    <row r="91" spans="1:15" ht="12.75" customHeight="1">
      <c r="A91" s="267"/>
      <c r="B91" s="268"/>
      <c r="C91" s="291" t="s">
        <v>171</v>
      </c>
      <c r="D91" s="298" t="s">
        <v>334</v>
      </c>
      <c r="E91" s="271"/>
      <c r="F91" s="593"/>
      <c r="G91" s="329">
        <v>1943</v>
      </c>
      <c r="H91" s="329">
        <v>0</v>
      </c>
      <c r="I91" s="274">
        <f t="shared" si="7"/>
        <v>1943</v>
      </c>
      <c r="J91" s="289"/>
      <c r="K91" s="289"/>
      <c r="L91" s="289">
        <f aca="true" t="shared" si="8" ref="L91:L159">SUM(J91:K91)</f>
        <v>0</v>
      </c>
      <c r="M91" s="289">
        <f aca="true" t="shared" si="9" ref="M91:M161">SUM(G91+J91)</f>
        <v>1943</v>
      </c>
      <c r="N91" s="289">
        <f aca="true" t="shared" si="10" ref="N91:N161">SUM(H91+K91)</f>
        <v>0</v>
      </c>
      <c r="O91" s="289">
        <f aca="true" t="shared" si="11" ref="O91:O159">SUM(M91:N91)</f>
        <v>1943</v>
      </c>
    </row>
    <row r="92" spans="1:15" ht="12.75" customHeight="1">
      <c r="A92" s="267"/>
      <c r="B92" s="268"/>
      <c r="C92" s="291" t="s">
        <v>172</v>
      </c>
      <c r="D92" s="298" t="s">
        <v>335</v>
      </c>
      <c r="E92" s="271"/>
      <c r="F92" s="593"/>
      <c r="G92" s="329">
        <v>1000</v>
      </c>
      <c r="H92" s="329">
        <v>0</v>
      </c>
      <c r="I92" s="274">
        <f t="shared" si="7"/>
        <v>1000</v>
      </c>
      <c r="J92" s="289"/>
      <c r="K92" s="289"/>
      <c r="L92" s="289">
        <f t="shared" si="8"/>
        <v>0</v>
      </c>
      <c r="M92" s="289">
        <f t="shared" si="9"/>
        <v>1000</v>
      </c>
      <c r="N92" s="289">
        <f t="shared" si="10"/>
        <v>0</v>
      </c>
      <c r="O92" s="289">
        <f t="shared" si="11"/>
        <v>1000</v>
      </c>
    </row>
    <row r="93" spans="1:15" ht="12.75" customHeight="1">
      <c r="A93" s="267"/>
      <c r="B93" s="268"/>
      <c r="C93" s="291" t="s">
        <v>173</v>
      </c>
      <c r="D93" s="299" t="s">
        <v>336</v>
      </c>
      <c r="E93" s="271"/>
      <c r="F93" s="593"/>
      <c r="G93" s="329">
        <v>494</v>
      </c>
      <c r="H93" s="329">
        <v>0</v>
      </c>
      <c r="I93" s="274">
        <f t="shared" si="7"/>
        <v>494</v>
      </c>
      <c r="J93" s="289"/>
      <c r="K93" s="289"/>
      <c r="L93" s="289">
        <f t="shared" si="8"/>
        <v>0</v>
      </c>
      <c r="M93" s="289">
        <f t="shared" si="9"/>
        <v>494</v>
      </c>
      <c r="N93" s="289">
        <f t="shared" si="10"/>
        <v>0</v>
      </c>
      <c r="O93" s="289">
        <f t="shared" si="11"/>
        <v>494</v>
      </c>
    </row>
    <row r="94" spans="1:15" ht="12.75" customHeight="1">
      <c r="A94" s="267"/>
      <c r="B94" s="268"/>
      <c r="C94" s="291" t="s">
        <v>174</v>
      </c>
      <c r="D94" s="249" t="s">
        <v>337</v>
      </c>
      <c r="E94" s="271"/>
      <c r="F94" s="593"/>
      <c r="G94" s="329">
        <v>0</v>
      </c>
      <c r="H94" s="329">
        <v>800</v>
      </c>
      <c r="I94" s="274">
        <f t="shared" si="7"/>
        <v>800</v>
      </c>
      <c r="J94" s="289"/>
      <c r="K94" s="289"/>
      <c r="L94" s="289">
        <f t="shared" si="8"/>
        <v>0</v>
      </c>
      <c r="M94" s="289">
        <f t="shared" si="9"/>
        <v>0</v>
      </c>
      <c r="N94" s="289">
        <f t="shared" si="10"/>
        <v>800</v>
      </c>
      <c r="O94" s="289">
        <f t="shared" si="11"/>
        <v>800</v>
      </c>
    </row>
    <row r="95" spans="1:15" ht="12.75" customHeight="1">
      <c r="A95" s="267"/>
      <c r="B95" s="268"/>
      <c r="C95" s="291" t="s">
        <v>338</v>
      </c>
      <c r="D95" s="249" t="s">
        <v>339</v>
      </c>
      <c r="E95" s="271"/>
      <c r="F95" s="593"/>
      <c r="G95" s="329">
        <v>0</v>
      </c>
      <c r="H95" s="329">
        <v>0</v>
      </c>
      <c r="I95" s="274">
        <f t="shared" si="7"/>
        <v>0</v>
      </c>
      <c r="J95" s="289"/>
      <c r="K95" s="289"/>
      <c r="L95" s="289">
        <f t="shared" si="8"/>
        <v>0</v>
      </c>
      <c r="M95" s="289">
        <f t="shared" si="9"/>
        <v>0</v>
      </c>
      <c r="N95" s="289">
        <f t="shared" si="10"/>
        <v>0</v>
      </c>
      <c r="O95" s="289">
        <f t="shared" si="11"/>
        <v>0</v>
      </c>
    </row>
    <row r="96" spans="1:15" ht="12.75" customHeight="1">
      <c r="A96" s="267"/>
      <c r="B96" s="268"/>
      <c r="C96" s="291" t="s">
        <v>340</v>
      </c>
      <c r="D96" s="249" t="s">
        <v>341</v>
      </c>
      <c r="E96" s="271"/>
      <c r="F96" s="593"/>
      <c r="G96" s="329">
        <v>1000</v>
      </c>
      <c r="H96" s="329">
        <v>0</v>
      </c>
      <c r="I96" s="274">
        <f t="shared" si="7"/>
        <v>1000</v>
      </c>
      <c r="J96" s="289"/>
      <c r="K96" s="289"/>
      <c r="L96" s="289">
        <f t="shared" si="8"/>
        <v>0</v>
      </c>
      <c r="M96" s="289">
        <f t="shared" si="9"/>
        <v>1000</v>
      </c>
      <c r="N96" s="289">
        <f t="shared" si="10"/>
        <v>0</v>
      </c>
      <c r="O96" s="289">
        <f t="shared" si="11"/>
        <v>1000</v>
      </c>
    </row>
    <row r="97" spans="1:15" ht="12.75" customHeight="1">
      <c r="A97" s="267"/>
      <c r="B97" s="268"/>
      <c r="C97" s="291" t="s">
        <v>342</v>
      </c>
      <c r="D97" s="249" t="s">
        <v>343</v>
      </c>
      <c r="E97" s="271"/>
      <c r="F97" s="593"/>
      <c r="G97" s="329">
        <v>1500</v>
      </c>
      <c r="H97" s="329">
        <v>0</v>
      </c>
      <c r="I97" s="274">
        <f t="shared" si="7"/>
        <v>1500</v>
      </c>
      <c r="J97" s="289"/>
      <c r="K97" s="289"/>
      <c r="L97" s="289">
        <f t="shared" si="8"/>
        <v>0</v>
      </c>
      <c r="M97" s="289">
        <f t="shared" si="9"/>
        <v>1500</v>
      </c>
      <c r="N97" s="289">
        <f t="shared" si="10"/>
        <v>0</v>
      </c>
      <c r="O97" s="289">
        <f t="shared" si="11"/>
        <v>1500</v>
      </c>
    </row>
    <row r="98" spans="1:15" ht="12.75" customHeight="1">
      <c r="A98" s="267"/>
      <c r="B98" s="268"/>
      <c r="C98" s="291" t="s">
        <v>344</v>
      </c>
      <c r="D98" s="300" t="s">
        <v>345</v>
      </c>
      <c r="E98" s="271"/>
      <c r="F98" s="593"/>
      <c r="G98" s="329">
        <v>1000</v>
      </c>
      <c r="H98" s="329">
        <v>0</v>
      </c>
      <c r="I98" s="274">
        <f t="shared" si="7"/>
        <v>1000</v>
      </c>
      <c r="J98" s="289"/>
      <c r="K98" s="289"/>
      <c r="L98" s="289">
        <f t="shared" si="8"/>
        <v>0</v>
      </c>
      <c r="M98" s="289">
        <f t="shared" si="9"/>
        <v>1000</v>
      </c>
      <c r="N98" s="289">
        <f t="shared" si="10"/>
        <v>0</v>
      </c>
      <c r="O98" s="289">
        <f t="shared" si="11"/>
        <v>1000</v>
      </c>
    </row>
    <row r="99" spans="1:15" ht="12.75" customHeight="1">
      <c r="A99" s="267"/>
      <c r="B99" s="268"/>
      <c r="C99" s="291" t="s">
        <v>346</v>
      </c>
      <c r="D99" s="277" t="s">
        <v>357</v>
      </c>
      <c r="E99" s="271"/>
      <c r="F99" s="593" t="s">
        <v>210</v>
      </c>
      <c r="G99" s="329">
        <v>1090</v>
      </c>
      <c r="H99" s="329">
        <v>0</v>
      </c>
      <c r="I99" s="274">
        <f t="shared" si="7"/>
        <v>1090</v>
      </c>
      <c r="J99" s="289">
        <v>155</v>
      </c>
      <c r="K99" s="289"/>
      <c r="L99" s="289">
        <f t="shared" si="8"/>
        <v>155</v>
      </c>
      <c r="M99" s="289">
        <f t="shared" si="9"/>
        <v>1245</v>
      </c>
      <c r="N99" s="289">
        <f t="shared" si="10"/>
        <v>0</v>
      </c>
      <c r="O99" s="289">
        <f t="shared" si="11"/>
        <v>1245</v>
      </c>
    </row>
    <row r="100" spans="1:15" ht="12.75" customHeight="1">
      <c r="A100" s="267"/>
      <c r="B100" s="268"/>
      <c r="C100" s="291" t="s">
        <v>358</v>
      </c>
      <c r="D100" s="277" t="s">
        <v>359</v>
      </c>
      <c r="E100" s="271"/>
      <c r="F100" s="593"/>
      <c r="G100" s="329">
        <v>0</v>
      </c>
      <c r="H100" s="329">
        <v>0</v>
      </c>
      <c r="I100" s="274">
        <f t="shared" si="7"/>
        <v>0</v>
      </c>
      <c r="J100" s="289"/>
      <c r="K100" s="289"/>
      <c r="L100" s="289">
        <f t="shared" si="8"/>
        <v>0</v>
      </c>
      <c r="M100" s="289">
        <f t="shared" si="9"/>
        <v>0</v>
      </c>
      <c r="N100" s="289">
        <f t="shared" si="10"/>
        <v>0</v>
      </c>
      <c r="O100" s="289">
        <f t="shared" si="11"/>
        <v>0</v>
      </c>
    </row>
    <row r="101" spans="1:15" ht="24.75" customHeight="1">
      <c r="A101" s="267"/>
      <c r="B101" s="268"/>
      <c r="C101" s="291" t="s">
        <v>360</v>
      </c>
      <c r="D101" s="301" t="s">
        <v>361</v>
      </c>
      <c r="E101" s="271"/>
      <c r="F101" s="593" t="s">
        <v>210</v>
      </c>
      <c r="G101" s="329">
        <v>2500</v>
      </c>
      <c r="H101" s="329">
        <v>0</v>
      </c>
      <c r="I101" s="274">
        <f t="shared" si="7"/>
        <v>2500</v>
      </c>
      <c r="J101" s="289">
        <v>-1115</v>
      </c>
      <c r="K101" s="289"/>
      <c r="L101" s="289">
        <f t="shared" si="8"/>
        <v>-1115</v>
      </c>
      <c r="M101" s="289">
        <f t="shared" si="9"/>
        <v>1385</v>
      </c>
      <c r="N101" s="289">
        <f t="shared" si="10"/>
        <v>0</v>
      </c>
      <c r="O101" s="289">
        <f t="shared" si="11"/>
        <v>1385</v>
      </c>
    </row>
    <row r="102" spans="1:15" ht="12.75" customHeight="1">
      <c r="A102" s="267"/>
      <c r="B102" s="268"/>
      <c r="C102" s="291" t="s">
        <v>362</v>
      </c>
      <c r="D102" s="277" t="s">
        <v>363</v>
      </c>
      <c r="E102" s="271"/>
      <c r="F102" s="593"/>
      <c r="G102" s="329">
        <v>0</v>
      </c>
      <c r="H102" s="329">
        <v>0</v>
      </c>
      <c r="I102" s="274">
        <f t="shared" si="7"/>
        <v>0</v>
      </c>
      <c r="J102" s="289"/>
      <c r="K102" s="289"/>
      <c r="L102" s="289">
        <f t="shared" si="8"/>
        <v>0</v>
      </c>
      <c r="M102" s="289">
        <f t="shared" si="9"/>
        <v>0</v>
      </c>
      <c r="N102" s="289">
        <f t="shared" si="10"/>
        <v>0</v>
      </c>
      <c r="O102" s="289">
        <f t="shared" si="11"/>
        <v>0</v>
      </c>
    </row>
    <row r="103" spans="1:15" ht="24.75" customHeight="1">
      <c r="A103" s="267"/>
      <c r="B103" s="268"/>
      <c r="C103" s="291" t="s">
        <v>364</v>
      </c>
      <c r="D103" s="277" t="s">
        <v>365</v>
      </c>
      <c r="E103" s="271"/>
      <c r="F103" s="593"/>
      <c r="G103" s="329">
        <v>130</v>
      </c>
      <c r="H103" s="329">
        <v>0</v>
      </c>
      <c r="I103" s="274">
        <f t="shared" si="7"/>
        <v>130</v>
      </c>
      <c r="J103" s="289"/>
      <c r="K103" s="289"/>
      <c r="L103" s="289">
        <f t="shared" si="8"/>
        <v>0</v>
      </c>
      <c r="M103" s="289">
        <f t="shared" si="9"/>
        <v>130</v>
      </c>
      <c r="N103" s="289">
        <f t="shared" si="10"/>
        <v>0</v>
      </c>
      <c r="O103" s="289">
        <f t="shared" si="11"/>
        <v>130</v>
      </c>
    </row>
    <row r="104" spans="1:15" ht="12.75" customHeight="1">
      <c r="A104" s="267"/>
      <c r="B104" s="268"/>
      <c r="C104" s="291" t="s">
        <v>366</v>
      </c>
      <c r="D104" s="302" t="s">
        <v>367</v>
      </c>
      <c r="E104" s="271"/>
      <c r="F104" s="593"/>
      <c r="G104" s="329">
        <v>3000</v>
      </c>
      <c r="H104" s="329">
        <v>0</v>
      </c>
      <c r="I104" s="274">
        <f t="shared" si="7"/>
        <v>3000</v>
      </c>
      <c r="J104" s="289"/>
      <c r="K104" s="289"/>
      <c r="L104" s="289">
        <f t="shared" si="8"/>
        <v>0</v>
      </c>
      <c r="M104" s="289">
        <f t="shared" si="9"/>
        <v>3000</v>
      </c>
      <c r="N104" s="289">
        <f t="shared" si="10"/>
        <v>0</v>
      </c>
      <c r="O104" s="289">
        <f t="shared" si="11"/>
        <v>3000</v>
      </c>
    </row>
    <row r="105" spans="1:15" ht="12.75" customHeight="1">
      <c r="A105" s="267"/>
      <c r="B105" s="268"/>
      <c r="C105" s="291" t="s">
        <v>368</v>
      </c>
      <c r="D105" s="302" t="s">
        <v>369</v>
      </c>
      <c r="E105" s="271"/>
      <c r="F105" s="593"/>
      <c r="G105" s="329">
        <v>0</v>
      </c>
      <c r="H105" s="329">
        <v>0</v>
      </c>
      <c r="I105" s="274">
        <f t="shared" si="7"/>
        <v>0</v>
      </c>
      <c r="J105" s="289"/>
      <c r="K105" s="289"/>
      <c r="L105" s="289">
        <f t="shared" si="8"/>
        <v>0</v>
      </c>
      <c r="M105" s="289">
        <f t="shared" si="9"/>
        <v>0</v>
      </c>
      <c r="N105" s="289">
        <f t="shared" si="10"/>
        <v>0</v>
      </c>
      <c r="O105" s="289">
        <f t="shared" si="11"/>
        <v>0</v>
      </c>
    </row>
    <row r="106" spans="1:15" ht="24.75" customHeight="1">
      <c r="A106" s="267"/>
      <c r="B106" s="268"/>
      <c r="C106" s="291" t="s">
        <v>370</v>
      </c>
      <c r="D106" s="277" t="s">
        <v>371</v>
      </c>
      <c r="E106" s="271"/>
      <c r="F106" s="593" t="s">
        <v>210</v>
      </c>
      <c r="G106" s="329">
        <v>1800</v>
      </c>
      <c r="H106" s="329">
        <v>0</v>
      </c>
      <c r="I106" s="274">
        <f t="shared" si="7"/>
        <v>1800</v>
      </c>
      <c r="J106" s="289">
        <v>-463</v>
      </c>
      <c r="K106" s="289"/>
      <c r="L106" s="289">
        <f t="shared" si="8"/>
        <v>-463</v>
      </c>
      <c r="M106" s="289">
        <f t="shared" si="9"/>
        <v>1337</v>
      </c>
      <c r="N106" s="289">
        <f t="shared" si="10"/>
        <v>0</v>
      </c>
      <c r="O106" s="289">
        <f t="shared" si="11"/>
        <v>1337</v>
      </c>
    </row>
    <row r="107" spans="1:15" ht="24.75" customHeight="1">
      <c r="A107" s="267"/>
      <c r="B107" s="268"/>
      <c r="C107" s="291" t="s">
        <v>372</v>
      </c>
      <c r="D107" s="277" t="s">
        <v>373</v>
      </c>
      <c r="E107" s="271"/>
      <c r="F107" s="593"/>
      <c r="G107" s="329">
        <v>1500</v>
      </c>
      <c r="H107" s="329">
        <v>0</v>
      </c>
      <c r="I107" s="274">
        <f t="shared" si="7"/>
        <v>1500</v>
      </c>
      <c r="J107" s="289"/>
      <c r="K107" s="289"/>
      <c r="L107" s="289">
        <f t="shared" si="8"/>
        <v>0</v>
      </c>
      <c r="M107" s="289">
        <f t="shared" si="9"/>
        <v>1500</v>
      </c>
      <c r="N107" s="289">
        <f t="shared" si="10"/>
        <v>0</v>
      </c>
      <c r="O107" s="289">
        <f t="shared" si="11"/>
        <v>1500</v>
      </c>
    </row>
    <row r="108" spans="1:15" ht="12.75" customHeight="1">
      <c r="A108" s="267"/>
      <c r="B108" s="268"/>
      <c r="C108" s="291" t="s">
        <v>374</v>
      </c>
      <c r="D108" s="277" t="s">
        <v>375</v>
      </c>
      <c r="E108" s="271"/>
      <c r="F108" s="593"/>
      <c r="G108" s="329">
        <v>8000</v>
      </c>
      <c r="H108" s="329">
        <v>0</v>
      </c>
      <c r="I108" s="274">
        <f t="shared" si="7"/>
        <v>8000</v>
      </c>
      <c r="J108" s="289"/>
      <c r="K108" s="289"/>
      <c r="L108" s="289">
        <f t="shared" si="8"/>
        <v>0</v>
      </c>
      <c r="M108" s="289">
        <f t="shared" si="9"/>
        <v>8000</v>
      </c>
      <c r="N108" s="289">
        <f t="shared" si="10"/>
        <v>0</v>
      </c>
      <c r="O108" s="289">
        <f t="shared" si="11"/>
        <v>8000</v>
      </c>
    </row>
    <row r="109" spans="1:15" ht="12.75" customHeight="1">
      <c r="A109" s="267"/>
      <c r="B109" s="268"/>
      <c r="C109" s="291" t="s">
        <v>376</v>
      </c>
      <c r="D109" s="303" t="s">
        <v>377</v>
      </c>
      <c r="E109" s="271"/>
      <c r="F109" s="593"/>
      <c r="G109" s="329">
        <v>0</v>
      </c>
      <c r="H109" s="329">
        <v>6000</v>
      </c>
      <c r="I109" s="274">
        <f t="shared" si="7"/>
        <v>6000</v>
      </c>
      <c r="J109" s="289"/>
      <c r="K109" s="289"/>
      <c r="L109" s="289">
        <f t="shared" si="8"/>
        <v>0</v>
      </c>
      <c r="M109" s="289">
        <f t="shared" si="9"/>
        <v>0</v>
      </c>
      <c r="N109" s="289">
        <f t="shared" si="10"/>
        <v>6000</v>
      </c>
      <c r="O109" s="289">
        <f t="shared" si="11"/>
        <v>6000</v>
      </c>
    </row>
    <row r="110" spans="1:15" ht="12.75" customHeight="1">
      <c r="A110" s="267"/>
      <c r="B110" s="268"/>
      <c r="C110" s="291" t="s">
        <v>378</v>
      </c>
      <c r="D110" s="303" t="s">
        <v>379</v>
      </c>
      <c r="E110" s="271"/>
      <c r="F110" s="593"/>
      <c r="G110" s="329">
        <v>500</v>
      </c>
      <c r="H110" s="329">
        <v>0</v>
      </c>
      <c r="I110" s="274">
        <f t="shared" si="7"/>
        <v>500</v>
      </c>
      <c r="J110" s="289"/>
      <c r="K110" s="289"/>
      <c r="L110" s="289">
        <f t="shared" si="8"/>
        <v>0</v>
      </c>
      <c r="M110" s="289">
        <f t="shared" si="9"/>
        <v>500</v>
      </c>
      <c r="N110" s="289">
        <f t="shared" si="10"/>
        <v>0</v>
      </c>
      <c r="O110" s="289">
        <f t="shared" si="11"/>
        <v>500</v>
      </c>
    </row>
    <row r="111" spans="1:15" ht="24.75" customHeight="1">
      <c r="A111" s="267"/>
      <c r="B111" s="268"/>
      <c r="C111" s="291" t="s">
        <v>1058</v>
      </c>
      <c r="D111" s="576" t="s">
        <v>1110</v>
      </c>
      <c r="E111" s="271"/>
      <c r="F111" s="593"/>
      <c r="G111" s="329">
        <v>0</v>
      </c>
      <c r="H111" s="329">
        <v>500</v>
      </c>
      <c r="I111" s="274">
        <f aca="true" t="shared" si="12" ref="I111:I133">SUM(G111:H111)</f>
        <v>500</v>
      </c>
      <c r="J111" s="289"/>
      <c r="K111" s="289"/>
      <c r="L111" s="289">
        <f t="shared" si="8"/>
        <v>0</v>
      </c>
      <c r="M111" s="289">
        <f t="shared" si="9"/>
        <v>0</v>
      </c>
      <c r="N111" s="289">
        <f t="shared" si="10"/>
        <v>500</v>
      </c>
      <c r="O111" s="289">
        <f t="shared" si="11"/>
        <v>500</v>
      </c>
    </row>
    <row r="112" spans="1:15" ht="12.75" customHeight="1">
      <c r="A112" s="267"/>
      <c r="B112" s="268"/>
      <c r="C112" s="291" t="s">
        <v>1059</v>
      </c>
      <c r="D112" s="576" t="s">
        <v>1111</v>
      </c>
      <c r="E112" s="271"/>
      <c r="F112" s="593"/>
      <c r="G112" s="329">
        <v>997</v>
      </c>
      <c r="H112" s="329"/>
      <c r="I112" s="274">
        <f t="shared" si="12"/>
        <v>997</v>
      </c>
      <c r="J112" s="289"/>
      <c r="K112" s="289"/>
      <c r="L112" s="289">
        <f t="shared" si="8"/>
        <v>0</v>
      </c>
      <c r="M112" s="289">
        <f t="shared" si="9"/>
        <v>997</v>
      </c>
      <c r="N112" s="289"/>
      <c r="O112" s="289">
        <f t="shared" si="11"/>
        <v>997</v>
      </c>
    </row>
    <row r="113" spans="1:15" ht="12.75" customHeight="1">
      <c r="A113" s="267"/>
      <c r="B113" s="268"/>
      <c r="C113" s="285"/>
      <c r="D113" s="278" t="s">
        <v>279</v>
      </c>
      <c r="E113" s="271"/>
      <c r="F113" s="593"/>
      <c r="G113" s="329">
        <v>0</v>
      </c>
      <c r="H113" s="329">
        <v>0</v>
      </c>
      <c r="I113" s="274">
        <f t="shared" si="12"/>
        <v>0</v>
      </c>
      <c r="J113" s="289"/>
      <c r="K113" s="289"/>
      <c r="L113" s="289">
        <f t="shared" si="8"/>
        <v>0</v>
      </c>
      <c r="M113" s="289">
        <f t="shared" si="9"/>
        <v>0</v>
      </c>
      <c r="N113" s="289">
        <f t="shared" si="10"/>
        <v>0</v>
      </c>
      <c r="O113" s="289">
        <f t="shared" si="11"/>
        <v>0</v>
      </c>
    </row>
    <row r="114" spans="1:15" ht="12.75" customHeight="1">
      <c r="A114" s="267"/>
      <c r="B114" s="268"/>
      <c r="C114" s="291" t="s">
        <v>904</v>
      </c>
      <c r="D114" s="304" t="s">
        <v>380</v>
      </c>
      <c r="E114" s="271"/>
      <c r="F114" s="593"/>
      <c r="G114" s="329">
        <v>1905</v>
      </c>
      <c r="H114" s="329">
        <v>0</v>
      </c>
      <c r="I114" s="274">
        <f t="shared" si="12"/>
        <v>1905</v>
      </c>
      <c r="J114" s="289"/>
      <c r="K114" s="289"/>
      <c r="L114" s="289">
        <f t="shared" si="8"/>
        <v>0</v>
      </c>
      <c r="M114" s="289">
        <f t="shared" si="9"/>
        <v>1905</v>
      </c>
      <c r="N114" s="289">
        <f t="shared" si="10"/>
        <v>0</v>
      </c>
      <c r="O114" s="289">
        <f t="shared" si="11"/>
        <v>1905</v>
      </c>
    </row>
    <row r="115" spans="1:15" ht="12.75" customHeight="1">
      <c r="A115" s="267"/>
      <c r="B115" s="268"/>
      <c r="C115" s="285" t="s">
        <v>182</v>
      </c>
      <c r="D115" s="293" t="s">
        <v>183</v>
      </c>
      <c r="E115" s="271"/>
      <c r="F115" s="593"/>
      <c r="G115" s="289"/>
      <c r="H115" s="329"/>
      <c r="I115" s="274">
        <f t="shared" si="12"/>
        <v>0</v>
      </c>
      <c r="J115" s="289"/>
      <c r="K115" s="289"/>
      <c r="L115" s="289"/>
      <c r="M115" s="289"/>
      <c r="N115" s="289"/>
      <c r="O115" s="289"/>
    </row>
    <row r="116" spans="1:15" ht="24.75" customHeight="1">
      <c r="A116" s="267"/>
      <c r="B116" s="268"/>
      <c r="C116" s="291" t="s">
        <v>905</v>
      </c>
      <c r="D116" s="305" t="s">
        <v>381</v>
      </c>
      <c r="E116" s="271"/>
      <c r="F116" s="593"/>
      <c r="G116" s="289">
        <v>2398</v>
      </c>
      <c r="H116" s="329">
        <v>0</v>
      </c>
      <c r="I116" s="274">
        <f t="shared" si="12"/>
        <v>2398</v>
      </c>
      <c r="J116" s="289"/>
      <c r="K116" s="289"/>
      <c r="L116" s="289">
        <f t="shared" si="8"/>
        <v>0</v>
      </c>
      <c r="M116" s="289">
        <f t="shared" si="9"/>
        <v>2398</v>
      </c>
      <c r="N116" s="289">
        <f t="shared" si="10"/>
        <v>0</v>
      </c>
      <c r="O116" s="289">
        <f t="shared" si="11"/>
        <v>2398</v>
      </c>
    </row>
    <row r="117" spans="1:15" ht="12.75" customHeight="1">
      <c r="A117" s="267"/>
      <c r="B117" s="268"/>
      <c r="C117" s="291" t="s">
        <v>906</v>
      </c>
      <c r="D117" s="306" t="s">
        <v>383</v>
      </c>
      <c r="E117" s="271"/>
      <c r="F117" s="593" t="s">
        <v>399</v>
      </c>
      <c r="G117" s="289">
        <v>4000</v>
      </c>
      <c r="H117" s="329">
        <v>0</v>
      </c>
      <c r="I117" s="274">
        <f t="shared" si="12"/>
        <v>4000</v>
      </c>
      <c r="J117" s="289">
        <v>4865</v>
      </c>
      <c r="K117" s="289"/>
      <c r="L117" s="289">
        <f t="shared" si="8"/>
        <v>4865</v>
      </c>
      <c r="M117" s="289">
        <f t="shared" si="9"/>
        <v>8865</v>
      </c>
      <c r="N117" s="289">
        <f t="shared" si="10"/>
        <v>0</v>
      </c>
      <c r="O117" s="289">
        <f t="shared" si="11"/>
        <v>8865</v>
      </c>
    </row>
    <row r="118" spans="1:15" ht="12.75" customHeight="1">
      <c r="A118" s="267"/>
      <c r="B118" s="268"/>
      <c r="C118" s="285" t="s">
        <v>186</v>
      </c>
      <c r="D118" s="286" t="s">
        <v>187</v>
      </c>
      <c r="E118" s="271"/>
      <c r="F118" s="593"/>
      <c r="G118" s="289"/>
      <c r="H118" s="329"/>
      <c r="I118" s="274">
        <f t="shared" si="12"/>
        <v>0</v>
      </c>
      <c r="J118" s="289"/>
      <c r="K118" s="289"/>
      <c r="L118" s="289"/>
      <c r="M118" s="289"/>
      <c r="N118" s="289"/>
      <c r="O118" s="289"/>
    </row>
    <row r="119" spans="1:15" ht="12.75" customHeight="1">
      <c r="A119" s="267"/>
      <c r="B119" s="268"/>
      <c r="C119" s="291" t="s">
        <v>188</v>
      </c>
      <c r="D119" s="294" t="s">
        <v>384</v>
      </c>
      <c r="E119" s="271"/>
      <c r="F119" s="593"/>
      <c r="G119" s="289">
        <v>0</v>
      </c>
      <c r="H119" s="329">
        <v>0</v>
      </c>
      <c r="I119" s="274">
        <f t="shared" si="12"/>
        <v>0</v>
      </c>
      <c r="J119" s="289"/>
      <c r="K119" s="289"/>
      <c r="L119" s="289">
        <f t="shared" si="8"/>
        <v>0</v>
      </c>
      <c r="M119" s="289">
        <f t="shared" si="9"/>
        <v>0</v>
      </c>
      <c r="N119" s="289">
        <f t="shared" si="10"/>
        <v>0</v>
      </c>
      <c r="O119" s="289">
        <f t="shared" si="11"/>
        <v>0</v>
      </c>
    </row>
    <row r="120" spans="1:15" ht="12.75" customHeight="1">
      <c r="A120" s="267"/>
      <c r="B120" s="268"/>
      <c r="C120" s="291" t="s">
        <v>189</v>
      </c>
      <c r="D120" s="294" t="s">
        <v>385</v>
      </c>
      <c r="E120" s="271"/>
      <c r="F120" s="593"/>
      <c r="G120" s="289">
        <v>2000</v>
      </c>
      <c r="H120" s="329">
        <v>0</v>
      </c>
      <c r="I120" s="274">
        <f t="shared" si="12"/>
        <v>2000</v>
      </c>
      <c r="J120" s="289"/>
      <c r="K120" s="289"/>
      <c r="L120" s="289">
        <f t="shared" si="8"/>
        <v>0</v>
      </c>
      <c r="M120" s="289">
        <f t="shared" si="9"/>
        <v>2000</v>
      </c>
      <c r="N120" s="289">
        <f t="shared" si="10"/>
        <v>0</v>
      </c>
      <c r="O120" s="289">
        <f t="shared" si="11"/>
        <v>2000</v>
      </c>
    </row>
    <row r="121" spans="1:15" ht="12.75" customHeight="1">
      <c r="A121" s="267"/>
      <c r="B121" s="268"/>
      <c r="C121" s="291" t="s">
        <v>190</v>
      </c>
      <c r="D121" s="249" t="s">
        <v>386</v>
      </c>
      <c r="E121" s="271"/>
      <c r="F121" s="593" t="s">
        <v>210</v>
      </c>
      <c r="G121" s="289">
        <v>3231</v>
      </c>
      <c r="H121" s="329">
        <v>0</v>
      </c>
      <c r="I121" s="274">
        <f t="shared" si="12"/>
        <v>3231</v>
      </c>
      <c r="J121" s="289">
        <v>1182</v>
      </c>
      <c r="K121" s="289"/>
      <c r="L121" s="289">
        <f t="shared" si="8"/>
        <v>1182</v>
      </c>
      <c r="M121" s="289">
        <f t="shared" si="9"/>
        <v>4413</v>
      </c>
      <c r="N121" s="289">
        <f t="shared" si="10"/>
        <v>0</v>
      </c>
      <c r="O121" s="289">
        <f t="shared" si="11"/>
        <v>4413</v>
      </c>
    </row>
    <row r="122" spans="1:15" ht="24.75" customHeight="1">
      <c r="A122" s="267"/>
      <c r="B122" s="268"/>
      <c r="C122" s="291" t="s">
        <v>191</v>
      </c>
      <c r="D122" s="307" t="s">
        <v>1061</v>
      </c>
      <c r="E122" s="308"/>
      <c r="F122" s="610"/>
      <c r="G122" s="289">
        <v>0</v>
      </c>
      <c r="H122" s="329">
        <v>500</v>
      </c>
      <c r="I122" s="274">
        <f t="shared" si="12"/>
        <v>500</v>
      </c>
      <c r="J122" s="289"/>
      <c r="K122" s="289"/>
      <c r="L122" s="289">
        <f t="shared" si="8"/>
        <v>0</v>
      </c>
      <c r="M122" s="289">
        <f t="shared" si="9"/>
        <v>0</v>
      </c>
      <c r="N122" s="289">
        <f t="shared" si="10"/>
        <v>500</v>
      </c>
      <c r="O122" s="289">
        <f t="shared" si="11"/>
        <v>500</v>
      </c>
    </row>
    <row r="123" spans="1:15" ht="24.75" customHeight="1">
      <c r="A123" s="275"/>
      <c r="B123" s="276"/>
      <c r="C123" s="291" t="s">
        <v>908</v>
      </c>
      <c r="D123" s="309" t="s">
        <v>1126</v>
      </c>
      <c r="E123" s="256"/>
      <c r="F123" s="610" t="s">
        <v>210</v>
      </c>
      <c r="G123" s="289">
        <v>22914</v>
      </c>
      <c r="H123" s="329">
        <v>0</v>
      </c>
      <c r="I123" s="274">
        <f t="shared" si="12"/>
        <v>22914</v>
      </c>
      <c r="J123" s="289">
        <v>-8299</v>
      </c>
      <c r="K123" s="289"/>
      <c r="L123" s="289">
        <f t="shared" si="8"/>
        <v>-8299</v>
      </c>
      <c r="M123" s="289">
        <f t="shared" si="9"/>
        <v>14615</v>
      </c>
      <c r="N123" s="289">
        <f t="shared" si="10"/>
        <v>0</v>
      </c>
      <c r="O123" s="289">
        <f t="shared" si="11"/>
        <v>14615</v>
      </c>
    </row>
    <row r="124" spans="1:15" ht="24.75" customHeight="1">
      <c r="A124" s="267"/>
      <c r="B124" s="268"/>
      <c r="C124" s="291" t="s">
        <v>909</v>
      </c>
      <c r="D124" s="353" t="s">
        <v>1075</v>
      </c>
      <c r="E124" s="256"/>
      <c r="F124" s="610" t="s">
        <v>1261</v>
      </c>
      <c r="G124" s="289">
        <v>993</v>
      </c>
      <c r="H124" s="329">
        <v>0</v>
      </c>
      <c r="I124" s="274">
        <f t="shared" si="12"/>
        <v>993</v>
      </c>
      <c r="J124" s="289">
        <v>36</v>
      </c>
      <c r="K124" s="289"/>
      <c r="L124" s="289">
        <f t="shared" si="8"/>
        <v>36</v>
      </c>
      <c r="M124" s="289">
        <f t="shared" si="9"/>
        <v>1029</v>
      </c>
      <c r="N124" s="289">
        <f t="shared" si="10"/>
        <v>0</v>
      </c>
      <c r="O124" s="289">
        <f t="shared" si="11"/>
        <v>1029</v>
      </c>
    </row>
    <row r="125" spans="1:15" ht="15" customHeight="1">
      <c r="A125" s="267"/>
      <c r="B125" s="268"/>
      <c r="C125" s="291" t="s">
        <v>1073</v>
      </c>
      <c r="D125" s="353" t="s">
        <v>1112</v>
      </c>
      <c r="E125" s="256"/>
      <c r="F125" s="610"/>
      <c r="G125" s="329">
        <v>150</v>
      </c>
      <c r="H125" s="329">
        <v>0</v>
      </c>
      <c r="I125" s="274">
        <f t="shared" si="12"/>
        <v>150</v>
      </c>
      <c r="J125" s="289"/>
      <c r="K125" s="289"/>
      <c r="L125" s="289">
        <f t="shared" si="8"/>
        <v>0</v>
      </c>
      <c r="M125" s="289">
        <f t="shared" si="9"/>
        <v>150</v>
      </c>
      <c r="N125" s="289">
        <f t="shared" si="10"/>
        <v>0</v>
      </c>
      <c r="O125" s="289">
        <f t="shared" si="11"/>
        <v>150</v>
      </c>
    </row>
    <row r="126" spans="1:15" ht="15" customHeight="1">
      <c r="A126" s="267"/>
      <c r="B126" s="268"/>
      <c r="C126" s="291" t="s">
        <v>1064</v>
      </c>
      <c r="D126" s="32" t="s">
        <v>1113</v>
      </c>
      <c r="E126" s="256"/>
      <c r="F126" s="610"/>
      <c r="G126" s="329">
        <v>463</v>
      </c>
      <c r="H126" s="329">
        <v>0</v>
      </c>
      <c r="I126" s="274">
        <f t="shared" si="12"/>
        <v>463</v>
      </c>
      <c r="J126" s="289"/>
      <c r="K126" s="289"/>
      <c r="L126" s="289">
        <f t="shared" si="8"/>
        <v>0</v>
      </c>
      <c r="M126" s="289">
        <f t="shared" si="9"/>
        <v>463</v>
      </c>
      <c r="N126" s="289">
        <f t="shared" si="10"/>
        <v>0</v>
      </c>
      <c r="O126" s="289">
        <f t="shared" si="11"/>
        <v>463</v>
      </c>
    </row>
    <row r="127" spans="1:15" ht="15" customHeight="1">
      <c r="A127" s="267"/>
      <c r="B127" s="268"/>
      <c r="C127" s="291" t="s">
        <v>1065</v>
      </c>
      <c r="D127" s="90" t="s">
        <v>1114</v>
      </c>
      <c r="E127" s="256"/>
      <c r="F127" s="610" t="s">
        <v>210</v>
      </c>
      <c r="G127" s="329">
        <v>5500</v>
      </c>
      <c r="H127" s="329">
        <v>0</v>
      </c>
      <c r="I127" s="274">
        <f t="shared" si="12"/>
        <v>5500</v>
      </c>
      <c r="J127" s="289">
        <v>100</v>
      </c>
      <c r="K127" s="289"/>
      <c r="L127" s="289">
        <f t="shared" si="8"/>
        <v>100</v>
      </c>
      <c r="M127" s="289">
        <f t="shared" si="9"/>
        <v>5600</v>
      </c>
      <c r="N127" s="289">
        <f t="shared" si="10"/>
        <v>0</v>
      </c>
      <c r="O127" s="289">
        <f t="shared" si="11"/>
        <v>5600</v>
      </c>
    </row>
    <row r="128" spans="1:15" ht="15" customHeight="1">
      <c r="A128" s="267"/>
      <c r="B128" s="268"/>
      <c r="C128" s="291" t="s">
        <v>424</v>
      </c>
      <c r="D128" s="672" t="s">
        <v>425</v>
      </c>
      <c r="E128" s="256"/>
      <c r="F128" s="593"/>
      <c r="G128" s="329"/>
      <c r="H128" s="329">
        <v>254</v>
      </c>
      <c r="I128" s="274">
        <f t="shared" si="12"/>
        <v>254</v>
      </c>
      <c r="J128" s="289"/>
      <c r="K128" s="289"/>
      <c r="L128" s="289">
        <f t="shared" si="8"/>
        <v>0</v>
      </c>
      <c r="M128" s="289"/>
      <c r="N128" s="289">
        <f t="shared" si="10"/>
        <v>254</v>
      </c>
      <c r="O128" s="289">
        <f t="shared" si="11"/>
        <v>254</v>
      </c>
    </row>
    <row r="129" spans="1:15" ht="15" customHeight="1">
      <c r="A129" s="267"/>
      <c r="B129" s="268"/>
      <c r="C129" s="291"/>
      <c r="D129" s="310" t="s">
        <v>279</v>
      </c>
      <c r="E129" s="271"/>
      <c r="F129" s="593"/>
      <c r="G129" s="329"/>
      <c r="H129" s="329"/>
      <c r="I129" s="274">
        <f t="shared" si="12"/>
        <v>0</v>
      </c>
      <c r="J129" s="289"/>
      <c r="K129" s="289"/>
      <c r="L129" s="289"/>
      <c r="M129" s="289"/>
      <c r="N129" s="289"/>
      <c r="O129" s="289"/>
    </row>
    <row r="130" spans="1:15" ht="24.75" customHeight="1">
      <c r="A130" s="267"/>
      <c r="B130" s="268"/>
      <c r="C130" s="291" t="s">
        <v>31</v>
      </c>
      <c r="D130" s="311" t="s">
        <v>907</v>
      </c>
      <c r="E130" s="280"/>
      <c r="F130" s="594"/>
      <c r="G130" s="289">
        <v>3626</v>
      </c>
      <c r="H130" s="329">
        <v>0</v>
      </c>
      <c r="I130" s="274">
        <f t="shared" si="12"/>
        <v>3626</v>
      </c>
      <c r="J130" s="289"/>
      <c r="K130" s="289"/>
      <c r="L130" s="289">
        <f t="shared" si="8"/>
        <v>0</v>
      </c>
      <c r="M130" s="289">
        <f t="shared" si="9"/>
        <v>3626</v>
      </c>
      <c r="N130" s="289">
        <f t="shared" si="10"/>
        <v>0</v>
      </c>
      <c r="O130" s="289">
        <f t="shared" si="11"/>
        <v>3626</v>
      </c>
    </row>
    <row r="131" spans="1:15" ht="15" customHeight="1">
      <c r="A131" s="267"/>
      <c r="B131" s="268"/>
      <c r="C131" s="291" t="s">
        <v>1259</v>
      </c>
      <c r="D131" s="304" t="s">
        <v>387</v>
      </c>
      <c r="E131" s="271"/>
      <c r="F131" s="593"/>
      <c r="G131" s="329">
        <v>0</v>
      </c>
      <c r="H131" s="329">
        <v>0</v>
      </c>
      <c r="I131" s="274">
        <f t="shared" si="12"/>
        <v>0</v>
      </c>
      <c r="J131" s="289"/>
      <c r="K131" s="289"/>
      <c r="L131" s="289">
        <f t="shared" si="8"/>
        <v>0</v>
      </c>
      <c r="M131" s="289">
        <f t="shared" si="9"/>
        <v>0</v>
      </c>
      <c r="N131" s="289">
        <f t="shared" si="10"/>
        <v>0</v>
      </c>
      <c r="O131" s="289">
        <f t="shared" si="11"/>
        <v>0</v>
      </c>
    </row>
    <row r="132" spans="1:15" ht="15" customHeight="1">
      <c r="A132" s="267"/>
      <c r="B132" s="268"/>
      <c r="C132" s="291" t="s">
        <v>388</v>
      </c>
      <c r="D132" s="312" t="s">
        <v>389</v>
      </c>
      <c r="E132" s="271"/>
      <c r="F132" s="593"/>
      <c r="G132" s="329">
        <v>48396</v>
      </c>
      <c r="H132" s="329">
        <v>0</v>
      </c>
      <c r="I132" s="274">
        <f t="shared" si="12"/>
        <v>48396</v>
      </c>
      <c r="J132" s="289"/>
      <c r="K132" s="289"/>
      <c r="L132" s="289">
        <f t="shared" si="8"/>
        <v>0</v>
      </c>
      <c r="M132" s="289">
        <f t="shared" si="9"/>
        <v>48396</v>
      </c>
      <c r="N132" s="289">
        <f t="shared" si="10"/>
        <v>0</v>
      </c>
      <c r="O132" s="289">
        <f t="shared" si="11"/>
        <v>48396</v>
      </c>
    </row>
    <row r="133" spans="1:15" ht="15" customHeight="1">
      <c r="A133" s="267"/>
      <c r="B133" s="268"/>
      <c r="C133" s="291" t="s">
        <v>390</v>
      </c>
      <c r="D133" s="313" t="s">
        <v>391</v>
      </c>
      <c r="E133" s="271"/>
      <c r="F133" s="593" t="s">
        <v>1261</v>
      </c>
      <c r="G133" s="329">
        <v>2000</v>
      </c>
      <c r="H133" s="329">
        <v>0</v>
      </c>
      <c r="I133" s="274">
        <f t="shared" si="12"/>
        <v>2000</v>
      </c>
      <c r="J133" s="289">
        <v>-1500</v>
      </c>
      <c r="K133" s="289"/>
      <c r="L133" s="289">
        <f t="shared" si="8"/>
        <v>-1500</v>
      </c>
      <c r="M133" s="289">
        <f t="shared" si="9"/>
        <v>500</v>
      </c>
      <c r="N133" s="289">
        <f t="shared" si="10"/>
        <v>0</v>
      </c>
      <c r="O133" s="289">
        <f t="shared" si="11"/>
        <v>500</v>
      </c>
    </row>
    <row r="134" spans="1:15" ht="12.75" customHeight="1">
      <c r="A134" s="261"/>
      <c r="B134" s="262"/>
      <c r="C134" s="263"/>
      <c r="D134" s="314" t="s">
        <v>106</v>
      </c>
      <c r="E134" s="315"/>
      <c r="F134" s="597"/>
      <c r="G134" s="266">
        <f>SUM(G40:G133)</f>
        <v>257268</v>
      </c>
      <c r="H134" s="266">
        <f>SUM(H40:H133)</f>
        <v>628349</v>
      </c>
      <c r="I134" s="266">
        <f>SUM(I40:I133)</f>
        <v>885617</v>
      </c>
      <c r="J134" s="266">
        <f aca="true" t="shared" si="13" ref="J134:O134">SUM(J40:J133)</f>
        <v>-3986</v>
      </c>
      <c r="K134" s="266">
        <f t="shared" si="13"/>
        <v>-206514</v>
      </c>
      <c r="L134" s="266">
        <f t="shared" si="13"/>
        <v>-210500</v>
      </c>
      <c r="M134" s="266">
        <f t="shared" si="13"/>
        <v>253282</v>
      </c>
      <c r="N134" s="266">
        <f t="shared" si="13"/>
        <v>421835</v>
      </c>
      <c r="O134" s="266">
        <f t="shared" si="13"/>
        <v>675117</v>
      </c>
    </row>
    <row r="135" spans="1:15" ht="13.5" customHeight="1">
      <c r="A135" s="236">
        <v>1</v>
      </c>
      <c r="B135" s="237">
        <v>16</v>
      </c>
      <c r="C135" s="232"/>
      <c r="D135" s="316" t="s">
        <v>1225</v>
      </c>
      <c r="E135" s="317"/>
      <c r="F135" s="598"/>
      <c r="G135" s="329"/>
      <c r="H135" s="329"/>
      <c r="I135" s="235"/>
      <c r="J135" s="329"/>
      <c r="K135" s="329"/>
      <c r="L135" s="329"/>
      <c r="M135" s="329"/>
      <c r="N135" s="329"/>
      <c r="O135" s="329"/>
    </row>
    <row r="136" spans="1:15" ht="13.5" customHeight="1">
      <c r="A136" s="267"/>
      <c r="B136" s="268"/>
      <c r="C136" s="273">
        <v>1</v>
      </c>
      <c r="D136" s="270" t="s">
        <v>209</v>
      </c>
      <c r="E136" s="271"/>
      <c r="F136" s="593"/>
      <c r="G136" s="329"/>
      <c r="H136" s="329"/>
      <c r="I136" s="274"/>
      <c r="J136" s="329"/>
      <c r="K136" s="329"/>
      <c r="L136" s="329"/>
      <c r="M136" s="329"/>
      <c r="N136" s="329"/>
      <c r="O136" s="329"/>
    </row>
    <row r="137" spans="1:15" ht="36" customHeight="1">
      <c r="A137" s="267"/>
      <c r="B137" s="268"/>
      <c r="C137" s="269" t="s">
        <v>121</v>
      </c>
      <c r="D137" s="320" t="s">
        <v>453</v>
      </c>
      <c r="E137" s="271"/>
      <c r="F137" s="593"/>
      <c r="G137" s="329">
        <v>12500</v>
      </c>
      <c r="H137" s="329">
        <v>0</v>
      </c>
      <c r="I137" s="274">
        <f aca="true" t="shared" si="14" ref="I137:I200">SUM(G137:H137)</f>
        <v>12500</v>
      </c>
      <c r="J137" s="289"/>
      <c r="K137" s="289"/>
      <c r="L137" s="289">
        <f t="shared" si="8"/>
        <v>0</v>
      </c>
      <c r="M137" s="289">
        <f t="shared" si="9"/>
        <v>12500</v>
      </c>
      <c r="N137" s="289">
        <f t="shared" si="10"/>
        <v>0</v>
      </c>
      <c r="O137" s="289">
        <f t="shared" si="11"/>
        <v>12500</v>
      </c>
    </row>
    <row r="138" spans="1:15" ht="24.75" customHeight="1">
      <c r="A138" s="267"/>
      <c r="B138" s="268"/>
      <c r="C138" s="269" t="s">
        <v>122</v>
      </c>
      <c r="D138" s="320" t="s">
        <v>524</v>
      </c>
      <c r="E138" s="271"/>
      <c r="F138" s="593"/>
      <c r="G138" s="329">
        <v>16000</v>
      </c>
      <c r="H138" s="329">
        <v>0</v>
      </c>
      <c r="I138" s="274">
        <f t="shared" si="14"/>
        <v>16000</v>
      </c>
      <c r="J138" s="673"/>
      <c r="K138" s="673"/>
      <c r="L138" s="673">
        <f t="shared" si="8"/>
        <v>0</v>
      </c>
      <c r="M138" s="673">
        <f t="shared" si="9"/>
        <v>16000</v>
      </c>
      <c r="N138" s="673">
        <f t="shared" si="10"/>
        <v>0</v>
      </c>
      <c r="O138" s="673">
        <f t="shared" si="11"/>
        <v>16000</v>
      </c>
    </row>
    <row r="139" spans="1:15" ht="24.75" customHeight="1">
      <c r="A139" s="267"/>
      <c r="B139" s="268"/>
      <c r="C139" s="269" t="s">
        <v>123</v>
      </c>
      <c r="D139" s="320" t="s">
        <v>525</v>
      </c>
      <c r="E139" s="271"/>
      <c r="F139" s="593"/>
      <c r="G139" s="329">
        <v>5100</v>
      </c>
      <c r="H139" s="329">
        <v>0</v>
      </c>
      <c r="I139" s="274">
        <f t="shared" si="14"/>
        <v>5100</v>
      </c>
      <c r="J139" s="289"/>
      <c r="K139" s="289"/>
      <c r="L139" s="289">
        <f t="shared" si="8"/>
        <v>0</v>
      </c>
      <c r="M139" s="289">
        <f t="shared" si="9"/>
        <v>5100</v>
      </c>
      <c r="N139" s="289">
        <f t="shared" si="10"/>
        <v>0</v>
      </c>
      <c r="O139" s="289">
        <f t="shared" si="11"/>
        <v>5100</v>
      </c>
    </row>
    <row r="140" spans="1:15" ht="13.5" customHeight="1">
      <c r="A140" s="267"/>
      <c r="B140" s="268"/>
      <c r="C140" s="269" t="s">
        <v>110</v>
      </c>
      <c r="D140" s="321" t="s">
        <v>526</v>
      </c>
      <c r="E140" s="271"/>
      <c r="F140" s="593" t="s">
        <v>1261</v>
      </c>
      <c r="G140" s="329">
        <v>43472</v>
      </c>
      <c r="H140" s="329">
        <v>0</v>
      </c>
      <c r="I140" s="274">
        <f t="shared" si="14"/>
        <v>43472</v>
      </c>
      <c r="J140" s="329">
        <v>-161</v>
      </c>
      <c r="K140" s="329"/>
      <c r="L140" s="329">
        <f t="shared" si="8"/>
        <v>-161</v>
      </c>
      <c r="M140" s="329">
        <f t="shared" si="9"/>
        <v>43311</v>
      </c>
      <c r="N140" s="329">
        <f t="shared" si="10"/>
        <v>0</v>
      </c>
      <c r="O140" s="329">
        <f t="shared" si="11"/>
        <v>43311</v>
      </c>
    </row>
    <row r="141" spans="1:15" ht="13.5" customHeight="1">
      <c r="A141" s="267"/>
      <c r="B141" s="268"/>
      <c r="C141" s="269" t="s">
        <v>111</v>
      </c>
      <c r="D141" s="249" t="s">
        <v>527</v>
      </c>
      <c r="E141" s="271"/>
      <c r="F141" s="593" t="s">
        <v>210</v>
      </c>
      <c r="G141" s="329">
        <v>5000</v>
      </c>
      <c r="H141" s="329">
        <v>0</v>
      </c>
      <c r="I141" s="274">
        <f t="shared" si="14"/>
        <v>5000</v>
      </c>
      <c r="J141" s="329">
        <v>-239</v>
      </c>
      <c r="K141" s="329"/>
      <c r="L141" s="329">
        <f t="shared" si="8"/>
        <v>-239</v>
      </c>
      <c r="M141" s="329">
        <f t="shared" si="9"/>
        <v>4761</v>
      </c>
      <c r="N141" s="329">
        <f t="shared" si="10"/>
        <v>0</v>
      </c>
      <c r="O141" s="329">
        <f t="shared" si="11"/>
        <v>4761</v>
      </c>
    </row>
    <row r="142" spans="1:15" ht="13.5" customHeight="1">
      <c r="A142" s="267"/>
      <c r="B142" s="268"/>
      <c r="C142" s="269" t="s">
        <v>922</v>
      </c>
      <c r="D142" s="249" t="s">
        <v>528</v>
      </c>
      <c r="E142" s="271"/>
      <c r="F142" s="593" t="s">
        <v>210</v>
      </c>
      <c r="G142" s="329">
        <v>3000</v>
      </c>
      <c r="H142" s="329">
        <v>0</v>
      </c>
      <c r="I142" s="274">
        <f t="shared" si="14"/>
        <v>3000</v>
      </c>
      <c r="J142" s="329">
        <v>-1296</v>
      </c>
      <c r="K142" s="329"/>
      <c r="L142" s="329">
        <f t="shared" si="8"/>
        <v>-1296</v>
      </c>
      <c r="M142" s="329">
        <f t="shared" si="9"/>
        <v>1704</v>
      </c>
      <c r="N142" s="329">
        <f t="shared" si="10"/>
        <v>0</v>
      </c>
      <c r="O142" s="329">
        <f t="shared" si="11"/>
        <v>1704</v>
      </c>
    </row>
    <row r="143" spans="1:15" ht="13.5" customHeight="1">
      <c r="A143" s="267"/>
      <c r="B143" s="268"/>
      <c r="C143" s="273"/>
      <c r="D143" s="278" t="s">
        <v>279</v>
      </c>
      <c r="E143" s="271"/>
      <c r="F143" s="593"/>
      <c r="G143" s="329">
        <v>0</v>
      </c>
      <c r="H143" s="329">
        <v>0</v>
      </c>
      <c r="I143" s="274">
        <f t="shared" si="14"/>
        <v>0</v>
      </c>
      <c r="J143" s="329"/>
      <c r="K143" s="329"/>
      <c r="L143" s="329">
        <f t="shared" si="8"/>
        <v>0</v>
      </c>
      <c r="M143" s="329">
        <f t="shared" si="9"/>
        <v>0</v>
      </c>
      <c r="N143" s="329">
        <f t="shared" si="10"/>
        <v>0</v>
      </c>
      <c r="O143" s="329">
        <f t="shared" si="11"/>
        <v>0</v>
      </c>
    </row>
    <row r="144" spans="1:15" ht="13.5" customHeight="1">
      <c r="A144" s="267"/>
      <c r="B144" s="268"/>
      <c r="C144" s="269" t="s">
        <v>1265</v>
      </c>
      <c r="D144" s="322" t="s">
        <v>912</v>
      </c>
      <c r="E144" s="271"/>
      <c r="F144" s="593"/>
      <c r="G144" s="329">
        <v>157</v>
      </c>
      <c r="H144" s="329">
        <v>0</v>
      </c>
      <c r="I144" s="274">
        <f t="shared" si="14"/>
        <v>157</v>
      </c>
      <c r="J144" s="329"/>
      <c r="K144" s="329"/>
      <c r="L144" s="329">
        <f t="shared" si="8"/>
        <v>0</v>
      </c>
      <c r="M144" s="329">
        <f t="shared" si="9"/>
        <v>157</v>
      </c>
      <c r="N144" s="329">
        <f t="shared" si="10"/>
        <v>0</v>
      </c>
      <c r="O144" s="329">
        <f t="shared" si="11"/>
        <v>157</v>
      </c>
    </row>
    <row r="145" spans="1:15" ht="13.5" customHeight="1">
      <c r="A145" s="267"/>
      <c r="B145" s="268"/>
      <c r="C145" s="269" t="s">
        <v>8</v>
      </c>
      <c r="D145" s="321" t="s">
        <v>529</v>
      </c>
      <c r="E145" s="271"/>
      <c r="F145" s="593"/>
      <c r="G145" s="329">
        <v>20209</v>
      </c>
      <c r="H145" s="329">
        <v>0</v>
      </c>
      <c r="I145" s="274">
        <f t="shared" si="14"/>
        <v>20209</v>
      </c>
      <c r="J145" s="329"/>
      <c r="K145" s="329"/>
      <c r="L145" s="329">
        <f t="shared" si="8"/>
        <v>0</v>
      </c>
      <c r="M145" s="329">
        <f t="shared" si="9"/>
        <v>20209</v>
      </c>
      <c r="N145" s="329">
        <f t="shared" si="10"/>
        <v>0</v>
      </c>
      <c r="O145" s="329">
        <f t="shared" si="11"/>
        <v>20209</v>
      </c>
    </row>
    <row r="146" spans="1:15" ht="13.5" customHeight="1">
      <c r="A146" s="267"/>
      <c r="B146" s="268"/>
      <c r="C146" s="269" t="s">
        <v>9</v>
      </c>
      <c r="D146" s="321" t="s">
        <v>530</v>
      </c>
      <c r="E146" s="271"/>
      <c r="F146" s="593"/>
      <c r="G146" s="329">
        <v>0</v>
      </c>
      <c r="H146" s="329">
        <v>0</v>
      </c>
      <c r="I146" s="274">
        <f t="shared" si="14"/>
        <v>0</v>
      </c>
      <c r="J146" s="329"/>
      <c r="K146" s="329"/>
      <c r="L146" s="329">
        <f t="shared" si="8"/>
        <v>0</v>
      </c>
      <c r="M146" s="329">
        <f t="shared" si="9"/>
        <v>0</v>
      </c>
      <c r="N146" s="329">
        <f t="shared" si="10"/>
        <v>0</v>
      </c>
      <c r="O146" s="329">
        <f t="shared" si="11"/>
        <v>0</v>
      </c>
    </row>
    <row r="147" spans="1:15" ht="15" customHeight="1">
      <c r="A147" s="275"/>
      <c r="B147" s="275"/>
      <c r="C147" s="269" t="s">
        <v>10</v>
      </c>
      <c r="D147" s="323" t="s">
        <v>1146</v>
      </c>
      <c r="E147" s="324"/>
      <c r="F147" s="452"/>
      <c r="G147" s="329">
        <v>900</v>
      </c>
      <c r="H147" s="329">
        <v>0</v>
      </c>
      <c r="I147" s="274">
        <f t="shared" si="14"/>
        <v>900</v>
      </c>
      <c r="J147" s="329"/>
      <c r="K147" s="329"/>
      <c r="L147" s="329">
        <f t="shared" si="8"/>
        <v>0</v>
      </c>
      <c r="M147" s="329">
        <f t="shared" si="9"/>
        <v>900</v>
      </c>
      <c r="N147" s="329">
        <f t="shared" si="10"/>
        <v>0</v>
      </c>
      <c r="O147" s="329">
        <f t="shared" si="11"/>
        <v>900</v>
      </c>
    </row>
    <row r="148" spans="1:15" ht="15" customHeight="1">
      <c r="A148" s="275"/>
      <c r="B148" s="275"/>
      <c r="C148" s="269" t="s">
        <v>1143</v>
      </c>
      <c r="D148" s="325" t="s">
        <v>1152</v>
      </c>
      <c r="E148" s="326"/>
      <c r="F148" s="589"/>
      <c r="G148" s="329">
        <v>343</v>
      </c>
      <c r="H148" s="329">
        <v>0</v>
      </c>
      <c r="I148" s="274">
        <f t="shared" si="14"/>
        <v>343</v>
      </c>
      <c r="J148" s="329"/>
      <c r="K148" s="329"/>
      <c r="L148" s="329">
        <f t="shared" si="8"/>
        <v>0</v>
      </c>
      <c r="M148" s="329">
        <f t="shared" si="9"/>
        <v>343</v>
      </c>
      <c r="N148" s="329">
        <f t="shared" si="10"/>
        <v>0</v>
      </c>
      <c r="O148" s="329">
        <f t="shared" si="11"/>
        <v>343</v>
      </c>
    </row>
    <row r="149" spans="1:15" ht="15" customHeight="1">
      <c r="A149" s="275"/>
      <c r="B149" s="275"/>
      <c r="C149" s="269" t="s">
        <v>1144</v>
      </c>
      <c r="D149" s="327" t="s">
        <v>910</v>
      </c>
      <c r="E149" s="328"/>
      <c r="F149" s="602" t="s">
        <v>1261</v>
      </c>
      <c r="G149" s="329">
        <v>924</v>
      </c>
      <c r="H149" s="329">
        <v>0</v>
      </c>
      <c r="I149" s="274">
        <f t="shared" si="14"/>
        <v>924</v>
      </c>
      <c r="J149" s="329">
        <v>-924</v>
      </c>
      <c r="K149" s="329"/>
      <c r="L149" s="329">
        <f t="shared" si="8"/>
        <v>-924</v>
      </c>
      <c r="M149" s="329">
        <f t="shared" si="9"/>
        <v>0</v>
      </c>
      <c r="N149" s="329">
        <f t="shared" si="10"/>
        <v>0</v>
      </c>
      <c r="O149" s="329">
        <f t="shared" si="11"/>
        <v>0</v>
      </c>
    </row>
    <row r="150" spans="1:15" ht="13.5" customHeight="1">
      <c r="A150" s="330"/>
      <c r="B150" s="330"/>
      <c r="C150" s="281" t="s">
        <v>124</v>
      </c>
      <c r="D150" s="282" t="s">
        <v>901</v>
      </c>
      <c r="E150" s="288"/>
      <c r="F150" s="595"/>
      <c r="G150" s="329"/>
      <c r="H150" s="329"/>
      <c r="I150" s="274">
        <f t="shared" si="14"/>
        <v>0</v>
      </c>
      <c r="J150" s="329"/>
      <c r="K150" s="329"/>
      <c r="L150" s="329"/>
      <c r="M150" s="329"/>
      <c r="N150" s="329"/>
      <c r="O150" s="329"/>
    </row>
    <row r="151" spans="1:15" ht="25.5" customHeight="1">
      <c r="A151" s="330"/>
      <c r="B151" s="330"/>
      <c r="C151" s="254" t="s">
        <v>125</v>
      </c>
      <c r="D151" s="331" t="s">
        <v>531</v>
      </c>
      <c r="E151" s="288"/>
      <c r="F151" s="595" t="s">
        <v>210</v>
      </c>
      <c r="G151" s="289">
        <v>55500</v>
      </c>
      <c r="H151" s="289">
        <v>0</v>
      </c>
      <c r="I151" s="274">
        <f t="shared" si="14"/>
        <v>55500</v>
      </c>
      <c r="J151" s="289">
        <v>-5000</v>
      </c>
      <c r="K151" s="289"/>
      <c r="L151" s="289">
        <f t="shared" si="8"/>
        <v>-5000</v>
      </c>
      <c r="M151" s="289">
        <f t="shared" si="9"/>
        <v>50500</v>
      </c>
      <c r="N151" s="289">
        <f t="shared" si="10"/>
        <v>0</v>
      </c>
      <c r="O151" s="289">
        <f t="shared" si="11"/>
        <v>50500</v>
      </c>
    </row>
    <row r="152" spans="1:15" ht="13.5" customHeight="1">
      <c r="A152" s="330"/>
      <c r="B152" s="330"/>
      <c r="C152" s="254" t="s">
        <v>1237</v>
      </c>
      <c r="D152" s="321" t="s">
        <v>532</v>
      </c>
      <c r="E152" s="288"/>
      <c r="F152" s="595"/>
      <c r="G152" s="329">
        <v>330</v>
      </c>
      <c r="H152" s="329">
        <v>0</v>
      </c>
      <c r="I152" s="274">
        <f t="shared" si="14"/>
        <v>330</v>
      </c>
      <c r="J152" s="329"/>
      <c r="K152" s="329"/>
      <c r="L152" s="329">
        <f t="shared" si="8"/>
        <v>0</v>
      </c>
      <c r="M152" s="329">
        <f t="shared" si="9"/>
        <v>330</v>
      </c>
      <c r="N152" s="329">
        <f t="shared" si="10"/>
        <v>0</v>
      </c>
      <c r="O152" s="329">
        <f t="shared" si="11"/>
        <v>330</v>
      </c>
    </row>
    <row r="153" spans="1:15" ht="13.5" customHeight="1">
      <c r="A153" s="330"/>
      <c r="B153" s="330"/>
      <c r="C153" s="254" t="s">
        <v>911</v>
      </c>
      <c r="D153" s="332" t="s">
        <v>533</v>
      </c>
      <c r="E153" s="288"/>
      <c r="F153" s="595" t="s">
        <v>210</v>
      </c>
      <c r="G153" s="329">
        <v>1000</v>
      </c>
      <c r="H153" s="329">
        <v>0</v>
      </c>
      <c r="I153" s="274">
        <f t="shared" si="14"/>
        <v>1000</v>
      </c>
      <c r="J153" s="329">
        <v>-200</v>
      </c>
      <c r="K153" s="329"/>
      <c r="L153" s="329">
        <f t="shared" si="8"/>
        <v>-200</v>
      </c>
      <c r="M153" s="329">
        <f t="shared" si="9"/>
        <v>800</v>
      </c>
      <c r="N153" s="329">
        <f t="shared" si="10"/>
        <v>0</v>
      </c>
      <c r="O153" s="329">
        <f t="shared" si="11"/>
        <v>800</v>
      </c>
    </row>
    <row r="154" spans="1:15" ht="13.5" customHeight="1">
      <c r="A154" s="330"/>
      <c r="B154" s="330"/>
      <c r="C154" s="281"/>
      <c r="D154" s="278" t="s">
        <v>279</v>
      </c>
      <c r="E154" s="288"/>
      <c r="F154" s="595"/>
      <c r="G154" s="329">
        <v>0</v>
      </c>
      <c r="H154" s="329">
        <v>0</v>
      </c>
      <c r="I154" s="274">
        <f t="shared" si="14"/>
        <v>0</v>
      </c>
      <c r="J154" s="329"/>
      <c r="K154" s="329"/>
      <c r="L154" s="329">
        <f t="shared" si="8"/>
        <v>0</v>
      </c>
      <c r="M154" s="329">
        <f t="shared" si="9"/>
        <v>0</v>
      </c>
      <c r="N154" s="329">
        <f t="shared" si="10"/>
        <v>0</v>
      </c>
      <c r="O154" s="329">
        <f t="shared" si="11"/>
        <v>0</v>
      </c>
    </row>
    <row r="155" spans="1:15" ht="13.5" customHeight="1">
      <c r="A155" s="330"/>
      <c r="B155" s="330"/>
      <c r="C155" s="254" t="s">
        <v>11</v>
      </c>
      <c r="D155" s="333" t="s">
        <v>1153</v>
      </c>
      <c r="E155" s="271"/>
      <c r="F155" s="593"/>
      <c r="G155" s="329">
        <v>239</v>
      </c>
      <c r="H155" s="329">
        <v>0</v>
      </c>
      <c r="I155" s="274">
        <f t="shared" si="14"/>
        <v>239</v>
      </c>
      <c r="J155" s="329"/>
      <c r="K155" s="329"/>
      <c r="L155" s="329">
        <f t="shared" si="8"/>
        <v>0</v>
      </c>
      <c r="M155" s="329">
        <f t="shared" si="9"/>
        <v>239</v>
      </c>
      <c r="N155" s="329">
        <f t="shared" si="10"/>
        <v>0</v>
      </c>
      <c r="O155" s="329">
        <f t="shared" si="11"/>
        <v>239</v>
      </c>
    </row>
    <row r="156" spans="1:15" ht="13.5" customHeight="1">
      <c r="A156" s="330"/>
      <c r="B156" s="330"/>
      <c r="C156" s="285" t="s">
        <v>126</v>
      </c>
      <c r="D156" s="286" t="s">
        <v>46</v>
      </c>
      <c r="E156" s="288"/>
      <c r="F156" s="595"/>
      <c r="G156" s="329"/>
      <c r="H156" s="329"/>
      <c r="I156" s="274">
        <f t="shared" si="14"/>
        <v>0</v>
      </c>
      <c r="J156" s="329"/>
      <c r="K156" s="329"/>
      <c r="L156" s="329"/>
      <c r="M156" s="329"/>
      <c r="N156" s="329"/>
      <c r="O156" s="329"/>
    </row>
    <row r="157" spans="1:15" ht="13.5" customHeight="1">
      <c r="A157" s="330"/>
      <c r="B157" s="330"/>
      <c r="C157" s="285"/>
      <c r="D157" s="278" t="s">
        <v>279</v>
      </c>
      <c r="E157" s="288"/>
      <c r="F157" s="595"/>
      <c r="G157" s="329"/>
      <c r="H157" s="329"/>
      <c r="I157" s="274">
        <f t="shared" si="14"/>
        <v>0</v>
      </c>
      <c r="J157" s="329"/>
      <c r="K157" s="329"/>
      <c r="L157" s="329"/>
      <c r="M157" s="329"/>
      <c r="N157" s="329"/>
      <c r="O157" s="329"/>
    </row>
    <row r="158" spans="1:15" ht="15" customHeight="1">
      <c r="A158" s="330"/>
      <c r="B158" s="330"/>
      <c r="C158" s="254" t="s">
        <v>326</v>
      </c>
      <c r="D158" s="334" t="s">
        <v>534</v>
      </c>
      <c r="E158" s="335" t="s">
        <v>1222</v>
      </c>
      <c r="F158" s="595"/>
      <c r="G158" s="329">
        <v>577653</v>
      </c>
      <c r="H158" s="329">
        <v>0</v>
      </c>
      <c r="I158" s="274">
        <f t="shared" si="14"/>
        <v>577653</v>
      </c>
      <c r="J158" s="329"/>
      <c r="K158" s="329"/>
      <c r="L158" s="329">
        <f t="shared" si="8"/>
        <v>0</v>
      </c>
      <c r="M158" s="329">
        <f t="shared" si="9"/>
        <v>577653</v>
      </c>
      <c r="N158" s="329">
        <f t="shared" si="10"/>
        <v>0</v>
      </c>
      <c r="O158" s="329">
        <f t="shared" si="11"/>
        <v>577653</v>
      </c>
    </row>
    <row r="159" spans="1:15" ht="24.75" customHeight="1">
      <c r="A159" s="330"/>
      <c r="B159" s="330"/>
      <c r="C159" s="254" t="s">
        <v>535</v>
      </c>
      <c r="D159" s="334" t="s">
        <v>536</v>
      </c>
      <c r="E159" s="335" t="s">
        <v>1222</v>
      </c>
      <c r="F159" s="595"/>
      <c r="G159" s="329">
        <v>581631</v>
      </c>
      <c r="H159" s="329">
        <v>0</v>
      </c>
      <c r="I159" s="274">
        <f t="shared" si="14"/>
        <v>581631</v>
      </c>
      <c r="J159" s="329"/>
      <c r="K159" s="329"/>
      <c r="L159" s="329">
        <f t="shared" si="8"/>
        <v>0</v>
      </c>
      <c r="M159" s="329">
        <f t="shared" si="9"/>
        <v>581631</v>
      </c>
      <c r="N159" s="329">
        <f t="shared" si="10"/>
        <v>0</v>
      </c>
      <c r="O159" s="329">
        <f t="shared" si="11"/>
        <v>581631</v>
      </c>
    </row>
    <row r="160" spans="1:15" ht="12" customHeight="1">
      <c r="A160" s="285"/>
      <c r="B160" s="285"/>
      <c r="C160" s="285" t="s">
        <v>128</v>
      </c>
      <c r="D160" s="286" t="s">
        <v>133</v>
      </c>
      <c r="E160" s="337"/>
      <c r="F160" s="590"/>
      <c r="G160" s="329"/>
      <c r="H160" s="329"/>
      <c r="I160" s="274">
        <f t="shared" si="14"/>
        <v>0</v>
      </c>
      <c r="J160" s="329"/>
      <c r="K160" s="329"/>
      <c r="L160" s="329"/>
      <c r="M160" s="329"/>
      <c r="N160" s="329"/>
      <c r="O160" s="329"/>
    </row>
    <row r="161" spans="1:15" ht="12" customHeight="1">
      <c r="A161" s="285"/>
      <c r="B161" s="285"/>
      <c r="C161" s="291" t="s">
        <v>134</v>
      </c>
      <c r="D161" s="331" t="s">
        <v>537</v>
      </c>
      <c r="E161" s="337"/>
      <c r="F161" s="590" t="s">
        <v>1261</v>
      </c>
      <c r="G161" s="329">
        <v>5286</v>
      </c>
      <c r="H161" s="329">
        <v>0</v>
      </c>
      <c r="I161" s="274">
        <f t="shared" si="14"/>
        <v>5286</v>
      </c>
      <c r="J161" s="329">
        <v>-55</v>
      </c>
      <c r="K161" s="329"/>
      <c r="L161" s="329">
        <f aca="true" t="shared" si="15" ref="L161:L226">SUM(J161:K161)</f>
        <v>-55</v>
      </c>
      <c r="M161" s="329">
        <f t="shared" si="9"/>
        <v>5231</v>
      </c>
      <c r="N161" s="329">
        <f t="shared" si="10"/>
        <v>0</v>
      </c>
      <c r="O161" s="329">
        <f aca="true" t="shared" si="16" ref="O161:O226">SUM(M161:N161)</f>
        <v>5231</v>
      </c>
    </row>
    <row r="162" spans="1:15" ht="12" customHeight="1">
      <c r="A162" s="285"/>
      <c r="B162" s="285"/>
      <c r="C162" s="291" t="s">
        <v>135</v>
      </c>
      <c r="D162" s="243" t="s">
        <v>538</v>
      </c>
      <c r="E162" s="337"/>
      <c r="F162" s="590"/>
      <c r="G162" s="329">
        <v>3000</v>
      </c>
      <c r="H162" s="329">
        <v>0</v>
      </c>
      <c r="I162" s="274">
        <f t="shared" si="14"/>
        <v>3000</v>
      </c>
      <c r="J162" s="329"/>
      <c r="K162" s="329"/>
      <c r="L162" s="329">
        <f t="shared" si="15"/>
        <v>0</v>
      </c>
      <c r="M162" s="329">
        <f aca="true" t="shared" si="17" ref="M162:M227">SUM(G162+J162)</f>
        <v>3000</v>
      </c>
      <c r="N162" s="329">
        <f aca="true" t="shared" si="18" ref="N162:N227">SUM(H162+K162)</f>
        <v>0</v>
      </c>
      <c r="O162" s="329">
        <f t="shared" si="16"/>
        <v>3000</v>
      </c>
    </row>
    <row r="163" spans="1:15" ht="12" customHeight="1">
      <c r="A163" s="285"/>
      <c r="B163" s="285"/>
      <c r="C163" s="291" t="s">
        <v>136</v>
      </c>
      <c r="D163" s="294" t="s">
        <v>394</v>
      </c>
      <c r="E163" s="271"/>
      <c r="F163" s="593" t="s">
        <v>210</v>
      </c>
      <c r="G163" s="329">
        <v>5000</v>
      </c>
      <c r="H163" s="329">
        <v>0</v>
      </c>
      <c r="I163" s="274">
        <f t="shared" si="14"/>
        <v>5000</v>
      </c>
      <c r="J163" s="329">
        <v>1500</v>
      </c>
      <c r="K163" s="329"/>
      <c r="L163" s="329">
        <f t="shared" si="15"/>
        <v>1500</v>
      </c>
      <c r="M163" s="329">
        <f t="shared" si="17"/>
        <v>6500</v>
      </c>
      <c r="N163" s="329">
        <f t="shared" si="18"/>
        <v>0</v>
      </c>
      <c r="O163" s="329">
        <f t="shared" si="16"/>
        <v>6500</v>
      </c>
    </row>
    <row r="164" spans="1:15" ht="12" customHeight="1">
      <c r="A164" s="285"/>
      <c r="B164" s="285"/>
      <c r="C164" s="291" t="s">
        <v>137</v>
      </c>
      <c r="D164" s="283" t="s">
        <v>539</v>
      </c>
      <c r="E164" s="271"/>
      <c r="F164" s="593"/>
      <c r="G164" s="329">
        <v>20800</v>
      </c>
      <c r="H164" s="329">
        <v>0</v>
      </c>
      <c r="I164" s="274">
        <f t="shared" si="14"/>
        <v>20800</v>
      </c>
      <c r="J164" s="329"/>
      <c r="K164" s="329"/>
      <c r="L164" s="329">
        <f t="shared" si="15"/>
        <v>0</v>
      </c>
      <c r="M164" s="329">
        <f t="shared" si="17"/>
        <v>20800</v>
      </c>
      <c r="N164" s="329">
        <f t="shared" si="18"/>
        <v>0</v>
      </c>
      <c r="O164" s="329">
        <f t="shared" si="16"/>
        <v>20800</v>
      </c>
    </row>
    <row r="165" spans="1:15" ht="12" customHeight="1">
      <c r="A165" s="285"/>
      <c r="B165" s="285"/>
      <c r="C165" s="291" t="s">
        <v>138</v>
      </c>
      <c r="D165" s="294" t="s">
        <v>540</v>
      </c>
      <c r="E165" s="271"/>
      <c r="F165" s="593" t="s">
        <v>210</v>
      </c>
      <c r="G165" s="329">
        <v>64</v>
      </c>
      <c r="H165" s="329">
        <v>0</v>
      </c>
      <c r="I165" s="274">
        <f t="shared" si="14"/>
        <v>64</v>
      </c>
      <c r="J165" s="329">
        <v>2392</v>
      </c>
      <c r="K165" s="329"/>
      <c r="L165" s="329">
        <f t="shared" si="15"/>
        <v>2392</v>
      </c>
      <c r="M165" s="329">
        <f t="shared" si="17"/>
        <v>2456</v>
      </c>
      <c r="N165" s="329">
        <f t="shared" si="18"/>
        <v>0</v>
      </c>
      <c r="O165" s="329">
        <f t="shared" si="16"/>
        <v>2456</v>
      </c>
    </row>
    <row r="166" spans="1:15" ht="12" customHeight="1">
      <c r="A166" s="285"/>
      <c r="B166" s="285"/>
      <c r="C166" s="291" t="s">
        <v>139</v>
      </c>
      <c r="D166" s="294" t="s">
        <v>541</v>
      </c>
      <c r="E166" s="271"/>
      <c r="F166" s="593"/>
      <c r="G166" s="329">
        <v>0</v>
      </c>
      <c r="H166" s="329">
        <v>4000</v>
      </c>
      <c r="I166" s="274">
        <f t="shared" si="14"/>
        <v>4000</v>
      </c>
      <c r="J166" s="329"/>
      <c r="K166" s="329"/>
      <c r="L166" s="329">
        <f t="shared" si="15"/>
        <v>0</v>
      </c>
      <c r="M166" s="329">
        <f t="shared" si="17"/>
        <v>0</v>
      </c>
      <c r="N166" s="329">
        <f t="shared" si="18"/>
        <v>4000</v>
      </c>
      <c r="O166" s="329">
        <f t="shared" si="16"/>
        <v>4000</v>
      </c>
    </row>
    <row r="167" spans="1:15" ht="12" customHeight="1">
      <c r="A167" s="285"/>
      <c r="B167" s="285"/>
      <c r="C167" s="291" t="s">
        <v>140</v>
      </c>
      <c r="D167" s="306" t="s">
        <v>542</v>
      </c>
      <c r="E167" s="271"/>
      <c r="F167" s="593"/>
      <c r="G167" s="329">
        <v>12700</v>
      </c>
      <c r="H167" s="329">
        <v>0</v>
      </c>
      <c r="I167" s="274">
        <f t="shared" si="14"/>
        <v>12700</v>
      </c>
      <c r="J167" s="329"/>
      <c r="K167" s="329"/>
      <c r="L167" s="329">
        <f t="shared" si="15"/>
        <v>0</v>
      </c>
      <c r="M167" s="329">
        <f t="shared" si="17"/>
        <v>12700</v>
      </c>
      <c r="N167" s="329">
        <f t="shared" si="18"/>
        <v>0</v>
      </c>
      <c r="O167" s="329">
        <f t="shared" si="16"/>
        <v>12700</v>
      </c>
    </row>
    <row r="168" spans="1:15" ht="12" customHeight="1">
      <c r="A168" s="285"/>
      <c r="B168" s="285"/>
      <c r="C168" s="291" t="s">
        <v>163</v>
      </c>
      <c r="D168" s="283" t="s">
        <v>886</v>
      </c>
      <c r="E168" s="271"/>
      <c r="F168" s="593"/>
      <c r="G168" s="329">
        <v>4000</v>
      </c>
      <c r="H168" s="329"/>
      <c r="I168" s="274">
        <f t="shared" si="14"/>
        <v>4000</v>
      </c>
      <c r="J168" s="329"/>
      <c r="K168" s="329"/>
      <c r="L168" s="329">
        <f t="shared" si="15"/>
        <v>0</v>
      </c>
      <c r="M168" s="329">
        <f t="shared" si="17"/>
        <v>4000</v>
      </c>
      <c r="N168" s="329"/>
      <c r="O168" s="329">
        <f t="shared" si="16"/>
        <v>4000</v>
      </c>
    </row>
    <row r="169" spans="1:15" ht="12" customHeight="1">
      <c r="A169" s="285"/>
      <c r="B169" s="285"/>
      <c r="C169" s="285"/>
      <c r="D169" s="278" t="s">
        <v>279</v>
      </c>
      <c r="E169" s="337"/>
      <c r="F169" s="590"/>
      <c r="G169" s="329">
        <v>0</v>
      </c>
      <c r="H169" s="329">
        <v>0</v>
      </c>
      <c r="I169" s="274">
        <f t="shared" si="14"/>
        <v>0</v>
      </c>
      <c r="J169" s="329"/>
      <c r="K169" s="329"/>
      <c r="L169" s="329">
        <f t="shared" si="15"/>
        <v>0</v>
      </c>
      <c r="M169" s="329">
        <f t="shared" si="17"/>
        <v>0</v>
      </c>
      <c r="N169" s="329">
        <f t="shared" si="18"/>
        <v>0</v>
      </c>
      <c r="O169" s="329">
        <f t="shared" si="16"/>
        <v>0</v>
      </c>
    </row>
    <row r="170" spans="1:15" ht="12" customHeight="1">
      <c r="A170" s="285"/>
      <c r="B170" s="285"/>
      <c r="C170" s="338" t="s">
        <v>12</v>
      </c>
      <c r="D170" s="311" t="s">
        <v>543</v>
      </c>
      <c r="E170" s="337"/>
      <c r="F170" s="590"/>
      <c r="G170" s="329">
        <v>13510</v>
      </c>
      <c r="H170" s="329">
        <v>0</v>
      </c>
      <c r="I170" s="274">
        <f t="shared" si="14"/>
        <v>13510</v>
      </c>
      <c r="J170" s="329"/>
      <c r="K170" s="329"/>
      <c r="L170" s="329">
        <f t="shared" si="15"/>
        <v>0</v>
      </c>
      <c r="M170" s="329">
        <f t="shared" si="17"/>
        <v>13510</v>
      </c>
      <c r="N170" s="329">
        <f t="shared" si="18"/>
        <v>0</v>
      </c>
      <c r="O170" s="329">
        <f t="shared" si="16"/>
        <v>13510</v>
      </c>
    </row>
    <row r="171" spans="1:15" ht="12" customHeight="1">
      <c r="A171" s="285"/>
      <c r="B171" s="285"/>
      <c r="C171" s="338" t="s">
        <v>13</v>
      </c>
      <c r="D171" s="334" t="s">
        <v>1157</v>
      </c>
      <c r="E171" s="337"/>
      <c r="F171" s="590" t="s">
        <v>210</v>
      </c>
      <c r="G171" s="329">
        <v>19490</v>
      </c>
      <c r="H171" s="329">
        <v>0</v>
      </c>
      <c r="I171" s="274">
        <f t="shared" si="14"/>
        <v>19490</v>
      </c>
      <c r="J171" s="329">
        <v>-3401</v>
      </c>
      <c r="K171" s="329"/>
      <c r="L171" s="329">
        <f t="shared" si="15"/>
        <v>-3401</v>
      </c>
      <c r="M171" s="329">
        <f t="shared" si="17"/>
        <v>16089</v>
      </c>
      <c r="N171" s="329">
        <f t="shared" si="18"/>
        <v>0</v>
      </c>
      <c r="O171" s="329">
        <f t="shared" si="16"/>
        <v>16089</v>
      </c>
    </row>
    <row r="172" spans="1:15" ht="24.75" customHeight="1">
      <c r="A172" s="285"/>
      <c r="B172" s="285"/>
      <c r="C172" s="338" t="s">
        <v>14</v>
      </c>
      <c r="D172" s="339" t="s">
        <v>544</v>
      </c>
      <c r="E172" s="337"/>
      <c r="F172" s="590"/>
      <c r="G172" s="329">
        <v>0</v>
      </c>
      <c r="H172" s="329">
        <v>12100</v>
      </c>
      <c r="I172" s="274">
        <f t="shared" si="14"/>
        <v>12100</v>
      </c>
      <c r="J172" s="329"/>
      <c r="K172" s="329"/>
      <c r="L172" s="329">
        <f t="shared" si="15"/>
        <v>0</v>
      </c>
      <c r="M172" s="329">
        <f t="shared" si="17"/>
        <v>0</v>
      </c>
      <c r="N172" s="329">
        <f t="shared" si="18"/>
        <v>12100</v>
      </c>
      <c r="O172" s="329">
        <f t="shared" si="16"/>
        <v>12100</v>
      </c>
    </row>
    <row r="173" spans="1:15" ht="12" customHeight="1">
      <c r="A173" s="285"/>
      <c r="B173" s="285"/>
      <c r="C173" s="338" t="s">
        <v>15</v>
      </c>
      <c r="D173" s="340" t="s">
        <v>1155</v>
      </c>
      <c r="E173" s="337"/>
      <c r="F173" s="590" t="s">
        <v>210</v>
      </c>
      <c r="G173" s="329">
        <v>30000</v>
      </c>
      <c r="H173" s="329">
        <v>0</v>
      </c>
      <c r="I173" s="274">
        <f t="shared" si="14"/>
        <v>30000</v>
      </c>
      <c r="J173" s="329">
        <v>200</v>
      </c>
      <c r="K173" s="329"/>
      <c r="L173" s="329">
        <f t="shared" si="15"/>
        <v>200</v>
      </c>
      <c r="M173" s="329">
        <f t="shared" si="17"/>
        <v>30200</v>
      </c>
      <c r="N173" s="329">
        <f t="shared" si="18"/>
        <v>0</v>
      </c>
      <c r="O173" s="329">
        <f t="shared" si="16"/>
        <v>30200</v>
      </c>
    </row>
    <row r="174" spans="1:15" ht="12" customHeight="1">
      <c r="A174" s="285"/>
      <c r="B174" s="285"/>
      <c r="C174" s="338" t="s">
        <v>16</v>
      </c>
      <c r="D174" s="341" t="s">
        <v>1156</v>
      </c>
      <c r="E174" s="337"/>
      <c r="F174" s="590" t="s">
        <v>1261</v>
      </c>
      <c r="G174" s="329">
        <v>20979</v>
      </c>
      <c r="H174" s="329">
        <v>0</v>
      </c>
      <c r="I174" s="274">
        <f t="shared" si="14"/>
        <v>20979</v>
      </c>
      <c r="J174" s="329">
        <v>-84</v>
      </c>
      <c r="K174" s="329"/>
      <c r="L174" s="329">
        <f t="shared" si="15"/>
        <v>-84</v>
      </c>
      <c r="M174" s="329">
        <f t="shared" si="17"/>
        <v>20895</v>
      </c>
      <c r="N174" s="329">
        <f t="shared" si="18"/>
        <v>0</v>
      </c>
      <c r="O174" s="329">
        <f t="shared" si="16"/>
        <v>20895</v>
      </c>
    </row>
    <row r="175" spans="1:15" ht="12" customHeight="1">
      <c r="A175" s="285"/>
      <c r="B175" s="285"/>
      <c r="C175" s="338" t="s">
        <v>17</v>
      </c>
      <c r="D175" s="327" t="s">
        <v>1154</v>
      </c>
      <c r="E175" s="337"/>
      <c r="F175" s="590" t="s">
        <v>210</v>
      </c>
      <c r="G175" s="329">
        <v>1519</v>
      </c>
      <c r="H175" s="329">
        <v>0</v>
      </c>
      <c r="I175" s="274">
        <f t="shared" si="14"/>
        <v>1519</v>
      </c>
      <c r="J175" s="329">
        <v>-387</v>
      </c>
      <c r="K175" s="329"/>
      <c r="L175" s="329">
        <f t="shared" si="15"/>
        <v>-387</v>
      </c>
      <c r="M175" s="329">
        <f t="shared" si="17"/>
        <v>1132</v>
      </c>
      <c r="N175" s="329">
        <f t="shared" si="18"/>
        <v>0</v>
      </c>
      <c r="O175" s="329">
        <f t="shared" si="16"/>
        <v>1132</v>
      </c>
    </row>
    <row r="176" spans="1:15" ht="12" customHeight="1">
      <c r="A176" s="285"/>
      <c r="B176" s="285"/>
      <c r="C176" s="338" t="s">
        <v>18</v>
      </c>
      <c r="D176" s="342" t="s">
        <v>545</v>
      </c>
      <c r="E176" s="337"/>
      <c r="F176" s="590" t="s">
        <v>1261</v>
      </c>
      <c r="G176" s="329">
        <v>56</v>
      </c>
      <c r="H176" s="329">
        <v>0</v>
      </c>
      <c r="I176" s="274">
        <f t="shared" si="14"/>
        <v>56</v>
      </c>
      <c r="J176" s="329">
        <v>250</v>
      </c>
      <c r="K176" s="329"/>
      <c r="L176" s="329">
        <f t="shared" si="15"/>
        <v>250</v>
      </c>
      <c r="M176" s="329">
        <f t="shared" si="17"/>
        <v>306</v>
      </c>
      <c r="N176" s="329">
        <f t="shared" si="18"/>
        <v>0</v>
      </c>
      <c r="O176" s="329">
        <f t="shared" si="16"/>
        <v>306</v>
      </c>
    </row>
    <row r="177" spans="1:15" ht="13.5" customHeight="1">
      <c r="A177" s="285"/>
      <c r="B177" s="285"/>
      <c r="C177" s="285" t="s">
        <v>129</v>
      </c>
      <c r="D177" s="286" t="s">
        <v>47</v>
      </c>
      <c r="E177" s="343"/>
      <c r="F177" s="351"/>
      <c r="G177" s="329"/>
      <c r="H177" s="329"/>
      <c r="I177" s="274">
        <f t="shared" si="14"/>
        <v>0</v>
      </c>
      <c r="J177" s="329"/>
      <c r="K177" s="329"/>
      <c r="L177" s="329"/>
      <c r="M177" s="329"/>
      <c r="N177" s="329"/>
      <c r="O177" s="329"/>
    </row>
    <row r="178" spans="1:15" ht="13.5" customHeight="1">
      <c r="A178" s="285"/>
      <c r="B178" s="285"/>
      <c r="C178" s="285"/>
      <c r="D178" s="278" t="s">
        <v>279</v>
      </c>
      <c r="E178" s="343"/>
      <c r="F178" s="351"/>
      <c r="G178" s="329"/>
      <c r="H178" s="329"/>
      <c r="I178" s="274">
        <f t="shared" si="14"/>
        <v>0</v>
      </c>
      <c r="J178" s="329"/>
      <c r="K178" s="329"/>
      <c r="L178" s="329"/>
      <c r="M178" s="329"/>
      <c r="N178" s="329"/>
      <c r="O178" s="329"/>
    </row>
    <row r="179" spans="1:15" ht="13.5" customHeight="1">
      <c r="A179" s="285"/>
      <c r="B179" s="285"/>
      <c r="C179" s="291" t="s">
        <v>280</v>
      </c>
      <c r="D179" s="344" t="s">
        <v>546</v>
      </c>
      <c r="E179" s="271"/>
      <c r="F179" s="593"/>
      <c r="G179" s="329">
        <v>4658</v>
      </c>
      <c r="H179" s="329">
        <v>0</v>
      </c>
      <c r="I179" s="274">
        <f t="shared" si="14"/>
        <v>4658</v>
      </c>
      <c r="J179" s="329"/>
      <c r="K179" s="329"/>
      <c r="L179" s="329">
        <f t="shared" si="15"/>
        <v>0</v>
      </c>
      <c r="M179" s="329">
        <f t="shared" si="17"/>
        <v>4658</v>
      </c>
      <c r="N179" s="329">
        <f t="shared" si="18"/>
        <v>0</v>
      </c>
      <c r="O179" s="329">
        <f t="shared" si="16"/>
        <v>4658</v>
      </c>
    </row>
    <row r="180" spans="1:15" ht="13.5" customHeight="1">
      <c r="A180" s="285"/>
      <c r="B180" s="285"/>
      <c r="C180" s="291" t="s">
        <v>282</v>
      </c>
      <c r="D180" s="345" t="s">
        <v>1255</v>
      </c>
      <c r="E180" s="271"/>
      <c r="F180" s="593" t="s">
        <v>210</v>
      </c>
      <c r="G180" s="329">
        <v>4000</v>
      </c>
      <c r="H180" s="329">
        <v>0</v>
      </c>
      <c r="I180" s="274">
        <f t="shared" si="14"/>
        <v>4000</v>
      </c>
      <c r="J180" s="329">
        <v>2000</v>
      </c>
      <c r="K180" s="329"/>
      <c r="L180" s="329">
        <f t="shared" si="15"/>
        <v>2000</v>
      </c>
      <c r="M180" s="329">
        <f t="shared" si="17"/>
        <v>6000</v>
      </c>
      <c r="N180" s="329">
        <f t="shared" si="18"/>
        <v>0</v>
      </c>
      <c r="O180" s="329">
        <f t="shared" si="16"/>
        <v>6000</v>
      </c>
    </row>
    <row r="181" spans="1:15" ht="13.5" customHeight="1">
      <c r="A181" s="285"/>
      <c r="B181" s="285"/>
      <c r="C181" s="291" t="s">
        <v>283</v>
      </c>
      <c r="D181" s="346" t="s">
        <v>547</v>
      </c>
      <c r="E181" s="271"/>
      <c r="F181" s="593"/>
      <c r="G181" s="329">
        <v>2500</v>
      </c>
      <c r="H181" s="329">
        <v>0</v>
      </c>
      <c r="I181" s="274">
        <f t="shared" si="14"/>
        <v>2500</v>
      </c>
      <c r="J181" s="329"/>
      <c r="K181" s="329"/>
      <c r="L181" s="329">
        <f t="shared" si="15"/>
        <v>0</v>
      </c>
      <c r="M181" s="329">
        <f t="shared" si="17"/>
        <v>2500</v>
      </c>
      <c r="N181" s="329">
        <f t="shared" si="18"/>
        <v>0</v>
      </c>
      <c r="O181" s="329">
        <f t="shared" si="16"/>
        <v>2500</v>
      </c>
    </row>
    <row r="182" spans="1:15" ht="12.75" customHeight="1">
      <c r="A182" s="285"/>
      <c r="B182" s="285"/>
      <c r="C182" s="285" t="s">
        <v>130</v>
      </c>
      <c r="D182" s="286" t="s">
        <v>48</v>
      </c>
      <c r="E182" s="337"/>
      <c r="F182" s="590"/>
      <c r="G182" s="329"/>
      <c r="H182" s="329"/>
      <c r="I182" s="274">
        <f t="shared" si="14"/>
        <v>0</v>
      </c>
      <c r="J182" s="329"/>
      <c r="K182" s="329"/>
      <c r="L182" s="329"/>
      <c r="M182" s="329"/>
      <c r="N182" s="329"/>
      <c r="O182" s="329"/>
    </row>
    <row r="183" spans="1:15" ht="12.75" customHeight="1">
      <c r="A183" s="285"/>
      <c r="B183" s="285"/>
      <c r="C183" s="291" t="s">
        <v>178</v>
      </c>
      <c r="D183" s="345" t="s">
        <v>19</v>
      </c>
      <c r="E183" s="343"/>
      <c r="F183" s="351" t="s">
        <v>210</v>
      </c>
      <c r="G183" s="329">
        <v>5712</v>
      </c>
      <c r="H183" s="329">
        <v>0</v>
      </c>
      <c r="I183" s="274">
        <f t="shared" si="14"/>
        <v>5712</v>
      </c>
      <c r="J183" s="329">
        <v>-1400</v>
      </c>
      <c r="K183" s="329"/>
      <c r="L183" s="329">
        <f t="shared" si="15"/>
        <v>-1400</v>
      </c>
      <c r="M183" s="329">
        <f t="shared" si="17"/>
        <v>4312</v>
      </c>
      <c r="N183" s="329">
        <f t="shared" si="18"/>
        <v>0</v>
      </c>
      <c r="O183" s="329">
        <f t="shared" si="16"/>
        <v>4312</v>
      </c>
    </row>
    <row r="184" spans="1:15" ht="12.75" customHeight="1">
      <c r="A184" s="285"/>
      <c r="B184" s="285"/>
      <c r="C184" s="291"/>
      <c r="D184" s="278" t="s">
        <v>548</v>
      </c>
      <c r="E184" s="343"/>
      <c r="F184" s="351"/>
      <c r="G184" s="329">
        <v>0</v>
      </c>
      <c r="H184" s="329">
        <v>0</v>
      </c>
      <c r="I184" s="274">
        <f t="shared" si="14"/>
        <v>0</v>
      </c>
      <c r="J184" s="329"/>
      <c r="K184" s="329"/>
      <c r="L184" s="329">
        <f t="shared" si="15"/>
        <v>0</v>
      </c>
      <c r="M184" s="329">
        <f t="shared" si="17"/>
        <v>0</v>
      </c>
      <c r="N184" s="329">
        <f t="shared" si="18"/>
        <v>0</v>
      </c>
      <c r="O184" s="329">
        <f t="shared" si="16"/>
        <v>0</v>
      </c>
    </row>
    <row r="185" spans="1:15" ht="12.75" customHeight="1">
      <c r="A185" s="285"/>
      <c r="B185" s="285"/>
      <c r="C185" s="291" t="s">
        <v>20</v>
      </c>
      <c r="D185" s="347" t="s">
        <v>549</v>
      </c>
      <c r="E185" s="343"/>
      <c r="F185" s="351" t="s">
        <v>210</v>
      </c>
      <c r="G185" s="329">
        <v>639</v>
      </c>
      <c r="H185" s="329">
        <v>0</v>
      </c>
      <c r="I185" s="274">
        <f t="shared" si="14"/>
        <v>639</v>
      </c>
      <c r="J185" s="329">
        <v>629</v>
      </c>
      <c r="K185" s="329"/>
      <c r="L185" s="329">
        <f t="shared" si="15"/>
        <v>629</v>
      </c>
      <c r="M185" s="329">
        <f t="shared" si="17"/>
        <v>1268</v>
      </c>
      <c r="N185" s="329">
        <f t="shared" si="18"/>
        <v>0</v>
      </c>
      <c r="O185" s="329">
        <f t="shared" si="16"/>
        <v>1268</v>
      </c>
    </row>
    <row r="186" spans="1:15" ht="24.75" customHeight="1">
      <c r="A186" s="285"/>
      <c r="B186" s="285"/>
      <c r="C186" s="291" t="s">
        <v>1217</v>
      </c>
      <c r="D186" s="348" t="s">
        <v>550</v>
      </c>
      <c r="E186" s="343"/>
      <c r="F186" s="351"/>
      <c r="G186" s="329">
        <v>1500</v>
      </c>
      <c r="H186" s="329">
        <v>0</v>
      </c>
      <c r="I186" s="274">
        <f t="shared" si="14"/>
        <v>1500</v>
      </c>
      <c r="J186" s="329"/>
      <c r="K186" s="329"/>
      <c r="L186" s="329">
        <f t="shared" si="15"/>
        <v>0</v>
      </c>
      <c r="M186" s="329">
        <f t="shared" si="17"/>
        <v>1500</v>
      </c>
      <c r="N186" s="329">
        <f t="shared" si="18"/>
        <v>0</v>
      </c>
      <c r="O186" s="329">
        <f t="shared" si="16"/>
        <v>1500</v>
      </c>
    </row>
    <row r="187" spans="1:15" ht="12.75" customHeight="1">
      <c r="A187" s="285"/>
      <c r="B187" s="285"/>
      <c r="C187" s="291" t="s">
        <v>551</v>
      </c>
      <c r="D187" s="347" t="s">
        <v>552</v>
      </c>
      <c r="E187" s="343"/>
      <c r="F187" s="351"/>
      <c r="G187" s="329">
        <v>2286</v>
      </c>
      <c r="H187" s="329">
        <v>0</v>
      </c>
      <c r="I187" s="274">
        <f t="shared" si="14"/>
        <v>2286</v>
      </c>
      <c r="J187" s="329"/>
      <c r="K187" s="329"/>
      <c r="L187" s="329">
        <f t="shared" si="15"/>
        <v>0</v>
      </c>
      <c r="M187" s="329">
        <f t="shared" si="17"/>
        <v>2286</v>
      </c>
      <c r="N187" s="329">
        <f t="shared" si="18"/>
        <v>0</v>
      </c>
      <c r="O187" s="329">
        <f t="shared" si="16"/>
        <v>2286</v>
      </c>
    </row>
    <row r="188" spans="1:15" ht="12.75" customHeight="1">
      <c r="A188" s="285"/>
      <c r="B188" s="285"/>
      <c r="C188" s="291" t="s">
        <v>553</v>
      </c>
      <c r="D188" s="347" t="s">
        <v>557</v>
      </c>
      <c r="E188" s="343"/>
      <c r="F188" s="351"/>
      <c r="G188" s="329">
        <v>2500</v>
      </c>
      <c r="H188" s="329">
        <v>0</v>
      </c>
      <c r="I188" s="274">
        <f t="shared" si="14"/>
        <v>2500</v>
      </c>
      <c r="J188" s="329"/>
      <c r="K188" s="329"/>
      <c r="L188" s="329">
        <f t="shared" si="15"/>
        <v>0</v>
      </c>
      <c r="M188" s="329">
        <f t="shared" si="17"/>
        <v>2500</v>
      </c>
      <c r="N188" s="329">
        <f t="shared" si="18"/>
        <v>0</v>
      </c>
      <c r="O188" s="329">
        <f t="shared" si="16"/>
        <v>2500</v>
      </c>
    </row>
    <row r="189" spans="1:15" ht="15" customHeight="1">
      <c r="A189" s="285"/>
      <c r="B189" s="285"/>
      <c r="C189" s="291" t="s">
        <v>558</v>
      </c>
      <c r="D189" s="349" t="s">
        <v>559</v>
      </c>
      <c r="E189" s="343"/>
      <c r="F189" s="351"/>
      <c r="G189" s="329">
        <v>950</v>
      </c>
      <c r="H189" s="329">
        <v>0</v>
      </c>
      <c r="I189" s="274">
        <f t="shared" si="14"/>
        <v>950</v>
      </c>
      <c r="J189" s="329"/>
      <c r="K189" s="329"/>
      <c r="L189" s="329">
        <f t="shared" si="15"/>
        <v>0</v>
      </c>
      <c r="M189" s="329">
        <f t="shared" si="17"/>
        <v>950</v>
      </c>
      <c r="N189" s="329">
        <f t="shared" si="18"/>
        <v>0</v>
      </c>
      <c r="O189" s="329">
        <f t="shared" si="16"/>
        <v>950</v>
      </c>
    </row>
    <row r="190" spans="1:15" ht="27" customHeight="1">
      <c r="A190" s="285"/>
      <c r="B190" s="285"/>
      <c r="C190" s="291" t="s">
        <v>179</v>
      </c>
      <c r="D190" s="350" t="s">
        <v>560</v>
      </c>
      <c r="E190" s="351" t="s">
        <v>1222</v>
      </c>
      <c r="F190" s="647" t="s">
        <v>1261</v>
      </c>
      <c r="G190" s="289">
        <v>98996</v>
      </c>
      <c r="H190" s="329">
        <v>0</v>
      </c>
      <c r="I190" s="274">
        <f t="shared" si="14"/>
        <v>98996</v>
      </c>
      <c r="J190" s="289">
        <v>18191</v>
      </c>
      <c r="K190" s="289"/>
      <c r="L190" s="289">
        <f t="shared" si="15"/>
        <v>18191</v>
      </c>
      <c r="M190" s="289">
        <f t="shared" si="17"/>
        <v>117187</v>
      </c>
      <c r="N190" s="289">
        <f t="shared" si="18"/>
        <v>0</v>
      </c>
      <c r="O190" s="289">
        <f t="shared" si="16"/>
        <v>117187</v>
      </c>
    </row>
    <row r="191" spans="1:15" ht="15" customHeight="1">
      <c r="A191" s="285"/>
      <c r="B191" s="285"/>
      <c r="C191" s="291" t="s">
        <v>180</v>
      </c>
      <c r="D191" s="306" t="s">
        <v>1256</v>
      </c>
      <c r="E191" s="343"/>
      <c r="F191" s="351"/>
      <c r="G191" s="329">
        <v>0</v>
      </c>
      <c r="H191" s="329">
        <v>17500</v>
      </c>
      <c r="I191" s="274">
        <f t="shared" si="14"/>
        <v>17500</v>
      </c>
      <c r="J191" s="329"/>
      <c r="K191" s="329"/>
      <c r="L191" s="329">
        <f t="shared" si="15"/>
        <v>0</v>
      </c>
      <c r="M191" s="329">
        <f t="shared" si="17"/>
        <v>0</v>
      </c>
      <c r="N191" s="329">
        <f t="shared" si="18"/>
        <v>17500</v>
      </c>
      <c r="O191" s="329">
        <f t="shared" si="16"/>
        <v>17500</v>
      </c>
    </row>
    <row r="192" spans="1:15" ht="15" customHeight="1">
      <c r="A192" s="285"/>
      <c r="B192" s="285"/>
      <c r="C192" s="291" t="s">
        <v>1270</v>
      </c>
      <c r="D192" s="352" t="s">
        <v>561</v>
      </c>
      <c r="E192" s="351" t="s">
        <v>1222</v>
      </c>
      <c r="F192" s="351"/>
      <c r="G192" s="329">
        <v>115790</v>
      </c>
      <c r="H192" s="329">
        <v>0</v>
      </c>
      <c r="I192" s="274">
        <f t="shared" si="14"/>
        <v>115790</v>
      </c>
      <c r="J192" s="329"/>
      <c r="K192" s="329"/>
      <c r="L192" s="329">
        <f t="shared" si="15"/>
        <v>0</v>
      </c>
      <c r="M192" s="329">
        <f t="shared" si="17"/>
        <v>115790</v>
      </c>
      <c r="N192" s="329">
        <f t="shared" si="18"/>
        <v>0</v>
      </c>
      <c r="O192" s="329">
        <f t="shared" si="16"/>
        <v>115790</v>
      </c>
    </row>
    <row r="193" spans="1:15" ht="15" customHeight="1">
      <c r="A193" s="285"/>
      <c r="B193" s="285"/>
      <c r="C193" s="291" t="s">
        <v>1271</v>
      </c>
      <c r="D193" s="332" t="s">
        <v>562</v>
      </c>
      <c r="E193" s="351" t="s">
        <v>1222</v>
      </c>
      <c r="F193" s="351"/>
      <c r="G193" s="329">
        <v>126316</v>
      </c>
      <c r="H193" s="329">
        <v>0</v>
      </c>
      <c r="I193" s="274">
        <f t="shared" si="14"/>
        <v>126316</v>
      </c>
      <c r="J193" s="329"/>
      <c r="K193" s="329"/>
      <c r="L193" s="329">
        <f t="shared" si="15"/>
        <v>0</v>
      </c>
      <c r="M193" s="329">
        <f t="shared" si="17"/>
        <v>126316</v>
      </c>
      <c r="N193" s="329">
        <f t="shared" si="18"/>
        <v>0</v>
      </c>
      <c r="O193" s="329">
        <f t="shared" si="16"/>
        <v>126316</v>
      </c>
    </row>
    <row r="194" spans="1:15" ht="15" customHeight="1">
      <c r="A194" s="285"/>
      <c r="B194" s="285"/>
      <c r="C194" s="291" t="s">
        <v>21</v>
      </c>
      <c r="D194" s="332" t="s">
        <v>563</v>
      </c>
      <c r="E194" s="351" t="s">
        <v>1222</v>
      </c>
      <c r="F194" s="351"/>
      <c r="G194" s="329">
        <v>75591</v>
      </c>
      <c r="H194" s="329">
        <v>0</v>
      </c>
      <c r="I194" s="274">
        <f t="shared" si="14"/>
        <v>75591</v>
      </c>
      <c r="J194" s="329"/>
      <c r="K194" s="329"/>
      <c r="L194" s="329">
        <f t="shared" si="15"/>
        <v>0</v>
      </c>
      <c r="M194" s="329">
        <f t="shared" si="17"/>
        <v>75591</v>
      </c>
      <c r="N194" s="329">
        <f t="shared" si="18"/>
        <v>0</v>
      </c>
      <c r="O194" s="329">
        <f t="shared" si="16"/>
        <v>75591</v>
      </c>
    </row>
    <row r="195" spans="1:15" ht="15" customHeight="1">
      <c r="A195" s="285"/>
      <c r="B195" s="285"/>
      <c r="C195" s="291" t="s">
        <v>22</v>
      </c>
      <c r="D195" s="345" t="s">
        <v>44</v>
      </c>
      <c r="E195" s="343"/>
      <c r="F195" s="351" t="s">
        <v>210</v>
      </c>
      <c r="G195" s="329">
        <v>8768</v>
      </c>
      <c r="H195" s="329">
        <v>0</v>
      </c>
      <c r="I195" s="274">
        <f t="shared" si="14"/>
        <v>8768</v>
      </c>
      <c r="J195" s="329">
        <v>-1410</v>
      </c>
      <c r="K195" s="329"/>
      <c r="L195" s="329">
        <f t="shared" si="15"/>
        <v>-1410</v>
      </c>
      <c r="M195" s="329">
        <f t="shared" si="17"/>
        <v>7358</v>
      </c>
      <c r="N195" s="329">
        <f t="shared" si="18"/>
        <v>0</v>
      </c>
      <c r="O195" s="329">
        <f t="shared" si="16"/>
        <v>7358</v>
      </c>
    </row>
    <row r="196" spans="1:15" ht="15" customHeight="1">
      <c r="A196" s="285"/>
      <c r="B196" s="285"/>
      <c r="C196" s="291" t="s">
        <v>1277</v>
      </c>
      <c r="D196" s="322" t="s">
        <v>1158</v>
      </c>
      <c r="E196" s="343"/>
      <c r="F196" s="351" t="s">
        <v>399</v>
      </c>
      <c r="G196" s="329">
        <v>35966</v>
      </c>
      <c r="H196" s="329">
        <v>0</v>
      </c>
      <c r="I196" s="274">
        <f t="shared" si="14"/>
        <v>35966</v>
      </c>
      <c r="J196" s="329">
        <v>-12638</v>
      </c>
      <c r="K196" s="329"/>
      <c r="L196" s="329">
        <f t="shared" si="15"/>
        <v>-12638</v>
      </c>
      <c r="M196" s="329">
        <f t="shared" si="17"/>
        <v>23328</v>
      </c>
      <c r="N196" s="329">
        <f t="shared" si="18"/>
        <v>0</v>
      </c>
      <c r="O196" s="329">
        <f t="shared" si="16"/>
        <v>23328</v>
      </c>
    </row>
    <row r="197" spans="1:15" ht="15" customHeight="1">
      <c r="A197" s="285"/>
      <c r="B197" s="285"/>
      <c r="C197" s="291" t="s">
        <v>6</v>
      </c>
      <c r="D197" s="306" t="s">
        <v>1160</v>
      </c>
      <c r="E197" s="343"/>
      <c r="F197" s="351"/>
      <c r="G197" s="329">
        <v>3000</v>
      </c>
      <c r="H197" s="329">
        <v>0</v>
      </c>
      <c r="I197" s="274">
        <f t="shared" si="14"/>
        <v>3000</v>
      </c>
      <c r="J197" s="329"/>
      <c r="K197" s="329"/>
      <c r="L197" s="329">
        <f t="shared" si="15"/>
        <v>0</v>
      </c>
      <c r="M197" s="329">
        <f t="shared" si="17"/>
        <v>3000</v>
      </c>
      <c r="N197" s="329">
        <f t="shared" si="18"/>
        <v>0</v>
      </c>
      <c r="O197" s="329">
        <f t="shared" si="16"/>
        <v>3000</v>
      </c>
    </row>
    <row r="198" spans="1:15" ht="15" customHeight="1">
      <c r="A198" s="285"/>
      <c r="B198" s="285"/>
      <c r="C198" s="291" t="s">
        <v>1161</v>
      </c>
      <c r="D198" s="306" t="s">
        <v>564</v>
      </c>
      <c r="E198" s="343"/>
      <c r="F198" s="351" t="s">
        <v>210</v>
      </c>
      <c r="G198" s="329">
        <v>4880</v>
      </c>
      <c r="H198" s="329">
        <v>0</v>
      </c>
      <c r="I198" s="274">
        <f t="shared" si="14"/>
        <v>4880</v>
      </c>
      <c r="J198" s="329">
        <v>-4880</v>
      </c>
      <c r="K198" s="329"/>
      <c r="L198" s="329">
        <f t="shared" si="15"/>
        <v>-4880</v>
      </c>
      <c r="M198" s="329">
        <f t="shared" si="17"/>
        <v>0</v>
      </c>
      <c r="N198" s="329">
        <f t="shared" si="18"/>
        <v>0</v>
      </c>
      <c r="O198" s="329">
        <f t="shared" si="16"/>
        <v>0</v>
      </c>
    </row>
    <row r="199" spans="1:15" ht="15" customHeight="1">
      <c r="A199" s="285"/>
      <c r="B199" s="285"/>
      <c r="C199" s="291" t="s">
        <v>565</v>
      </c>
      <c r="D199" s="353" t="s">
        <v>1164</v>
      </c>
      <c r="E199" s="343"/>
      <c r="F199" s="351" t="s">
        <v>210</v>
      </c>
      <c r="G199" s="329">
        <v>5621</v>
      </c>
      <c r="H199" s="329">
        <v>0</v>
      </c>
      <c r="I199" s="274">
        <f t="shared" si="14"/>
        <v>5621</v>
      </c>
      <c r="J199" s="329">
        <v>-2632</v>
      </c>
      <c r="K199" s="329"/>
      <c r="L199" s="329">
        <f t="shared" si="15"/>
        <v>-2632</v>
      </c>
      <c r="M199" s="329">
        <f t="shared" si="17"/>
        <v>2989</v>
      </c>
      <c r="N199" s="329">
        <f t="shared" si="18"/>
        <v>0</v>
      </c>
      <c r="O199" s="329">
        <f t="shared" si="16"/>
        <v>2989</v>
      </c>
    </row>
    <row r="200" spans="1:15" ht="15" customHeight="1">
      <c r="A200" s="285"/>
      <c r="B200" s="285"/>
      <c r="C200" s="291" t="s">
        <v>1163</v>
      </c>
      <c r="D200" s="353" t="s">
        <v>566</v>
      </c>
      <c r="E200" s="351"/>
      <c r="F200" s="351" t="s">
        <v>210</v>
      </c>
      <c r="G200" s="329">
        <v>59000</v>
      </c>
      <c r="H200" s="329">
        <v>0</v>
      </c>
      <c r="I200" s="274">
        <f t="shared" si="14"/>
        <v>59000</v>
      </c>
      <c r="J200" s="329">
        <v>-27897</v>
      </c>
      <c r="K200" s="329"/>
      <c r="L200" s="329">
        <f t="shared" si="15"/>
        <v>-27897</v>
      </c>
      <c r="M200" s="329">
        <f t="shared" si="17"/>
        <v>31103</v>
      </c>
      <c r="N200" s="329">
        <f t="shared" si="18"/>
        <v>0</v>
      </c>
      <c r="O200" s="329">
        <f t="shared" si="16"/>
        <v>31103</v>
      </c>
    </row>
    <row r="201" spans="1:15" ht="15" customHeight="1">
      <c r="A201" s="285"/>
      <c r="B201" s="285"/>
      <c r="C201" s="291" t="s">
        <v>567</v>
      </c>
      <c r="D201" s="322" t="s">
        <v>568</v>
      </c>
      <c r="E201" s="343"/>
      <c r="F201" s="351" t="s">
        <v>210</v>
      </c>
      <c r="G201" s="329">
        <v>33420</v>
      </c>
      <c r="H201" s="329">
        <v>0</v>
      </c>
      <c r="I201" s="274">
        <f aca="true" t="shared" si="19" ref="I201:I245">SUM(G201:H201)</f>
        <v>33420</v>
      </c>
      <c r="J201" s="329">
        <v>-400</v>
      </c>
      <c r="K201" s="329"/>
      <c r="L201" s="329">
        <f t="shared" si="15"/>
        <v>-400</v>
      </c>
      <c r="M201" s="329">
        <f t="shared" si="17"/>
        <v>33020</v>
      </c>
      <c r="N201" s="329">
        <f t="shared" si="18"/>
        <v>0</v>
      </c>
      <c r="O201" s="329">
        <f t="shared" si="16"/>
        <v>33020</v>
      </c>
    </row>
    <row r="202" spans="1:15" ht="15" customHeight="1">
      <c r="A202" s="285"/>
      <c r="B202" s="285"/>
      <c r="C202" s="291" t="s">
        <v>1165</v>
      </c>
      <c r="D202" s="313" t="s">
        <v>569</v>
      </c>
      <c r="E202" s="343"/>
      <c r="F202" s="351"/>
      <c r="G202" s="329">
        <v>2500</v>
      </c>
      <c r="H202" s="329">
        <v>0</v>
      </c>
      <c r="I202" s="274">
        <f t="shared" si="19"/>
        <v>2500</v>
      </c>
      <c r="J202" s="329"/>
      <c r="K202" s="329"/>
      <c r="L202" s="329">
        <f t="shared" si="15"/>
        <v>0</v>
      </c>
      <c r="M202" s="329">
        <f t="shared" si="17"/>
        <v>2500</v>
      </c>
      <c r="N202" s="329">
        <f t="shared" si="18"/>
        <v>0</v>
      </c>
      <c r="O202" s="329">
        <f t="shared" si="16"/>
        <v>2500</v>
      </c>
    </row>
    <row r="203" spans="1:15" ht="15" customHeight="1">
      <c r="A203" s="285"/>
      <c r="B203" s="285"/>
      <c r="C203" s="291" t="s">
        <v>1166</v>
      </c>
      <c r="D203" s="313" t="s">
        <v>570</v>
      </c>
      <c r="E203" s="343"/>
      <c r="F203" s="351" t="s">
        <v>210</v>
      </c>
      <c r="G203" s="329">
        <v>6127</v>
      </c>
      <c r="H203" s="329">
        <v>173</v>
      </c>
      <c r="I203" s="274">
        <f t="shared" si="19"/>
        <v>6300</v>
      </c>
      <c r="J203" s="329">
        <v>-640</v>
      </c>
      <c r="K203" s="329">
        <v>-130</v>
      </c>
      <c r="L203" s="329">
        <f t="shared" si="15"/>
        <v>-770</v>
      </c>
      <c r="M203" s="329">
        <f t="shared" si="17"/>
        <v>5487</v>
      </c>
      <c r="N203" s="329">
        <f t="shared" si="18"/>
        <v>43</v>
      </c>
      <c r="O203" s="329">
        <f t="shared" si="16"/>
        <v>5530</v>
      </c>
    </row>
    <row r="204" spans="1:15" ht="15" customHeight="1">
      <c r="A204" s="285"/>
      <c r="B204" s="285"/>
      <c r="C204" s="291" t="s">
        <v>1167</v>
      </c>
      <c r="D204" s="313" t="s">
        <v>880</v>
      </c>
      <c r="E204" s="343"/>
      <c r="F204" s="351" t="s">
        <v>210</v>
      </c>
      <c r="G204" s="329">
        <v>40000</v>
      </c>
      <c r="H204" s="329">
        <v>0</v>
      </c>
      <c r="I204" s="274">
        <f t="shared" si="19"/>
        <v>40000</v>
      </c>
      <c r="J204" s="329">
        <v>5017</v>
      </c>
      <c r="K204" s="329"/>
      <c r="L204" s="329">
        <f t="shared" si="15"/>
        <v>5017</v>
      </c>
      <c r="M204" s="329">
        <f t="shared" si="17"/>
        <v>45017</v>
      </c>
      <c r="N204" s="329">
        <f t="shared" si="18"/>
        <v>0</v>
      </c>
      <c r="O204" s="329">
        <f t="shared" si="16"/>
        <v>45017</v>
      </c>
    </row>
    <row r="205" spans="1:15" ht="15" customHeight="1">
      <c r="A205" s="285"/>
      <c r="B205" s="285"/>
      <c r="C205" s="291" t="s">
        <v>1169</v>
      </c>
      <c r="D205" s="354" t="s">
        <v>571</v>
      </c>
      <c r="E205" s="343"/>
      <c r="F205" s="351"/>
      <c r="G205" s="329">
        <v>2159</v>
      </c>
      <c r="H205" s="329">
        <v>0</v>
      </c>
      <c r="I205" s="274">
        <f t="shared" si="19"/>
        <v>2159</v>
      </c>
      <c r="J205" s="329"/>
      <c r="K205" s="329"/>
      <c r="L205" s="329">
        <f t="shared" si="15"/>
        <v>0</v>
      </c>
      <c r="M205" s="329">
        <f t="shared" si="17"/>
        <v>2159</v>
      </c>
      <c r="N205" s="329">
        <f t="shared" si="18"/>
        <v>0</v>
      </c>
      <c r="O205" s="329">
        <f t="shared" si="16"/>
        <v>2159</v>
      </c>
    </row>
    <row r="206" spans="1:15" ht="12.75" customHeight="1">
      <c r="A206" s="285"/>
      <c r="B206" s="285"/>
      <c r="C206" s="291" t="s">
        <v>1171</v>
      </c>
      <c r="D206" s="355" t="s">
        <v>572</v>
      </c>
      <c r="E206" s="343"/>
      <c r="F206" s="351"/>
      <c r="G206" s="329">
        <v>6000</v>
      </c>
      <c r="H206" s="329">
        <v>0</v>
      </c>
      <c r="I206" s="274">
        <f t="shared" si="19"/>
        <v>6000</v>
      </c>
      <c r="J206" s="329"/>
      <c r="K206" s="329"/>
      <c r="L206" s="329">
        <f t="shared" si="15"/>
        <v>0</v>
      </c>
      <c r="M206" s="329">
        <f t="shared" si="17"/>
        <v>6000</v>
      </c>
      <c r="N206" s="329">
        <f t="shared" si="18"/>
        <v>0</v>
      </c>
      <c r="O206" s="329">
        <f t="shared" si="16"/>
        <v>6000</v>
      </c>
    </row>
    <row r="207" spans="1:15" ht="12.75" customHeight="1">
      <c r="A207" s="285"/>
      <c r="B207" s="285"/>
      <c r="C207" s="291" t="s">
        <v>1172</v>
      </c>
      <c r="D207" s="355" t="s">
        <v>573</v>
      </c>
      <c r="E207" s="343"/>
      <c r="F207" s="351"/>
      <c r="G207" s="329">
        <v>2000</v>
      </c>
      <c r="H207" s="329">
        <v>0</v>
      </c>
      <c r="I207" s="274">
        <f t="shared" si="19"/>
        <v>2000</v>
      </c>
      <c r="J207" s="329"/>
      <c r="K207" s="329"/>
      <c r="L207" s="329">
        <f t="shared" si="15"/>
        <v>0</v>
      </c>
      <c r="M207" s="329">
        <f t="shared" si="17"/>
        <v>2000</v>
      </c>
      <c r="N207" s="329">
        <f t="shared" si="18"/>
        <v>0</v>
      </c>
      <c r="O207" s="329">
        <f t="shared" si="16"/>
        <v>2000</v>
      </c>
    </row>
    <row r="208" spans="1:15" ht="12.75" customHeight="1">
      <c r="A208" s="285"/>
      <c r="B208" s="285"/>
      <c r="C208" s="291" t="s">
        <v>574</v>
      </c>
      <c r="D208" s="355" t="s">
        <v>575</v>
      </c>
      <c r="E208" s="343"/>
      <c r="F208" s="351"/>
      <c r="G208" s="329">
        <v>500000</v>
      </c>
      <c r="H208" s="329">
        <v>0</v>
      </c>
      <c r="I208" s="274">
        <f t="shared" si="19"/>
        <v>500000</v>
      </c>
      <c r="J208" s="329"/>
      <c r="K208" s="329"/>
      <c r="L208" s="329">
        <f t="shared" si="15"/>
        <v>0</v>
      </c>
      <c r="M208" s="329">
        <f t="shared" si="17"/>
        <v>500000</v>
      </c>
      <c r="N208" s="329">
        <f t="shared" si="18"/>
        <v>0</v>
      </c>
      <c r="O208" s="329">
        <f t="shared" si="16"/>
        <v>500000</v>
      </c>
    </row>
    <row r="209" spans="1:15" ht="12.75" customHeight="1">
      <c r="A209" s="285"/>
      <c r="B209" s="285"/>
      <c r="C209" s="291" t="s">
        <v>576</v>
      </c>
      <c r="D209" s="355" t="s">
        <v>577</v>
      </c>
      <c r="E209" s="343"/>
      <c r="F209" s="351" t="s">
        <v>1261</v>
      </c>
      <c r="G209" s="329">
        <v>25000</v>
      </c>
      <c r="H209" s="329">
        <v>0</v>
      </c>
      <c r="I209" s="274">
        <f t="shared" si="19"/>
        <v>25000</v>
      </c>
      <c r="J209" s="329">
        <v>2300</v>
      </c>
      <c r="K209" s="329"/>
      <c r="L209" s="329">
        <f t="shared" si="15"/>
        <v>2300</v>
      </c>
      <c r="M209" s="329">
        <f t="shared" si="17"/>
        <v>27300</v>
      </c>
      <c r="N209" s="329">
        <f t="shared" si="18"/>
        <v>0</v>
      </c>
      <c r="O209" s="329">
        <f t="shared" si="16"/>
        <v>27300</v>
      </c>
    </row>
    <row r="210" spans="1:15" ht="15" customHeight="1">
      <c r="A210" s="285"/>
      <c r="B210" s="285"/>
      <c r="C210" s="291"/>
      <c r="D210" s="278" t="s">
        <v>279</v>
      </c>
      <c r="E210" s="343"/>
      <c r="F210" s="351"/>
      <c r="G210" s="329"/>
      <c r="H210" s="329"/>
      <c r="I210" s="274">
        <f t="shared" si="19"/>
        <v>0</v>
      </c>
      <c r="J210" s="329"/>
      <c r="K210" s="329"/>
      <c r="L210" s="329"/>
      <c r="M210" s="329"/>
      <c r="N210" s="329"/>
      <c r="O210" s="329"/>
    </row>
    <row r="211" spans="1:15" ht="15" customHeight="1">
      <c r="A211" s="285"/>
      <c r="B211" s="285"/>
      <c r="C211" s="291" t="s">
        <v>23</v>
      </c>
      <c r="D211" s="349" t="s">
        <v>1159</v>
      </c>
      <c r="E211" s="343"/>
      <c r="F211" s="351" t="s">
        <v>210</v>
      </c>
      <c r="G211" s="329">
        <v>1000</v>
      </c>
      <c r="H211" s="329">
        <v>0</v>
      </c>
      <c r="I211" s="274">
        <f t="shared" si="19"/>
        <v>1000</v>
      </c>
      <c r="J211" s="329">
        <v>-1000</v>
      </c>
      <c r="K211" s="329"/>
      <c r="L211" s="329">
        <f t="shared" si="15"/>
        <v>-1000</v>
      </c>
      <c r="M211" s="329">
        <f t="shared" si="17"/>
        <v>0</v>
      </c>
      <c r="N211" s="329">
        <f t="shared" si="18"/>
        <v>0</v>
      </c>
      <c r="O211" s="329">
        <f t="shared" si="16"/>
        <v>0</v>
      </c>
    </row>
    <row r="212" spans="1:15" ht="24.75" customHeight="1">
      <c r="A212" s="285"/>
      <c r="B212" s="285"/>
      <c r="C212" s="291" t="s">
        <v>24</v>
      </c>
      <c r="D212" s="312" t="s">
        <v>1168</v>
      </c>
      <c r="E212" s="351" t="s">
        <v>1222</v>
      </c>
      <c r="F212" s="351"/>
      <c r="G212" s="289">
        <v>75000</v>
      </c>
      <c r="H212" s="329">
        <v>0</v>
      </c>
      <c r="I212" s="274">
        <f t="shared" si="19"/>
        <v>75000</v>
      </c>
      <c r="J212" s="289">
        <v>-75000</v>
      </c>
      <c r="K212" s="289"/>
      <c r="L212" s="289">
        <f t="shared" si="15"/>
        <v>-75000</v>
      </c>
      <c r="M212" s="289">
        <f t="shared" si="17"/>
        <v>0</v>
      </c>
      <c r="N212" s="289">
        <f t="shared" si="18"/>
        <v>0</v>
      </c>
      <c r="O212" s="289">
        <f t="shared" si="16"/>
        <v>0</v>
      </c>
    </row>
    <row r="213" spans="1:15" ht="24.75" customHeight="1">
      <c r="A213" s="285"/>
      <c r="B213" s="285"/>
      <c r="C213" s="291" t="s">
        <v>25</v>
      </c>
      <c r="D213" s="312" t="s">
        <v>1170</v>
      </c>
      <c r="E213" s="351" t="s">
        <v>1222</v>
      </c>
      <c r="F213" s="351"/>
      <c r="G213" s="289">
        <v>60000</v>
      </c>
      <c r="H213" s="329">
        <v>0</v>
      </c>
      <c r="I213" s="274">
        <f t="shared" si="19"/>
        <v>60000</v>
      </c>
      <c r="J213" s="289">
        <v>-60000</v>
      </c>
      <c r="K213" s="289"/>
      <c r="L213" s="289">
        <f t="shared" si="15"/>
        <v>-60000</v>
      </c>
      <c r="M213" s="289">
        <f t="shared" si="17"/>
        <v>0</v>
      </c>
      <c r="N213" s="289">
        <f t="shared" si="18"/>
        <v>0</v>
      </c>
      <c r="O213" s="289">
        <f t="shared" si="16"/>
        <v>0</v>
      </c>
    </row>
    <row r="214" spans="1:15" ht="15" customHeight="1">
      <c r="A214" s="285"/>
      <c r="B214" s="285"/>
      <c r="C214" s="291" t="s">
        <v>26</v>
      </c>
      <c r="D214" s="259" t="s">
        <v>1173</v>
      </c>
      <c r="E214" s="343"/>
      <c r="F214" s="351"/>
      <c r="G214" s="329">
        <v>2950</v>
      </c>
      <c r="H214" s="329">
        <v>0</v>
      </c>
      <c r="I214" s="274">
        <f t="shared" si="19"/>
        <v>2950</v>
      </c>
      <c r="J214" s="289"/>
      <c r="K214" s="289"/>
      <c r="L214" s="289">
        <f t="shared" si="15"/>
        <v>0</v>
      </c>
      <c r="M214" s="289">
        <f t="shared" si="17"/>
        <v>2950</v>
      </c>
      <c r="N214" s="289">
        <f t="shared" si="18"/>
        <v>0</v>
      </c>
      <c r="O214" s="289">
        <f t="shared" si="16"/>
        <v>2950</v>
      </c>
    </row>
    <row r="215" spans="1:15" ht="24.75" customHeight="1">
      <c r="A215" s="285"/>
      <c r="B215" s="285"/>
      <c r="C215" s="291" t="s">
        <v>27</v>
      </c>
      <c r="D215" s="356" t="s">
        <v>214</v>
      </c>
      <c r="E215" s="343"/>
      <c r="F215" s="351"/>
      <c r="G215" s="289">
        <v>259762</v>
      </c>
      <c r="H215" s="329">
        <v>0</v>
      </c>
      <c r="I215" s="274">
        <f t="shared" si="19"/>
        <v>259762</v>
      </c>
      <c r="J215" s="289"/>
      <c r="K215" s="289"/>
      <c r="L215" s="289">
        <f t="shared" si="15"/>
        <v>0</v>
      </c>
      <c r="M215" s="289">
        <f t="shared" si="17"/>
        <v>259762</v>
      </c>
      <c r="N215" s="289">
        <f t="shared" si="18"/>
        <v>0</v>
      </c>
      <c r="O215" s="289">
        <f t="shared" si="16"/>
        <v>259762</v>
      </c>
    </row>
    <row r="216" spans="1:15" ht="24.75" customHeight="1">
      <c r="A216" s="285"/>
      <c r="B216" s="285"/>
      <c r="C216" s="291" t="s">
        <v>28</v>
      </c>
      <c r="D216" s="356" t="s">
        <v>215</v>
      </c>
      <c r="E216" s="343"/>
      <c r="F216" s="351"/>
      <c r="G216" s="289">
        <v>340423</v>
      </c>
      <c r="H216" s="329">
        <v>0</v>
      </c>
      <c r="I216" s="274">
        <f t="shared" si="19"/>
        <v>340423</v>
      </c>
      <c r="J216" s="289"/>
      <c r="K216" s="289"/>
      <c r="L216" s="289">
        <f t="shared" si="15"/>
        <v>0</v>
      </c>
      <c r="M216" s="289">
        <f t="shared" si="17"/>
        <v>340423</v>
      </c>
      <c r="N216" s="289">
        <f t="shared" si="18"/>
        <v>0</v>
      </c>
      <c r="O216" s="289">
        <f t="shared" si="16"/>
        <v>340423</v>
      </c>
    </row>
    <row r="217" spans="1:15" ht="24.75" customHeight="1">
      <c r="A217" s="285"/>
      <c r="B217" s="285"/>
      <c r="C217" s="291" t="s">
        <v>578</v>
      </c>
      <c r="D217" s="357" t="s">
        <v>1239</v>
      </c>
      <c r="E217" s="343"/>
      <c r="F217" s="351" t="s">
        <v>210</v>
      </c>
      <c r="G217" s="289">
        <v>282579</v>
      </c>
      <c r="H217" s="329">
        <v>0</v>
      </c>
      <c r="I217" s="274">
        <f t="shared" si="19"/>
        <v>282579</v>
      </c>
      <c r="J217" s="289">
        <v>14788</v>
      </c>
      <c r="K217" s="289"/>
      <c r="L217" s="289">
        <f t="shared" si="15"/>
        <v>14788</v>
      </c>
      <c r="M217" s="289">
        <f t="shared" si="17"/>
        <v>297367</v>
      </c>
      <c r="N217" s="289">
        <f t="shared" si="18"/>
        <v>0</v>
      </c>
      <c r="O217" s="289">
        <f t="shared" si="16"/>
        <v>297367</v>
      </c>
    </row>
    <row r="218" spans="1:15" ht="24.75" customHeight="1">
      <c r="A218" s="285"/>
      <c r="B218" s="285"/>
      <c r="C218" s="291" t="s">
        <v>579</v>
      </c>
      <c r="D218" s="358" t="s">
        <v>580</v>
      </c>
      <c r="E218" s="343"/>
      <c r="F218" s="351" t="s">
        <v>1261</v>
      </c>
      <c r="G218" s="289">
        <v>39614</v>
      </c>
      <c r="H218" s="329">
        <v>0</v>
      </c>
      <c r="I218" s="274">
        <f t="shared" si="19"/>
        <v>39614</v>
      </c>
      <c r="J218" s="289">
        <v>-9388</v>
      </c>
      <c r="K218" s="289"/>
      <c r="L218" s="289">
        <f t="shared" si="15"/>
        <v>-9388</v>
      </c>
      <c r="M218" s="289">
        <f t="shared" si="17"/>
        <v>30226</v>
      </c>
      <c r="N218" s="289">
        <f t="shared" si="18"/>
        <v>0</v>
      </c>
      <c r="O218" s="289">
        <f t="shared" si="16"/>
        <v>30226</v>
      </c>
    </row>
    <row r="219" spans="1:15" ht="24.75" customHeight="1">
      <c r="A219" s="285"/>
      <c r="B219" s="285"/>
      <c r="C219" s="291" t="s">
        <v>581</v>
      </c>
      <c r="D219" s="359" t="s">
        <v>582</v>
      </c>
      <c r="E219" s="343"/>
      <c r="F219" s="351" t="s">
        <v>1261</v>
      </c>
      <c r="G219" s="289">
        <v>570242</v>
      </c>
      <c r="H219" s="329">
        <v>0</v>
      </c>
      <c r="I219" s="274">
        <f t="shared" si="19"/>
        <v>570242</v>
      </c>
      <c r="J219" s="289">
        <v>-24546</v>
      </c>
      <c r="K219" s="289"/>
      <c r="L219" s="289">
        <f t="shared" si="15"/>
        <v>-24546</v>
      </c>
      <c r="M219" s="289">
        <f t="shared" si="17"/>
        <v>545696</v>
      </c>
      <c r="N219" s="289">
        <f t="shared" si="18"/>
        <v>0</v>
      </c>
      <c r="O219" s="289">
        <f t="shared" si="16"/>
        <v>545696</v>
      </c>
    </row>
    <row r="220" spans="1:15" ht="15" customHeight="1">
      <c r="A220" s="285"/>
      <c r="B220" s="285"/>
      <c r="C220" s="291" t="s">
        <v>583</v>
      </c>
      <c r="D220" s="359" t="s">
        <v>584</v>
      </c>
      <c r="E220" s="343"/>
      <c r="F220" s="351"/>
      <c r="G220" s="289">
        <v>0</v>
      </c>
      <c r="H220" s="329">
        <v>0</v>
      </c>
      <c r="I220" s="274">
        <f t="shared" si="19"/>
        <v>0</v>
      </c>
      <c r="J220" s="329"/>
      <c r="K220" s="329"/>
      <c r="L220" s="329">
        <f t="shared" si="15"/>
        <v>0</v>
      </c>
      <c r="M220" s="329">
        <f t="shared" si="17"/>
        <v>0</v>
      </c>
      <c r="N220" s="329">
        <f t="shared" si="18"/>
        <v>0</v>
      </c>
      <c r="O220" s="329">
        <f t="shared" si="16"/>
        <v>0</v>
      </c>
    </row>
    <row r="221" spans="1:15" ht="15" customHeight="1">
      <c r="A221" s="285"/>
      <c r="B221" s="285"/>
      <c r="C221" s="291" t="s">
        <v>585</v>
      </c>
      <c r="D221" s="353" t="s">
        <v>586</v>
      </c>
      <c r="E221" s="351" t="s">
        <v>1222</v>
      </c>
      <c r="F221" s="351" t="s">
        <v>1261</v>
      </c>
      <c r="G221" s="289">
        <v>32432</v>
      </c>
      <c r="H221" s="329">
        <v>0</v>
      </c>
      <c r="I221" s="274">
        <f t="shared" si="19"/>
        <v>32432</v>
      </c>
      <c r="J221" s="329">
        <v>-32432</v>
      </c>
      <c r="K221" s="329"/>
      <c r="L221" s="329">
        <f t="shared" si="15"/>
        <v>-32432</v>
      </c>
      <c r="M221" s="329">
        <f t="shared" si="17"/>
        <v>0</v>
      </c>
      <c r="N221" s="329">
        <f t="shared" si="18"/>
        <v>0</v>
      </c>
      <c r="O221" s="329">
        <f t="shared" si="16"/>
        <v>0</v>
      </c>
    </row>
    <row r="222" spans="1:15" ht="24.75" customHeight="1">
      <c r="A222" s="285"/>
      <c r="B222" s="285"/>
      <c r="C222" s="291" t="s">
        <v>587</v>
      </c>
      <c r="D222" s="356" t="s">
        <v>588</v>
      </c>
      <c r="E222" s="343"/>
      <c r="F222" s="351" t="s">
        <v>1261</v>
      </c>
      <c r="G222" s="289">
        <v>358775</v>
      </c>
      <c r="H222" s="329">
        <v>0</v>
      </c>
      <c r="I222" s="274">
        <f t="shared" si="19"/>
        <v>358775</v>
      </c>
      <c r="J222" s="289">
        <v>-229847</v>
      </c>
      <c r="K222" s="289"/>
      <c r="L222" s="289">
        <f t="shared" si="15"/>
        <v>-229847</v>
      </c>
      <c r="M222" s="289">
        <f t="shared" si="17"/>
        <v>128928</v>
      </c>
      <c r="N222" s="289">
        <f t="shared" si="18"/>
        <v>0</v>
      </c>
      <c r="O222" s="289">
        <f t="shared" si="16"/>
        <v>128928</v>
      </c>
    </row>
    <row r="223" spans="1:15" ht="15" customHeight="1">
      <c r="A223" s="285"/>
      <c r="B223" s="285"/>
      <c r="C223" s="291" t="s">
        <v>589</v>
      </c>
      <c r="D223" s="360" t="s">
        <v>1258</v>
      </c>
      <c r="E223" s="343"/>
      <c r="F223" s="351"/>
      <c r="G223" s="289">
        <v>13427</v>
      </c>
      <c r="H223" s="329">
        <v>0</v>
      </c>
      <c r="I223" s="274">
        <f t="shared" si="19"/>
        <v>13427</v>
      </c>
      <c r="J223" s="329"/>
      <c r="K223" s="329"/>
      <c r="L223" s="329">
        <f t="shared" si="15"/>
        <v>0</v>
      </c>
      <c r="M223" s="329">
        <f t="shared" si="17"/>
        <v>13427</v>
      </c>
      <c r="N223" s="329">
        <f t="shared" si="18"/>
        <v>0</v>
      </c>
      <c r="O223" s="329">
        <f t="shared" si="16"/>
        <v>13427</v>
      </c>
    </row>
    <row r="224" spans="1:15" ht="15" customHeight="1">
      <c r="A224" s="285"/>
      <c r="B224" s="285"/>
      <c r="C224" s="291" t="s">
        <v>590</v>
      </c>
      <c r="D224" s="361" t="s">
        <v>1004</v>
      </c>
      <c r="E224" s="343"/>
      <c r="F224" s="351"/>
      <c r="G224" s="289">
        <v>9000</v>
      </c>
      <c r="H224" s="329">
        <v>0</v>
      </c>
      <c r="I224" s="274">
        <f t="shared" si="19"/>
        <v>9000</v>
      </c>
      <c r="J224" s="329"/>
      <c r="K224" s="329"/>
      <c r="L224" s="329">
        <f t="shared" si="15"/>
        <v>0</v>
      </c>
      <c r="M224" s="329">
        <f t="shared" si="17"/>
        <v>9000</v>
      </c>
      <c r="N224" s="329">
        <f t="shared" si="18"/>
        <v>0</v>
      </c>
      <c r="O224" s="329">
        <f t="shared" si="16"/>
        <v>9000</v>
      </c>
    </row>
    <row r="225" spans="1:15" ht="15" customHeight="1">
      <c r="A225" s="285"/>
      <c r="B225" s="285"/>
      <c r="C225" s="291" t="s">
        <v>591</v>
      </c>
      <c r="D225" s="362" t="s">
        <v>1162</v>
      </c>
      <c r="E225" s="343"/>
      <c r="F225" s="351"/>
      <c r="G225" s="289">
        <v>1366</v>
      </c>
      <c r="H225" s="329">
        <v>0</v>
      </c>
      <c r="I225" s="274">
        <f t="shared" si="19"/>
        <v>1366</v>
      </c>
      <c r="J225" s="329"/>
      <c r="K225" s="329"/>
      <c r="L225" s="329">
        <f t="shared" si="15"/>
        <v>0</v>
      </c>
      <c r="M225" s="329">
        <f t="shared" si="17"/>
        <v>1366</v>
      </c>
      <c r="N225" s="329">
        <f t="shared" si="18"/>
        <v>0</v>
      </c>
      <c r="O225" s="329">
        <f t="shared" si="16"/>
        <v>1366</v>
      </c>
    </row>
    <row r="226" spans="1:15" ht="15" customHeight="1">
      <c r="A226" s="285"/>
      <c r="B226" s="285"/>
      <c r="C226" s="291" t="s">
        <v>1124</v>
      </c>
      <c r="D226" s="362" t="s">
        <v>1125</v>
      </c>
      <c r="E226" s="343"/>
      <c r="F226" s="351" t="s">
        <v>210</v>
      </c>
      <c r="G226" s="289">
        <v>3000</v>
      </c>
      <c r="H226" s="329"/>
      <c r="I226" s="274">
        <f t="shared" si="19"/>
        <v>3000</v>
      </c>
      <c r="J226" s="329">
        <v>-726</v>
      </c>
      <c r="K226" s="329"/>
      <c r="L226" s="329">
        <f t="shared" si="15"/>
        <v>-726</v>
      </c>
      <c r="M226" s="329">
        <f t="shared" si="17"/>
        <v>2274</v>
      </c>
      <c r="N226" s="329"/>
      <c r="O226" s="329">
        <f t="shared" si="16"/>
        <v>2274</v>
      </c>
    </row>
    <row r="227" spans="1:15" ht="15" customHeight="1">
      <c r="A227" s="285"/>
      <c r="B227" s="285"/>
      <c r="C227" s="285" t="s">
        <v>181</v>
      </c>
      <c r="D227" s="286" t="s">
        <v>29</v>
      </c>
      <c r="E227" s="271"/>
      <c r="F227" s="593"/>
      <c r="G227" s="289">
        <v>0</v>
      </c>
      <c r="H227" s="329">
        <v>0</v>
      </c>
      <c r="I227" s="274">
        <f t="shared" si="19"/>
        <v>0</v>
      </c>
      <c r="J227" s="329"/>
      <c r="K227" s="329"/>
      <c r="L227" s="329">
        <f aca="true" t="shared" si="20" ref="L227:L282">SUM(J227:K227)</f>
        <v>0</v>
      </c>
      <c r="M227" s="329">
        <f t="shared" si="17"/>
        <v>0</v>
      </c>
      <c r="N227" s="329">
        <f t="shared" si="18"/>
        <v>0</v>
      </c>
      <c r="O227" s="329">
        <f aca="true" t="shared" si="21" ref="O227:O282">SUM(M227:N227)</f>
        <v>0</v>
      </c>
    </row>
    <row r="228" spans="1:15" ht="15" customHeight="1">
      <c r="A228" s="285"/>
      <c r="B228" s="285"/>
      <c r="C228" s="285" t="s">
        <v>1240</v>
      </c>
      <c r="D228" s="313" t="s">
        <v>592</v>
      </c>
      <c r="E228" s="271"/>
      <c r="F228" s="593" t="s">
        <v>210</v>
      </c>
      <c r="G228" s="289">
        <v>35000</v>
      </c>
      <c r="H228" s="329">
        <v>0</v>
      </c>
      <c r="I228" s="274">
        <f t="shared" si="19"/>
        <v>35000</v>
      </c>
      <c r="J228" s="329">
        <v>-3100</v>
      </c>
      <c r="K228" s="329"/>
      <c r="L228" s="329">
        <f t="shared" si="20"/>
        <v>-3100</v>
      </c>
      <c r="M228" s="329">
        <f aca="true" t="shared" si="22" ref="M228:M282">SUM(G228+J228)</f>
        <v>31900</v>
      </c>
      <c r="N228" s="329">
        <f aca="true" t="shared" si="23" ref="N228:N282">SUM(H228+K228)</f>
        <v>0</v>
      </c>
      <c r="O228" s="329">
        <f t="shared" si="21"/>
        <v>31900</v>
      </c>
    </row>
    <row r="229" spans="1:15" ht="15" customHeight="1">
      <c r="A229" s="285"/>
      <c r="B229" s="285"/>
      <c r="C229" s="291"/>
      <c r="D229" s="278" t="s">
        <v>279</v>
      </c>
      <c r="E229" s="271"/>
      <c r="F229" s="593"/>
      <c r="G229" s="289">
        <v>0</v>
      </c>
      <c r="H229" s="329">
        <v>0</v>
      </c>
      <c r="I229" s="274">
        <f t="shared" si="19"/>
        <v>0</v>
      </c>
      <c r="J229" s="329"/>
      <c r="K229" s="329"/>
      <c r="L229" s="329">
        <f t="shared" si="20"/>
        <v>0</v>
      </c>
      <c r="M229" s="329">
        <f t="shared" si="22"/>
        <v>0</v>
      </c>
      <c r="N229" s="329">
        <f t="shared" si="23"/>
        <v>0</v>
      </c>
      <c r="O229" s="329">
        <f t="shared" si="21"/>
        <v>0</v>
      </c>
    </row>
    <row r="230" spans="1:15" ht="24.75" customHeight="1">
      <c r="A230" s="285"/>
      <c r="B230" s="285"/>
      <c r="C230" s="291" t="s">
        <v>1005</v>
      </c>
      <c r="D230" s="357" t="s">
        <v>1241</v>
      </c>
      <c r="E230" s="271"/>
      <c r="F230" s="593" t="s">
        <v>1261</v>
      </c>
      <c r="G230" s="289">
        <v>754396</v>
      </c>
      <c r="H230" s="329">
        <v>0</v>
      </c>
      <c r="I230" s="274">
        <f t="shared" si="19"/>
        <v>754396</v>
      </c>
      <c r="J230" s="289">
        <v>-36786</v>
      </c>
      <c r="K230" s="289"/>
      <c r="L230" s="289">
        <f t="shared" si="20"/>
        <v>-36786</v>
      </c>
      <c r="M230" s="289">
        <f t="shared" si="22"/>
        <v>717610</v>
      </c>
      <c r="N230" s="289">
        <f t="shared" si="23"/>
        <v>0</v>
      </c>
      <c r="O230" s="289">
        <f t="shared" si="21"/>
        <v>717610</v>
      </c>
    </row>
    <row r="231" spans="1:15" ht="36" customHeight="1">
      <c r="A231" s="285"/>
      <c r="B231" s="285"/>
      <c r="C231" s="291" t="s">
        <v>593</v>
      </c>
      <c r="D231" s="358" t="s">
        <v>762</v>
      </c>
      <c r="E231" s="363"/>
      <c r="F231" s="593" t="s">
        <v>1261</v>
      </c>
      <c r="G231" s="289">
        <v>338532</v>
      </c>
      <c r="H231" s="329">
        <v>0</v>
      </c>
      <c r="I231" s="274">
        <f t="shared" si="19"/>
        <v>338532</v>
      </c>
      <c r="J231" s="289">
        <v>-21560</v>
      </c>
      <c r="K231" s="289"/>
      <c r="L231" s="289">
        <f t="shared" si="20"/>
        <v>-21560</v>
      </c>
      <c r="M231" s="289">
        <f t="shared" si="22"/>
        <v>316972</v>
      </c>
      <c r="N231" s="289">
        <f t="shared" si="23"/>
        <v>0</v>
      </c>
      <c r="O231" s="289">
        <f t="shared" si="21"/>
        <v>316972</v>
      </c>
    </row>
    <row r="232" spans="1:15" ht="15" customHeight="1">
      <c r="A232" s="285"/>
      <c r="B232" s="285"/>
      <c r="C232" s="285" t="s">
        <v>182</v>
      </c>
      <c r="D232" s="293" t="s">
        <v>183</v>
      </c>
      <c r="E232" s="271"/>
      <c r="F232" s="593"/>
      <c r="G232" s="329"/>
      <c r="H232" s="329"/>
      <c r="I232" s="274">
        <f t="shared" si="19"/>
        <v>0</v>
      </c>
      <c r="J232" s="329"/>
      <c r="K232" s="329"/>
      <c r="L232" s="329"/>
      <c r="M232" s="329"/>
      <c r="N232" s="329"/>
      <c r="O232" s="329"/>
    </row>
    <row r="233" spans="1:15" ht="15" customHeight="1">
      <c r="A233" s="285"/>
      <c r="B233" s="285"/>
      <c r="C233" s="269"/>
      <c r="D233" s="310" t="s">
        <v>279</v>
      </c>
      <c r="E233" s="271"/>
      <c r="F233" s="593"/>
      <c r="G233" s="329"/>
      <c r="H233" s="329"/>
      <c r="I233" s="274">
        <f t="shared" si="19"/>
        <v>0</v>
      </c>
      <c r="J233" s="329"/>
      <c r="K233" s="329"/>
      <c r="L233" s="329"/>
      <c r="M233" s="329"/>
      <c r="N233" s="329"/>
      <c r="O233" s="329"/>
    </row>
    <row r="234" spans="1:15" ht="24.75" customHeight="1">
      <c r="A234" s="285"/>
      <c r="B234" s="285"/>
      <c r="C234" s="269" t="s">
        <v>594</v>
      </c>
      <c r="D234" s="364" t="s">
        <v>1148</v>
      </c>
      <c r="E234" s="271"/>
      <c r="F234" s="593" t="s">
        <v>210</v>
      </c>
      <c r="G234" s="329">
        <v>2450</v>
      </c>
      <c r="H234" s="329">
        <v>0</v>
      </c>
      <c r="I234" s="274">
        <f t="shared" si="19"/>
        <v>2450</v>
      </c>
      <c r="J234" s="289">
        <v>2943</v>
      </c>
      <c r="K234" s="289"/>
      <c r="L234" s="289">
        <f t="shared" si="20"/>
        <v>2943</v>
      </c>
      <c r="M234" s="289">
        <f t="shared" si="22"/>
        <v>5393</v>
      </c>
      <c r="N234" s="289">
        <f t="shared" si="23"/>
        <v>0</v>
      </c>
      <c r="O234" s="289">
        <f t="shared" si="21"/>
        <v>5393</v>
      </c>
    </row>
    <row r="235" spans="1:15" ht="13.5">
      <c r="A235" s="285"/>
      <c r="B235" s="285"/>
      <c r="C235" s="285" t="s">
        <v>186</v>
      </c>
      <c r="D235" s="286" t="s">
        <v>187</v>
      </c>
      <c r="E235" s="337"/>
      <c r="F235" s="590"/>
      <c r="G235" s="329">
        <v>0</v>
      </c>
      <c r="H235" s="329">
        <v>0</v>
      </c>
      <c r="I235" s="274">
        <f t="shared" si="19"/>
        <v>0</v>
      </c>
      <c r="J235" s="329"/>
      <c r="K235" s="329"/>
      <c r="L235" s="329">
        <f t="shared" si="20"/>
        <v>0</v>
      </c>
      <c r="M235" s="329">
        <f t="shared" si="22"/>
        <v>0</v>
      </c>
      <c r="N235" s="329">
        <f t="shared" si="23"/>
        <v>0</v>
      </c>
      <c r="O235" s="329">
        <f t="shared" si="21"/>
        <v>0</v>
      </c>
    </row>
    <row r="236" spans="1:15" ht="13.5">
      <c r="A236" s="285"/>
      <c r="B236" s="285"/>
      <c r="C236" s="291" t="s">
        <v>188</v>
      </c>
      <c r="D236" s="345" t="s">
        <v>30</v>
      </c>
      <c r="E236" s="365"/>
      <c r="F236" s="590" t="s">
        <v>1261</v>
      </c>
      <c r="G236" s="329">
        <v>20000</v>
      </c>
      <c r="H236" s="329">
        <v>0</v>
      </c>
      <c r="I236" s="274">
        <f t="shared" si="19"/>
        <v>20000</v>
      </c>
      <c r="J236" s="329">
        <v>-7248</v>
      </c>
      <c r="K236" s="329"/>
      <c r="L236" s="329">
        <f t="shared" si="20"/>
        <v>-7248</v>
      </c>
      <c r="M236" s="329">
        <f t="shared" si="22"/>
        <v>12752</v>
      </c>
      <c r="N236" s="329">
        <f t="shared" si="23"/>
        <v>0</v>
      </c>
      <c r="O236" s="329">
        <f t="shared" si="21"/>
        <v>12752</v>
      </c>
    </row>
    <row r="237" spans="1:15" ht="13.5">
      <c r="A237" s="285"/>
      <c r="B237" s="285"/>
      <c r="C237" s="291" t="s">
        <v>189</v>
      </c>
      <c r="D237" s="366" t="s">
        <v>595</v>
      </c>
      <c r="E237" s="365"/>
      <c r="F237" s="590" t="s">
        <v>210</v>
      </c>
      <c r="G237" s="329">
        <v>1600</v>
      </c>
      <c r="H237" s="329">
        <v>0</v>
      </c>
      <c r="I237" s="274">
        <f t="shared" si="19"/>
        <v>1600</v>
      </c>
      <c r="J237" s="329">
        <v>-1500</v>
      </c>
      <c r="K237" s="329"/>
      <c r="L237" s="329">
        <f t="shared" si="20"/>
        <v>-1500</v>
      </c>
      <c r="M237" s="329">
        <f t="shared" si="22"/>
        <v>100</v>
      </c>
      <c r="N237" s="329">
        <f t="shared" si="23"/>
        <v>0</v>
      </c>
      <c r="O237" s="329">
        <f t="shared" si="21"/>
        <v>100</v>
      </c>
    </row>
    <row r="238" spans="1:15" ht="24">
      <c r="A238" s="285"/>
      <c r="B238" s="285"/>
      <c r="C238" s="291" t="s">
        <v>190</v>
      </c>
      <c r="D238" s="320" t="s">
        <v>596</v>
      </c>
      <c r="E238" s="365"/>
      <c r="F238" s="590"/>
      <c r="G238" s="329">
        <v>1000</v>
      </c>
      <c r="H238" s="329">
        <v>0</v>
      </c>
      <c r="I238" s="274">
        <f t="shared" si="19"/>
        <v>1000</v>
      </c>
      <c r="J238" s="329"/>
      <c r="K238" s="329"/>
      <c r="L238" s="329">
        <f t="shared" si="20"/>
        <v>0</v>
      </c>
      <c r="M238" s="329">
        <f t="shared" si="22"/>
        <v>1000</v>
      </c>
      <c r="N238" s="329">
        <f t="shared" si="23"/>
        <v>0</v>
      </c>
      <c r="O238" s="329">
        <f t="shared" si="21"/>
        <v>1000</v>
      </c>
    </row>
    <row r="239" spans="1:15" ht="13.5">
      <c r="A239" s="285"/>
      <c r="B239" s="285"/>
      <c r="C239" s="291" t="s">
        <v>191</v>
      </c>
      <c r="D239" s="320" t="s">
        <v>597</v>
      </c>
      <c r="E239" s="365"/>
      <c r="F239" s="590" t="s">
        <v>399</v>
      </c>
      <c r="G239" s="329">
        <v>55000</v>
      </c>
      <c r="H239" s="329">
        <v>0</v>
      </c>
      <c r="I239" s="274">
        <f t="shared" si="19"/>
        <v>55000</v>
      </c>
      <c r="J239" s="329">
        <v>11630</v>
      </c>
      <c r="K239" s="329"/>
      <c r="L239" s="329">
        <f t="shared" si="20"/>
        <v>11630</v>
      </c>
      <c r="M239" s="329">
        <f t="shared" si="22"/>
        <v>66630</v>
      </c>
      <c r="N239" s="329">
        <f t="shared" si="23"/>
        <v>0</v>
      </c>
      <c r="O239" s="329">
        <f t="shared" si="21"/>
        <v>66630</v>
      </c>
    </row>
    <row r="240" spans="1:15" ht="13.5">
      <c r="A240" s="285"/>
      <c r="B240" s="285"/>
      <c r="C240" s="291" t="s">
        <v>908</v>
      </c>
      <c r="D240" s="332" t="s">
        <v>598</v>
      </c>
      <c r="E240" s="365"/>
      <c r="F240" s="590" t="s">
        <v>1261</v>
      </c>
      <c r="G240" s="329">
        <v>5000</v>
      </c>
      <c r="H240" s="329">
        <v>0</v>
      </c>
      <c r="I240" s="274">
        <f t="shared" si="19"/>
        <v>5000</v>
      </c>
      <c r="J240" s="329">
        <v>-437</v>
      </c>
      <c r="K240" s="329"/>
      <c r="L240" s="329">
        <f t="shared" si="20"/>
        <v>-437</v>
      </c>
      <c r="M240" s="329">
        <f t="shared" si="22"/>
        <v>4563</v>
      </c>
      <c r="N240" s="329">
        <f t="shared" si="23"/>
        <v>0</v>
      </c>
      <c r="O240" s="329">
        <f t="shared" si="21"/>
        <v>4563</v>
      </c>
    </row>
    <row r="241" spans="1:15" ht="13.5">
      <c r="A241" s="285"/>
      <c r="B241" s="285"/>
      <c r="C241" s="291" t="s">
        <v>909</v>
      </c>
      <c r="D241" s="249" t="s">
        <v>599</v>
      </c>
      <c r="E241" s="271"/>
      <c r="F241" s="610"/>
      <c r="G241" s="329">
        <v>1000</v>
      </c>
      <c r="H241" s="329">
        <v>0</v>
      </c>
      <c r="I241" s="274">
        <f t="shared" si="19"/>
        <v>1000</v>
      </c>
      <c r="J241" s="329"/>
      <c r="K241" s="329"/>
      <c r="L241" s="329">
        <f t="shared" si="20"/>
        <v>0</v>
      </c>
      <c r="M241" s="329">
        <f t="shared" si="22"/>
        <v>1000</v>
      </c>
      <c r="N241" s="329">
        <f t="shared" si="23"/>
        <v>0</v>
      </c>
      <c r="O241" s="329">
        <f t="shared" si="21"/>
        <v>1000</v>
      </c>
    </row>
    <row r="242" spans="1:15" ht="13.5">
      <c r="A242" s="285"/>
      <c r="B242" s="285"/>
      <c r="C242" s="291" t="s">
        <v>1073</v>
      </c>
      <c r="D242" s="40" t="s">
        <v>1074</v>
      </c>
      <c r="E242" s="271"/>
      <c r="F242" s="610" t="s">
        <v>210</v>
      </c>
      <c r="G242" s="329">
        <v>2235</v>
      </c>
      <c r="H242" s="329">
        <v>0</v>
      </c>
      <c r="I242" s="274">
        <f t="shared" si="19"/>
        <v>2235</v>
      </c>
      <c r="J242" s="329">
        <v>-287</v>
      </c>
      <c r="K242" s="329"/>
      <c r="L242" s="329">
        <f t="shared" si="20"/>
        <v>-287</v>
      </c>
      <c r="M242" s="329">
        <f t="shared" si="22"/>
        <v>1948</v>
      </c>
      <c r="N242" s="329">
        <f t="shared" si="23"/>
        <v>0</v>
      </c>
      <c r="O242" s="329">
        <f t="shared" si="21"/>
        <v>1948</v>
      </c>
    </row>
    <row r="243" spans="1:15" ht="24">
      <c r="A243" s="285"/>
      <c r="B243" s="285"/>
      <c r="C243" s="291" t="s">
        <v>1064</v>
      </c>
      <c r="D243" s="684" t="s">
        <v>443</v>
      </c>
      <c r="E243" s="271"/>
      <c r="F243" s="610"/>
      <c r="G243" s="329"/>
      <c r="H243" s="329">
        <v>2000</v>
      </c>
      <c r="I243" s="274">
        <f t="shared" si="19"/>
        <v>2000</v>
      </c>
      <c r="J243" s="329"/>
      <c r="K243" s="329"/>
      <c r="L243" s="329">
        <f t="shared" si="20"/>
        <v>0</v>
      </c>
      <c r="M243" s="329"/>
      <c r="N243" s="329">
        <f t="shared" si="23"/>
        <v>2000</v>
      </c>
      <c r="O243" s="329">
        <f t="shared" si="21"/>
        <v>2000</v>
      </c>
    </row>
    <row r="244" spans="1:15" ht="13.5">
      <c r="A244" s="285"/>
      <c r="B244" s="285"/>
      <c r="C244" s="291"/>
      <c r="D244" s="278" t="s">
        <v>279</v>
      </c>
      <c r="E244" s="365"/>
      <c r="F244" s="590"/>
      <c r="G244" s="329"/>
      <c r="H244" s="329"/>
      <c r="I244" s="274">
        <f t="shared" si="19"/>
        <v>0</v>
      </c>
      <c r="J244" s="329"/>
      <c r="K244" s="329"/>
      <c r="L244" s="329"/>
      <c r="M244" s="329"/>
      <c r="N244" s="329"/>
      <c r="O244" s="329"/>
    </row>
    <row r="245" spans="1:15" ht="13.5">
      <c r="A245" s="285"/>
      <c r="B245" s="285"/>
      <c r="C245" s="291" t="s">
        <v>31</v>
      </c>
      <c r="D245" s="325" t="s">
        <v>1174</v>
      </c>
      <c r="E245" s="365"/>
      <c r="F245" s="590"/>
      <c r="G245" s="329">
        <v>2033</v>
      </c>
      <c r="H245" s="329">
        <v>268</v>
      </c>
      <c r="I245" s="274">
        <f t="shared" si="19"/>
        <v>2301</v>
      </c>
      <c r="J245" s="329"/>
      <c r="K245" s="329"/>
      <c r="L245" s="329">
        <f t="shared" si="20"/>
        <v>0</v>
      </c>
      <c r="M245" s="329">
        <f t="shared" si="22"/>
        <v>2033</v>
      </c>
      <c r="N245" s="329">
        <f t="shared" si="23"/>
        <v>268</v>
      </c>
      <c r="O245" s="329">
        <f t="shared" si="21"/>
        <v>2301</v>
      </c>
    </row>
    <row r="246" spans="1:15" ht="13.5">
      <c r="A246" s="367"/>
      <c r="B246" s="367"/>
      <c r="C246" s="263"/>
      <c r="D246" s="264" t="s">
        <v>1228</v>
      </c>
      <c r="E246" s="265"/>
      <c r="F246" s="592"/>
      <c r="G246" s="368">
        <f>SUM(G137:G245)</f>
        <v>5904057</v>
      </c>
      <c r="H246" s="368">
        <f>SUM(H137:H245)</f>
        <v>36041</v>
      </c>
      <c r="I246" s="368">
        <f>SUM(I137:I245)</f>
        <v>5940098</v>
      </c>
      <c r="J246" s="368">
        <f aca="true" t="shared" si="24" ref="J246:O246">SUM(J137:J245)</f>
        <v>-505661</v>
      </c>
      <c r="K246" s="368">
        <f t="shared" si="24"/>
        <v>-130</v>
      </c>
      <c r="L246" s="368">
        <f t="shared" si="24"/>
        <v>-505791</v>
      </c>
      <c r="M246" s="368">
        <f t="shared" si="24"/>
        <v>5398396</v>
      </c>
      <c r="N246" s="368">
        <f t="shared" si="24"/>
        <v>35911</v>
      </c>
      <c r="O246" s="368">
        <f t="shared" si="24"/>
        <v>5434307</v>
      </c>
    </row>
    <row r="247" spans="1:15" ht="13.5">
      <c r="A247" s="369">
        <v>1</v>
      </c>
      <c r="B247" s="369">
        <v>17</v>
      </c>
      <c r="C247" s="269"/>
      <c r="D247" s="370" t="s">
        <v>600</v>
      </c>
      <c r="E247" s="371"/>
      <c r="F247" s="589"/>
      <c r="G247" s="329"/>
      <c r="H247" s="329"/>
      <c r="I247" s="319"/>
      <c r="J247" s="329"/>
      <c r="K247" s="329"/>
      <c r="L247" s="329"/>
      <c r="M247" s="329"/>
      <c r="N247" s="329"/>
      <c r="O247" s="329"/>
    </row>
    <row r="248" spans="1:15" ht="13.5">
      <c r="A248" s="369"/>
      <c r="B248" s="369"/>
      <c r="C248" s="269" t="s">
        <v>45</v>
      </c>
      <c r="D248" s="372" t="s">
        <v>601</v>
      </c>
      <c r="E248" s="371"/>
      <c r="F248" s="589"/>
      <c r="G248" s="329">
        <v>171958</v>
      </c>
      <c r="H248" s="329">
        <v>0</v>
      </c>
      <c r="I248" s="218">
        <f>SUM(G248:H248)</f>
        <v>171958</v>
      </c>
      <c r="J248" s="329"/>
      <c r="K248" s="329"/>
      <c r="L248" s="329">
        <f t="shared" si="20"/>
        <v>0</v>
      </c>
      <c r="M248" s="329">
        <f t="shared" si="22"/>
        <v>171958</v>
      </c>
      <c r="N248" s="329">
        <f t="shared" si="23"/>
        <v>0</v>
      </c>
      <c r="O248" s="329">
        <f t="shared" si="21"/>
        <v>171958</v>
      </c>
    </row>
    <row r="249" spans="1:15" ht="13.5">
      <c r="A249" s="369"/>
      <c r="B249" s="369"/>
      <c r="C249" s="269" t="s">
        <v>124</v>
      </c>
      <c r="D249" s="372" t="s">
        <v>1049</v>
      </c>
      <c r="E249" s="371"/>
      <c r="F249" s="589"/>
      <c r="G249" s="329">
        <v>260</v>
      </c>
      <c r="H249" s="329"/>
      <c r="I249" s="218">
        <f aca="true" t="shared" si="25" ref="I249:I258">SUM(G249:H249)</f>
        <v>260</v>
      </c>
      <c r="J249" s="329"/>
      <c r="K249" s="329"/>
      <c r="L249" s="329">
        <f t="shared" si="20"/>
        <v>0</v>
      </c>
      <c r="M249" s="329">
        <f t="shared" si="22"/>
        <v>260</v>
      </c>
      <c r="N249" s="329"/>
      <c r="O249" s="329">
        <f t="shared" si="21"/>
        <v>260</v>
      </c>
    </row>
    <row r="250" spans="1:15" ht="13.5">
      <c r="A250" s="369"/>
      <c r="B250" s="369"/>
      <c r="C250" s="269" t="s">
        <v>126</v>
      </c>
      <c r="D250" s="372" t="s">
        <v>899</v>
      </c>
      <c r="E250" s="371"/>
      <c r="F250" s="589"/>
      <c r="G250" s="329">
        <v>2500</v>
      </c>
      <c r="H250" s="329"/>
      <c r="I250" s="218">
        <f t="shared" si="25"/>
        <v>2500</v>
      </c>
      <c r="J250" s="329"/>
      <c r="K250" s="329"/>
      <c r="L250" s="329">
        <f t="shared" si="20"/>
        <v>0</v>
      </c>
      <c r="M250" s="329">
        <f t="shared" si="22"/>
        <v>2500</v>
      </c>
      <c r="N250" s="329"/>
      <c r="O250" s="329">
        <f t="shared" si="21"/>
        <v>2500</v>
      </c>
    </row>
    <row r="251" spans="1:15" ht="13.5">
      <c r="A251" s="369"/>
      <c r="B251" s="369"/>
      <c r="C251" s="269">
        <v>4</v>
      </c>
      <c r="D251" s="372" t="s">
        <v>663</v>
      </c>
      <c r="E251" s="371"/>
      <c r="F251" s="589" t="s">
        <v>1261</v>
      </c>
      <c r="G251" s="329"/>
      <c r="H251" s="329"/>
      <c r="I251" s="218"/>
      <c r="J251" s="329">
        <v>3286</v>
      </c>
      <c r="K251" s="329"/>
      <c r="L251" s="329">
        <f t="shared" si="20"/>
        <v>3286</v>
      </c>
      <c r="M251" s="329">
        <f t="shared" si="22"/>
        <v>3286</v>
      </c>
      <c r="N251" s="329"/>
      <c r="O251" s="329">
        <f t="shared" si="21"/>
        <v>3286</v>
      </c>
    </row>
    <row r="252" spans="1:15" ht="23.25" customHeight="1">
      <c r="A252" s="369"/>
      <c r="B252" s="369"/>
      <c r="C252" s="269" t="s">
        <v>129</v>
      </c>
      <c r="D252" s="786" t="s">
        <v>664</v>
      </c>
      <c r="E252" s="787"/>
      <c r="F252" s="589" t="s">
        <v>1261</v>
      </c>
      <c r="G252" s="329"/>
      <c r="H252" s="329"/>
      <c r="I252" s="218"/>
      <c r="J252" s="329">
        <v>13</v>
      </c>
      <c r="K252" s="329"/>
      <c r="L252" s="329">
        <f t="shared" si="20"/>
        <v>13</v>
      </c>
      <c r="M252" s="329">
        <f t="shared" si="22"/>
        <v>13</v>
      </c>
      <c r="N252" s="329"/>
      <c r="O252" s="329">
        <f t="shared" si="21"/>
        <v>13</v>
      </c>
    </row>
    <row r="253" spans="1:15" ht="13.5" customHeight="1">
      <c r="A253" s="275"/>
      <c r="B253" s="275"/>
      <c r="C253" s="269"/>
      <c r="D253" s="278" t="s">
        <v>279</v>
      </c>
      <c r="E253" s="365"/>
      <c r="F253" s="590"/>
      <c r="G253" s="329">
        <v>0</v>
      </c>
      <c r="H253" s="329">
        <v>0</v>
      </c>
      <c r="I253" s="218">
        <f t="shared" si="25"/>
        <v>0</v>
      </c>
      <c r="J253" s="329"/>
      <c r="K253" s="329"/>
      <c r="L253" s="329">
        <f t="shared" si="20"/>
        <v>0</v>
      </c>
      <c r="M253" s="329">
        <f t="shared" si="22"/>
        <v>0</v>
      </c>
      <c r="N253" s="329">
        <f t="shared" si="23"/>
        <v>0</v>
      </c>
      <c r="O253" s="329">
        <f t="shared" si="21"/>
        <v>0</v>
      </c>
    </row>
    <row r="254" spans="1:15" ht="24.75" customHeight="1">
      <c r="A254" s="275"/>
      <c r="B254" s="275"/>
      <c r="C254" s="269" t="s">
        <v>1209</v>
      </c>
      <c r="D254" s="373" t="s">
        <v>1260</v>
      </c>
      <c r="E254" s="365"/>
      <c r="F254" s="590"/>
      <c r="G254" s="329">
        <v>63299</v>
      </c>
      <c r="H254" s="329">
        <v>0</v>
      </c>
      <c r="I254" s="218">
        <f t="shared" si="25"/>
        <v>63299</v>
      </c>
      <c r="J254" s="329"/>
      <c r="K254" s="329"/>
      <c r="L254" s="329">
        <f t="shared" si="20"/>
        <v>0</v>
      </c>
      <c r="M254" s="329">
        <f t="shared" si="22"/>
        <v>63299</v>
      </c>
      <c r="N254" s="329">
        <f t="shared" si="23"/>
        <v>0</v>
      </c>
      <c r="O254" s="329">
        <f t="shared" si="21"/>
        <v>63299</v>
      </c>
    </row>
    <row r="255" spans="1:15" ht="15" customHeight="1">
      <c r="A255" s="275"/>
      <c r="B255" s="275"/>
      <c r="C255" s="269" t="s">
        <v>1210</v>
      </c>
      <c r="D255" s="349" t="s">
        <v>1262</v>
      </c>
      <c r="E255" s="365"/>
      <c r="F255" s="590"/>
      <c r="G255" s="329">
        <v>30000</v>
      </c>
      <c r="H255" s="329">
        <v>0</v>
      </c>
      <c r="I255" s="218">
        <f t="shared" si="25"/>
        <v>30000</v>
      </c>
      <c r="J255" s="329"/>
      <c r="K255" s="329"/>
      <c r="L255" s="329">
        <f t="shared" si="20"/>
        <v>0</v>
      </c>
      <c r="M255" s="329">
        <f t="shared" si="22"/>
        <v>30000</v>
      </c>
      <c r="N255" s="329">
        <f t="shared" si="23"/>
        <v>0</v>
      </c>
      <c r="O255" s="329">
        <f t="shared" si="21"/>
        <v>30000</v>
      </c>
    </row>
    <row r="256" spans="1:15" ht="15" customHeight="1">
      <c r="A256" s="275"/>
      <c r="B256" s="275"/>
      <c r="C256" s="269" t="s">
        <v>1211</v>
      </c>
      <c r="D256" s="373" t="s">
        <v>1175</v>
      </c>
      <c r="E256" s="365"/>
      <c r="F256" s="590"/>
      <c r="G256" s="329">
        <v>80626</v>
      </c>
      <c r="H256" s="329">
        <v>0</v>
      </c>
      <c r="I256" s="218">
        <f t="shared" si="25"/>
        <v>80626</v>
      </c>
      <c r="J256" s="329"/>
      <c r="K256" s="329"/>
      <c r="L256" s="329">
        <f t="shared" si="20"/>
        <v>0</v>
      </c>
      <c r="M256" s="329">
        <f t="shared" si="22"/>
        <v>80626</v>
      </c>
      <c r="N256" s="329">
        <f t="shared" si="23"/>
        <v>0</v>
      </c>
      <c r="O256" s="329">
        <f t="shared" si="21"/>
        <v>80626</v>
      </c>
    </row>
    <row r="257" spans="1:15" ht="24.75" customHeight="1">
      <c r="A257" s="275"/>
      <c r="B257" s="275"/>
      <c r="C257" s="269" t="s">
        <v>602</v>
      </c>
      <c r="D257" s="373" t="s">
        <v>603</v>
      </c>
      <c r="E257" s="365"/>
      <c r="F257" s="590"/>
      <c r="G257" s="329">
        <v>103100</v>
      </c>
      <c r="H257" s="329">
        <v>0</v>
      </c>
      <c r="I257" s="218">
        <f t="shared" si="25"/>
        <v>103100</v>
      </c>
      <c r="J257" s="329"/>
      <c r="K257" s="329"/>
      <c r="L257" s="329">
        <f t="shared" si="20"/>
        <v>0</v>
      </c>
      <c r="M257" s="329">
        <f t="shared" si="22"/>
        <v>103100</v>
      </c>
      <c r="N257" s="329">
        <f t="shared" si="23"/>
        <v>0</v>
      </c>
      <c r="O257" s="329">
        <f t="shared" si="21"/>
        <v>103100</v>
      </c>
    </row>
    <row r="258" spans="1:15" ht="15" customHeight="1">
      <c r="A258" s="275"/>
      <c r="B258" s="275"/>
      <c r="C258" s="269" t="s">
        <v>604</v>
      </c>
      <c r="D258" s="374" t="s">
        <v>605</v>
      </c>
      <c r="E258" s="365"/>
      <c r="F258" s="590"/>
      <c r="G258" s="329">
        <v>300</v>
      </c>
      <c r="H258" s="329">
        <v>0</v>
      </c>
      <c r="I258" s="218">
        <f t="shared" si="25"/>
        <v>300</v>
      </c>
      <c r="J258" s="329"/>
      <c r="K258" s="329"/>
      <c r="L258" s="329">
        <f t="shared" si="20"/>
        <v>0</v>
      </c>
      <c r="M258" s="329">
        <f t="shared" si="22"/>
        <v>300</v>
      </c>
      <c r="N258" s="329">
        <f t="shared" si="23"/>
        <v>0</v>
      </c>
      <c r="O258" s="329">
        <f t="shared" si="21"/>
        <v>300</v>
      </c>
    </row>
    <row r="259" spans="1:15" ht="12" customHeight="1">
      <c r="A259" s="367"/>
      <c r="B259" s="367"/>
      <c r="C259" s="263"/>
      <c r="D259" s="264" t="s">
        <v>1215</v>
      </c>
      <c r="E259" s="265"/>
      <c r="F259" s="592"/>
      <c r="G259" s="368">
        <f>SUM(G248:G258)</f>
        <v>452043</v>
      </c>
      <c r="H259" s="368">
        <f>SUM(H248:H258)</f>
        <v>0</v>
      </c>
      <c r="I259" s="368">
        <f>SUM(I248:I258)</f>
        <v>452043</v>
      </c>
      <c r="J259" s="368">
        <f aca="true" t="shared" si="26" ref="J259:O259">SUM(J248:J258)</f>
        <v>3299</v>
      </c>
      <c r="K259" s="368">
        <f t="shared" si="26"/>
        <v>0</v>
      </c>
      <c r="L259" s="368">
        <f t="shared" si="26"/>
        <v>3299</v>
      </c>
      <c r="M259" s="368">
        <f t="shared" si="26"/>
        <v>455342</v>
      </c>
      <c r="N259" s="368">
        <f t="shared" si="26"/>
        <v>0</v>
      </c>
      <c r="O259" s="368">
        <f t="shared" si="26"/>
        <v>455342</v>
      </c>
    </row>
    <row r="260" spans="1:15" ht="12" customHeight="1">
      <c r="A260" s="231">
        <v>1</v>
      </c>
      <c r="B260" s="231">
        <v>18</v>
      </c>
      <c r="C260" s="232"/>
      <c r="D260" s="375" t="s">
        <v>1176</v>
      </c>
      <c r="E260" s="376"/>
      <c r="F260" s="591"/>
      <c r="G260" s="329"/>
      <c r="H260" s="329"/>
      <c r="I260" s="318"/>
      <c r="J260" s="329"/>
      <c r="K260" s="329"/>
      <c r="L260" s="329"/>
      <c r="M260" s="329"/>
      <c r="N260" s="329"/>
      <c r="O260" s="329"/>
    </row>
    <row r="261" spans="1:15" ht="12" customHeight="1">
      <c r="A261" s="231"/>
      <c r="B261" s="231"/>
      <c r="C261" s="232" t="s">
        <v>45</v>
      </c>
      <c r="D261" s="278" t="s">
        <v>606</v>
      </c>
      <c r="E261" s="376"/>
      <c r="F261" s="591"/>
      <c r="G261" s="329">
        <v>500</v>
      </c>
      <c r="H261" s="329">
        <v>0</v>
      </c>
      <c r="I261" s="235">
        <v>500</v>
      </c>
      <c r="J261" s="329"/>
      <c r="K261" s="329"/>
      <c r="L261" s="329">
        <f t="shared" si="20"/>
        <v>0</v>
      </c>
      <c r="M261" s="329">
        <f t="shared" si="22"/>
        <v>500</v>
      </c>
      <c r="N261" s="329">
        <f t="shared" si="23"/>
        <v>0</v>
      </c>
      <c r="O261" s="329">
        <f t="shared" si="21"/>
        <v>500</v>
      </c>
    </row>
    <row r="262" spans="1:15" ht="12" customHeight="1">
      <c r="A262" s="377"/>
      <c r="B262" s="377"/>
      <c r="C262" s="263"/>
      <c r="D262" s="264" t="s">
        <v>1177</v>
      </c>
      <c r="E262" s="265"/>
      <c r="F262" s="592"/>
      <c r="G262" s="368">
        <f>SUM(G261)</f>
        <v>500</v>
      </c>
      <c r="H262" s="368"/>
      <c r="I262" s="368">
        <f>SUM(I261)</f>
        <v>500</v>
      </c>
      <c r="J262" s="368">
        <f aca="true" t="shared" si="27" ref="J262:O262">SUM(J261)</f>
        <v>0</v>
      </c>
      <c r="K262" s="368">
        <f t="shared" si="27"/>
        <v>0</v>
      </c>
      <c r="L262" s="368">
        <f t="shared" si="27"/>
        <v>0</v>
      </c>
      <c r="M262" s="368">
        <f t="shared" si="27"/>
        <v>500</v>
      </c>
      <c r="N262" s="368">
        <f t="shared" si="27"/>
        <v>0</v>
      </c>
      <c r="O262" s="368">
        <f t="shared" si="27"/>
        <v>500</v>
      </c>
    </row>
    <row r="263" spans="1:15" ht="12" customHeight="1">
      <c r="A263" s="369">
        <v>1</v>
      </c>
      <c r="B263" s="369">
        <v>19</v>
      </c>
      <c r="C263" s="269"/>
      <c r="D263" s="370" t="s">
        <v>199</v>
      </c>
      <c r="E263" s="371"/>
      <c r="F263" s="589"/>
      <c r="G263" s="329"/>
      <c r="H263" s="329"/>
      <c r="I263" s="319"/>
      <c r="J263" s="329"/>
      <c r="K263" s="329"/>
      <c r="L263" s="329"/>
      <c r="M263" s="329"/>
      <c r="N263" s="329"/>
      <c r="O263" s="329"/>
    </row>
    <row r="264" spans="1:15" ht="12" customHeight="1">
      <c r="A264" s="369"/>
      <c r="B264" s="369"/>
      <c r="C264" s="269" t="s">
        <v>45</v>
      </c>
      <c r="D264" s="776" t="s">
        <v>1066</v>
      </c>
      <c r="E264" s="777"/>
      <c r="F264" s="589"/>
      <c r="G264" s="329"/>
      <c r="H264" s="329">
        <v>7250</v>
      </c>
      <c r="I264" s="218">
        <f aca="true" t="shared" si="28" ref="I264:I270">SUM(H264)</f>
        <v>7250</v>
      </c>
      <c r="J264" s="329"/>
      <c r="K264" s="329"/>
      <c r="L264" s="289">
        <f t="shared" si="20"/>
        <v>0</v>
      </c>
      <c r="M264" s="329"/>
      <c r="N264" s="329">
        <v>7250</v>
      </c>
      <c r="O264" s="329">
        <v>7250</v>
      </c>
    </row>
    <row r="265" spans="1:15" ht="12" customHeight="1">
      <c r="A265" s="369"/>
      <c r="B265" s="369"/>
      <c r="C265" s="269" t="s">
        <v>124</v>
      </c>
      <c r="D265" s="653" t="s">
        <v>382</v>
      </c>
      <c r="E265" s="651"/>
      <c r="F265" s="589"/>
      <c r="G265" s="329"/>
      <c r="H265" s="329">
        <v>1000</v>
      </c>
      <c r="I265" s="218">
        <f t="shared" si="28"/>
        <v>1000</v>
      </c>
      <c r="J265" s="329"/>
      <c r="K265" s="329"/>
      <c r="L265" s="289">
        <f t="shared" si="20"/>
        <v>0</v>
      </c>
      <c r="M265" s="329"/>
      <c r="N265" s="329">
        <v>1000</v>
      </c>
      <c r="O265" s="329">
        <v>1000</v>
      </c>
    </row>
    <row r="266" spans="1:15" ht="12" customHeight="1">
      <c r="A266" s="369"/>
      <c r="B266" s="369"/>
      <c r="C266" s="269" t="s">
        <v>126</v>
      </c>
      <c r="D266" s="653" t="s">
        <v>427</v>
      </c>
      <c r="E266" s="651"/>
      <c r="F266" s="589"/>
      <c r="G266" s="329"/>
      <c r="H266" s="329">
        <v>254</v>
      </c>
      <c r="I266" s="218">
        <f t="shared" si="28"/>
        <v>254</v>
      </c>
      <c r="J266" s="329"/>
      <c r="K266" s="329"/>
      <c r="L266" s="289">
        <f t="shared" si="20"/>
        <v>0</v>
      </c>
      <c r="M266" s="329"/>
      <c r="N266" s="329">
        <v>254</v>
      </c>
      <c r="O266" s="329">
        <v>254</v>
      </c>
    </row>
    <row r="267" spans="1:15" ht="12" customHeight="1">
      <c r="A267" s="369"/>
      <c r="B267" s="369"/>
      <c r="C267" s="269" t="s">
        <v>128</v>
      </c>
      <c r="D267" s="751" t="s">
        <v>1040</v>
      </c>
      <c r="E267" s="256"/>
      <c r="F267" s="593" t="s">
        <v>1261</v>
      </c>
      <c r="G267" s="329"/>
      <c r="H267" s="329"/>
      <c r="I267" s="274"/>
      <c r="J267" s="289"/>
      <c r="K267" s="289">
        <v>800</v>
      </c>
      <c r="L267" s="289">
        <f t="shared" si="20"/>
        <v>800</v>
      </c>
      <c r="M267" s="289"/>
      <c r="N267" s="289">
        <f>SUM(H267+K267)</f>
        <v>800</v>
      </c>
      <c r="O267" s="289">
        <f>SUM(M267:N267)</f>
        <v>800</v>
      </c>
    </row>
    <row r="268" spans="1:15" ht="12" customHeight="1">
      <c r="A268" s="369"/>
      <c r="B268" s="369"/>
      <c r="C268" s="269"/>
      <c r="D268" s="278" t="s">
        <v>279</v>
      </c>
      <c r="E268" s="371"/>
      <c r="F268" s="589"/>
      <c r="G268" s="329"/>
      <c r="H268" s="329"/>
      <c r="I268" s="218">
        <f t="shared" si="28"/>
        <v>0</v>
      </c>
      <c r="J268" s="329"/>
      <c r="K268" s="329"/>
      <c r="L268" s="289">
        <f t="shared" si="20"/>
        <v>0</v>
      </c>
      <c r="M268" s="329"/>
      <c r="N268" s="329"/>
      <c r="O268" s="329"/>
    </row>
    <row r="269" spans="1:15" ht="15" customHeight="1">
      <c r="A269" s="369"/>
      <c r="B269" s="369"/>
      <c r="C269" s="269" t="s">
        <v>1264</v>
      </c>
      <c r="D269" s="378" t="s">
        <v>607</v>
      </c>
      <c r="E269" s="371"/>
      <c r="F269" s="589"/>
      <c r="G269" s="329">
        <v>0</v>
      </c>
      <c r="H269" s="329">
        <v>1500</v>
      </c>
      <c r="I269" s="218">
        <f t="shared" si="28"/>
        <v>1500</v>
      </c>
      <c r="J269" s="289"/>
      <c r="K269" s="289"/>
      <c r="L269" s="289">
        <f t="shared" si="20"/>
        <v>0</v>
      </c>
      <c r="M269" s="289">
        <f t="shared" si="22"/>
        <v>0</v>
      </c>
      <c r="N269" s="289">
        <f t="shared" si="23"/>
        <v>1500</v>
      </c>
      <c r="O269" s="289">
        <f t="shared" si="21"/>
        <v>1500</v>
      </c>
    </row>
    <row r="270" spans="1:15" ht="24.75" customHeight="1">
      <c r="A270" s="369"/>
      <c r="B270" s="369"/>
      <c r="C270" s="269" t="s">
        <v>8</v>
      </c>
      <c r="D270" s="379" t="s">
        <v>1178</v>
      </c>
      <c r="E270" s="371"/>
      <c r="F270" s="589"/>
      <c r="G270" s="329">
        <v>0</v>
      </c>
      <c r="H270" s="329">
        <v>2660</v>
      </c>
      <c r="I270" s="218">
        <f t="shared" si="28"/>
        <v>2660</v>
      </c>
      <c r="J270" s="289"/>
      <c r="K270" s="289"/>
      <c r="L270" s="289">
        <f t="shared" si="20"/>
        <v>0</v>
      </c>
      <c r="M270" s="289">
        <f t="shared" si="22"/>
        <v>0</v>
      </c>
      <c r="N270" s="289">
        <f t="shared" si="23"/>
        <v>2660</v>
      </c>
      <c r="O270" s="289">
        <f t="shared" si="21"/>
        <v>2660</v>
      </c>
    </row>
    <row r="271" spans="1:15" ht="12" customHeight="1">
      <c r="A271" s="377"/>
      <c r="B271" s="377"/>
      <c r="C271" s="263"/>
      <c r="D271" s="264" t="s">
        <v>200</v>
      </c>
      <c r="E271" s="265"/>
      <c r="F271" s="592"/>
      <c r="G271" s="368">
        <f>SUM(G264:G270)</f>
        <v>0</v>
      </c>
      <c r="H271" s="368">
        <f aca="true" t="shared" si="29" ref="H271:O271">SUM(H264:H270)</f>
        <v>12664</v>
      </c>
      <c r="I271" s="368">
        <f t="shared" si="29"/>
        <v>12664</v>
      </c>
      <c r="J271" s="368">
        <f t="shared" si="29"/>
        <v>0</v>
      </c>
      <c r="K271" s="368">
        <f t="shared" si="29"/>
        <v>800</v>
      </c>
      <c r="L271" s="368">
        <f t="shared" si="29"/>
        <v>800</v>
      </c>
      <c r="M271" s="368">
        <f t="shared" si="29"/>
        <v>0</v>
      </c>
      <c r="N271" s="368">
        <f t="shared" si="29"/>
        <v>13464</v>
      </c>
      <c r="O271" s="368">
        <f t="shared" si="29"/>
        <v>13464</v>
      </c>
    </row>
    <row r="272" spans="1:15" ht="12" customHeight="1">
      <c r="A272" s="369">
        <v>1</v>
      </c>
      <c r="B272" s="369">
        <v>22</v>
      </c>
      <c r="C272" s="269"/>
      <c r="D272" s="370" t="s">
        <v>1016</v>
      </c>
      <c r="E272" s="371"/>
      <c r="F272" s="589"/>
      <c r="G272" s="329"/>
      <c r="H272" s="329"/>
      <c r="I272" s="218"/>
      <c r="J272" s="329"/>
      <c r="K272" s="329"/>
      <c r="L272" s="329"/>
      <c r="M272" s="329"/>
      <c r="N272" s="329"/>
      <c r="O272" s="329"/>
    </row>
    <row r="273" spans="1:15" ht="30" customHeight="1">
      <c r="A273" s="369"/>
      <c r="B273" s="369"/>
      <c r="C273" s="269" t="s">
        <v>45</v>
      </c>
      <c r="D273" s="349" t="s">
        <v>687</v>
      </c>
      <c r="E273" s="343"/>
      <c r="F273" s="351" t="s">
        <v>1261</v>
      </c>
      <c r="G273" s="673">
        <v>280</v>
      </c>
      <c r="H273" s="673">
        <v>250</v>
      </c>
      <c r="I273" s="336">
        <f>SUM(G273:H273)</f>
        <v>530</v>
      </c>
      <c r="J273" s="673"/>
      <c r="K273" s="673">
        <v>247</v>
      </c>
      <c r="L273" s="673">
        <f t="shared" si="20"/>
        <v>247</v>
      </c>
      <c r="M273" s="673">
        <f t="shared" si="22"/>
        <v>280</v>
      </c>
      <c r="N273" s="673">
        <f t="shared" si="23"/>
        <v>497</v>
      </c>
      <c r="O273" s="673">
        <f t="shared" si="21"/>
        <v>777</v>
      </c>
    </row>
    <row r="274" spans="1:15" ht="15" customHeight="1">
      <c r="A274" s="369"/>
      <c r="B274" s="369"/>
      <c r="C274" s="269" t="s">
        <v>124</v>
      </c>
      <c r="D274" s="349" t="s">
        <v>428</v>
      </c>
      <c r="E274" s="343"/>
      <c r="F274" s="351"/>
      <c r="G274" s="329">
        <v>182</v>
      </c>
      <c r="H274" s="329">
        <v>0</v>
      </c>
      <c r="I274" s="336">
        <f>SUM(G274:H274)</f>
        <v>182</v>
      </c>
      <c r="J274" s="329"/>
      <c r="K274" s="329"/>
      <c r="L274" s="329">
        <f t="shared" si="20"/>
        <v>0</v>
      </c>
      <c r="M274" s="329">
        <f t="shared" si="22"/>
        <v>182</v>
      </c>
      <c r="N274" s="329">
        <f t="shared" si="23"/>
        <v>0</v>
      </c>
      <c r="O274" s="329">
        <f t="shared" si="21"/>
        <v>182</v>
      </c>
    </row>
    <row r="275" spans="1:15" ht="15" customHeight="1">
      <c r="A275" s="369"/>
      <c r="B275" s="369"/>
      <c r="C275" s="269" t="s">
        <v>126</v>
      </c>
      <c r="D275" s="349" t="s">
        <v>350</v>
      </c>
      <c r="E275" s="343"/>
      <c r="F275" s="351"/>
      <c r="G275" s="329">
        <v>0</v>
      </c>
      <c r="H275" s="329">
        <v>4815</v>
      </c>
      <c r="I275" s="336">
        <f>SUM(G275:H275)</f>
        <v>4815</v>
      </c>
      <c r="J275" s="329"/>
      <c r="K275" s="329"/>
      <c r="L275" s="329">
        <f t="shared" si="20"/>
        <v>0</v>
      </c>
      <c r="M275" s="329">
        <f t="shared" si="22"/>
        <v>0</v>
      </c>
      <c r="N275" s="329">
        <f t="shared" si="23"/>
        <v>4815</v>
      </c>
      <c r="O275" s="329">
        <f t="shared" si="21"/>
        <v>4815</v>
      </c>
    </row>
    <row r="276" spans="1:15" ht="18" customHeight="1">
      <c r="A276" s="369"/>
      <c r="B276" s="369"/>
      <c r="C276" s="269" t="s">
        <v>128</v>
      </c>
      <c r="D276" s="349" t="s">
        <v>665</v>
      </c>
      <c r="E276" s="343"/>
      <c r="F276" s="351" t="s">
        <v>1261</v>
      </c>
      <c r="G276" s="329"/>
      <c r="H276" s="329"/>
      <c r="I276" s="336"/>
      <c r="J276" s="329"/>
      <c r="K276" s="329">
        <v>107489</v>
      </c>
      <c r="L276" s="329">
        <f t="shared" si="20"/>
        <v>107489</v>
      </c>
      <c r="M276" s="329"/>
      <c r="N276" s="329">
        <f t="shared" si="23"/>
        <v>107489</v>
      </c>
      <c r="O276" s="329">
        <f t="shared" si="21"/>
        <v>107489</v>
      </c>
    </row>
    <row r="277" spans="1:15" ht="12" customHeight="1">
      <c r="A277" s="377"/>
      <c r="B277" s="377"/>
      <c r="C277" s="263"/>
      <c r="D277" s="264" t="s">
        <v>1017</v>
      </c>
      <c r="E277" s="265"/>
      <c r="F277" s="592"/>
      <c r="G277" s="368">
        <f>SUM(G273:G275)</f>
        <v>462</v>
      </c>
      <c r="H277" s="368">
        <f>SUM(H273:H275)</f>
        <v>5065</v>
      </c>
      <c r="I277" s="368">
        <f>SUM(I273:I275)</f>
        <v>5527</v>
      </c>
      <c r="J277" s="368">
        <f>SUM(J273:J275)</f>
        <v>0</v>
      </c>
      <c r="K277" s="368">
        <f>SUM(K273:K276)</f>
        <v>107736</v>
      </c>
      <c r="L277" s="368">
        <f>SUM(L273:L276)</f>
        <v>107736</v>
      </c>
      <c r="M277" s="368">
        <f>SUM(M273:M276)</f>
        <v>462</v>
      </c>
      <c r="N277" s="368">
        <f>SUM(N273:N276)</f>
        <v>112801</v>
      </c>
      <c r="O277" s="368">
        <f>SUM(O273:O276)</f>
        <v>113263</v>
      </c>
    </row>
    <row r="278" spans="1:15" ht="13.5">
      <c r="A278" s="380">
        <v>1</v>
      </c>
      <c r="B278" s="380">
        <v>3</v>
      </c>
      <c r="C278" s="254"/>
      <c r="D278" s="282" t="s">
        <v>1218</v>
      </c>
      <c r="E278" s="288"/>
      <c r="F278" s="595"/>
      <c r="G278" s="289"/>
      <c r="H278" s="289"/>
      <c r="I278" s="289"/>
      <c r="J278" s="329"/>
      <c r="K278" s="329"/>
      <c r="L278" s="329">
        <f t="shared" si="20"/>
        <v>0</v>
      </c>
      <c r="M278" s="329">
        <f t="shared" si="22"/>
        <v>0</v>
      </c>
      <c r="N278" s="329">
        <f t="shared" si="23"/>
        <v>0</v>
      </c>
      <c r="O278" s="329">
        <f t="shared" si="21"/>
        <v>0</v>
      </c>
    </row>
    <row r="279" spans="1:15" ht="13.5">
      <c r="A279" s="380"/>
      <c r="B279" s="380"/>
      <c r="C279" s="254"/>
      <c r="D279" s="381"/>
      <c r="E279" s="288"/>
      <c r="F279" s="595"/>
      <c r="G279" s="289"/>
      <c r="H279" s="289"/>
      <c r="I279" s="289"/>
      <c r="J279" s="329"/>
      <c r="K279" s="329"/>
      <c r="L279" s="329"/>
      <c r="M279" s="329"/>
      <c r="N279" s="329"/>
      <c r="O279" s="329"/>
    </row>
    <row r="280" spans="1:15" ht="12" customHeight="1">
      <c r="A280" s="382"/>
      <c r="B280" s="382"/>
      <c r="C280" s="377"/>
      <c r="D280" s="383" t="s">
        <v>1219</v>
      </c>
      <c r="E280" s="384"/>
      <c r="F280" s="599"/>
      <c r="G280" s="385">
        <f>SUM(G279:G279)</f>
        <v>0</v>
      </c>
      <c r="H280" s="385">
        <f>SUM(H279:H279)</f>
        <v>0</v>
      </c>
      <c r="I280" s="385">
        <f>SUM(I279:I279)</f>
        <v>0</v>
      </c>
      <c r="J280" s="385">
        <f aca="true" t="shared" si="30" ref="J280:O280">SUM(J279:J279)</f>
        <v>0</v>
      </c>
      <c r="K280" s="385">
        <f t="shared" si="30"/>
        <v>0</v>
      </c>
      <c r="L280" s="385">
        <f t="shared" si="30"/>
        <v>0</v>
      </c>
      <c r="M280" s="385">
        <f t="shared" si="30"/>
        <v>0</v>
      </c>
      <c r="N280" s="385">
        <f t="shared" si="30"/>
        <v>0</v>
      </c>
      <c r="O280" s="385">
        <f t="shared" si="30"/>
        <v>0</v>
      </c>
    </row>
    <row r="281" spans="1:15" ht="13.5">
      <c r="A281" s="386"/>
      <c r="B281" s="386"/>
      <c r="C281" s="387"/>
      <c r="D281" s="388" t="s">
        <v>1179</v>
      </c>
      <c r="E281" s="384"/>
      <c r="F281" s="599"/>
      <c r="G281" s="385">
        <f aca="true" t="shared" si="31" ref="G281:O281">SUM(G8+G37+G134+G246+G259+G262+G271+G277+G280)</f>
        <v>6874305</v>
      </c>
      <c r="H281" s="385">
        <f t="shared" si="31"/>
        <v>836967</v>
      </c>
      <c r="I281" s="385">
        <f t="shared" si="31"/>
        <v>7711272</v>
      </c>
      <c r="J281" s="385">
        <f t="shared" si="31"/>
        <v>-481509</v>
      </c>
      <c r="K281" s="385">
        <f t="shared" si="31"/>
        <v>-119606</v>
      </c>
      <c r="L281" s="385">
        <f t="shared" si="31"/>
        <v>-601115</v>
      </c>
      <c r="M281" s="385">
        <f t="shared" si="31"/>
        <v>6392796</v>
      </c>
      <c r="N281" s="385">
        <f t="shared" si="31"/>
        <v>717361</v>
      </c>
      <c r="O281" s="385">
        <f t="shared" si="31"/>
        <v>7110157</v>
      </c>
    </row>
    <row r="282" spans="1:15" ht="12.75">
      <c r="A282" s="389">
        <v>2</v>
      </c>
      <c r="B282" s="390">
        <v>2</v>
      </c>
      <c r="C282" s="391"/>
      <c r="D282" s="233" t="s">
        <v>1249</v>
      </c>
      <c r="E282" s="392"/>
      <c r="F282" s="392"/>
      <c r="G282" s="329">
        <v>172283</v>
      </c>
      <c r="H282" s="329">
        <v>0</v>
      </c>
      <c r="I282" s="329">
        <f>SUM(G282:H282)</f>
        <v>172283</v>
      </c>
      <c r="J282" s="329">
        <f>'táj.2.'!H20</f>
        <v>17264</v>
      </c>
      <c r="K282" s="329">
        <f>'táj.2.'!J20</f>
        <v>0</v>
      </c>
      <c r="L282" s="329">
        <f t="shared" si="20"/>
        <v>17264</v>
      </c>
      <c r="M282" s="329">
        <f t="shared" si="22"/>
        <v>189547</v>
      </c>
      <c r="N282" s="329">
        <f t="shared" si="23"/>
        <v>0</v>
      </c>
      <c r="O282" s="329">
        <f t="shared" si="21"/>
        <v>189547</v>
      </c>
    </row>
    <row r="283" spans="1:15" ht="13.5">
      <c r="A283" s="386"/>
      <c r="B283" s="386"/>
      <c r="C283" s="387"/>
      <c r="D283" s="383" t="s">
        <v>1221</v>
      </c>
      <c r="E283" s="384"/>
      <c r="F283" s="599"/>
      <c r="G283" s="385">
        <f>SUM(G281:G282)</f>
        <v>7046588</v>
      </c>
      <c r="H283" s="385">
        <f>SUM(H281:H282)</f>
        <v>836967</v>
      </c>
      <c r="I283" s="385">
        <f>SUM(I281:I282)</f>
        <v>7883555</v>
      </c>
      <c r="J283" s="385">
        <f aca="true" t="shared" si="32" ref="J283:O283">SUM(J281:J282)</f>
        <v>-464245</v>
      </c>
      <c r="K283" s="385">
        <f t="shared" si="32"/>
        <v>-119606</v>
      </c>
      <c r="L283" s="385">
        <f t="shared" si="32"/>
        <v>-583851</v>
      </c>
      <c r="M283" s="385">
        <f t="shared" si="32"/>
        <v>6582343</v>
      </c>
      <c r="N283" s="385">
        <f t="shared" si="32"/>
        <v>717361</v>
      </c>
      <c r="O283" s="385">
        <f t="shared" si="32"/>
        <v>7299704</v>
      </c>
    </row>
    <row r="284" spans="1:12" ht="15" customHeight="1">
      <c r="A284" s="393" t="s">
        <v>1180</v>
      </c>
      <c r="B284" s="394"/>
      <c r="C284" s="394"/>
      <c r="D284" s="394"/>
      <c r="E284" s="394"/>
      <c r="F284" s="394"/>
      <c r="G284" s="394"/>
      <c r="H284" s="394"/>
      <c r="I284" s="394"/>
      <c r="L284" s="399"/>
    </row>
    <row r="285" spans="1:9" ht="12.75">
      <c r="A285" s="393"/>
      <c r="B285" s="393"/>
      <c r="C285" s="393"/>
      <c r="D285" s="393"/>
      <c r="E285" s="394"/>
      <c r="F285" s="394"/>
      <c r="G285" s="394"/>
      <c r="H285" s="394"/>
      <c r="I285" s="394"/>
    </row>
    <row r="286" spans="1:9" ht="12.75">
      <c r="A286" s="394"/>
      <c r="B286" s="394"/>
      <c r="C286" s="394"/>
      <c r="D286" s="394"/>
      <c r="E286" s="394"/>
      <c r="F286" s="394"/>
      <c r="G286" s="394"/>
      <c r="H286" s="394"/>
      <c r="I286" s="394"/>
    </row>
    <row r="287" spans="1:9" ht="12.75">
      <c r="A287" s="394"/>
      <c r="B287" s="394"/>
      <c r="C287" s="394"/>
      <c r="D287" s="394"/>
      <c r="E287" s="394"/>
      <c r="F287" s="394"/>
      <c r="G287" s="394"/>
      <c r="H287" s="394"/>
      <c r="I287" s="394"/>
    </row>
    <row r="288" spans="1:9" ht="12.75">
      <c r="A288" s="394"/>
      <c r="B288" s="394"/>
      <c r="C288" s="394"/>
      <c r="D288" s="394"/>
      <c r="E288" s="394"/>
      <c r="F288" s="394"/>
      <c r="G288" s="394"/>
      <c r="H288" s="394"/>
      <c r="I288" s="394"/>
    </row>
    <row r="289" spans="1:9" ht="13.5">
      <c r="A289" s="394"/>
      <c r="B289" s="394"/>
      <c r="C289" s="394"/>
      <c r="D289" s="394"/>
      <c r="E289" s="394"/>
      <c r="F289" s="394"/>
      <c r="G289" s="394"/>
      <c r="H289" s="394"/>
      <c r="I289" s="395"/>
    </row>
    <row r="290" spans="1:9" ht="13.5">
      <c r="A290" s="394"/>
      <c r="B290" s="394"/>
      <c r="C290" s="394"/>
      <c r="D290" s="394"/>
      <c r="E290" s="394"/>
      <c r="F290" s="394"/>
      <c r="G290" s="394"/>
      <c r="H290" s="394"/>
      <c r="I290" s="395"/>
    </row>
    <row r="291" spans="1:9" ht="12.75">
      <c r="A291" s="394"/>
      <c r="B291" s="394"/>
      <c r="C291" s="394"/>
      <c r="D291" s="394"/>
      <c r="E291" s="394"/>
      <c r="F291" s="394"/>
      <c r="G291" s="394"/>
      <c r="H291" s="394"/>
      <c r="I291" s="394"/>
    </row>
    <row r="292" spans="1:9" ht="12.75">
      <c r="A292" s="394"/>
      <c r="B292" s="394"/>
      <c r="C292" s="394"/>
      <c r="D292" s="394"/>
      <c r="E292" s="394"/>
      <c r="F292" s="394"/>
      <c r="G292" s="394"/>
      <c r="H292" s="394"/>
      <c r="I292" s="394"/>
    </row>
    <row r="293" spans="1:9" ht="12.75">
      <c r="A293" s="394"/>
      <c r="B293" s="394"/>
      <c r="C293" s="394"/>
      <c r="D293" s="394"/>
      <c r="E293" s="394"/>
      <c r="F293" s="394"/>
      <c r="G293" s="394"/>
      <c r="H293" s="394"/>
      <c r="I293" s="394"/>
    </row>
    <row r="294" spans="1:9" ht="12.75">
      <c r="A294" s="394"/>
      <c r="B294" s="394"/>
      <c r="C294" s="394"/>
      <c r="D294" s="394"/>
      <c r="E294" s="394"/>
      <c r="F294" s="394"/>
      <c r="G294" s="394"/>
      <c r="H294" s="394"/>
      <c r="I294" s="394"/>
    </row>
    <row r="295" spans="1:9" ht="12.75">
      <c r="A295" s="394"/>
      <c r="B295" s="394"/>
      <c r="C295" s="394"/>
      <c r="D295" s="394"/>
      <c r="E295" s="394"/>
      <c r="F295" s="394"/>
      <c r="G295" s="394"/>
      <c r="H295" s="394"/>
      <c r="I295" s="394"/>
    </row>
    <row r="296" spans="1:9" ht="12.75">
      <c r="A296" s="394"/>
      <c r="B296" s="394"/>
      <c r="C296" s="394"/>
      <c r="D296" s="394"/>
      <c r="E296" s="394"/>
      <c r="F296" s="394"/>
      <c r="G296" s="394"/>
      <c r="H296" s="394"/>
      <c r="I296" s="394"/>
    </row>
    <row r="297" spans="1:9" ht="12.75">
      <c r="A297" s="394"/>
      <c r="B297" s="394"/>
      <c r="C297" s="394"/>
      <c r="D297" s="394"/>
      <c r="E297" s="394"/>
      <c r="F297" s="394"/>
      <c r="G297" s="394"/>
      <c r="H297" s="394"/>
      <c r="I297" s="394"/>
    </row>
    <row r="298" spans="1:9" ht="12.75">
      <c r="A298" s="394"/>
      <c r="B298" s="394"/>
      <c r="C298" s="394"/>
      <c r="D298" s="394"/>
      <c r="E298" s="394"/>
      <c r="F298" s="394"/>
      <c r="G298" s="394"/>
      <c r="H298" s="394"/>
      <c r="I298" s="394"/>
    </row>
    <row r="299" spans="1:9" ht="12.75">
      <c r="A299" s="394"/>
      <c r="B299" s="394"/>
      <c r="C299" s="394"/>
      <c r="D299" s="394"/>
      <c r="E299" s="394"/>
      <c r="F299" s="394"/>
      <c r="G299" s="394"/>
      <c r="H299" s="394"/>
      <c r="I299" s="394"/>
    </row>
    <row r="300" spans="1:9" ht="12.75">
      <c r="A300" s="394"/>
      <c r="B300" s="394"/>
      <c r="C300" s="394"/>
      <c r="D300" s="394"/>
      <c r="E300" s="394"/>
      <c r="F300" s="394"/>
      <c r="G300" s="394"/>
      <c r="H300" s="394"/>
      <c r="I300" s="394"/>
    </row>
    <row r="301" spans="1:9" ht="12.75">
      <c r="A301" s="394"/>
      <c r="B301" s="394"/>
      <c r="C301" s="394"/>
      <c r="D301" s="394"/>
      <c r="E301" s="394"/>
      <c r="F301" s="394"/>
      <c r="G301" s="394"/>
      <c r="H301" s="394"/>
      <c r="I301" s="394"/>
    </row>
    <row r="302" spans="1:9" ht="12.75">
      <c r="A302" s="394"/>
      <c r="B302" s="394"/>
      <c r="C302" s="394"/>
      <c r="D302" s="394"/>
      <c r="E302" s="394"/>
      <c r="F302" s="394"/>
      <c r="G302" s="394"/>
      <c r="H302" s="394"/>
      <c r="I302" s="394"/>
    </row>
    <row r="303" spans="1:9" ht="12.75">
      <c r="A303" s="394"/>
      <c r="B303" s="394"/>
      <c r="C303" s="394"/>
      <c r="D303" s="394"/>
      <c r="E303" s="394"/>
      <c r="F303" s="394"/>
      <c r="G303" s="394"/>
      <c r="H303" s="394"/>
      <c r="I303" s="394"/>
    </row>
    <row r="304" spans="1:9" ht="12.75">
      <c r="A304" s="394"/>
      <c r="B304" s="394"/>
      <c r="C304" s="394"/>
      <c r="D304" s="394"/>
      <c r="E304" s="394"/>
      <c r="F304" s="394"/>
      <c r="G304" s="394"/>
      <c r="H304" s="394"/>
      <c r="I304" s="394"/>
    </row>
    <row r="305" spans="1:9" ht="12.75">
      <c r="A305" s="394"/>
      <c r="B305" s="394"/>
      <c r="C305" s="394"/>
      <c r="D305" s="394"/>
      <c r="E305" s="394"/>
      <c r="F305" s="394"/>
      <c r="G305" s="394"/>
      <c r="H305" s="394"/>
      <c r="I305" s="394"/>
    </row>
    <row r="306" spans="1:9" ht="12.75">
      <c r="A306" s="394"/>
      <c r="B306" s="394"/>
      <c r="C306" s="394"/>
      <c r="D306" s="394"/>
      <c r="E306" s="394"/>
      <c r="F306" s="394"/>
      <c r="G306" s="394"/>
      <c r="H306" s="394"/>
      <c r="I306" s="394"/>
    </row>
  </sheetData>
  <sheetProtection selectLockedCells="1" selectUnlockedCells="1"/>
  <mergeCells count="10">
    <mergeCell ref="M1:O1"/>
    <mergeCell ref="F1:F2"/>
    <mergeCell ref="A1:A2"/>
    <mergeCell ref="B1:B2"/>
    <mergeCell ref="C1:C2"/>
    <mergeCell ref="D264:E264"/>
    <mergeCell ref="D1:E2"/>
    <mergeCell ref="G1:I1"/>
    <mergeCell ref="J1:L1"/>
    <mergeCell ref="D252:E252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26"/>
  <sheetViews>
    <sheetView zoomScalePageLayoutView="0" workbookViewId="0" topLeftCell="A1">
      <pane ySplit="3" topLeftCell="A58" activePane="bottomLeft" state="frozen"/>
      <selection pane="topLeft" activeCell="A1" sqref="A1"/>
      <selection pane="bottomLeft" activeCell="D58" sqref="D58"/>
    </sheetView>
  </sheetViews>
  <sheetFormatPr defaultColWidth="9.00390625" defaultRowHeight="12.75"/>
  <cols>
    <col min="1" max="1" width="5.875" style="414" customWidth="1"/>
    <col min="2" max="2" width="7.375" style="414" customWidth="1"/>
    <col min="3" max="3" width="7.50390625" style="414" customWidth="1"/>
    <col min="4" max="4" width="56.00390625" style="414" customWidth="1"/>
    <col min="5" max="5" width="3.125" style="414" customWidth="1"/>
    <col min="6" max="6" width="5.125" style="414" customWidth="1"/>
    <col min="7" max="7" width="11.375" style="414" customWidth="1"/>
    <col min="8" max="9" width="10.50390625" style="414" customWidth="1"/>
    <col min="10" max="10" width="9.375" style="414" customWidth="1"/>
    <col min="11" max="11" width="12.00390625" style="414" customWidth="1"/>
    <col min="12" max="12" width="10.375" style="414" customWidth="1"/>
    <col min="13" max="13" width="12.875" style="414" customWidth="1"/>
    <col min="14" max="14" width="13.00390625" style="414" customWidth="1"/>
    <col min="15" max="15" width="12.00390625" style="414" customWidth="1"/>
    <col min="16" max="16384" width="9.375" style="414" customWidth="1"/>
  </cols>
  <sheetData>
    <row r="1" spans="1:15" s="406" customFormat="1" ht="45.75" customHeight="1">
      <c r="A1" s="402"/>
      <c r="B1" s="403"/>
      <c r="C1" s="403"/>
      <c r="D1" s="404"/>
      <c r="E1" s="405"/>
      <c r="F1" s="796" t="s">
        <v>612</v>
      </c>
      <c r="G1" s="793" t="s">
        <v>184</v>
      </c>
      <c r="H1" s="794"/>
      <c r="I1" s="795"/>
      <c r="J1" s="788" t="s">
        <v>185</v>
      </c>
      <c r="K1" s="789"/>
      <c r="L1" s="790"/>
      <c r="M1" s="788" t="s">
        <v>611</v>
      </c>
      <c r="N1" s="789"/>
      <c r="O1" s="790"/>
    </row>
    <row r="2" spans="1:15" s="406" customFormat="1" ht="80.25" customHeight="1" thickBot="1">
      <c r="A2" s="407" t="s">
        <v>1229</v>
      </c>
      <c r="B2" s="408" t="s">
        <v>1230</v>
      </c>
      <c r="C2" s="408" t="s">
        <v>1231</v>
      </c>
      <c r="D2" s="409" t="s">
        <v>1232</v>
      </c>
      <c r="E2" s="410"/>
      <c r="F2" s="797"/>
      <c r="G2" s="624" t="s">
        <v>1233</v>
      </c>
      <c r="H2" s="624" t="s">
        <v>613</v>
      </c>
      <c r="I2" s="625" t="s">
        <v>1234</v>
      </c>
      <c r="J2" s="624" t="s">
        <v>1233</v>
      </c>
      <c r="K2" s="624" t="s">
        <v>613</v>
      </c>
      <c r="L2" s="625" t="s">
        <v>1234</v>
      </c>
      <c r="M2" s="624" t="s">
        <v>1233</v>
      </c>
      <c r="N2" s="624" t="s">
        <v>613</v>
      </c>
      <c r="O2" s="626" t="s">
        <v>1234</v>
      </c>
    </row>
    <row r="3" spans="1:15" ht="12.75" customHeight="1">
      <c r="A3" s="411"/>
      <c r="B3" s="411"/>
      <c r="C3" s="411"/>
      <c r="D3" s="412" t="s">
        <v>1248</v>
      </c>
      <c r="E3" s="413"/>
      <c r="F3" s="628"/>
      <c r="G3" s="489"/>
      <c r="H3" s="489"/>
      <c r="I3" s="489"/>
      <c r="J3" s="218"/>
      <c r="K3" s="489"/>
      <c r="L3" s="489"/>
      <c r="M3" s="489"/>
      <c r="N3" s="489"/>
      <c r="O3" s="489"/>
    </row>
    <row r="4" spans="1:15" ht="15.75" customHeight="1">
      <c r="A4" s="415" t="s">
        <v>45</v>
      </c>
      <c r="B4" s="415">
        <v>13</v>
      </c>
      <c r="C4" s="415"/>
      <c r="D4" s="221" t="s">
        <v>1009</v>
      </c>
      <c r="E4" s="324"/>
      <c r="F4" s="629"/>
      <c r="G4" s="245"/>
      <c r="H4" s="245"/>
      <c r="I4" s="245"/>
      <c r="J4" s="489"/>
      <c r="K4" s="489"/>
      <c r="L4" s="489"/>
      <c r="M4" s="489"/>
      <c r="N4" s="489"/>
      <c r="O4" s="489"/>
    </row>
    <row r="5" spans="1:15" ht="15.75" customHeight="1">
      <c r="A5" s="415"/>
      <c r="B5" s="415"/>
      <c r="C5" s="238" t="s">
        <v>45</v>
      </c>
      <c r="D5" s="416" t="s">
        <v>1244</v>
      </c>
      <c r="E5" s="417"/>
      <c r="F5" s="629"/>
      <c r="G5" s="245"/>
      <c r="H5" s="245"/>
      <c r="I5" s="245"/>
      <c r="J5" s="489"/>
      <c r="K5" s="489"/>
      <c r="L5" s="489"/>
      <c r="M5" s="489"/>
      <c r="N5" s="489"/>
      <c r="O5" s="489"/>
    </row>
    <row r="6" spans="1:15" ht="15.75" customHeight="1">
      <c r="A6" s="415"/>
      <c r="B6" s="415"/>
      <c r="C6" s="242" t="s">
        <v>121</v>
      </c>
      <c r="D6" s="418" t="s">
        <v>614</v>
      </c>
      <c r="E6" s="417"/>
      <c r="F6" s="629"/>
      <c r="G6" s="245"/>
      <c r="H6" s="245"/>
      <c r="I6" s="245"/>
      <c r="J6" s="489"/>
      <c r="K6" s="489"/>
      <c r="L6" s="489"/>
      <c r="M6" s="489"/>
      <c r="N6" s="489"/>
      <c r="O6" s="489"/>
    </row>
    <row r="7" spans="1:15" ht="27.75" customHeight="1">
      <c r="A7" s="415"/>
      <c r="B7" s="415"/>
      <c r="C7" s="419" t="s">
        <v>615</v>
      </c>
      <c r="D7" s="243" t="s">
        <v>616</v>
      </c>
      <c r="E7" s="324"/>
      <c r="F7" s="629" t="s">
        <v>210</v>
      </c>
      <c r="G7" s="489">
        <v>10000</v>
      </c>
      <c r="H7" s="489">
        <v>0</v>
      </c>
      <c r="I7" s="489">
        <f>SUM(G7:H7)</f>
        <v>10000</v>
      </c>
      <c r="J7" s="489">
        <v>90</v>
      </c>
      <c r="K7" s="489"/>
      <c r="L7" s="489">
        <f>SUM(J7:K7)</f>
        <v>90</v>
      </c>
      <c r="M7" s="489">
        <f>SUM(G7+J7)</f>
        <v>10090</v>
      </c>
      <c r="N7" s="489">
        <f>SUM(H7+K7)</f>
        <v>0</v>
      </c>
      <c r="O7" s="489">
        <f>SUM(M7:N7)</f>
        <v>10090</v>
      </c>
    </row>
    <row r="8" spans="1:15" ht="15" customHeight="1">
      <c r="A8" s="415"/>
      <c r="B8" s="415"/>
      <c r="C8" s="242" t="s">
        <v>617</v>
      </c>
      <c r="D8" s="420" t="s">
        <v>618</v>
      </c>
      <c r="E8" s="324"/>
      <c r="F8" s="607"/>
      <c r="G8" s="489">
        <v>0</v>
      </c>
      <c r="H8" s="489">
        <v>0</v>
      </c>
      <c r="I8" s="489">
        <f aca="true" t="shared" si="0" ref="I8:I51">SUM(G8:H8)</f>
        <v>0</v>
      </c>
      <c r="J8" s="489"/>
      <c r="K8" s="489"/>
      <c r="L8" s="489">
        <f aca="true" t="shared" si="1" ref="L8:L81">SUM(J8:K8)</f>
        <v>0</v>
      </c>
      <c r="M8" s="489">
        <f aca="true" t="shared" si="2" ref="M8:M81">SUM(G8+J8)</f>
        <v>0</v>
      </c>
      <c r="N8" s="489">
        <f aca="true" t="shared" si="3" ref="N8:N81">SUM(H8+K8)</f>
        <v>0</v>
      </c>
      <c r="O8" s="489">
        <f aca="true" t="shared" si="4" ref="O8:O81">SUM(M8:N8)</f>
        <v>0</v>
      </c>
    </row>
    <row r="9" spans="1:15" ht="15" customHeight="1">
      <c r="A9" s="415"/>
      <c r="B9" s="415"/>
      <c r="C9" s="242" t="s">
        <v>619</v>
      </c>
      <c r="D9" s="421" t="s">
        <v>620</v>
      </c>
      <c r="E9" s="324"/>
      <c r="F9" s="607"/>
      <c r="G9" s="489">
        <v>2000</v>
      </c>
      <c r="H9" s="489">
        <v>0</v>
      </c>
      <c r="I9" s="489">
        <f t="shared" si="0"/>
        <v>2000</v>
      </c>
      <c r="J9" s="489"/>
      <c r="K9" s="489"/>
      <c r="L9" s="489">
        <f t="shared" si="1"/>
        <v>0</v>
      </c>
      <c r="M9" s="489">
        <f t="shared" si="2"/>
        <v>2000</v>
      </c>
      <c r="N9" s="489">
        <f t="shared" si="3"/>
        <v>0</v>
      </c>
      <c r="O9" s="489">
        <f t="shared" si="4"/>
        <v>2000</v>
      </c>
    </row>
    <row r="10" spans="1:15" ht="15" customHeight="1">
      <c r="A10" s="415"/>
      <c r="B10" s="415"/>
      <c r="C10" s="419" t="s">
        <v>621</v>
      </c>
      <c r="D10" s="422" t="s">
        <v>622</v>
      </c>
      <c r="E10" s="324"/>
      <c r="F10" s="607"/>
      <c r="G10" s="489">
        <v>0</v>
      </c>
      <c r="H10" s="489">
        <v>0</v>
      </c>
      <c r="I10" s="489">
        <f t="shared" si="0"/>
        <v>0</v>
      </c>
      <c r="J10" s="489"/>
      <c r="K10" s="489"/>
      <c r="L10" s="489">
        <f t="shared" si="1"/>
        <v>0</v>
      </c>
      <c r="M10" s="489">
        <f t="shared" si="2"/>
        <v>0</v>
      </c>
      <c r="N10" s="489">
        <f t="shared" si="3"/>
        <v>0</v>
      </c>
      <c r="O10" s="489">
        <f t="shared" si="4"/>
        <v>0</v>
      </c>
    </row>
    <row r="11" spans="1:15" ht="15" customHeight="1">
      <c r="A11" s="415"/>
      <c r="B11" s="415"/>
      <c r="C11" s="242" t="s">
        <v>623</v>
      </c>
      <c r="D11" s="421" t="s">
        <v>57</v>
      </c>
      <c r="E11" s="324"/>
      <c r="F11" s="607" t="s">
        <v>210</v>
      </c>
      <c r="G11" s="489">
        <v>16500</v>
      </c>
      <c r="H11" s="489">
        <v>0</v>
      </c>
      <c r="I11" s="489">
        <f t="shared" si="0"/>
        <v>16500</v>
      </c>
      <c r="J11" s="489">
        <v>132</v>
      </c>
      <c r="K11" s="489"/>
      <c r="L11" s="489">
        <f t="shared" si="1"/>
        <v>132</v>
      </c>
      <c r="M11" s="489">
        <f t="shared" si="2"/>
        <v>16632</v>
      </c>
      <c r="N11" s="489">
        <f t="shared" si="3"/>
        <v>0</v>
      </c>
      <c r="O11" s="489">
        <f t="shared" si="4"/>
        <v>16632</v>
      </c>
    </row>
    <row r="12" spans="1:15" ht="15" customHeight="1">
      <c r="A12" s="415"/>
      <c r="B12" s="415"/>
      <c r="C12" s="242" t="s">
        <v>624</v>
      </c>
      <c r="D12" s="421" t="s">
        <v>625</v>
      </c>
      <c r="E12" s="324"/>
      <c r="F12" s="607"/>
      <c r="G12" s="489">
        <v>2000</v>
      </c>
      <c r="H12" s="489">
        <v>0</v>
      </c>
      <c r="I12" s="489">
        <f t="shared" si="0"/>
        <v>2000</v>
      </c>
      <c r="J12" s="489"/>
      <c r="K12" s="489"/>
      <c r="L12" s="489">
        <f t="shared" si="1"/>
        <v>0</v>
      </c>
      <c r="M12" s="489">
        <f t="shared" si="2"/>
        <v>2000</v>
      </c>
      <c r="N12" s="489">
        <f t="shared" si="3"/>
        <v>0</v>
      </c>
      <c r="O12" s="489">
        <f t="shared" si="4"/>
        <v>2000</v>
      </c>
    </row>
    <row r="13" spans="1:15" ht="24.75" customHeight="1">
      <c r="A13" s="415"/>
      <c r="B13" s="415"/>
      <c r="C13" s="419" t="s">
        <v>626</v>
      </c>
      <c r="D13" s="307" t="s">
        <v>738</v>
      </c>
      <c r="E13" s="324"/>
      <c r="F13" s="607"/>
      <c r="G13" s="489">
        <v>2000</v>
      </c>
      <c r="H13" s="489">
        <v>0</v>
      </c>
      <c r="I13" s="489">
        <f t="shared" si="0"/>
        <v>2000</v>
      </c>
      <c r="J13" s="489"/>
      <c r="K13" s="489"/>
      <c r="L13" s="489">
        <f t="shared" si="1"/>
        <v>0</v>
      </c>
      <c r="M13" s="489">
        <f t="shared" si="2"/>
        <v>2000</v>
      </c>
      <c r="N13" s="489">
        <f t="shared" si="3"/>
        <v>0</v>
      </c>
      <c r="O13" s="489">
        <f t="shared" si="4"/>
        <v>2000</v>
      </c>
    </row>
    <row r="14" spans="1:15" ht="15" customHeight="1">
      <c r="A14" s="415"/>
      <c r="B14" s="415"/>
      <c r="C14" s="242" t="s">
        <v>739</v>
      </c>
      <c r="D14" s="307" t="s">
        <v>740</v>
      </c>
      <c r="E14" s="324"/>
      <c r="F14" s="607"/>
      <c r="G14" s="489">
        <v>2000</v>
      </c>
      <c r="H14" s="489">
        <v>0</v>
      </c>
      <c r="I14" s="489">
        <f t="shared" si="0"/>
        <v>2000</v>
      </c>
      <c r="J14" s="489"/>
      <c r="K14" s="489"/>
      <c r="L14" s="489">
        <f t="shared" si="1"/>
        <v>0</v>
      </c>
      <c r="M14" s="489">
        <f t="shared" si="2"/>
        <v>2000</v>
      </c>
      <c r="N14" s="489">
        <f t="shared" si="3"/>
        <v>0</v>
      </c>
      <c r="O14" s="489">
        <f t="shared" si="4"/>
        <v>2000</v>
      </c>
    </row>
    <row r="15" spans="1:15" ht="15" customHeight="1">
      <c r="A15" s="415"/>
      <c r="B15" s="415"/>
      <c r="C15" s="242" t="s">
        <v>741</v>
      </c>
      <c r="D15" s="221" t="s">
        <v>742</v>
      </c>
      <c r="E15" s="324"/>
      <c r="F15" s="607"/>
      <c r="G15" s="489">
        <v>1000</v>
      </c>
      <c r="H15" s="489">
        <v>0</v>
      </c>
      <c r="I15" s="489">
        <f t="shared" si="0"/>
        <v>1000</v>
      </c>
      <c r="J15" s="489"/>
      <c r="K15" s="489"/>
      <c r="L15" s="489">
        <f t="shared" si="1"/>
        <v>0</v>
      </c>
      <c r="M15" s="489">
        <f t="shared" si="2"/>
        <v>1000</v>
      </c>
      <c r="N15" s="489">
        <f t="shared" si="3"/>
        <v>0</v>
      </c>
      <c r="O15" s="489">
        <f t="shared" si="4"/>
        <v>1000</v>
      </c>
    </row>
    <row r="16" spans="1:15" ht="15" customHeight="1">
      <c r="A16" s="415"/>
      <c r="B16" s="415"/>
      <c r="C16" s="242" t="s">
        <v>60</v>
      </c>
      <c r="D16" s="656" t="s">
        <v>55</v>
      </c>
      <c r="E16" s="657"/>
      <c r="F16" s="607" t="s">
        <v>210</v>
      </c>
      <c r="G16" s="489">
        <v>5000</v>
      </c>
      <c r="H16" s="489"/>
      <c r="I16" s="489">
        <f t="shared" si="0"/>
        <v>5000</v>
      </c>
      <c r="J16" s="489">
        <v>86</v>
      </c>
      <c r="K16" s="489"/>
      <c r="L16" s="489">
        <f>SUM(J16:K16)</f>
        <v>86</v>
      </c>
      <c r="M16" s="489">
        <f t="shared" si="2"/>
        <v>5086</v>
      </c>
      <c r="N16" s="489">
        <f t="shared" si="3"/>
        <v>0</v>
      </c>
      <c r="O16" s="489">
        <f t="shared" si="4"/>
        <v>5086</v>
      </c>
    </row>
    <row r="17" spans="1:15" ht="15" customHeight="1">
      <c r="A17" s="415"/>
      <c r="B17" s="415"/>
      <c r="C17" s="242" t="s">
        <v>61</v>
      </c>
      <c r="D17" s="656" t="s">
        <v>56</v>
      </c>
      <c r="E17" s="658"/>
      <c r="F17" s="607"/>
      <c r="G17" s="489">
        <v>2100</v>
      </c>
      <c r="H17" s="489"/>
      <c r="I17" s="489">
        <f t="shared" si="0"/>
        <v>2100</v>
      </c>
      <c r="J17" s="489"/>
      <c r="K17" s="489"/>
      <c r="L17" s="489">
        <f>SUM(J17:K17)</f>
        <v>0</v>
      </c>
      <c r="M17" s="489">
        <f t="shared" si="2"/>
        <v>2100</v>
      </c>
      <c r="N17" s="489">
        <f t="shared" si="3"/>
        <v>0</v>
      </c>
      <c r="O17" s="489">
        <f t="shared" si="4"/>
        <v>2100</v>
      </c>
    </row>
    <row r="18" spans="1:15" ht="23.25" customHeight="1">
      <c r="A18" s="415"/>
      <c r="B18" s="415"/>
      <c r="C18" s="242" t="s">
        <v>645</v>
      </c>
      <c r="D18" s="692" t="s">
        <v>646</v>
      </c>
      <c r="E18" s="658"/>
      <c r="F18" s="607" t="s">
        <v>1261</v>
      </c>
      <c r="G18" s="489"/>
      <c r="H18" s="489"/>
      <c r="I18" s="489"/>
      <c r="J18" s="489"/>
      <c r="K18" s="489">
        <v>1000</v>
      </c>
      <c r="L18" s="489">
        <f>SUM(J18:K18)</f>
        <v>1000</v>
      </c>
      <c r="M18" s="489">
        <f t="shared" si="2"/>
        <v>0</v>
      </c>
      <c r="N18" s="489">
        <f t="shared" si="3"/>
        <v>1000</v>
      </c>
      <c r="O18" s="489">
        <f t="shared" si="4"/>
        <v>1000</v>
      </c>
    </row>
    <row r="19" spans="1:15" ht="15" customHeight="1">
      <c r="A19" s="415"/>
      <c r="B19" s="415"/>
      <c r="C19" s="240" t="s">
        <v>261</v>
      </c>
      <c r="D19" s="241" t="s">
        <v>262</v>
      </c>
      <c r="E19" s="658"/>
      <c r="F19" s="629"/>
      <c r="G19" s="489"/>
      <c r="H19" s="489"/>
      <c r="I19" s="489">
        <f t="shared" si="0"/>
        <v>0</v>
      </c>
      <c r="J19" s="489"/>
      <c r="K19" s="489"/>
      <c r="L19" s="489"/>
      <c r="M19" s="489"/>
      <c r="N19" s="489"/>
      <c r="O19" s="489"/>
    </row>
    <row r="20" spans="1:15" ht="15" customHeight="1">
      <c r="A20" s="415"/>
      <c r="B20" s="415"/>
      <c r="C20" s="242" t="s">
        <v>743</v>
      </c>
      <c r="D20" s="425" t="s">
        <v>744</v>
      </c>
      <c r="E20" s="659"/>
      <c r="F20" s="607"/>
      <c r="G20" s="489">
        <v>0</v>
      </c>
      <c r="H20" s="489">
        <v>0</v>
      </c>
      <c r="I20" s="489">
        <f t="shared" si="0"/>
        <v>0</v>
      </c>
      <c r="J20" s="489"/>
      <c r="K20" s="489"/>
      <c r="L20" s="489">
        <f t="shared" si="1"/>
        <v>0</v>
      </c>
      <c r="M20" s="489">
        <f t="shared" si="2"/>
        <v>0</v>
      </c>
      <c r="N20" s="489">
        <f t="shared" si="3"/>
        <v>0</v>
      </c>
      <c r="O20" s="489">
        <f t="shared" si="4"/>
        <v>0</v>
      </c>
    </row>
    <row r="21" spans="1:15" ht="15" customHeight="1">
      <c r="A21" s="415"/>
      <c r="B21" s="415"/>
      <c r="C21" s="242" t="s">
        <v>745</v>
      </c>
      <c r="D21" s="426" t="s">
        <v>746</v>
      </c>
      <c r="E21" s="452"/>
      <c r="F21" s="607"/>
      <c r="G21" s="489">
        <v>2270</v>
      </c>
      <c r="H21" s="489">
        <v>0</v>
      </c>
      <c r="I21" s="489">
        <f t="shared" si="0"/>
        <v>2270</v>
      </c>
      <c r="J21" s="489"/>
      <c r="K21" s="489"/>
      <c r="L21" s="489">
        <f t="shared" si="1"/>
        <v>0</v>
      </c>
      <c r="M21" s="489">
        <f t="shared" si="2"/>
        <v>2270</v>
      </c>
      <c r="N21" s="489">
        <f t="shared" si="3"/>
        <v>0</v>
      </c>
      <c r="O21" s="489">
        <f t="shared" si="4"/>
        <v>2270</v>
      </c>
    </row>
    <row r="22" spans="1:15" ht="24.75" customHeight="1">
      <c r="A22" s="415"/>
      <c r="B22" s="415"/>
      <c r="C22" s="242" t="s">
        <v>747</v>
      </c>
      <c r="D22" s="427" t="s">
        <v>1060</v>
      </c>
      <c r="E22" s="452"/>
      <c r="F22" s="607" t="s">
        <v>210</v>
      </c>
      <c r="G22" s="489">
        <v>16500</v>
      </c>
      <c r="H22" s="489">
        <v>0</v>
      </c>
      <c r="I22" s="489">
        <f t="shared" si="0"/>
        <v>16500</v>
      </c>
      <c r="J22" s="489">
        <v>321</v>
      </c>
      <c r="K22" s="489"/>
      <c r="L22" s="489">
        <f t="shared" si="1"/>
        <v>321</v>
      </c>
      <c r="M22" s="489">
        <f t="shared" si="2"/>
        <v>16821</v>
      </c>
      <c r="N22" s="489">
        <f t="shared" si="3"/>
        <v>0</v>
      </c>
      <c r="O22" s="489">
        <f t="shared" si="4"/>
        <v>16821</v>
      </c>
    </row>
    <row r="23" spans="1:15" ht="15" customHeight="1">
      <c r="A23" s="415"/>
      <c r="B23" s="415"/>
      <c r="C23" s="242" t="s">
        <v>748</v>
      </c>
      <c r="D23" s="427" t="s">
        <v>749</v>
      </c>
      <c r="E23" s="452"/>
      <c r="F23" s="607"/>
      <c r="G23" s="489">
        <v>0</v>
      </c>
      <c r="H23" s="489">
        <v>1000</v>
      </c>
      <c r="I23" s="489">
        <f t="shared" si="0"/>
        <v>1000</v>
      </c>
      <c r="J23" s="489"/>
      <c r="K23" s="489"/>
      <c r="L23" s="489">
        <f t="shared" si="1"/>
        <v>0</v>
      </c>
      <c r="M23" s="489">
        <f t="shared" si="2"/>
        <v>0</v>
      </c>
      <c r="N23" s="489">
        <f t="shared" si="3"/>
        <v>1000</v>
      </c>
      <c r="O23" s="489">
        <f t="shared" si="4"/>
        <v>1000</v>
      </c>
    </row>
    <row r="24" spans="1:15" ht="15" customHeight="1">
      <c r="A24" s="415"/>
      <c r="B24" s="415"/>
      <c r="C24" s="242" t="s">
        <v>750</v>
      </c>
      <c r="D24" s="427" t="s">
        <v>751</v>
      </c>
      <c r="E24" s="452"/>
      <c r="F24" s="607" t="s">
        <v>210</v>
      </c>
      <c r="G24" s="489">
        <v>1000</v>
      </c>
      <c r="H24" s="489">
        <v>0</v>
      </c>
      <c r="I24" s="489">
        <f t="shared" si="0"/>
        <v>1000</v>
      </c>
      <c r="J24" s="489">
        <v>64</v>
      </c>
      <c r="K24" s="489"/>
      <c r="L24" s="489">
        <f t="shared" si="1"/>
        <v>64</v>
      </c>
      <c r="M24" s="489">
        <f t="shared" si="2"/>
        <v>1064</v>
      </c>
      <c r="N24" s="489">
        <f t="shared" si="3"/>
        <v>0</v>
      </c>
      <c r="O24" s="489">
        <f t="shared" si="4"/>
        <v>1064</v>
      </c>
    </row>
    <row r="25" spans="1:15" ht="15" customHeight="1">
      <c r="A25" s="415"/>
      <c r="B25" s="415"/>
      <c r="C25" s="242" t="s">
        <v>752</v>
      </c>
      <c r="D25" s="427" t="s">
        <v>753</v>
      </c>
      <c r="E25" s="452"/>
      <c r="F25" s="607"/>
      <c r="G25" s="489">
        <v>0</v>
      </c>
      <c r="H25" s="489">
        <v>1000</v>
      </c>
      <c r="I25" s="489">
        <f t="shared" si="0"/>
        <v>1000</v>
      </c>
      <c r="J25" s="489"/>
      <c r="K25" s="489"/>
      <c r="L25" s="489">
        <f t="shared" si="1"/>
        <v>0</v>
      </c>
      <c r="M25" s="489">
        <f t="shared" si="2"/>
        <v>0</v>
      </c>
      <c r="N25" s="489">
        <f t="shared" si="3"/>
        <v>1000</v>
      </c>
      <c r="O25" s="489">
        <f t="shared" si="4"/>
        <v>1000</v>
      </c>
    </row>
    <row r="26" spans="1:15" ht="15" customHeight="1">
      <c r="A26" s="415"/>
      <c r="B26" s="415"/>
      <c r="C26" s="242" t="s">
        <v>62</v>
      </c>
      <c r="D26" s="302" t="s">
        <v>754</v>
      </c>
      <c r="E26" s="593"/>
      <c r="F26" s="610" t="s">
        <v>210</v>
      </c>
      <c r="G26" s="489">
        <v>4496</v>
      </c>
      <c r="H26" s="489">
        <v>0</v>
      </c>
      <c r="I26" s="489">
        <f t="shared" si="0"/>
        <v>4496</v>
      </c>
      <c r="J26" s="489">
        <v>800</v>
      </c>
      <c r="K26" s="489"/>
      <c r="L26" s="489">
        <f t="shared" si="1"/>
        <v>800</v>
      </c>
      <c r="M26" s="489">
        <f t="shared" si="2"/>
        <v>5296</v>
      </c>
      <c r="N26" s="489">
        <f t="shared" si="3"/>
        <v>0</v>
      </c>
      <c r="O26" s="489">
        <f t="shared" si="4"/>
        <v>5296</v>
      </c>
    </row>
    <row r="27" spans="1:15" ht="15" customHeight="1">
      <c r="A27" s="415"/>
      <c r="B27" s="415"/>
      <c r="C27" s="242" t="s">
        <v>63</v>
      </c>
      <c r="D27" s="656" t="s">
        <v>58</v>
      </c>
      <c r="E27" s="660"/>
      <c r="F27" s="610"/>
      <c r="G27" s="489">
        <v>8084</v>
      </c>
      <c r="H27" s="489">
        <v>0</v>
      </c>
      <c r="I27" s="489">
        <f t="shared" si="0"/>
        <v>8084</v>
      </c>
      <c r="J27" s="489"/>
      <c r="K27" s="489"/>
      <c r="L27" s="489">
        <f t="shared" si="1"/>
        <v>0</v>
      </c>
      <c r="M27" s="489">
        <f t="shared" si="2"/>
        <v>8084</v>
      </c>
      <c r="N27" s="489">
        <f t="shared" si="3"/>
        <v>0</v>
      </c>
      <c r="O27" s="489">
        <f t="shared" si="4"/>
        <v>8084</v>
      </c>
    </row>
    <row r="28" spans="1:15" ht="15" customHeight="1">
      <c r="A28" s="415"/>
      <c r="B28" s="415"/>
      <c r="C28" s="242" t="s">
        <v>64</v>
      </c>
      <c r="D28" s="656" t="s">
        <v>59</v>
      </c>
      <c r="E28" s="661"/>
      <c r="F28" s="610"/>
      <c r="G28" s="489">
        <v>3595</v>
      </c>
      <c r="H28" s="489">
        <v>0</v>
      </c>
      <c r="I28" s="489">
        <f t="shared" si="0"/>
        <v>3595</v>
      </c>
      <c r="J28" s="489"/>
      <c r="K28" s="489"/>
      <c r="L28" s="489">
        <f t="shared" si="1"/>
        <v>0</v>
      </c>
      <c r="M28" s="489">
        <f t="shared" si="2"/>
        <v>3595</v>
      </c>
      <c r="N28" s="489">
        <f t="shared" si="3"/>
        <v>0</v>
      </c>
      <c r="O28" s="489">
        <f t="shared" si="4"/>
        <v>3595</v>
      </c>
    </row>
    <row r="29" spans="1:15" ht="15" customHeight="1">
      <c r="A29" s="415"/>
      <c r="B29" s="415"/>
      <c r="C29" s="242" t="s">
        <v>395</v>
      </c>
      <c r="D29" s="667" t="s">
        <v>396</v>
      </c>
      <c r="E29" s="596"/>
      <c r="F29" s="610"/>
      <c r="G29" s="489">
        <v>0</v>
      </c>
      <c r="H29" s="489">
        <v>1367</v>
      </c>
      <c r="I29" s="489">
        <f t="shared" si="0"/>
        <v>1367</v>
      </c>
      <c r="J29" s="489"/>
      <c r="K29" s="489"/>
      <c r="L29" s="489">
        <f t="shared" si="1"/>
        <v>0</v>
      </c>
      <c r="M29" s="489">
        <f t="shared" si="2"/>
        <v>0</v>
      </c>
      <c r="N29" s="489">
        <f t="shared" si="3"/>
        <v>1367</v>
      </c>
      <c r="O29" s="489">
        <f t="shared" si="4"/>
        <v>1367</v>
      </c>
    </row>
    <row r="30" spans="1:15" ht="18" customHeight="1">
      <c r="A30" s="415"/>
      <c r="B30" s="415"/>
      <c r="C30" s="240" t="s">
        <v>123</v>
      </c>
      <c r="D30" s="421" t="s">
        <v>892</v>
      </c>
      <c r="E30" s="424"/>
      <c r="F30" s="629"/>
      <c r="G30" s="489"/>
      <c r="H30" s="489"/>
      <c r="I30" s="489">
        <f t="shared" si="0"/>
        <v>0</v>
      </c>
      <c r="J30" s="489"/>
      <c r="K30" s="489"/>
      <c r="L30" s="489"/>
      <c r="M30" s="489"/>
      <c r="N30" s="489"/>
      <c r="O30" s="489"/>
    </row>
    <row r="31" spans="1:15" ht="24.75" customHeight="1">
      <c r="A31" s="415"/>
      <c r="B31" s="415"/>
      <c r="C31" s="242" t="s">
        <v>755</v>
      </c>
      <c r="D31" s="243" t="s">
        <v>756</v>
      </c>
      <c r="E31" s="324"/>
      <c r="F31" s="607" t="s">
        <v>210</v>
      </c>
      <c r="G31" s="489">
        <v>4100</v>
      </c>
      <c r="H31" s="489">
        <v>0</v>
      </c>
      <c r="I31" s="489">
        <f t="shared" si="0"/>
        <v>4100</v>
      </c>
      <c r="J31" s="489">
        <v>109</v>
      </c>
      <c r="K31" s="489"/>
      <c r="L31" s="489">
        <f t="shared" si="1"/>
        <v>109</v>
      </c>
      <c r="M31" s="489">
        <f t="shared" si="2"/>
        <v>4209</v>
      </c>
      <c r="N31" s="489">
        <f t="shared" si="3"/>
        <v>0</v>
      </c>
      <c r="O31" s="489">
        <f t="shared" si="4"/>
        <v>4209</v>
      </c>
    </row>
    <row r="32" spans="1:15" ht="15.75" customHeight="1">
      <c r="A32" s="415"/>
      <c r="B32" s="415"/>
      <c r="C32" s="242" t="s">
        <v>757</v>
      </c>
      <c r="D32" s="427" t="s">
        <v>758</v>
      </c>
      <c r="E32" s="324"/>
      <c r="F32" s="607" t="s">
        <v>210</v>
      </c>
      <c r="G32" s="489">
        <v>30694</v>
      </c>
      <c r="H32" s="489">
        <v>200</v>
      </c>
      <c r="I32" s="489">
        <f t="shared" si="0"/>
        <v>30894</v>
      </c>
      <c r="J32" s="489">
        <v>268</v>
      </c>
      <c r="K32" s="489"/>
      <c r="L32" s="489">
        <f t="shared" si="1"/>
        <v>268</v>
      </c>
      <c r="M32" s="489">
        <f t="shared" si="2"/>
        <v>30962</v>
      </c>
      <c r="N32" s="489">
        <f t="shared" si="3"/>
        <v>200</v>
      </c>
      <c r="O32" s="489">
        <f t="shared" si="4"/>
        <v>31162</v>
      </c>
    </row>
    <row r="33" spans="1:15" ht="15.75" customHeight="1">
      <c r="A33" s="415"/>
      <c r="B33" s="415"/>
      <c r="C33" s="242" t="s">
        <v>647</v>
      </c>
      <c r="D33" s="693" t="s">
        <v>648</v>
      </c>
      <c r="E33" s="324"/>
      <c r="F33" s="607" t="s">
        <v>210</v>
      </c>
      <c r="G33" s="489"/>
      <c r="H33" s="489"/>
      <c r="I33" s="489"/>
      <c r="J33" s="489">
        <v>456</v>
      </c>
      <c r="K33" s="489"/>
      <c r="L33" s="489">
        <f t="shared" si="1"/>
        <v>456</v>
      </c>
      <c r="M33" s="489">
        <f t="shared" si="2"/>
        <v>456</v>
      </c>
      <c r="N33" s="489"/>
      <c r="O33" s="489">
        <f t="shared" si="4"/>
        <v>456</v>
      </c>
    </row>
    <row r="34" spans="1:15" ht="15.75" customHeight="1">
      <c r="A34" s="415"/>
      <c r="B34" s="415"/>
      <c r="C34" s="242" t="s">
        <v>265</v>
      </c>
      <c r="D34" s="429" t="s">
        <v>1245</v>
      </c>
      <c r="E34" s="324"/>
      <c r="F34" s="607"/>
      <c r="G34" s="489"/>
      <c r="H34" s="489"/>
      <c r="I34" s="489">
        <f t="shared" si="0"/>
        <v>0</v>
      </c>
      <c r="J34" s="489"/>
      <c r="K34" s="489"/>
      <c r="L34" s="489"/>
      <c r="M34" s="489"/>
      <c r="N34" s="489"/>
      <c r="O34" s="489"/>
    </row>
    <row r="35" spans="1:15" ht="24.75" customHeight="1">
      <c r="A35" s="415"/>
      <c r="B35" s="415"/>
      <c r="C35" s="419" t="s">
        <v>759</v>
      </c>
      <c r="D35" s="321" t="s">
        <v>760</v>
      </c>
      <c r="E35" s="324"/>
      <c r="F35" s="607" t="s">
        <v>210</v>
      </c>
      <c r="G35" s="489">
        <v>28000</v>
      </c>
      <c r="H35" s="489">
        <v>0</v>
      </c>
      <c r="I35" s="489">
        <f t="shared" si="0"/>
        <v>28000</v>
      </c>
      <c r="J35" s="489">
        <v>3436</v>
      </c>
      <c r="K35" s="489"/>
      <c r="L35" s="489">
        <f t="shared" si="1"/>
        <v>3436</v>
      </c>
      <c r="M35" s="489">
        <f t="shared" si="2"/>
        <v>31436</v>
      </c>
      <c r="N35" s="489">
        <f t="shared" si="3"/>
        <v>0</v>
      </c>
      <c r="O35" s="489">
        <f t="shared" si="4"/>
        <v>31436</v>
      </c>
    </row>
    <row r="36" spans="1:15" ht="16.5" customHeight="1">
      <c r="A36" s="415"/>
      <c r="B36" s="415"/>
      <c r="C36" s="419" t="s">
        <v>761</v>
      </c>
      <c r="D36" s="421" t="s">
        <v>763</v>
      </c>
      <c r="E36" s="324"/>
      <c r="F36" s="607"/>
      <c r="G36" s="489">
        <v>0</v>
      </c>
      <c r="H36" s="489">
        <v>2500</v>
      </c>
      <c r="I36" s="489">
        <f t="shared" si="0"/>
        <v>2500</v>
      </c>
      <c r="J36" s="489"/>
      <c r="K36" s="489"/>
      <c r="L36" s="489">
        <f t="shared" si="1"/>
        <v>0</v>
      </c>
      <c r="M36" s="489">
        <f t="shared" si="2"/>
        <v>0</v>
      </c>
      <c r="N36" s="489">
        <f t="shared" si="3"/>
        <v>2500</v>
      </c>
      <c r="O36" s="489">
        <f t="shared" si="4"/>
        <v>2500</v>
      </c>
    </row>
    <row r="37" spans="1:15" ht="18.75" customHeight="1">
      <c r="A37" s="415"/>
      <c r="B37" s="415"/>
      <c r="C37" s="430" t="s">
        <v>126</v>
      </c>
      <c r="D37" s="791" t="s">
        <v>1243</v>
      </c>
      <c r="E37" s="792"/>
      <c r="F37" s="630"/>
      <c r="G37" s="489"/>
      <c r="H37" s="489"/>
      <c r="I37" s="489">
        <f t="shared" si="0"/>
        <v>0</v>
      </c>
      <c r="J37" s="489"/>
      <c r="K37" s="489"/>
      <c r="L37" s="489"/>
      <c r="M37" s="489"/>
      <c r="N37" s="489"/>
      <c r="O37" s="489"/>
    </row>
    <row r="38" spans="1:15" ht="15" customHeight="1">
      <c r="A38" s="415"/>
      <c r="B38" s="415"/>
      <c r="C38" s="419" t="s">
        <v>764</v>
      </c>
      <c r="D38" s="431" t="s">
        <v>893</v>
      </c>
      <c r="E38" s="432"/>
      <c r="F38" s="630"/>
      <c r="G38" s="489"/>
      <c r="H38" s="489"/>
      <c r="I38" s="489">
        <f t="shared" si="0"/>
        <v>0</v>
      </c>
      <c r="J38" s="489"/>
      <c r="K38" s="489"/>
      <c r="L38" s="489"/>
      <c r="M38" s="489"/>
      <c r="N38" s="489"/>
      <c r="O38" s="489"/>
    </row>
    <row r="39" spans="1:15" ht="16.5" customHeight="1">
      <c r="A39" s="415"/>
      <c r="B39" s="415"/>
      <c r="C39" s="419" t="s">
        <v>765</v>
      </c>
      <c r="D39" s="221" t="s">
        <v>766</v>
      </c>
      <c r="E39" s="324"/>
      <c r="F39" s="607" t="s">
        <v>210</v>
      </c>
      <c r="G39" s="489">
        <v>7716</v>
      </c>
      <c r="H39" s="489">
        <v>0</v>
      </c>
      <c r="I39" s="489">
        <f t="shared" si="0"/>
        <v>7716</v>
      </c>
      <c r="J39" s="489">
        <v>426</v>
      </c>
      <c r="K39" s="489"/>
      <c r="L39" s="489">
        <f t="shared" si="1"/>
        <v>426</v>
      </c>
      <c r="M39" s="489">
        <f t="shared" si="2"/>
        <v>8142</v>
      </c>
      <c r="N39" s="489">
        <f t="shared" si="3"/>
        <v>0</v>
      </c>
      <c r="O39" s="489">
        <f t="shared" si="4"/>
        <v>8142</v>
      </c>
    </row>
    <row r="40" spans="1:15" ht="16.5" customHeight="1">
      <c r="A40" s="415"/>
      <c r="B40" s="415"/>
      <c r="C40" s="419" t="s">
        <v>397</v>
      </c>
      <c r="D40" s="668" t="s">
        <v>398</v>
      </c>
      <c r="E40" s="324"/>
      <c r="F40" s="607"/>
      <c r="G40" s="489">
        <v>2002</v>
      </c>
      <c r="H40" s="489"/>
      <c r="I40" s="489">
        <f t="shared" si="0"/>
        <v>2002</v>
      </c>
      <c r="J40" s="489"/>
      <c r="K40" s="489"/>
      <c r="L40" s="489">
        <f t="shared" si="1"/>
        <v>0</v>
      </c>
      <c r="M40" s="489">
        <f t="shared" si="2"/>
        <v>2002</v>
      </c>
      <c r="N40" s="489"/>
      <c r="O40" s="489">
        <f t="shared" si="4"/>
        <v>2002</v>
      </c>
    </row>
    <row r="41" spans="1:15" ht="16.5" customHeight="1">
      <c r="A41" s="415"/>
      <c r="B41" s="415"/>
      <c r="C41" s="419" t="s">
        <v>767</v>
      </c>
      <c r="D41" s="433" t="s">
        <v>894</v>
      </c>
      <c r="E41" s="324"/>
      <c r="F41" s="607"/>
      <c r="G41" s="489"/>
      <c r="H41" s="489"/>
      <c r="I41" s="489">
        <f t="shared" si="0"/>
        <v>0</v>
      </c>
      <c r="J41" s="489"/>
      <c r="K41" s="489"/>
      <c r="L41" s="489"/>
      <c r="M41" s="489"/>
      <c r="N41" s="489"/>
      <c r="O41" s="489"/>
    </row>
    <row r="42" spans="1:15" ht="15.75" customHeight="1">
      <c r="A42" s="415"/>
      <c r="B42" s="415"/>
      <c r="C42" s="419" t="s">
        <v>768</v>
      </c>
      <c r="D42" s="221" t="s">
        <v>769</v>
      </c>
      <c r="E42" s="324"/>
      <c r="F42" s="607"/>
      <c r="G42" s="489">
        <v>0</v>
      </c>
      <c r="H42" s="489">
        <v>15000</v>
      </c>
      <c r="I42" s="489">
        <f t="shared" si="0"/>
        <v>15000</v>
      </c>
      <c r="J42" s="489"/>
      <c r="K42" s="489"/>
      <c r="L42" s="489">
        <f t="shared" si="1"/>
        <v>0</v>
      </c>
      <c r="M42" s="489">
        <f t="shared" si="2"/>
        <v>0</v>
      </c>
      <c r="N42" s="489">
        <f t="shared" si="3"/>
        <v>15000</v>
      </c>
      <c r="O42" s="489">
        <f t="shared" si="4"/>
        <v>15000</v>
      </c>
    </row>
    <row r="43" spans="1:15" ht="15.75" customHeight="1">
      <c r="A43" s="415"/>
      <c r="B43" s="415"/>
      <c r="C43" s="419" t="s">
        <v>770</v>
      </c>
      <c r="D43" s="434" t="s">
        <v>771</v>
      </c>
      <c r="E43" s="324"/>
      <c r="F43" s="607"/>
      <c r="G43" s="489">
        <v>0</v>
      </c>
      <c r="H43" s="489">
        <v>0</v>
      </c>
      <c r="I43" s="489">
        <f t="shared" si="0"/>
        <v>0</v>
      </c>
      <c r="J43" s="489"/>
      <c r="K43" s="489"/>
      <c r="L43" s="489">
        <f t="shared" si="1"/>
        <v>0</v>
      </c>
      <c r="M43" s="489">
        <f t="shared" si="2"/>
        <v>0</v>
      </c>
      <c r="N43" s="489">
        <f t="shared" si="3"/>
        <v>0</v>
      </c>
      <c r="O43" s="489">
        <f t="shared" si="4"/>
        <v>0</v>
      </c>
    </row>
    <row r="44" spans="1:15" ht="29.25" customHeight="1">
      <c r="A44" s="415"/>
      <c r="B44" s="415"/>
      <c r="C44" s="419" t="s">
        <v>772</v>
      </c>
      <c r="D44" s="423" t="s">
        <v>773</v>
      </c>
      <c r="E44" s="324"/>
      <c r="F44" s="607"/>
      <c r="G44" s="489">
        <v>0</v>
      </c>
      <c r="H44" s="489">
        <v>0</v>
      </c>
      <c r="I44" s="489">
        <f t="shared" si="0"/>
        <v>0</v>
      </c>
      <c r="J44" s="489"/>
      <c r="K44" s="489"/>
      <c r="L44" s="489">
        <f t="shared" si="1"/>
        <v>0</v>
      </c>
      <c r="M44" s="489">
        <f t="shared" si="2"/>
        <v>0</v>
      </c>
      <c r="N44" s="489">
        <f t="shared" si="3"/>
        <v>0</v>
      </c>
      <c r="O44" s="489">
        <f t="shared" si="4"/>
        <v>0</v>
      </c>
    </row>
    <row r="45" spans="1:15" ht="24.75" customHeight="1">
      <c r="A45" s="415"/>
      <c r="B45" s="415"/>
      <c r="C45" s="419" t="s">
        <v>774</v>
      </c>
      <c r="D45" s="423" t="s">
        <v>775</v>
      </c>
      <c r="E45" s="324"/>
      <c r="F45" s="607"/>
      <c r="G45" s="489">
        <v>0</v>
      </c>
      <c r="H45" s="489">
        <v>0</v>
      </c>
      <c r="I45" s="489">
        <f t="shared" si="0"/>
        <v>0</v>
      </c>
      <c r="J45" s="489"/>
      <c r="K45" s="489"/>
      <c r="L45" s="489">
        <f t="shared" si="1"/>
        <v>0</v>
      </c>
      <c r="M45" s="489">
        <f t="shared" si="2"/>
        <v>0</v>
      </c>
      <c r="N45" s="489">
        <f t="shared" si="3"/>
        <v>0</v>
      </c>
      <c r="O45" s="489">
        <f t="shared" si="4"/>
        <v>0</v>
      </c>
    </row>
    <row r="46" spans="1:15" ht="14.25" customHeight="1">
      <c r="A46" s="415"/>
      <c r="B46" s="415"/>
      <c r="C46" s="430" t="s">
        <v>776</v>
      </c>
      <c r="D46" s="420" t="s">
        <v>895</v>
      </c>
      <c r="E46" s="324"/>
      <c r="F46" s="607"/>
      <c r="G46" s="489"/>
      <c r="H46" s="489"/>
      <c r="I46" s="489">
        <f t="shared" si="0"/>
        <v>0</v>
      </c>
      <c r="J46" s="489"/>
      <c r="K46" s="489"/>
      <c r="L46" s="489"/>
      <c r="M46" s="489"/>
      <c r="N46" s="489"/>
      <c r="O46" s="489"/>
    </row>
    <row r="47" spans="1:15" ht="14.25" customHeight="1">
      <c r="A47" s="415"/>
      <c r="B47" s="415"/>
      <c r="C47" s="419" t="s">
        <v>777</v>
      </c>
      <c r="D47" s="421" t="s">
        <v>778</v>
      </c>
      <c r="E47" s="324"/>
      <c r="F47" s="607"/>
      <c r="G47" s="489">
        <v>5000</v>
      </c>
      <c r="H47" s="489">
        <v>0</v>
      </c>
      <c r="I47" s="489">
        <f t="shared" si="0"/>
        <v>5000</v>
      </c>
      <c r="J47" s="489"/>
      <c r="K47" s="489"/>
      <c r="L47" s="489">
        <f t="shared" si="1"/>
        <v>0</v>
      </c>
      <c r="M47" s="489">
        <f t="shared" si="2"/>
        <v>5000</v>
      </c>
      <c r="N47" s="489">
        <f t="shared" si="3"/>
        <v>0</v>
      </c>
      <c r="O47" s="489">
        <f t="shared" si="4"/>
        <v>5000</v>
      </c>
    </row>
    <row r="48" spans="1:15" ht="14.25" customHeight="1">
      <c r="A48" s="415"/>
      <c r="B48" s="415"/>
      <c r="C48" s="242" t="s">
        <v>779</v>
      </c>
      <c r="D48" s="433" t="s">
        <v>279</v>
      </c>
      <c r="E48" s="424"/>
      <c r="F48" s="607"/>
      <c r="G48" s="489">
        <v>0</v>
      </c>
      <c r="H48" s="489">
        <v>0</v>
      </c>
      <c r="I48" s="489">
        <f t="shared" si="0"/>
        <v>0</v>
      </c>
      <c r="J48" s="489"/>
      <c r="K48" s="489"/>
      <c r="L48" s="489">
        <f t="shared" si="1"/>
        <v>0</v>
      </c>
      <c r="M48" s="489">
        <f t="shared" si="2"/>
        <v>0</v>
      </c>
      <c r="N48" s="489">
        <f t="shared" si="3"/>
        <v>0</v>
      </c>
      <c r="O48" s="489">
        <f t="shared" si="4"/>
        <v>0</v>
      </c>
    </row>
    <row r="49" spans="1:15" ht="21" customHeight="1">
      <c r="A49" s="415"/>
      <c r="B49" s="415"/>
      <c r="C49" s="415" t="s">
        <v>280</v>
      </c>
      <c r="D49" s="435" t="s">
        <v>780</v>
      </c>
      <c r="E49" s="436"/>
      <c r="F49" s="631"/>
      <c r="G49" s="489">
        <v>0</v>
      </c>
      <c r="H49" s="489">
        <v>21000</v>
      </c>
      <c r="I49" s="489">
        <f t="shared" si="0"/>
        <v>21000</v>
      </c>
      <c r="J49" s="489"/>
      <c r="K49" s="489"/>
      <c r="L49" s="489">
        <f t="shared" si="1"/>
        <v>0</v>
      </c>
      <c r="M49" s="489">
        <f t="shared" si="2"/>
        <v>0</v>
      </c>
      <c r="N49" s="489">
        <f t="shared" si="3"/>
        <v>21000</v>
      </c>
      <c r="O49" s="489">
        <f t="shared" si="4"/>
        <v>21000</v>
      </c>
    </row>
    <row r="50" spans="1:15" ht="15" customHeight="1">
      <c r="A50" s="415"/>
      <c r="B50" s="415"/>
      <c r="C50" s="415" t="s">
        <v>282</v>
      </c>
      <c r="D50" s="435" t="s">
        <v>781</v>
      </c>
      <c r="E50" s="437"/>
      <c r="F50" s="632"/>
      <c r="G50" s="489">
        <v>1072</v>
      </c>
      <c r="H50" s="489">
        <v>0</v>
      </c>
      <c r="I50" s="489">
        <f t="shared" si="0"/>
        <v>1072</v>
      </c>
      <c r="J50" s="489"/>
      <c r="K50" s="489"/>
      <c r="L50" s="489">
        <f t="shared" si="1"/>
        <v>0</v>
      </c>
      <c r="M50" s="489">
        <f t="shared" si="2"/>
        <v>1072</v>
      </c>
      <c r="N50" s="489">
        <f t="shared" si="3"/>
        <v>0</v>
      </c>
      <c r="O50" s="489">
        <f t="shared" si="4"/>
        <v>1072</v>
      </c>
    </row>
    <row r="51" spans="1:15" ht="15" customHeight="1">
      <c r="A51" s="415"/>
      <c r="B51" s="415"/>
      <c r="C51" s="415" t="s">
        <v>283</v>
      </c>
      <c r="D51" s="438" t="s">
        <v>782</v>
      </c>
      <c r="E51" s="437"/>
      <c r="F51" s="633" t="s">
        <v>210</v>
      </c>
      <c r="G51" s="489">
        <v>37629</v>
      </c>
      <c r="H51" s="489">
        <v>0</v>
      </c>
      <c r="I51" s="489">
        <f t="shared" si="0"/>
        <v>37629</v>
      </c>
      <c r="J51" s="489">
        <v>617</v>
      </c>
      <c r="K51" s="489"/>
      <c r="L51" s="489">
        <f t="shared" si="1"/>
        <v>617</v>
      </c>
      <c r="M51" s="489">
        <f t="shared" si="2"/>
        <v>38246</v>
      </c>
      <c r="N51" s="489">
        <f t="shared" si="3"/>
        <v>0</v>
      </c>
      <c r="O51" s="489">
        <f t="shared" si="4"/>
        <v>38246</v>
      </c>
    </row>
    <row r="52" spans="1:15" ht="13.5" customHeight="1">
      <c r="A52" s="439"/>
      <c r="B52" s="439"/>
      <c r="C52" s="439"/>
      <c r="D52" s="440" t="s">
        <v>1012</v>
      </c>
      <c r="E52" s="441"/>
      <c r="F52" s="634"/>
      <c r="G52" s="442">
        <f aca="true" t="shared" si="5" ref="G52:O52">SUM(G7:G51)</f>
        <v>194758</v>
      </c>
      <c r="H52" s="442">
        <f t="shared" si="5"/>
        <v>42067</v>
      </c>
      <c r="I52" s="442">
        <f t="shared" si="5"/>
        <v>236825</v>
      </c>
      <c r="J52" s="442">
        <f t="shared" si="5"/>
        <v>6805</v>
      </c>
      <c r="K52" s="442">
        <f t="shared" si="5"/>
        <v>1000</v>
      </c>
      <c r="L52" s="442">
        <f t="shared" si="5"/>
        <v>7805</v>
      </c>
      <c r="M52" s="442">
        <f t="shared" si="5"/>
        <v>201563</v>
      </c>
      <c r="N52" s="442">
        <f t="shared" si="5"/>
        <v>43067</v>
      </c>
      <c r="O52" s="442">
        <f t="shared" si="5"/>
        <v>244630</v>
      </c>
    </row>
    <row r="53" spans="1:15" ht="12.75" customHeight="1">
      <c r="A53" s="443">
        <v>1</v>
      </c>
      <c r="B53" s="443">
        <v>15</v>
      </c>
      <c r="C53" s="443"/>
      <c r="D53" s="270" t="s">
        <v>197</v>
      </c>
      <c r="E53" s="324"/>
      <c r="F53" s="607"/>
      <c r="G53" s="489"/>
      <c r="H53" s="489"/>
      <c r="I53" s="245"/>
      <c r="J53" s="489"/>
      <c r="K53" s="489"/>
      <c r="L53" s="489"/>
      <c r="M53" s="489"/>
      <c r="N53" s="489"/>
      <c r="O53" s="489"/>
    </row>
    <row r="54" spans="1:15" ht="12.75" customHeight="1">
      <c r="A54" s="443"/>
      <c r="B54" s="443"/>
      <c r="C54" s="444">
        <v>1</v>
      </c>
      <c r="D54" s="412" t="s">
        <v>1272</v>
      </c>
      <c r="E54" s="324"/>
      <c r="F54" s="607"/>
      <c r="G54" s="489"/>
      <c r="H54" s="489"/>
      <c r="I54" s="245"/>
      <c r="J54" s="489"/>
      <c r="K54" s="489"/>
      <c r="L54" s="489"/>
      <c r="M54" s="489"/>
      <c r="N54" s="489"/>
      <c r="O54" s="489"/>
    </row>
    <row r="55" spans="1:15" ht="12.75" customHeight="1">
      <c r="A55" s="443"/>
      <c r="B55" s="443"/>
      <c r="C55" s="444" t="s">
        <v>121</v>
      </c>
      <c r="D55" s="323" t="s">
        <v>783</v>
      </c>
      <c r="E55" s="324"/>
      <c r="F55" s="607" t="s">
        <v>210</v>
      </c>
      <c r="G55" s="489">
        <v>6000</v>
      </c>
      <c r="H55" s="489">
        <v>0</v>
      </c>
      <c r="I55" s="489">
        <f>SUM(G55:H55)</f>
        <v>6000</v>
      </c>
      <c r="J55" s="489">
        <v>-2630</v>
      </c>
      <c r="K55" s="489"/>
      <c r="L55" s="489">
        <f t="shared" si="1"/>
        <v>-2630</v>
      </c>
      <c r="M55" s="489">
        <f t="shared" si="2"/>
        <v>3370</v>
      </c>
      <c r="N55" s="489">
        <f t="shared" si="3"/>
        <v>0</v>
      </c>
      <c r="O55" s="489">
        <f t="shared" si="4"/>
        <v>3370</v>
      </c>
    </row>
    <row r="56" spans="1:15" ht="12.75" customHeight="1">
      <c r="A56" s="443"/>
      <c r="B56" s="443"/>
      <c r="C56" s="444" t="s">
        <v>122</v>
      </c>
      <c r="D56" s="445" t="s">
        <v>784</v>
      </c>
      <c r="E56" s="324"/>
      <c r="F56" s="607" t="s">
        <v>210</v>
      </c>
      <c r="G56" s="489">
        <v>2000</v>
      </c>
      <c r="H56" s="489">
        <v>0</v>
      </c>
      <c r="I56" s="489">
        <f aca="true" t="shared" si="6" ref="I56:I121">SUM(G56:H56)</f>
        <v>2000</v>
      </c>
      <c r="J56" s="489">
        <v>-2000</v>
      </c>
      <c r="K56" s="489"/>
      <c r="L56" s="489">
        <f t="shared" si="1"/>
        <v>-2000</v>
      </c>
      <c r="M56" s="489">
        <f t="shared" si="2"/>
        <v>0</v>
      </c>
      <c r="N56" s="489">
        <f t="shared" si="3"/>
        <v>0</v>
      </c>
      <c r="O56" s="489">
        <f t="shared" si="4"/>
        <v>0</v>
      </c>
    </row>
    <row r="57" spans="1:15" ht="12.75" customHeight="1">
      <c r="A57" s="443"/>
      <c r="B57" s="443"/>
      <c r="C57" s="444" t="s">
        <v>123</v>
      </c>
      <c r="D57" s="323" t="s">
        <v>785</v>
      </c>
      <c r="E57" s="324"/>
      <c r="F57" s="607" t="s">
        <v>210</v>
      </c>
      <c r="G57" s="489">
        <v>2000</v>
      </c>
      <c r="H57" s="489">
        <v>0</v>
      </c>
      <c r="I57" s="489">
        <f t="shared" si="6"/>
        <v>2000</v>
      </c>
      <c r="J57" s="489">
        <v>-2000</v>
      </c>
      <c r="K57" s="489"/>
      <c r="L57" s="489">
        <f t="shared" si="1"/>
        <v>-2000</v>
      </c>
      <c r="M57" s="489">
        <f t="shared" si="2"/>
        <v>0</v>
      </c>
      <c r="N57" s="489">
        <f t="shared" si="3"/>
        <v>0</v>
      </c>
      <c r="O57" s="489">
        <f t="shared" si="4"/>
        <v>0</v>
      </c>
    </row>
    <row r="58" spans="1:15" ht="37.5" customHeight="1">
      <c r="A58" s="443"/>
      <c r="B58" s="443"/>
      <c r="C58" s="443" t="s">
        <v>649</v>
      </c>
      <c r="D58" s="322" t="s">
        <v>1076</v>
      </c>
      <c r="E58" s="324"/>
      <c r="F58" s="607" t="s">
        <v>1261</v>
      </c>
      <c r="G58" s="489"/>
      <c r="H58" s="489"/>
      <c r="I58" s="489"/>
      <c r="J58" s="489">
        <v>262273</v>
      </c>
      <c r="K58" s="489"/>
      <c r="L58" s="489">
        <f t="shared" si="1"/>
        <v>262273</v>
      </c>
      <c r="M58" s="489">
        <f t="shared" si="2"/>
        <v>262273</v>
      </c>
      <c r="N58" s="489">
        <f t="shared" si="3"/>
        <v>0</v>
      </c>
      <c r="O58" s="489">
        <f t="shared" si="4"/>
        <v>262273</v>
      </c>
    </row>
    <row r="59" spans="1:15" ht="25.5" customHeight="1">
      <c r="A59" s="443"/>
      <c r="B59" s="443"/>
      <c r="C59" s="443" t="s">
        <v>290</v>
      </c>
      <c r="D59" s="322" t="s">
        <v>291</v>
      </c>
      <c r="E59" s="324"/>
      <c r="F59" s="607" t="s">
        <v>1261</v>
      </c>
      <c r="G59" s="489"/>
      <c r="H59" s="489"/>
      <c r="I59" s="489"/>
      <c r="J59" s="489"/>
      <c r="K59" s="489">
        <v>206514</v>
      </c>
      <c r="L59" s="489">
        <v>206514</v>
      </c>
      <c r="M59" s="489"/>
      <c r="N59" s="489">
        <f t="shared" si="3"/>
        <v>206514</v>
      </c>
      <c r="O59" s="489">
        <f t="shared" si="4"/>
        <v>206514</v>
      </c>
    </row>
    <row r="60" spans="1:15" ht="12.75" customHeight="1">
      <c r="A60" s="443"/>
      <c r="B60" s="443"/>
      <c r="C60" s="444"/>
      <c r="D60" s="446" t="s">
        <v>279</v>
      </c>
      <c r="E60" s="324"/>
      <c r="F60" s="607"/>
      <c r="G60" s="489">
        <v>0</v>
      </c>
      <c r="H60" s="489">
        <v>0</v>
      </c>
      <c r="I60" s="489">
        <f t="shared" si="6"/>
        <v>0</v>
      </c>
      <c r="J60" s="489"/>
      <c r="K60" s="489"/>
      <c r="L60" s="489">
        <f t="shared" si="1"/>
        <v>0</v>
      </c>
      <c r="M60" s="489">
        <f t="shared" si="2"/>
        <v>0</v>
      </c>
      <c r="N60" s="489">
        <f t="shared" si="3"/>
        <v>0</v>
      </c>
      <c r="O60" s="489">
        <f t="shared" si="4"/>
        <v>0</v>
      </c>
    </row>
    <row r="61" spans="1:15" ht="12.75" customHeight="1">
      <c r="A61" s="443"/>
      <c r="B61" s="443"/>
      <c r="C61" s="447" t="s">
        <v>1265</v>
      </c>
      <c r="D61" s="448" t="s">
        <v>786</v>
      </c>
      <c r="E61" s="324"/>
      <c r="F61" s="607"/>
      <c r="G61" s="489">
        <v>8219</v>
      </c>
      <c r="H61" s="489">
        <v>0</v>
      </c>
      <c r="I61" s="489">
        <f t="shared" si="6"/>
        <v>8219</v>
      </c>
      <c r="J61" s="489"/>
      <c r="K61" s="489"/>
      <c r="L61" s="489">
        <f t="shared" si="1"/>
        <v>0</v>
      </c>
      <c r="M61" s="489">
        <f t="shared" si="2"/>
        <v>8219</v>
      </c>
      <c r="N61" s="489">
        <f t="shared" si="3"/>
        <v>0</v>
      </c>
      <c r="O61" s="489">
        <f t="shared" si="4"/>
        <v>8219</v>
      </c>
    </row>
    <row r="62" spans="1:15" ht="12.75" customHeight="1">
      <c r="A62" s="443"/>
      <c r="B62" s="443"/>
      <c r="C62" s="447" t="s">
        <v>8</v>
      </c>
      <c r="D62" s="277" t="s">
        <v>1182</v>
      </c>
      <c r="E62" s="271"/>
      <c r="F62" s="635"/>
      <c r="G62" s="489">
        <v>1300</v>
      </c>
      <c r="H62" s="489">
        <v>0</v>
      </c>
      <c r="I62" s="489">
        <f t="shared" si="6"/>
        <v>1300</v>
      </c>
      <c r="J62" s="489"/>
      <c r="K62" s="489"/>
      <c r="L62" s="489">
        <f t="shared" si="1"/>
        <v>0</v>
      </c>
      <c r="M62" s="489">
        <f t="shared" si="2"/>
        <v>1300</v>
      </c>
      <c r="N62" s="489">
        <f t="shared" si="3"/>
        <v>0</v>
      </c>
      <c r="O62" s="489">
        <f t="shared" si="4"/>
        <v>1300</v>
      </c>
    </row>
    <row r="63" spans="1:15" ht="12.75" customHeight="1">
      <c r="A63" s="443"/>
      <c r="B63" s="443"/>
      <c r="C63" s="447" t="s">
        <v>9</v>
      </c>
      <c r="D63" s="277" t="s">
        <v>1181</v>
      </c>
      <c r="E63" s="271"/>
      <c r="F63" s="635"/>
      <c r="G63" s="489">
        <v>1800</v>
      </c>
      <c r="H63" s="489">
        <v>0</v>
      </c>
      <c r="I63" s="489">
        <f t="shared" si="6"/>
        <v>1800</v>
      </c>
      <c r="J63" s="489"/>
      <c r="K63" s="489"/>
      <c r="L63" s="489">
        <f t="shared" si="1"/>
        <v>0</v>
      </c>
      <c r="M63" s="489">
        <f t="shared" si="2"/>
        <v>1800</v>
      </c>
      <c r="N63" s="489">
        <f t="shared" si="3"/>
        <v>0</v>
      </c>
      <c r="O63" s="489">
        <f t="shared" si="4"/>
        <v>1800</v>
      </c>
    </row>
    <row r="64" spans="1:15" ht="24.75" customHeight="1">
      <c r="A64" s="443"/>
      <c r="B64" s="443"/>
      <c r="C64" s="447" t="s">
        <v>10</v>
      </c>
      <c r="D64" s="449" t="s">
        <v>1183</v>
      </c>
      <c r="E64" s="324"/>
      <c r="F64" s="607"/>
      <c r="G64" s="489">
        <v>0</v>
      </c>
      <c r="H64" s="489">
        <v>0</v>
      </c>
      <c r="I64" s="489">
        <f t="shared" si="6"/>
        <v>0</v>
      </c>
      <c r="J64" s="489"/>
      <c r="K64" s="489"/>
      <c r="L64" s="489">
        <f t="shared" si="1"/>
        <v>0</v>
      </c>
      <c r="M64" s="489">
        <f t="shared" si="2"/>
        <v>0</v>
      </c>
      <c r="N64" s="489">
        <f t="shared" si="3"/>
        <v>0</v>
      </c>
      <c r="O64" s="489">
        <f t="shared" si="4"/>
        <v>0</v>
      </c>
    </row>
    <row r="65" spans="1:15" ht="12.75" customHeight="1">
      <c r="A65" s="443"/>
      <c r="B65" s="443"/>
      <c r="C65" s="450" t="s">
        <v>128</v>
      </c>
      <c r="D65" s="451" t="s">
        <v>1223</v>
      </c>
      <c r="E65" s="324"/>
      <c r="F65" s="607"/>
      <c r="G65" s="489"/>
      <c r="H65" s="489"/>
      <c r="I65" s="489">
        <f t="shared" si="6"/>
        <v>0</v>
      </c>
      <c r="J65" s="489"/>
      <c r="K65" s="489"/>
      <c r="L65" s="489"/>
      <c r="M65" s="489"/>
      <c r="N65" s="489"/>
      <c r="O65" s="489"/>
    </row>
    <row r="66" spans="1:15" ht="12.75" customHeight="1">
      <c r="A66" s="443"/>
      <c r="B66" s="443"/>
      <c r="C66" s="415" t="s">
        <v>134</v>
      </c>
      <c r="D66" s="283" t="s">
        <v>50</v>
      </c>
      <c r="E66" s="452"/>
      <c r="F66" s="607" t="s">
        <v>210</v>
      </c>
      <c r="G66" s="489">
        <v>3929</v>
      </c>
      <c r="H66" s="489">
        <v>0</v>
      </c>
      <c r="I66" s="489">
        <f t="shared" si="6"/>
        <v>3929</v>
      </c>
      <c r="J66" s="489">
        <v>-3929</v>
      </c>
      <c r="K66" s="489"/>
      <c r="L66" s="489">
        <f t="shared" si="1"/>
        <v>-3929</v>
      </c>
      <c r="M66" s="489">
        <f t="shared" si="2"/>
        <v>0</v>
      </c>
      <c r="N66" s="489">
        <f t="shared" si="3"/>
        <v>0</v>
      </c>
      <c r="O66" s="489">
        <f t="shared" si="4"/>
        <v>0</v>
      </c>
    </row>
    <row r="67" spans="1:15" ht="12.75" customHeight="1">
      <c r="A67" s="443"/>
      <c r="B67" s="443"/>
      <c r="C67" s="415" t="s">
        <v>135</v>
      </c>
      <c r="D67" s="453" t="s">
        <v>787</v>
      </c>
      <c r="E67" s="452"/>
      <c r="F67" s="607" t="s">
        <v>210</v>
      </c>
      <c r="G67" s="489">
        <v>37750</v>
      </c>
      <c r="H67" s="489">
        <v>0</v>
      </c>
      <c r="I67" s="489">
        <f t="shared" si="6"/>
        <v>37750</v>
      </c>
      <c r="J67" s="489">
        <v>-236</v>
      </c>
      <c r="K67" s="489"/>
      <c r="L67" s="489">
        <f t="shared" si="1"/>
        <v>-236</v>
      </c>
      <c r="M67" s="489">
        <f t="shared" si="2"/>
        <v>37514</v>
      </c>
      <c r="N67" s="489">
        <f t="shared" si="3"/>
        <v>0</v>
      </c>
      <c r="O67" s="489">
        <f t="shared" si="4"/>
        <v>37514</v>
      </c>
    </row>
    <row r="68" spans="1:15" ht="12.75" customHeight="1">
      <c r="A68" s="443"/>
      <c r="B68" s="443"/>
      <c r="C68" s="415" t="s">
        <v>136</v>
      </c>
      <c r="D68" s="294" t="s">
        <v>896</v>
      </c>
      <c r="E68" s="452"/>
      <c r="F68" s="607"/>
      <c r="G68" s="489">
        <v>10000</v>
      </c>
      <c r="H68" s="489">
        <v>0</v>
      </c>
      <c r="I68" s="489">
        <f t="shared" si="6"/>
        <v>10000</v>
      </c>
      <c r="J68" s="489"/>
      <c r="K68" s="489"/>
      <c r="L68" s="489">
        <f t="shared" si="1"/>
        <v>0</v>
      </c>
      <c r="M68" s="489">
        <f t="shared" si="2"/>
        <v>10000</v>
      </c>
      <c r="N68" s="489">
        <f t="shared" si="3"/>
        <v>0</v>
      </c>
      <c r="O68" s="489">
        <f t="shared" si="4"/>
        <v>10000</v>
      </c>
    </row>
    <row r="69" spans="1:15" ht="12.75" customHeight="1">
      <c r="A69" s="443"/>
      <c r="B69" s="443"/>
      <c r="C69" s="415" t="s">
        <v>137</v>
      </c>
      <c r="D69" s="294" t="s">
        <v>788</v>
      </c>
      <c r="E69" s="452"/>
      <c r="F69" s="607"/>
      <c r="G69" s="489">
        <v>13341</v>
      </c>
      <c r="H69" s="489">
        <v>0</v>
      </c>
      <c r="I69" s="489">
        <f t="shared" si="6"/>
        <v>13341</v>
      </c>
      <c r="J69" s="489"/>
      <c r="K69" s="489"/>
      <c r="L69" s="489">
        <f t="shared" si="1"/>
        <v>0</v>
      </c>
      <c r="M69" s="489">
        <f t="shared" si="2"/>
        <v>13341</v>
      </c>
      <c r="N69" s="489">
        <f t="shared" si="3"/>
        <v>0</v>
      </c>
      <c r="O69" s="489">
        <f t="shared" si="4"/>
        <v>13341</v>
      </c>
    </row>
    <row r="70" spans="1:15" ht="12.75" customHeight="1">
      <c r="A70" s="443"/>
      <c r="B70" s="443"/>
      <c r="C70" s="415" t="s">
        <v>138</v>
      </c>
      <c r="D70" s="294" t="s">
        <v>789</v>
      </c>
      <c r="E70" s="452"/>
      <c r="F70" s="607"/>
      <c r="G70" s="489">
        <v>18967</v>
      </c>
      <c r="H70" s="489">
        <v>0</v>
      </c>
      <c r="I70" s="489">
        <f t="shared" si="6"/>
        <v>18967</v>
      </c>
      <c r="J70" s="489"/>
      <c r="K70" s="489"/>
      <c r="L70" s="489">
        <f t="shared" si="1"/>
        <v>0</v>
      </c>
      <c r="M70" s="489">
        <f t="shared" si="2"/>
        <v>18967</v>
      </c>
      <c r="N70" s="489">
        <f t="shared" si="3"/>
        <v>0</v>
      </c>
      <c r="O70" s="489">
        <f t="shared" si="4"/>
        <v>18967</v>
      </c>
    </row>
    <row r="71" spans="1:15" ht="12.75" customHeight="1">
      <c r="A71" s="443"/>
      <c r="B71" s="443"/>
      <c r="C71" s="415" t="s">
        <v>139</v>
      </c>
      <c r="D71" s="453" t="s">
        <v>790</v>
      </c>
      <c r="E71" s="452"/>
      <c r="F71" s="607"/>
      <c r="G71" s="489">
        <v>14869</v>
      </c>
      <c r="H71" s="489">
        <v>0</v>
      </c>
      <c r="I71" s="489">
        <f t="shared" si="6"/>
        <v>14869</v>
      </c>
      <c r="J71" s="489"/>
      <c r="K71" s="489"/>
      <c r="L71" s="489">
        <f t="shared" si="1"/>
        <v>0</v>
      </c>
      <c r="M71" s="489">
        <f t="shared" si="2"/>
        <v>14869</v>
      </c>
      <c r="N71" s="489">
        <f t="shared" si="3"/>
        <v>0</v>
      </c>
      <c r="O71" s="489">
        <f t="shared" si="4"/>
        <v>14869</v>
      </c>
    </row>
    <row r="72" spans="1:15" ht="12.75" customHeight="1">
      <c r="A72" s="443"/>
      <c r="B72" s="443"/>
      <c r="C72" s="415" t="s">
        <v>140</v>
      </c>
      <c r="D72" s="294" t="s">
        <v>791</v>
      </c>
      <c r="E72" s="452"/>
      <c r="F72" s="607"/>
      <c r="G72" s="489">
        <v>3000</v>
      </c>
      <c r="H72" s="489">
        <v>0</v>
      </c>
      <c r="I72" s="489">
        <f t="shared" si="6"/>
        <v>3000</v>
      </c>
      <c r="J72" s="489"/>
      <c r="K72" s="489"/>
      <c r="L72" s="489">
        <f t="shared" si="1"/>
        <v>0</v>
      </c>
      <c r="M72" s="489">
        <f t="shared" si="2"/>
        <v>3000</v>
      </c>
      <c r="N72" s="489">
        <f t="shared" si="3"/>
        <v>0</v>
      </c>
      <c r="O72" s="489">
        <f t="shared" si="4"/>
        <v>3000</v>
      </c>
    </row>
    <row r="73" spans="1:15" ht="12.75" customHeight="1">
      <c r="A73" s="443"/>
      <c r="B73" s="443"/>
      <c r="C73" s="415" t="s">
        <v>163</v>
      </c>
      <c r="D73" s="294" t="s">
        <v>43</v>
      </c>
      <c r="E73" s="452"/>
      <c r="F73" s="607"/>
      <c r="G73" s="489">
        <v>0</v>
      </c>
      <c r="H73" s="489">
        <v>0</v>
      </c>
      <c r="I73" s="489">
        <f t="shared" si="6"/>
        <v>0</v>
      </c>
      <c r="J73" s="489"/>
      <c r="K73" s="489"/>
      <c r="L73" s="489">
        <f t="shared" si="1"/>
        <v>0</v>
      </c>
      <c r="M73" s="489">
        <f t="shared" si="2"/>
        <v>0</v>
      </c>
      <c r="N73" s="489">
        <f t="shared" si="3"/>
        <v>0</v>
      </c>
      <c r="O73" s="489">
        <f t="shared" si="4"/>
        <v>0</v>
      </c>
    </row>
    <row r="74" spans="1:15" ht="12.75" customHeight="1">
      <c r="A74" s="443"/>
      <c r="B74" s="443"/>
      <c r="C74" s="415" t="s">
        <v>164</v>
      </c>
      <c r="D74" s="294" t="s">
        <v>792</v>
      </c>
      <c r="E74" s="452"/>
      <c r="F74" s="607"/>
      <c r="G74" s="489">
        <v>9564</v>
      </c>
      <c r="H74" s="489">
        <v>0</v>
      </c>
      <c r="I74" s="489">
        <f t="shared" si="6"/>
        <v>9564</v>
      </c>
      <c r="J74" s="489"/>
      <c r="K74" s="489"/>
      <c r="L74" s="489">
        <f t="shared" si="1"/>
        <v>0</v>
      </c>
      <c r="M74" s="489">
        <f t="shared" si="2"/>
        <v>9564</v>
      </c>
      <c r="N74" s="489">
        <f t="shared" si="3"/>
        <v>0</v>
      </c>
      <c r="O74" s="489">
        <f t="shared" si="4"/>
        <v>9564</v>
      </c>
    </row>
    <row r="75" spans="1:15" ht="12.75" customHeight="1">
      <c r="A75" s="443"/>
      <c r="B75" s="443"/>
      <c r="C75" s="415" t="s">
        <v>165</v>
      </c>
      <c r="D75" s="294" t="s">
        <v>793</v>
      </c>
      <c r="E75" s="452"/>
      <c r="F75" s="607" t="s">
        <v>210</v>
      </c>
      <c r="G75" s="489">
        <v>5000</v>
      </c>
      <c r="H75" s="489">
        <v>0</v>
      </c>
      <c r="I75" s="489">
        <f t="shared" si="6"/>
        <v>5000</v>
      </c>
      <c r="J75" s="489">
        <v>-2353</v>
      </c>
      <c r="K75" s="489"/>
      <c r="L75" s="489">
        <f t="shared" si="1"/>
        <v>-2353</v>
      </c>
      <c r="M75" s="489">
        <f t="shared" si="2"/>
        <v>2647</v>
      </c>
      <c r="N75" s="489">
        <f t="shared" si="3"/>
        <v>0</v>
      </c>
      <c r="O75" s="489">
        <f t="shared" si="4"/>
        <v>2647</v>
      </c>
    </row>
    <row r="76" spans="1:15" ht="12.75" customHeight="1">
      <c r="A76" s="443"/>
      <c r="B76" s="443"/>
      <c r="C76" s="415" t="s">
        <v>166</v>
      </c>
      <c r="D76" s="294" t="s">
        <v>794</v>
      </c>
      <c r="E76" s="452"/>
      <c r="F76" s="607"/>
      <c r="G76" s="489">
        <v>0</v>
      </c>
      <c r="H76" s="489">
        <v>0</v>
      </c>
      <c r="I76" s="489">
        <f t="shared" si="6"/>
        <v>0</v>
      </c>
      <c r="J76" s="489"/>
      <c r="K76" s="489"/>
      <c r="L76" s="489">
        <f t="shared" si="1"/>
        <v>0</v>
      </c>
      <c r="M76" s="489">
        <f t="shared" si="2"/>
        <v>0</v>
      </c>
      <c r="N76" s="489">
        <f t="shared" si="3"/>
        <v>0</v>
      </c>
      <c r="O76" s="489">
        <f t="shared" si="4"/>
        <v>0</v>
      </c>
    </row>
    <row r="77" spans="1:15" ht="12.75" customHeight="1">
      <c r="A77" s="443"/>
      <c r="B77" s="443"/>
      <c r="C77" s="415" t="s">
        <v>167</v>
      </c>
      <c r="D77" s="283" t="s">
        <v>795</v>
      </c>
      <c r="E77" s="452"/>
      <c r="F77" s="607"/>
      <c r="G77" s="489">
        <v>5078</v>
      </c>
      <c r="H77" s="489">
        <v>0</v>
      </c>
      <c r="I77" s="489">
        <f t="shared" si="6"/>
        <v>5078</v>
      </c>
      <c r="J77" s="489"/>
      <c r="K77" s="489"/>
      <c r="L77" s="489">
        <f t="shared" si="1"/>
        <v>0</v>
      </c>
      <c r="M77" s="489">
        <f t="shared" si="2"/>
        <v>5078</v>
      </c>
      <c r="N77" s="489">
        <f t="shared" si="3"/>
        <v>0</v>
      </c>
      <c r="O77" s="489">
        <f t="shared" si="4"/>
        <v>5078</v>
      </c>
    </row>
    <row r="78" spans="1:15" ht="12.75" customHeight="1">
      <c r="A78" s="443"/>
      <c r="B78" s="443"/>
      <c r="C78" s="415" t="s">
        <v>168</v>
      </c>
      <c r="D78" s="453" t="s">
        <v>796</v>
      </c>
      <c r="E78" s="452"/>
      <c r="F78" s="607"/>
      <c r="G78" s="489">
        <v>3430</v>
      </c>
      <c r="H78" s="489">
        <v>0</v>
      </c>
      <c r="I78" s="489">
        <f t="shared" si="6"/>
        <v>3430</v>
      </c>
      <c r="J78" s="489"/>
      <c r="K78" s="489"/>
      <c r="L78" s="489">
        <f t="shared" si="1"/>
        <v>0</v>
      </c>
      <c r="M78" s="489">
        <f t="shared" si="2"/>
        <v>3430</v>
      </c>
      <c r="N78" s="489">
        <f t="shared" si="3"/>
        <v>0</v>
      </c>
      <c r="O78" s="489">
        <f t="shared" si="4"/>
        <v>3430</v>
      </c>
    </row>
    <row r="79" spans="1:15" ht="12.75" customHeight="1">
      <c r="A79" s="443"/>
      <c r="B79" s="443"/>
      <c r="C79" s="415" t="s">
        <v>169</v>
      </c>
      <c r="D79" s="283" t="s">
        <v>797</v>
      </c>
      <c r="E79" s="452"/>
      <c r="F79" s="607"/>
      <c r="G79" s="489">
        <v>4864</v>
      </c>
      <c r="H79" s="489">
        <v>0</v>
      </c>
      <c r="I79" s="489">
        <f t="shared" si="6"/>
        <v>4864</v>
      </c>
      <c r="J79" s="489"/>
      <c r="K79" s="489"/>
      <c r="L79" s="489">
        <f t="shared" si="1"/>
        <v>0</v>
      </c>
      <c r="M79" s="489">
        <f t="shared" si="2"/>
        <v>4864</v>
      </c>
      <c r="N79" s="489">
        <f t="shared" si="3"/>
        <v>0</v>
      </c>
      <c r="O79" s="489">
        <f t="shared" si="4"/>
        <v>4864</v>
      </c>
    </row>
    <row r="80" spans="1:15" ht="12.75" customHeight="1">
      <c r="A80" s="443"/>
      <c r="B80" s="443"/>
      <c r="C80" s="415" t="s">
        <v>170</v>
      </c>
      <c r="D80" s="294" t="s">
        <v>798</v>
      </c>
      <c r="E80" s="452"/>
      <c r="F80" s="607" t="s">
        <v>210</v>
      </c>
      <c r="G80" s="489">
        <v>2000</v>
      </c>
      <c r="H80" s="489">
        <v>0</v>
      </c>
      <c r="I80" s="489">
        <f t="shared" si="6"/>
        <v>2000</v>
      </c>
      <c r="J80" s="489">
        <v>-2000</v>
      </c>
      <c r="K80" s="489"/>
      <c r="L80" s="489">
        <f t="shared" si="1"/>
        <v>-2000</v>
      </c>
      <c r="M80" s="489">
        <f t="shared" si="2"/>
        <v>0</v>
      </c>
      <c r="N80" s="489">
        <f t="shared" si="3"/>
        <v>0</v>
      </c>
      <c r="O80" s="489">
        <f t="shared" si="4"/>
        <v>0</v>
      </c>
    </row>
    <row r="81" spans="1:15" ht="12.75" customHeight="1">
      <c r="A81" s="443"/>
      <c r="B81" s="443"/>
      <c r="C81" s="415" t="s">
        <v>112</v>
      </c>
      <c r="D81" s="294" t="s">
        <v>799</v>
      </c>
      <c r="E81" s="452"/>
      <c r="F81" s="607"/>
      <c r="G81" s="489">
        <v>5000</v>
      </c>
      <c r="H81" s="489">
        <v>0</v>
      </c>
      <c r="I81" s="489">
        <f t="shared" si="6"/>
        <v>5000</v>
      </c>
      <c r="J81" s="489"/>
      <c r="K81" s="489"/>
      <c r="L81" s="489">
        <f t="shared" si="1"/>
        <v>0</v>
      </c>
      <c r="M81" s="489">
        <f t="shared" si="2"/>
        <v>5000</v>
      </c>
      <c r="N81" s="489">
        <f t="shared" si="3"/>
        <v>0</v>
      </c>
      <c r="O81" s="489">
        <f t="shared" si="4"/>
        <v>5000</v>
      </c>
    </row>
    <row r="82" spans="1:15" ht="12.75" customHeight="1">
      <c r="A82" s="443"/>
      <c r="B82" s="443"/>
      <c r="C82" s="415" t="s">
        <v>113</v>
      </c>
      <c r="D82" s="294" t="s">
        <v>800</v>
      </c>
      <c r="E82" s="452"/>
      <c r="F82" s="607"/>
      <c r="G82" s="489">
        <v>4211</v>
      </c>
      <c r="H82" s="489">
        <v>0</v>
      </c>
      <c r="I82" s="489">
        <f t="shared" si="6"/>
        <v>4211</v>
      </c>
      <c r="J82" s="489"/>
      <c r="K82" s="489"/>
      <c r="L82" s="489">
        <f aca="true" t="shared" si="7" ref="L82:L154">SUM(J82:K82)</f>
        <v>0</v>
      </c>
      <c r="M82" s="489">
        <f aca="true" t="shared" si="8" ref="M82:M154">SUM(G82+J82)</f>
        <v>4211</v>
      </c>
      <c r="N82" s="489">
        <f aca="true" t="shared" si="9" ref="N82:N154">SUM(H82+K82)</f>
        <v>0</v>
      </c>
      <c r="O82" s="489">
        <f aca="true" t="shared" si="10" ref="O82:O154">SUM(M82:N82)</f>
        <v>4211</v>
      </c>
    </row>
    <row r="83" spans="1:15" ht="12.75" customHeight="1">
      <c r="A83" s="443"/>
      <c r="B83" s="443"/>
      <c r="C83" s="415" t="s">
        <v>114</v>
      </c>
      <c r="D83" s="294" t="s">
        <v>801</v>
      </c>
      <c r="E83" s="452"/>
      <c r="F83" s="607"/>
      <c r="G83" s="489">
        <v>8500</v>
      </c>
      <c r="H83" s="489">
        <v>0</v>
      </c>
      <c r="I83" s="489">
        <f t="shared" si="6"/>
        <v>8500</v>
      </c>
      <c r="J83" s="489"/>
      <c r="K83" s="489"/>
      <c r="L83" s="489">
        <f t="shared" si="7"/>
        <v>0</v>
      </c>
      <c r="M83" s="489">
        <f t="shared" si="8"/>
        <v>8500</v>
      </c>
      <c r="N83" s="489">
        <f t="shared" si="9"/>
        <v>0</v>
      </c>
      <c r="O83" s="489">
        <f t="shared" si="10"/>
        <v>8500</v>
      </c>
    </row>
    <row r="84" spans="1:15" ht="12.75" customHeight="1">
      <c r="A84" s="443"/>
      <c r="B84" s="443"/>
      <c r="C84" s="415" t="s">
        <v>115</v>
      </c>
      <c r="D84" s="294" t="s">
        <v>802</v>
      </c>
      <c r="E84" s="452"/>
      <c r="F84" s="607"/>
      <c r="G84" s="489">
        <v>3000</v>
      </c>
      <c r="H84" s="489">
        <v>0</v>
      </c>
      <c r="I84" s="489">
        <f t="shared" si="6"/>
        <v>3000</v>
      </c>
      <c r="J84" s="489"/>
      <c r="K84" s="489"/>
      <c r="L84" s="489">
        <f t="shared" si="7"/>
        <v>0</v>
      </c>
      <c r="M84" s="489">
        <f t="shared" si="8"/>
        <v>3000</v>
      </c>
      <c r="N84" s="489">
        <f t="shared" si="9"/>
        <v>0</v>
      </c>
      <c r="O84" s="489">
        <f t="shared" si="10"/>
        <v>3000</v>
      </c>
    </row>
    <row r="85" spans="1:15" ht="12.75" customHeight="1">
      <c r="A85" s="443"/>
      <c r="B85" s="443"/>
      <c r="C85" s="415" t="s">
        <v>116</v>
      </c>
      <c r="D85" s="453" t="s">
        <v>803</v>
      </c>
      <c r="E85" s="452"/>
      <c r="F85" s="607"/>
      <c r="G85" s="489">
        <v>3000</v>
      </c>
      <c r="H85" s="489">
        <v>0</v>
      </c>
      <c r="I85" s="489">
        <f t="shared" si="6"/>
        <v>3000</v>
      </c>
      <c r="J85" s="489"/>
      <c r="K85" s="489"/>
      <c r="L85" s="489">
        <f t="shared" si="7"/>
        <v>0</v>
      </c>
      <c r="M85" s="489">
        <f t="shared" si="8"/>
        <v>3000</v>
      </c>
      <c r="N85" s="489">
        <f t="shared" si="9"/>
        <v>0</v>
      </c>
      <c r="O85" s="489">
        <f t="shared" si="10"/>
        <v>3000</v>
      </c>
    </row>
    <row r="86" spans="1:15" ht="12.75" customHeight="1">
      <c r="A86" s="443"/>
      <c r="B86" s="443"/>
      <c r="C86" s="415" t="s">
        <v>117</v>
      </c>
      <c r="D86" s="283" t="s">
        <v>804</v>
      </c>
      <c r="E86" s="452"/>
      <c r="F86" s="607" t="s">
        <v>210</v>
      </c>
      <c r="G86" s="489">
        <v>0</v>
      </c>
      <c r="H86" s="489">
        <v>0</v>
      </c>
      <c r="I86" s="489">
        <f t="shared" si="6"/>
        <v>0</v>
      </c>
      <c r="J86" s="489">
        <v>1856</v>
      </c>
      <c r="K86" s="489"/>
      <c r="L86" s="489">
        <f t="shared" si="7"/>
        <v>1856</v>
      </c>
      <c r="M86" s="489">
        <f t="shared" si="8"/>
        <v>1856</v>
      </c>
      <c r="N86" s="489">
        <f t="shared" si="9"/>
        <v>0</v>
      </c>
      <c r="O86" s="489">
        <f t="shared" si="10"/>
        <v>1856</v>
      </c>
    </row>
    <row r="87" spans="1:15" ht="15" customHeight="1">
      <c r="A87" s="443"/>
      <c r="B87" s="443"/>
      <c r="C87" s="415" t="s">
        <v>118</v>
      </c>
      <c r="D87" s="283" t="s">
        <v>805</v>
      </c>
      <c r="E87" s="452"/>
      <c r="F87" s="607"/>
      <c r="G87" s="489">
        <v>0</v>
      </c>
      <c r="H87" s="489">
        <v>0</v>
      </c>
      <c r="I87" s="489">
        <f t="shared" si="6"/>
        <v>0</v>
      </c>
      <c r="J87" s="489"/>
      <c r="K87" s="489"/>
      <c r="L87" s="489">
        <f t="shared" si="7"/>
        <v>0</v>
      </c>
      <c r="M87" s="489">
        <f t="shared" si="8"/>
        <v>0</v>
      </c>
      <c r="N87" s="489">
        <f t="shared" si="9"/>
        <v>0</v>
      </c>
      <c r="O87" s="489">
        <f t="shared" si="10"/>
        <v>0</v>
      </c>
    </row>
    <row r="88" spans="1:15" ht="15" customHeight="1">
      <c r="A88" s="443"/>
      <c r="B88" s="443"/>
      <c r="C88" s="415" t="s">
        <v>119</v>
      </c>
      <c r="D88" s="283" t="s">
        <v>806</v>
      </c>
      <c r="E88" s="452"/>
      <c r="F88" s="607" t="s">
        <v>210</v>
      </c>
      <c r="G88" s="489">
        <v>5000</v>
      </c>
      <c r="H88" s="489">
        <v>0</v>
      </c>
      <c r="I88" s="489">
        <f t="shared" si="6"/>
        <v>5000</v>
      </c>
      <c r="J88" s="489">
        <v>1300</v>
      </c>
      <c r="K88" s="489"/>
      <c r="L88" s="489">
        <f t="shared" si="7"/>
        <v>1300</v>
      </c>
      <c r="M88" s="489">
        <f t="shared" si="8"/>
        <v>6300</v>
      </c>
      <c r="N88" s="489">
        <f t="shared" si="9"/>
        <v>0</v>
      </c>
      <c r="O88" s="489">
        <f t="shared" si="10"/>
        <v>6300</v>
      </c>
    </row>
    <row r="89" spans="1:15" ht="15" customHeight="1">
      <c r="A89" s="443"/>
      <c r="B89" s="443"/>
      <c r="C89" s="415" t="s">
        <v>120</v>
      </c>
      <c r="D89" s="283" t="s">
        <v>807</v>
      </c>
      <c r="E89" s="452"/>
      <c r="F89" s="607" t="s">
        <v>210</v>
      </c>
      <c r="G89" s="489">
        <v>3000</v>
      </c>
      <c r="H89" s="489">
        <v>0</v>
      </c>
      <c r="I89" s="489">
        <f t="shared" si="6"/>
        <v>3000</v>
      </c>
      <c r="J89" s="489">
        <v>629</v>
      </c>
      <c r="K89" s="489"/>
      <c r="L89" s="489">
        <f t="shared" si="7"/>
        <v>629</v>
      </c>
      <c r="M89" s="489">
        <f t="shared" si="8"/>
        <v>3629</v>
      </c>
      <c r="N89" s="489">
        <f t="shared" si="9"/>
        <v>0</v>
      </c>
      <c r="O89" s="489">
        <f t="shared" si="10"/>
        <v>3629</v>
      </c>
    </row>
    <row r="90" spans="1:15" ht="15" customHeight="1">
      <c r="A90" s="443"/>
      <c r="B90" s="443"/>
      <c r="C90" s="415" t="s">
        <v>54</v>
      </c>
      <c r="D90" s="283" t="s">
        <v>808</v>
      </c>
      <c r="E90" s="452"/>
      <c r="F90" s="607"/>
      <c r="G90" s="489">
        <v>1000</v>
      </c>
      <c r="H90" s="489">
        <v>0</v>
      </c>
      <c r="I90" s="489">
        <f t="shared" si="6"/>
        <v>1000</v>
      </c>
      <c r="J90" s="489"/>
      <c r="K90" s="489"/>
      <c r="L90" s="489">
        <f t="shared" si="7"/>
        <v>0</v>
      </c>
      <c r="M90" s="489">
        <f t="shared" si="8"/>
        <v>1000</v>
      </c>
      <c r="N90" s="489">
        <f t="shared" si="9"/>
        <v>0</v>
      </c>
      <c r="O90" s="489">
        <f t="shared" si="10"/>
        <v>1000</v>
      </c>
    </row>
    <row r="91" spans="1:15" ht="15" customHeight="1">
      <c r="A91" s="443"/>
      <c r="B91" s="443"/>
      <c r="C91" s="415" t="s">
        <v>66</v>
      </c>
      <c r="D91" s="283" t="s">
        <v>809</v>
      </c>
      <c r="E91" s="452"/>
      <c r="F91" s="607"/>
      <c r="G91" s="489">
        <v>300</v>
      </c>
      <c r="H91" s="489">
        <v>0</v>
      </c>
      <c r="I91" s="489">
        <f t="shared" si="6"/>
        <v>300</v>
      </c>
      <c r="J91" s="489"/>
      <c r="K91" s="489"/>
      <c r="L91" s="489">
        <f t="shared" si="7"/>
        <v>0</v>
      </c>
      <c r="M91" s="489">
        <f t="shared" si="8"/>
        <v>300</v>
      </c>
      <c r="N91" s="489">
        <f t="shared" si="9"/>
        <v>0</v>
      </c>
      <c r="O91" s="489">
        <f t="shared" si="10"/>
        <v>300</v>
      </c>
    </row>
    <row r="92" spans="1:15" ht="15" customHeight="1">
      <c r="A92" s="443"/>
      <c r="B92" s="443"/>
      <c r="C92" s="415" t="s">
        <v>67</v>
      </c>
      <c r="D92" s="283" t="s">
        <v>810</v>
      </c>
      <c r="E92" s="452"/>
      <c r="F92" s="607"/>
      <c r="G92" s="489">
        <v>772</v>
      </c>
      <c r="H92" s="489">
        <v>0</v>
      </c>
      <c r="I92" s="489">
        <f t="shared" si="6"/>
        <v>772</v>
      </c>
      <c r="J92" s="489"/>
      <c r="K92" s="489"/>
      <c r="L92" s="489">
        <f t="shared" si="7"/>
        <v>0</v>
      </c>
      <c r="M92" s="489">
        <f t="shared" si="8"/>
        <v>772</v>
      </c>
      <c r="N92" s="489">
        <f t="shared" si="9"/>
        <v>0</v>
      </c>
      <c r="O92" s="489">
        <f t="shared" si="10"/>
        <v>772</v>
      </c>
    </row>
    <row r="93" spans="1:15" ht="15" customHeight="1">
      <c r="A93" s="443"/>
      <c r="B93" s="443"/>
      <c r="C93" s="415" t="s">
        <v>68</v>
      </c>
      <c r="D93" s="283" t="s">
        <v>811</v>
      </c>
      <c r="E93" s="452"/>
      <c r="F93" s="607"/>
      <c r="G93" s="489">
        <v>3176</v>
      </c>
      <c r="H93" s="489">
        <v>0</v>
      </c>
      <c r="I93" s="489">
        <f t="shared" si="6"/>
        <v>3176</v>
      </c>
      <c r="J93" s="489"/>
      <c r="K93" s="489"/>
      <c r="L93" s="489">
        <f t="shared" si="7"/>
        <v>0</v>
      </c>
      <c r="M93" s="489">
        <f t="shared" si="8"/>
        <v>3176</v>
      </c>
      <c r="N93" s="489">
        <f t="shared" si="9"/>
        <v>0</v>
      </c>
      <c r="O93" s="489">
        <f t="shared" si="10"/>
        <v>3176</v>
      </c>
    </row>
    <row r="94" spans="1:15" ht="15" customHeight="1">
      <c r="A94" s="443"/>
      <c r="B94" s="443"/>
      <c r="C94" s="415" t="s">
        <v>69</v>
      </c>
      <c r="D94" s="283" t="s">
        <v>812</v>
      </c>
      <c r="E94" s="452"/>
      <c r="F94" s="607"/>
      <c r="G94" s="489">
        <v>2481</v>
      </c>
      <c r="H94" s="489">
        <v>0</v>
      </c>
      <c r="I94" s="489">
        <f t="shared" si="6"/>
        <v>2481</v>
      </c>
      <c r="J94" s="489"/>
      <c r="K94" s="489"/>
      <c r="L94" s="489">
        <f t="shared" si="7"/>
        <v>0</v>
      </c>
      <c r="M94" s="489">
        <f t="shared" si="8"/>
        <v>2481</v>
      </c>
      <c r="N94" s="489">
        <f t="shared" si="9"/>
        <v>0</v>
      </c>
      <c r="O94" s="489">
        <f t="shared" si="10"/>
        <v>2481</v>
      </c>
    </row>
    <row r="95" spans="1:15" ht="15" customHeight="1">
      <c r="A95" s="443"/>
      <c r="B95" s="443"/>
      <c r="C95" s="415" t="s">
        <v>70</v>
      </c>
      <c r="D95" s="283" t="s">
        <v>813</v>
      </c>
      <c r="E95" s="452"/>
      <c r="F95" s="607"/>
      <c r="G95" s="489">
        <v>1257</v>
      </c>
      <c r="H95" s="489">
        <v>0</v>
      </c>
      <c r="I95" s="489">
        <f t="shared" si="6"/>
        <v>1257</v>
      </c>
      <c r="J95" s="489"/>
      <c r="K95" s="489"/>
      <c r="L95" s="489">
        <f t="shared" si="7"/>
        <v>0</v>
      </c>
      <c r="M95" s="489">
        <f t="shared" si="8"/>
        <v>1257</v>
      </c>
      <c r="N95" s="489">
        <f t="shared" si="9"/>
        <v>0</v>
      </c>
      <c r="O95" s="489">
        <f t="shared" si="10"/>
        <v>1257</v>
      </c>
    </row>
    <row r="96" spans="1:15" ht="15" customHeight="1">
      <c r="A96" s="443"/>
      <c r="B96" s="443"/>
      <c r="C96" s="415" t="s">
        <v>71</v>
      </c>
      <c r="D96" s="283" t="s">
        <v>814</v>
      </c>
      <c r="E96" s="452"/>
      <c r="F96" s="607" t="s">
        <v>210</v>
      </c>
      <c r="G96" s="489">
        <v>5000</v>
      </c>
      <c r="H96" s="489">
        <v>0</v>
      </c>
      <c r="I96" s="489">
        <f t="shared" si="6"/>
        <v>5000</v>
      </c>
      <c r="J96" s="489">
        <v>1415</v>
      </c>
      <c r="K96" s="489"/>
      <c r="L96" s="489">
        <f t="shared" si="7"/>
        <v>1415</v>
      </c>
      <c r="M96" s="489">
        <f t="shared" si="8"/>
        <v>6415</v>
      </c>
      <c r="N96" s="489">
        <f t="shared" si="9"/>
        <v>0</v>
      </c>
      <c r="O96" s="489">
        <f t="shared" si="10"/>
        <v>6415</v>
      </c>
    </row>
    <row r="97" spans="1:15" ht="15" customHeight="1">
      <c r="A97" s="443"/>
      <c r="B97" s="443"/>
      <c r="C97" s="415" t="s">
        <v>72</v>
      </c>
      <c r="D97" s="283" t="s">
        <v>1185</v>
      </c>
      <c r="E97" s="452"/>
      <c r="F97" s="607"/>
      <c r="G97" s="489">
        <v>8323</v>
      </c>
      <c r="H97" s="489">
        <v>0</v>
      </c>
      <c r="I97" s="489">
        <f t="shared" si="6"/>
        <v>8323</v>
      </c>
      <c r="J97" s="489"/>
      <c r="K97" s="489"/>
      <c r="L97" s="489">
        <f t="shared" si="7"/>
        <v>0</v>
      </c>
      <c r="M97" s="489">
        <f t="shared" si="8"/>
        <v>8323</v>
      </c>
      <c r="N97" s="489">
        <f t="shared" si="9"/>
        <v>0</v>
      </c>
      <c r="O97" s="489">
        <f t="shared" si="10"/>
        <v>8323</v>
      </c>
    </row>
    <row r="98" spans="1:15" ht="15" customHeight="1">
      <c r="A98" s="443"/>
      <c r="B98" s="443"/>
      <c r="C98" s="415" t="s">
        <v>73</v>
      </c>
      <c r="D98" s="283" t="s">
        <v>815</v>
      </c>
      <c r="E98" s="452"/>
      <c r="F98" s="607"/>
      <c r="G98" s="489">
        <v>2500</v>
      </c>
      <c r="H98" s="489">
        <v>0</v>
      </c>
      <c r="I98" s="489">
        <f t="shared" si="6"/>
        <v>2500</v>
      </c>
      <c r="J98" s="489"/>
      <c r="K98" s="489"/>
      <c r="L98" s="489">
        <f t="shared" si="7"/>
        <v>0</v>
      </c>
      <c r="M98" s="489">
        <f t="shared" si="8"/>
        <v>2500</v>
      </c>
      <c r="N98" s="489">
        <f t="shared" si="9"/>
        <v>0</v>
      </c>
      <c r="O98" s="489">
        <f t="shared" si="10"/>
        <v>2500</v>
      </c>
    </row>
    <row r="99" spans="1:15" ht="15" customHeight="1">
      <c r="A99" s="443"/>
      <c r="B99" s="443"/>
      <c r="C99" s="415" t="s">
        <v>74</v>
      </c>
      <c r="D99" s="283" t="s">
        <v>816</v>
      </c>
      <c r="E99" s="452"/>
      <c r="F99" s="607"/>
      <c r="G99" s="489">
        <v>700</v>
      </c>
      <c r="H99" s="489">
        <v>0</v>
      </c>
      <c r="I99" s="489">
        <f t="shared" si="6"/>
        <v>700</v>
      </c>
      <c r="J99" s="489"/>
      <c r="K99" s="489"/>
      <c r="L99" s="489">
        <f t="shared" si="7"/>
        <v>0</v>
      </c>
      <c r="M99" s="489">
        <f t="shared" si="8"/>
        <v>700</v>
      </c>
      <c r="N99" s="489">
        <f t="shared" si="9"/>
        <v>0</v>
      </c>
      <c r="O99" s="489">
        <f t="shared" si="10"/>
        <v>700</v>
      </c>
    </row>
    <row r="100" spans="1:15" ht="15" customHeight="1">
      <c r="A100" s="443"/>
      <c r="B100" s="443"/>
      <c r="C100" s="415" t="s">
        <v>75</v>
      </c>
      <c r="D100" s="283" t="s">
        <v>817</v>
      </c>
      <c r="E100" s="452"/>
      <c r="F100" s="607"/>
      <c r="G100" s="489">
        <v>0</v>
      </c>
      <c r="H100" s="489">
        <v>0</v>
      </c>
      <c r="I100" s="489">
        <f t="shared" si="6"/>
        <v>0</v>
      </c>
      <c r="J100" s="489"/>
      <c r="K100" s="489"/>
      <c r="L100" s="489">
        <f t="shared" si="7"/>
        <v>0</v>
      </c>
      <c r="M100" s="489">
        <f t="shared" si="8"/>
        <v>0</v>
      </c>
      <c r="N100" s="489">
        <f t="shared" si="9"/>
        <v>0</v>
      </c>
      <c r="O100" s="489">
        <f t="shared" si="10"/>
        <v>0</v>
      </c>
    </row>
    <row r="101" spans="1:15" ht="15" customHeight="1">
      <c r="A101" s="443"/>
      <c r="B101" s="443"/>
      <c r="C101" s="415" t="s">
        <v>76</v>
      </c>
      <c r="D101" s="283" t="s">
        <v>818</v>
      </c>
      <c r="E101" s="452"/>
      <c r="F101" s="607"/>
      <c r="G101" s="489">
        <v>0</v>
      </c>
      <c r="H101" s="489">
        <v>0</v>
      </c>
      <c r="I101" s="489">
        <f t="shared" si="6"/>
        <v>0</v>
      </c>
      <c r="J101" s="489"/>
      <c r="K101" s="489"/>
      <c r="L101" s="489">
        <f t="shared" si="7"/>
        <v>0</v>
      </c>
      <c r="M101" s="489">
        <f t="shared" si="8"/>
        <v>0</v>
      </c>
      <c r="N101" s="489">
        <f t="shared" si="9"/>
        <v>0</v>
      </c>
      <c r="O101" s="489">
        <f t="shared" si="10"/>
        <v>0</v>
      </c>
    </row>
    <row r="102" spans="1:15" ht="15" customHeight="1">
      <c r="A102" s="443"/>
      <c r="B102" s="443"/>
      <c r="C102" s="415" t="s">
        <v>77</v>
      </c>
      <c r="D102" s="283" t="s">
        <v>819</v>
      </c>
      <c r="E102" s="452"/>
      <c r="F102" s="607"/>
      <c r="G102" s="489">
        <v>3000</v>
      </c>
      <c r="H102" s="489">
        <v>0</v>
      </c>
      <c r="I102" s="489">
        <f t="shared" si="6"/>
        <v>3000</v>
      </c>
      <c r="J102" s="489"/>
      <c r="K102" s="489"/>
      <c r="L102" s="489">
        <f t="shared" si="7"/>
        <v>0</v>
      </c>
      <c r="M102" s="489">
        <f t="shared" si="8"/>
        <v>3000</v>
      </c>
      <c r="N102" s="489">
        <f t="shared" si="9"/>
        <v>0</v>
      </c>
      <c r="O102" s="489">
        <f t="shared" si="10"/>
        <v>3000</v>
      </c>
    </row>
    <row r="103" spans="1:15" ht="15" customHeight="1">
      <c r="A103" s="443"/>
      <c r="B103" s="443"/>
      <c r="C103" s="415" t="s">
        <v>78</v>
      </c>
      <c r="D103" s="283" t="s">
        <v>820</v>
      </c>
      <c r="E103" s="452"/>
      <c r="F103" s="607"/>
      <c r="G103" s="489">
        <v>2000</v>
      </c>
      <c r="H103" s="489">
        <v>0</v>
      </c>
      <c r="I103" s="489">
        <f t="shared" si="6"/>
        <v>2000</v>
      </c>
      <c r="J103" s="489"/>
      <c r="K103" s="489"/>
      <c r="L103" s="489">
        <f t="shared" si="7"/>
        <v>0</v>
      </c>
      <c r="M103" s="489">
        <f t="shared" si="8"/>
        <v>2000</v>
      </c>
      <c r="N103" s="489">
        <f t="shared" si="9"/>
        <v>0</v>
      </c>
      <c r="O103" s="489">
        <f t="shared" si="10"/>
        <v>2000</v>
      </c>
    </row>
    <row r="104" spans="1:15" ht="15" customHeight="1">
      <c r="A104" s="443"/>
      <c r="B104" s="443"/>
      <c r="C104" s="415" t="s">
        <v>79</v>
      </c>
      <c r="D104" s="283" t="s">
        <v>821</v>
      </c>
      <c r="E104" s="452"/>
      <c r="F104" s="607"/>
      <c r="G104" s="489">
        <v>1500</v>
      </c>
      <c r="H104" s="489">
        <v>0</v>
      </c>
      <c r="I104" s="489">
        <f t="shared" si="6"/>
        <v>1500</v>
      </c>
      <c r="J104" s="489"/>
      <c r="K104" s="489"/>
      <c r="L104" s="489">
        <f t="shared" si="7"/>
        <v>0</v>
      </c>
      <c r="M104" s="489">
        <f t="shared" si="8"/>
        <v>1500</v>
      </c>
      <c r="N104" s="489">
        <f t="shared" si="9"/>
        <v>0</v>
      </c>
      <c r="O104" s="489">
        <f t="shared" si="10"/>
        <v>1500</v>
      </c>
    </row>
    <row r="105" spans="1:15" ht="24.75" customHeight="1">
      <c r="A105" s="443"/>
      <c r="B105" s="443"/>
      <c r="C105" s="415" t="s">
        <v>80</v>
      </c>
      <c r="D105" s="283" t="s">
        <v>822</v>
      </c>
      <c r="E105" s="452"/>
      <c r="F105" s="607"/>
      <c r="G105" s="489">
        <v>0</v>
      </c>
      <c r="H105" s="489">
        <v>0</v>
      </c>
      <c r="I105" s="489">
        <f t="shared" si="6"/>
        <v>0</v>
      </c>
      <c r="J105" s="489"/>
      <c r="K105" s="489"/>
      <c r="L105" s="489">
        <f t="shared" si="7"/>
        <v>0</v>
      </c>
      <c r="M105" s="489">
        <f t="shared" si="8"/>
        <v>0</v>
      </c>
      <c r="N105" s="489">
        <f t="shared" si="9"/>
        <v>0</v>
      </c>
      <c r="O105" s="489">
        <f t="shared" si="10"/>
        <v>0</v>
      </c>
    </row>
    <row r="106" spans="1:15" ht="15" customHeight="1">
      <c r="A106" s="443"/>
      <c r="B106" s="443"/>
      <c r="C106" s="415" t="s">
        <v>823</v>
      </c>
      <c r="D106" s="294" t="s">
        <v>824</v>
      </c>
      <c r="E106" s="452"/>
      <c r="F106" s="607"/>
      <c r="G106" s="489">
        <v>1000</v>
      </c>
      <c r="H106" s="489">
        <v>0</v>
      </c>
      <c r="I106" s="489">
        <f t="shared" si="6"/>
        <v>1000</v>
      </c>
      <c r="J106" s="489"/>
      <c r="K106" s="489"/>
      <c r="L106" s="489">
        <f t="shared" si="7"/>
        <v>0</v>
      </c>
      <c r="M106" s="489">
        <f t="shared" si="8"/>
        <v>1000</v>
      </c>
      <c r="N106" s="489">
        <f t="shared" si="9"/>
        <v>0</v>
      </c>
      <c r="O106" s="489">
        <f t="shared" si="10"/>
        <v>1000</v>
      </c>
    </row>
    <row r="107" spans="1:15" ht="15" customHeight="1">
      <c r="A107" s="443"/>
      <c r="B107" s="443"/>
      <c r="C107" s="415" t="s">
        <v>825</v>
      </c>
      <c r="D107" s="294" t="s">
        <v>205</v>
      </c>
      <c r="E107" s="452"/>
      <c r="F107" s="607" t="s">
        <v>210</v>
      </c>
      <c r="G107" s="489">
        <v>4395</v>
      </c>
      <c r="H107" s="489">
        <v>0</v>
      </c>
      <c r="I107" s="489">
        <f t="shared" si="6"/>
        <v>4395</v>
      </c>
      <c r="J107" s="489">
        <v>7297</v>
      </c>
      <c r="K107" s="489"/>
      <c r="L107" s="489">
        <f t="shared" si="7"/>
        <v>7297</v>
      </c>
      <c r="M107" s="489">
        <f t="shared" si="8"/>
        <v>11692</v>
      </c>
      <c r="N107" s="489">
        <f t="shared" si="9"/>
        <v>0</v>
      </c>
      <c r="O107" s="489">
        <f t="shared" si="10"/>
        <v>11692</v>
      </c>
    </row>
    <row r="108" spans="1:15" ht="23.25" customHeight="1">
      <c r="A108" s="443"/>
      <c r="B108" s="443"/>
      <c r="C108" s="415" t="s">
        <v>826</v>
      </c>
      <c r="D108" s="454" t="s">
        <v>827</v>
      </c>
      <c r="E108" s="452"/>
      <c r="F108" s="607" t="s">
        <v>210</v>
      </c>
      <c r="G108" s="489">
        <v>13236</v>
      </c>
      <c r="H108" s="489">
        <v>0</v>
      </c>
      <c r="I108" s="489">
        <f t="shared" si="6"/>
        <v>13236</v>
      </c>
      <c r="J108" s="489">
        <v>404</v>
      </c>
      <c r="K108" s="489"/>
      <c r="L108" s="489">
        <f t="shared" si="7"/>
        <v>404</v>
      </c>
      <c r="M108" s="489">
        <f t="shared" si="8"/>
        <v>13640</v>
      </c>
      <c r="N108" s="489">
        <f t="shared" si="9"/>
        <v>0</v>
      </c>
      <c r="O108" s="489">
        <f t="shared" si="10"/>
        <v>13640</v>
      </c>
    </row>
    <row r="109" spans="1:15" ht="15" customHeight="1">
      <c r="A109" s="443"/>
      <c r="B109" s="443"/>
      <c r="C109" s="415" t="s">
        <v>828</v>
      </c>
      <c r="D109" s="294" t="s">
        <v>829</v>
      </c>
      <c r="E109" s="452"/>
      <c r="F109" s="607"/>
      <c r="G109" s="489">
        <v>3000</v>
      </c>
      <c r="H109" s="489">
        <v>0</v>
      </c>
      <c r="I109" s="489">
        <f t="shared" si="6"/>
        <v>3000</v>
      </c>
      <c r="J109" s="489"/>
      <c r="K109" s="489"/>
      <c r="L109" s="489">
        <f t="shared" si="7"/>
        <v>0</v>
      </c>
      <c r="M109" s="489">
        <f t="shared" si="8"/>
        <v>3000</v>
      </c>
      <c r="N109" s="489">
        <f t="shared" si="9"/>
        <v>0</v>
      </c>
      <c r="O109" s="489">
        <f t="shared" si="10"/>
        <v>3000</v>
      </c>
    </row>
    <row r="110" spans="1:15" ht="15" customHeight="1">
      <c r="A110" s="443"/>
      <c r="B110" s="443"/>
      <c r="C110" s="415" t="s">
        <v>830</v>
      </c>
      <c r="D110" s="294" t="s">
        <v>831</v>
      </c>
      <c r="E110" s="452"/>
      <c r="F110" s="607" t="s">
        <v>210</v>
      </c>
      <c r="G110" s="489">
        <v>8000</v>
      </c>
      <c r="H110" s="489">
        <v>0</v>
      </c>
      <c r="I110" s="489">
        <f t="shared" si="6"/>
        <v>8000</v>
      </c>
      <c r="J110" s="489">
        <v>-1298</v>
      </c>
      <c r="K110" s="489"/>
      <c r="L110" s="489">
        <f t="shared" si="7"/>
        <v>-1298</v>
      </c>
      <c r="M110" s="489">
        <f t="shared" si="8"/>
        <v>6702</v>
      </c>
      <c r="N110" s="489">
        <f t="shared" si="9"/>
        <v>0</v>
      </c>
      <c r="O110" s="489">
        <f t="shared" si="10"/>
        <v>6702</v>
      </c>
    </row>
    <row r="111" spans="1:15" ht="15" customHeight="1">
      <c r="A111" s="443"/>
      <c r="B111" s="443"/>
      <c r="C111" s="415" t="s">
        <v>832</v>
      </c>
      <c r="D111" s="294" t="s">
        <v>833</v>
      </c>
      <c r="E111" s="452"/>
      <c r="F111" s="607" t="s">
        <v>210</v>
      </c>
      <c r="G111" s="489">
        <v>500</v>
      </c>
      <c r="H111" s="489">
        <v>0</v>
      </c>
      <c r="I111" s="489">
        <f t="shared" si="6"/>
        <v>500</v>
      </c>
      <c r="J111" s="489">
        <v>497</v>
      </c>
      <c r="K111" s="489"/>
      <c r="L111" s="489">
        <f t="shared" si="7"/>
        <v>497</v>
      </c>
      <c r="M111" s="489">
        <f t="shared" si="8"/>
        <v>997</v>
      </c>
      <c r="N111" s="489">
        <f t="shared" si="9"/>
        <v>0</v>
      </c>
      <c r="O111" s="489">
        <f t="shared" si="10"/>
        <v>997</v>
      </c>
    </row>
    <row r="112" spans="1:15" ht="15" customHeight="1">
      <c r="A112" s="443"/>
      <c r="B112" s="443"/>
      <c r="C112" s="415" t="s">
        <v>834</v>
      </c>
      <c r="D112" s="294" t="s">
        <v>835</v>
      </c>
      <c r="E112" s="452"/>
      <c r="F112" s="607" t="s">
        <v>210</v>
      </c>
      <c r="G112" s="489">
        <v>5000</v>
      </c>
      <c r="H112" s="489">
        <v>0</v>
      </c>
      <c r="I112" s="489">
        <f t="shared" si="6"/>
        <v>5000</v>
      </c>
      <c r="J112" s="489">
        <v>-1886</v>
      </c>
      <c r="K112" s="489"/>
      <c r="L112" s="489">
        <f t="shared" si="7"/>
        <v>-1886</v>
      </c>
      <c r="M112" s="489">
        <f t="shared" si="8"/>
        <v>3114</v>
      </c>
      <c r="N112" s="489">
        <f t="shared" si="9"/>
        <v>0</v>
      </c>
      <c r="O112" s="489">
        <f t="shared" si="10"/>
        <v>3114</v>
      </c>
    </row>
    <row r="113" spans="1:15" ht="12.75" customHeight="1">
      <c r="A113" s="443"/>
      <c r="B113" s="443"/>
      <c r="C113" s="415" t="s">
        <v>836</v>
      </c>
      <c r="D113" s="294" t="s">
        <v>837</v>
      </c>
      <c r="E113" s="452"/>
      <c r="F113" s="607" t="s">
        <v>210</v>
      </c>
      <c r="G113" s="489">
        <v>3670</v>
      </c>
      <c r="H113" s="489">
        <v>0</v>
      </c>
      <c r="I113" s="489">
        <f t="shared" si="6"/>
        <v>3670</v>
      </c>
      <c r="J113" s="489">
        <v>-584</v>
      </c>
      <c r="K113" s="489"/>
      <c r="L113" s="489">
        <f t="shared" si="7"/>
        <v>-584</v>
      </c>
      <c r="M113" s="489">
        <f t="shared" si="8"/>
        <v>3086</v>
      </c>
      <c r="N113" s="489">
        <f t="shared" si="9"/>
        <v>0</v>
      </c>
      <c r="O113" s="489">
        <f t="shared" si="10"/>
        <v>3086</v>
      </c>
    </row>
    <row r="114" spans="1:15" ht="24.75" customHeight="1">
      <c r="A114" s="443"/>
      <c r="B114" s="443"/>
      <c r="C114" s="415" t="s">
        <v>838</v>
      </c>
      <c r="D114" s="294" t="s">
        <v>839</v>
      </c>
      <c r="E114" s="452"/>
      <c r="F114" s="607"/>
      <c r="G114" s="489">
        <v>6605</v>
      </c>
      <c r="H114" s="489">
        <v>0</v>
      </c>
      <c r="I114" s="489">
        <f t="shared" si="6"/>
        <v>6605</v>
      </c>
      <c r="J114" s="489"/>
      <c r="K114" s="489"/>
      <c r="L114" s="489">
        <f t="shared" si="7"/>
        <v>0</v>
      </c>
      <c r="M114" s="489">
        <f t="shared" si="8"/>
        <v>6605</v>
      </c>
      <c r="N114" s="489">
        <f t="shared" si="9"/>
        <v>0</v>
      </c>
      <c r="O114" s="489">
        <f t="shared" si="10"/>
        <v>6605</v>
      </c>
    </row>
    <row r="115" spans="1:15" ht="15" customHeight="1">
      <c r="A115" s="443"/>
      <c r="B115" s="443"/>
      <c r="C115" s="415" t="s">
        <v>840</v>
      </c>
      <c r="D115" s="294" t="s">
        <v>53</v>
      </c>
      <c r="E115" s="452"/>
      <c r="F115" s="607" t="s">
        <v>210</v>
      </c>
      <c r="G115" s="489">
        <v>2098</v>
      </c>
      <c r="H115" s="489">
        <v>0</v>
      </c>
      <c r="I115" s="489">
        <f t="shared" si="6"/>
        <v>2098</v>
      </c>
      <c r="J115" s="489">
        <v>442</v>
      </c>
      <c r="K115" s="489"/>
      <c r="L115" s="489">
        <f t="shared" si="7"/>
        <v>442</v>
      </c>
      <c r="M115" s="489">
        <f t="shared" si="8"/>
        <v>2540</v>
      </c>
      <c r="N115" s="489">
        <f t="shared" si="9"/>
        <v>0</v>
      </c>
      <c r="O115" s="489">
        <f t="shared" si="10"/>
        <v>2540</v>
      </c>
    </row>
    <row r="116" spans="1:15" ht="12.75" customHeight="1">
      <c r="A116" s="443"/>
      <c r="B116" s="443"/>
      <c r="C116" s="415" t="s">
        <v>841</v>
      </c>
      <c r="D116" s="455" t="s">
        <v>211</v>
      </c>
      <c r="E116" s="452"/>
      <c r="F116" s="607"/>
      <c r="G116" s="489">
        <v>0</v>
      </c>
      <c r="H116" s="489">
        <v>0</v>
      </c>
      <c r="I116" s="489">
        <f t="shared" si="6"/>
        <v>0</v>
      </c>
      <c r="J116" s="489"/>
      <c r="K116" s="489"/>
      <c r="L116" s="489">
        <f t="shared" si="7"/>
        <v>0</v>
      </c>
      <c r="M116" s="489">
        <f t="shared" si="8"/>
        <v>0</v>
      </c>
      <c r="N116" s="489">
        <f t="shared" si="9"/>
        <v>0</v>
      </c>
      <c r="O116" s="489">
        <f t="shared" si="10"/>
        <v>0</v>
      </c>
    </row>
    <row r="117" spans="1:15" ht="12.75" customHeight="1">
      <c r="A117" s="443"/>
      <c r="B117" s="443"/>
      <c r="C117" s="415" t="s">
        <v>842</v>
      </c>
      <c r="D117" s="455" t="s">
        <v>843</v>
      </c>
      <c r="E117" s="452"/>
      <c r="F117" s="607" t="s">
        <v>210</v>
      </c>
      <c r="G117" s="489">
        <v>500</v>
      </c>
      <c r="H117" s="489">
        <v>0</v>
      </c>
      <c r="I117" s="489">
        <f t="shared" si="6"/>
        <v>500</v>
      </c>
      <c r="J117" s="489">
        <v>1246</v>
      </c>
      <c r="K117" s="489"/>
      <c r="L117" s="489">
        <f t="shared" si="7"/>
        <v>1246</v>
      </c>
      <c r="M117" s="489">
        <f t="shared" si="8"/>
        <v>1746</v>
      </c>
      <c r="N117" s="489">
        <f t="shared" si="9"/>
        <v>0</v>
      </c>
      <c r="O117" s="489">
        <f t="shared" si="10"/>
        <v>1746</v>
      </c>
    </row>
    <row r="118" spans="1:15" ht="15" customHeight="1">
      <c r="A118" s="443"/>
      <c r="B118" s="443"/>
      <c r="C118" s="415" t="s">
        <v>844</v>
      </c>
      <c r="D118" s="454" t="s">
        <v>845</v>
      </c>
      <c r="E118" s="324"/>
      <c r="F118" s="607" t="s">
        <v>210</v>
      </c>
      <c r="G118" s="489">
        <v>9126</v>
      </c>
      <c r="H118" s="489">
        <v>0</v>
      </c>
      <c r="I118" s="489">
        <f t="shared" si="6"/>
        <v>9126</v>
      </c>
      <c r="J118" s="489">
        <v>2300</v>
      </c>
      <c r="K118" s="489"/>
      <c r="L118" s="489">
        <f t="shared" si="7"/>
        <v>2300</v>
      </c>
      <c r="M118" s="489">
        <f t="shared" si="8"/>
        <v>11426</v>
      </c>
      <c r="N118" s="489">
        <f t="shared" si="9"/>
        <v>0</v>
      </c>
      <c r="O118" s="489">
        <f t="shared" si="10"/>
        <v>11426</v>
      </c>
    </row>
    <row r="119" spans="1:15" ht="24.75" customHeight="1">
      <c r="A119" s="443"/>
      <c r="B119" s="443"/>
      <c r="C119" s="415" t="s">
        <v>846</v>
      </c>
      <c r="D119" s="294" t="s">
        <v>847</v>
      </c>
      <c r="E119" s="324"/>
      <c r="F119" s="607"/>
      <c r="G119" s="489">
        <v>2000</v>
      </c>
      <c r="H119" s="489">
        <v>0</v>
      </c>
      <c r="I119" s="489">
        <f t="shared" si="6"/>
        <v>2000</v>
      </c>
      <c r="J119" s="489"/>
      <c r="K119" s="489"/>
      <c r="L119" s="489">
        <f t="shared" si="7"/>
        <v>0</v>
      </c>
      <c r="M119" s="489">
        <f t="shared" si="8"/>
        <v>2000</v>
      </c>
      <c r="N119" s="489">
        <f t="shared" si="9"/>
        <v>0</v>
      </c>
      <c r="O119" s="489">
        <f t="shared" si="10"/>
        <v>2000</v>
      </c>
    </row>
    <row r="120" spans="1:15" ht="15" customHeight="1">
      <c r="A120" s="443"/>
      <c r="B120" s="443"/>
      <c r="C120" s="415" t="s">
        <v>848</v>
      </c>
      <c r="D120" s="294" t="s">
        <v>849</v>
      </c>
      <c r="E120" s="324"/>
      <c r="F120" s="607" t="s">
        <v>210</v>
      </c>
      <c r="G120" s="489">
        <v>4000</v>
      </c>
      <c r="H120" s="489">
        <v>0</v>
      </c>
      <c r="I120" s="489">
        <f t="shared" si="6"/>
        <v>4000</v>
      </c>
      <c r="J120" s="489">
        <v>1726</v>
      </c>
      <c r="K120" s="489"/>
      <c r="L120" s="489">
        <f t="shared" si="7"/>
        <v>1726</v>
      </c>
      <c r="M120" s="489">
        <f t="shared" si="8"/>
        <v>5726</v>
      </c>
      <c r="N120" s="489">
        <f t="shared" si="9"/>
        <v>0</v>
      </c>
      <c r="O120" s="489">
        <f t="shared" si="10"/>
        <v>5726</v>
      </c>
    </row>
    <row r="121" spans="1:15" ht="15" customHeight="1">
      <c r="A121" s="443"/>
      <c r="B121" s="443"/>
      <c r="C121" s="415" t="s">
        <v>850</v>
      </c>
      <c r="D121" s="294" t="s">
        <v>851</v>
      </c>
      <c r="E121" s="324"/>
      <c r="F121" s="607"/>
      <c r="G121" s="489">
        <v>0</v>
      </c>
      <c r="H121" s="489">
        <v>0</v>
      </c>
      <c r="I121" s="489">
        <f t="shared" si="6"/>
        <v>0</v>
      </c>
      <c r="J121" s="489"/>
      <c r="K121" s="489"/>
      <c r="L121" s="489">
        <f t="shared" si="7"/>
        <v>0</v>
      </c>
      <c r="M121" s="489">
        <f t="shared" si="8"/>
        <v>0</v>
      </c>
      <c r="N121" s="489">
        <f t="shared" si="9"/>
        <v>0</v>
      </c>
      <c r="O121" s="489">
        <f t="shared" si="10"/>
        <v>0</v>
      </c>
    </row>
    <row r="122" spans="1:15" ht="15" customHeight="1">
      <c r="A122" s="443"/>
      <c r="B122" s="443"/>
      <c r="C122" s="415" t="s">
        <v>852</v>
      </c>
      <c r="D122" s="294" t="s">
        <v>853</v>
      </c>
      <c r="E122" s="324"/>
      <c r="F122" s="607" t="s">
        <v>210</v>
      </c>
      <c r="G122" s="489">
        <v>500</v>
      </c>
      <c r="H122" s="489">
        <v>0</v>
      </c>
      <c r="I122" s="489">
        <f aca="true" t="shared" si="11" ref="I122:I176">SUM(G122:H122)</f>
        <v>500</v>
      </c>
      <c r="J122" s="489">
        <v>-482</v>
      </c>
      <c r="K122" s="489"/>
      <c r="L122" s="489">
        <f t="shared" si="7"/>
        <v>-482</v>
      </c>
      <c r="M122" s="489">
        <f t="shared" si="8"/>
        <v>18</v>
      </c>
      <c r="N122" s="489">
        <f t="shared" si="9"/>
        <v>0</v>
      </c>
      <c r="O122" s="489">
        <f t="shared" si="10"/>
        <v>18</v>
      </c>
    </row>
    <row r="123" spans="1:15" ht="15" customHeight="1">
      <c r="A123" s="443"/>
      <c r="B123" s="443"/>
      <c r="C123" s="415" t="s">
        <v>854</v>
      </c>
      <c r="D123" s="294" t="s">
        <v>855</v>
      </c>
      <c r="E123" s="324"/>
      <c r="F123" s="607"/>
      <c r="G123" s="489">
        <v>3000</v>
      </c>
      <c r="H123" s="489">
        <v>0</v>
      </c>
      <c r="I123" s="489">
        <f t="shared" si="11"/>
        <v>3000</v>
      </c>
      <c r="J123" s="489"/>
      <c r="K123" s="489"/>
      <c r="L123" s="489">
        <f t="shared" si="7"/>
        <v>0</v>
      </c>
      <c r="M123" s="489">
        <f t="shared" si="8"/>
        <v>3000</v>
      </c>
      <c r="N123" s="489">
        <f t="shared" si="9"/>
        <v>0</v>
      </c>
      <c r="O123" s="489">
        <f t="shared" si="10"/>
        <v>3000</v>
      </c>
    </row>
    <row r="124" spans="1:15" ht="15" customHeight="1">
      <c r="A124" s="443"/>
      <c r="B124" s="443"/>
      <c r="C124" s="415" t="s">
        <v>856</v>
      </c>
      <c r="D124" s="294" t="s">
        <v>857</v>
      </c>
      <c r="E124" s="324"/>
      <c r="F124" s="607" t="s">
        <v>210</v>
      </c>
      <c r="G124" s="489">
        <v>3000</v>
      </c>
      <c r="H124" s="489">
        <v>0</v>
      </c>
      <c r="I124" s="489">
        <f t="shared" si="11"/>
        <v>3000</v>
      </c>
      <c r="J124" s="489">
        <v>-631</v>
      </c>
      <c r="K124" s="489"/>
      <c r="L124" s="489">
        <f t="shared" si="7"/>
        <v>-631</v>
      </c>
      <c r="M124" s="489">
        <f t="shared" si="8"/>
        <v>2369</v>
      </c>
      <c r="N124" s="489">
        <f t="shared" si="9"/>
        <v>0</v>
      </c>
      <c r="O124" s="489">
        <f t="shared" si="10"/>
        <v>2369</v>
      </c>
    </row>
    <row r="125" spans="1:15" ht="15" customHeight="1">
      <c r="A125" s="443"/>
      <c r="B125" s="443"/>
      <c r="C125" s="415" t="s">
        <v>858</v>
      </c>
      <c r="D125" s="456" t="s">
        <v>859</v>
      </c>
      <c r="E125" s="324"/>
      <c r="F125" s="607" t="s">
        <v>210</v>
      </c>
      <c r="G125" s="489">
        <v>2000</v>
      </c>
      <c r="H125" s="489">
        <v>0</v>
      </c>
      <c r="I125" s="489">
        <f t="shared" si="11"/>
        <v>2000</v>
      </c>
      <c r="J125" s="489">
        <v>-948</v>
      </c>
      <c r="K125" s="489"/>
      <c r="L125" s="489">
        <f t="shared" si="7"/>
        <v>-948</v>
      </c>
      <c r="M125" s="489">
        <f t="shared" si="8"/>
        <v>1052</v>
      </c>
      <c r="N125" s="489">
        <f t="shared" si="9"/>
        <v>0</v>
      </c>
      <c r="O125" s="489">
        <f t="shared" si="10"/>
        <v>1052</v>
      </c>
    </row>
    <row r="126" spans="1:15" ht="15" customHeight="1">
      <c r="A126" s="443"/>
      <c r="B126" s="443"/>
      <c r="C126" s="415" t="s">
        <v>216</v>
      </c>
      <c r="D126" s="456" t="s">
        <v>1050</v>
      </c>
      <c r="E126" s="324"/>
      <c r="F126" s="607" t="s">
        <v>210</v>
      </c>
      <c r="G126" s="489">
        <v>12000</v>
      </c>
      <c r="H126" s="489"/>
      <c r="I126" s="489">
        <f t="shared" si="11"/>
        <v>12000</v>
      </c>
      <c r="J126" s="489">
        <v>346</v>
      </c>
      <c r="K126" s="489"/>
      <c r="L126" s="489">
        <f>SUM(J126:K126)</f>
        <v>346</v>
      </c>
      <c r="M126" s="489">
        <f>SUM(G126+J126)</f>
        <v>12346</v>
      </c>
      <c r="N126" s="489"/>
      <c r="O126" s="489">
        <f>SUM(M126:N126)</f>
        <v>12346</v>
      </c>
    </row>
    <row r="127" spans="1:15" ht="15" customHeight="1">
      <c r="A127" s="443"/>
      <c r="B127" s="443"/>
      <c r="C127" s="415" t="s">
        <v>400</v>
      </c>
      <c r="D127" s="669" t="s">
        <v>405</v>
      </c>
      <c r="E127" s="324"/>
      <c r="F127" s="607"/>
      <c r="G127" s="489">
        <v>1408</v>
      </c>
      <c r="H127" s="489"/>
      <c r="I127" s="489">
        <f t="shared" si="11"/>
        <v>1408</v>
      </c>
      <c r="J127" s="489"/>
      <c r="K127" s="489"/>
      <c r="L127" s="489">
        <f aca="true" t="shared" si="12" ref="L127:L134">SUM(J127:K127)</f>
        <v>0</v>
      </c>
      <c r="M127" s="489">
        <f aca="true" t="shared" si="13" ref="M127:M134">SUM(G127+J127)</f>
        <v>1408</v>
      </c>
      <c r="N127" s="489"/>
      <c r="O127" s="489">
        <f aca="true" t="shared" si="14" ref="O127:O134">SUM(M127:N127)</f>
        <v>1408</v>
      </c>
    </row>
    <row r="128" spans="1:15" ht="15" customHeight="1">
      <c r="A128" s="443"/>
      <c r="B128" s="443"/>
      <c r="C128" s="415" t="s">
        <v>401</v>
      </c>
      <c r="D128" s="669" t="s">
        <v>406</v>
      </c>
      <c r="E128" s="324"/>
      <c r="F128" s="607" t="s">
        <v>210</v>
      </c>
      <c r="G128" s="489">
        <v>300</v>
      </c>
      <c r="H128" s="489"/>
      <c r="I128" s="489">
        <f t="shared" si="11"/>
        <v>300</v>
      </c>
      <c r="J128" s="489">
        <v>-300</v>
      </c>
      <c r="K128" s="489"/>
      <c r="L128" s="489">
        <f t="shared" si="12"/>
        <v>-300</v>
      </c>
      <c r="M128" s="489">
        <f t="shared" si="13"/>
        <v>0</v>
      </c>
      <c r="N128" s="489"/>
      <c r="O128" s="489">
        <f t="shared" si="14"/>
        <v>0</v>
      </c>
    </row>
    <row r="129" spans="1:15" ht="15" customHeight="1">
      <c r="A129" s="443"/>
      <c r="B129" s="443"/>
      <c r="C129" s="415" t="s">
        <v>402</v>
      </c>
      <c r="D129" s="669" t="s">
        <v>407</v>
      </c>
      <c r="E129" s="324"/>
      <c r="F129" s="607"/>
      <c r="G129" s="489">
        <v>1500</v>
      </c>
      <c r="H129" s="489"/>
      <c r="I129" s="489">
        <f t="shared" si="11"/>
        <v>1500</v>
      </c>
      <c r="J129" s="489"/>
      <c r="K129" s="489"/>
      <c r="L129" s="489">
        <f t="shared" si="12"/>
        <v>0</v>
      </c>
      <c r="M129" s="489">
        <f t="shared" si="13"/>
        <v>1500</v>
      </c>
      <c r="N129" s="489"/>
      <c r="O129" s="489">
        <f t="shared" si="14"/>
        <v>1500</v>
      </c>
    </row>
    <row r="130" spans="1:15" ht="15" customHeight="1">
      <c r="A130" s="443"/>
      <c r="B130" s="443"/>
      <c r="C130" s="415" t="s">
        <v>403</v>
      </c>
      <c r="D130" s="669" t="s">
        <v>408</v>
      </c>
      <c r="E130" s="324"/>
      <c r="F130" s="607" t="s">
        <v>210</v>
      </c>
      <c r="G130" s="489">
        <v>1400</v>
      </c>
      <c r="H130" s="489"/>
      <c r="I130" s="489">
        <f t="shared" si="11"/>
        <v>1400</v>
      </c>
      <c r="J130" s="489">
        <v>245</v>
      </c>
      <c r="K130" s="489"/>
      <c r="L130" s="489">
        <f t="shared" si="12"/>
        <v>245</v>
      </c>
      <c r="M130" s="489">
        <f t="shared" si="13"/>
        <v>1645</v>
      </c>
      <c r="N130" s="489"/>
      <c r="O130" s="489">
        <f t="shared" si="14"/>
        <v>1645</v>
      </c>
    </row>
    <row r="131" spans="1:15" ht="15" customHeight="1">
      <c r="A131" s="443"/>
      <c r="B131" s="443"/>
      <c r="C131" s="415" t="s">
        <v>404</v>
      </c>
      <c r="D131" s="669" t="s">
        <v>409</v>
      </c>
      <c r="E131" s="324"/>
      <c r="F131" s="607" t="s">
        <v>210</v>
      </c>
      <c r="G131" s="489">
        <v>4500</v>
      </c>
      <c r="H131" s="489"/>
      <c r="I131" s="489">
        <f t="shared" si="11"/>
        <v>4500</v>
      </c>
      <c r="J131" s="489">
        <v>331</v>
      </c>
      <c r="K131" s="489"/>
      <c r="L131" s="489">
        <f t="shared" si="12"/>
        <v>331</v>
      </c>
      <c r="M131" s="489">
        <f t="shared" si="13"/>
        <v>4831</v>
      </c>
      <c r="N131" s="489"/>
      <c r="O131" s="489">
        <f t="shared" si="14"/>
        <v>4831</v>
      </c>
    </row>
    <row r="132" spans="1:15" ht="15" customHeight="1">
      <c r="A132" s="443"/>
      <c r="B132" s="443"/>
      <c r="C132" s="415" t="s">
        <v>411</v>
      </c>
      <c r="D132" s="669" t="s">
        <v>410</v>
      </c>
      <c r="E132" s="324"/>
      <c r="F132" s="607" t="s">
        <v>210</v>
      </c>
      <c r="G132" s="489">
        <v>10627</v>
      </c>
      <c r="H132" s="489"/>
      <c r="I132" s="489">
        <f t="shared" si="11"/>
        <v>10627</v>
      </c>
      <c r="J132" s="489">
        <v>2454</v>
      </c>
      <c r="K132" s="489"/>
      <c r="L132" s="489">
        <f t="shared" si="12"/>
        <v>2454</v>
      </c>
      <c r="M132" s="489">
        <f t="shared" si="13"/>
        <v>13081</v>
      </c>
      <c r="N132" s="489"/>
      <c r="O132" s="489">
        <f t="shared" si="14"/>
        <v>13081</v>
      </c>
    </row>
    <row r="133" spans="1:15" ht="15" customHeight="1">
      <c r="A133" s="443"/>
      <c r="B133" s="443"/>
      <c r="C133" s="415" t="s">
        <v>650</v>
      </c>
      <c r="D133" s="669" t="s">
        <v>651</v>
      </c>
      <c r="E133" s="324"/>
      <c r="F133" s="607" t="s">
        <v>210</v>
      </c>
      <c r="G133" s="489"/>
      <c r="H133" s="489"/>
      <c r="I133" s="489"/>
      <c r="J133" s="489">
        <v>2000</v>
      </c>
      <c r="K133" s="489"/>
      <c r="L133" s="489">
        <f t="shared" si="12"/>
        <v>2000</v>
      </c>
      <c r="M133" s="489">
        <f t="shared" si="13"/>
        <v>2000</v>
      </c>
      <c r="N133" s="489"/>
      <c r="O133" s="489">
        <f t="shared" si="14"/>
        <v>2000</v>
      </c>
    </row>
    <row r="134" spans="1:15" ht="15" customHeight="1">
      <c r="A134" s="443"/>
      <c r="B134" s="443"/>
      <c r="C134" s="415" t="s">
        <v>632</v>
      </c>
      <c r="D134" s="294" t="s">
        <v>331</v>
      </c>
      <c r="E134" s="324"/>
      <c r="F134" s="607" t="s">
        <v>1261</v>
      </c>
      <c r="G134" s="489"/>
      <c r="H134" s="489"/>
      <c r="I134" s="489"/>
      <c r="J134" s="489">
        <v>3023</v>
      </c>
      <c r="K134" s="489"/>
      <c r="L134" s="489">
        <f t="shared" si="12"/>
        <v>3023</v>
      </c>
      <c r="M134" s="489">
        <f t="shared" si="13"/>
        <v>3023</v>
      </c>
      <c r="N134" s="489"/>
      <c r="O134" s="489">
        <f t="shared" si="14"/>
        <v>3023</v>
      </c>
    </row>
    <row r="135" spans="1:15" ht="12.75" customHeight="1">
      <c r="A135" s="443"/>
      <c r="B135" s="443"/>
      <c r="C135" s="443"/>
      <c r="D135" s="457" t="s">
        <v>279</v>
      </c>
      <c r="E135" s="324"/>
      <c r="F135" s="607"/>
      <c r="G135" s="489">
        <v>0</v>
      </c>
      <c r="H135" s="489">
        <v>0</v>
      </c>
      <c r="I135" s="489">
        <f t="shared" si="11"/>
        <v>0</v>
      </c>
      <c r="J135" s="489"/>
      <c r="K135" s="489"/>
      <c r="L135" s="489">
        <f t="shared" si="7"/>
        <v>0</v>
      </c>
      <c r="M135" s="489">
        <f t="shared" si="8"/>
        <v>0</v>
      </c>
      <c r="N135" s="489">
        <f t="shared" si="9"/>
        <v>0</v>
      </c>
      <c r="O135" s="489">
        <f t="shared" si="10"/>
        <v>0</v>
      </c>
    </row>
    <row r="136" spans="1:15" ht="12.75" customHeight="1">
      <c r="A136" s="443"/>
      <c r="B136" s="443"/>
      <c r="C136" s="415" t="s">
        <v>81</v>
      </c>
      <c r="D136" s="454" t="s">
        <v>1184</v>
      </c>
      <c r="E136" s="324"/>
      <c r="F136" s="607" t="s">
        <v>210</v>
      </c>
      <c r="G136" s="489">
        <v>331</v>
      </c>
      <c r="H136" s="489">
        <v>0</v>
      </c>
      <c r="I136" s="489">
        <f t="shared" si="11"/>
        <v>331</v>
      </c>
      <c r="J136" s="489">
        <v>-331</v>
      </c>
      <c r="K136" s="489"/>
      <c r="L136" s="489">
        <f t="shared" si="7"/>
        <v>-331</v>
      </c>
      <c r="M136" s="489">
        <f t="shared" si="8"/>
        <v>0</v>
      </c>
      <c r="N136" s="489">
        <f t="shared" si="9"/>
        <v>0</v>
      </c>
      <c r="O136" s="489">
        <f t="shared" si="10"/>
        <v>0</v>
      </c>
    </row>
    <row r="137" spans="1:15" ht="12.75" customHeight="1">
      <c r="A137" s="443"/>
      <c r="B137" s="443"/>
      <c r="C137" s="415" t="s">
        <v>82</v>
      </c>
      <c r="D137" s="454" t="s">
        <v>860</v>
      </c>
      <c r="E137" s="324"/>
      <c r="F137" s="607"/>
      <c r="G137" s="489">
        <v>0</v>
      </c>
      <c r="H137" s="489">
        <v>0</v>
      </c>
      <c r="I137" s="489">
        <f t="shared" si="11"/>
        <v>0</v>
      </c>
      <c r="J137" s="489"/>
      <c r="K137" s="489"/>
      <c r="L137" s="489">
        <f t="shared" si="7"/>
        <v>0</v>
      </c>
      <c r="M137" s="489">
        <f t="shared" si="8"/>
        <v>0</v>
      </c>
      <c r="N137" s="489">
        <f t="shared" si="9"/>
        <v>0</v>
      </c>
      <c r="O137" s="489">
        <f t="shared" si="10"/>
        <v>0</v>
      </c>
    </row>
    <row r="138" spans="1:15" ht="15" customHeight="1">
      <c r="A138" s="443"/>
      <c r="B138" s="443"/>
      <c r="C138" s="415" t="s">
        <v>83</v>
      </c>
      <c r="D138" s="454" t="s">
        <v>1186</v>
      </c>
      <c r="E138" s="324"/>
      <c r="F138" s="607"/>
      <c r="G138" s="489">
        <v>3925</v>
      </c>
      <c r="H138" s="489">
        <v>0</v>
      </c>
      <c r="I138" s="489">
        <f t="shared" si="11"/>
        <v>3925</v>
      </c>
      <c r="J138" s="489"/>
      <c r="K138" s="489"/>
      <c r="L138" s="489">
        <f t="shared" si="7"/>
        <v>0</v>
      </c>
      <c r="M138" s="489">
        <f t="shared" si="8"/>
        <v>3925</v>
      </c>
      <c r="N138" s="489">
        <f t="shared" si="9"/>
        <v>0</v>
      </c>
      <c r="O138" s="489">
        <f t="shared" si="10"/>
        <v>3925</v>
      </c>
    </row>
    <row r="139" spans="1:15" ht="12.75" customHeight="1">
      <c r="A139" s="443"/>
      <c r="B139" s="443"/>
      <c r="C139" s="415" t="s">
        <v>84</v>
      </c>
      <c r="D139" s="458" t="s">
        <v>1187</v>
      </c>
      <c r="E139" s="324"/>
      <c r="F139" s="607"/>
      <c r="G139" s="489">
        <v>19228</v>
      </c>
      <c r="H139" s="489">
        <v>0</v>
      </c>
      <c r="I139" s="489">
        <f t="shared" si="11"/>
        <v>19228</v>
      </c>
      <c r="J139" s="489"/>
      <c r="K139" s="489"/>
      <c r="L139" s="489">
        <f t="shared" si="7"/>
        <v>0</v>
      </c>
      <c r="M139" s="489">
        <f t="shared" si="8"/>
        <v>19228</v>
      </c>
      <c r="N139" s="489">
        <f t="shared" si="9"/>
        <v>0</v>
      </c>
      <c r="O139" s="489">
        <f t="shared" si="10"/>
        <v>19228</v>
      </c>
    </row>
    <row r="140" spans="1:15" ht="24.75" customHeight="1">
      <c r="A140" s="443"/>
      <c r="B140" s="443"/>
      <c r="C140" s="415" t="s">
        <v>85</v>
      </c>
      <c r="D140" s="459" t="s">
        <v>49</v>
      </c>
      <c r="E140" s="324"/>
      <c r="F140" s="607" t="s">
        <v>210</v>
      </c>
      <c r="G140" s="489">
        <v>380</v>
      </c>
      <c r="H140" s="489">
        <v>0</v>
      </c>
      <c r="I140" s="489">
        <f t="shared" si="11"/>
        <v>380</v>
      </c>
      <c r="J140" s="489">
        <v>249</v>
      </c>
      <c r="K140" s="489"/>
      <c r="L140" s="489">
        <f t="shared" si="7"/>
        <v>249</v>
      </c>
      <c r="M140" s="489">
        <f t="shared" si="8"/>
        <v>629</v>
      </c>
      <c r="N140" s="489">
        <f t="shared" si="9"/>
        <v>0</v>
      </c>
      <c r="O140" s="489">
        <f t="shared" si="10"/>
        <v>629</v>
      </c>
    </row>
    <row r="141" spans="1:15" ht="12.75" customHeight="1">
      <c r="A141" s="443"/>
      <c r="B141" s="443"/>
      <c r="C141" s="415" t="s">
        <v>86</v>
      </c>
      <c r="D141" s="460" t="s">
        <v>1188</v>
      </c>
      <c r="E141" s="324"/>
      <c r="F141" s="607" t="s">
        <v>210</v>
      </c>
      <c r="G141" s="489">
        <v>13014</v>
      </c>
      <c r="H141" s="489">
        <v>0</v>
      </c>
      <c r="I141" s="489">
        <f t="shared" si="11"/>
        <v>13014</v>
      </c>
      <c r="J141" s="489">
        <v>-1733</v>
      </c>
      <c r="K141" s="489"/>
      <c r="L141" s="489">
        <f t="shared" si="7"/>
        <v>-1733</v>
      </c>
      <c r="M141" s="489">
        <f t="shared" si="8"/>
        <v>11281</v>
      </c>
      <c r="N141" s="489">
        <f t="shared" si="9"/>
        <v>0</v>
      </c>
      <c r="O141" s="489">
        <f t="shared" si="10"/>
        <v>11281</v>
      </c>
    </row>
    <row r="142" spans="1:15" ht="12.75" customHeight="1">
      <c r="A142" s="443"/>
      <c r="B142" s="443"/>
      <c r="C142" s="415" t="s">
        <v>87</v>
      </c>
      <c r="D142" s="454" t="s">
        <v>861</v>
      </c>
      <c r="E142" s="324"/>
      <c r="F142" s="607"/>
      <c r="G142" s="489">
        <v>387</v>
      </c>
      <c r="H142" s="489">
        <v>0</v>
      </c>
      <c r="I142" s="489">
        <f t="shared" si="11"/>
        <v>387</v>
      </c>
      <c r="J142" s="489"/>
      <c r="K142" s="489"/>
      <c r="L142" s="489">
        <f t="shared" si="7"/>
        <v>0</v>
      </c>
      <c r="M142" s="489">
        <f t="shared" si="8"/>
        <v>387</v>
      </c>
      <c r="N142" s="489">
        <f t="shared" si="9"/>
        <v>0</v>
      </c>
      <c r="O142" s="489">
        <f t="shared" si="10"/>
        <v>387</v>
      </c>
    </row>
    <row r="143" spans="1:15" ht="12.75" customHeight="1">
      <c r="A143" s="443"/>
      <c r="B143" s="443"/>
      <c r="C143" s="415" t="s">
        <v>88</v>
      </c>
      <c r="D143" s="454" t="s">
        <v>1189</v>
      </c>
      <c r="E143" s="324"/>
      <c r="F143" s="607" t="s">
        <v>210</v>
      </c>
      <c r="G143" s="489">
        <v>0</v>
      </c>
      <c r="H143" s="489">
        <v>0</v>
      </c>
      <c r="I143" s="489">
        <f t="shared" si="11"/>
        <v>0</v>
      </c>
      <c r="J143" s="489">
        <v>2000</v>
      </c>
      <c r="K143" s="489"/>
      <c r="L143" s="489">
        <f t="shared" si="7"/>
        <v>2000</v>
      </c>
      <c r="M143" s="489">
        <f t="shared" si="8"/>
        <v>2000</v>
      </c>
      <c r="N143" s="489">
        <f t="shared" si="9"/>
        <v>0</v>
      </c>
      <c r="O143" s="489">
        <f t="shared" si="10"/>
        <v>2000</v>
      </c>
    </row>
    <row r="144" spans="1:15" ht="12.75" customHeight="1">
      <c r="A144" s="443"/>
      <c r="B144" s="443"/>
      <c r="C144" s="415" t="s">
        <v>89</v>
      </c>
      <c r="D144" s="454" t="s">
        <v>1190</v>
      </c>
      <c r="E144" s="324"/>
      <c r="F144" s="607" t="s">
        <v>210</v>
      </c>
      <c r="G144" s="489">
        <v>2258</v>
      </c>
      <c r="H144" s="489">
        <v>0</v>
      </c>
      <c r="I144" s="489">
        <f t="shared" si="11"/>
        <v>2258</v>
      </c>
      <c r="J144" s="489">
        <v>-941</v>
      </c>
      <c r="K144" s="489"/>
      <c r="L144" s="489">
        <f t="shared" si="7"/>
        <v>-941</v>
      </c>
      <c r="M144" s="489">
        <f t="shared" si="8"/>
        <v>1317</v>
      </c>
      <c r="N144" s="489">
        <f t="shared" si="9"/>
        <v>0</v>
      </c>
      <c r="O144" s="489">
        <f t="shared" si="10"/>
        <v>1317</v>
      </c>
    </row>
    <row r="145" spans="1:15" ht="15" customHeight="1">
      <c r="A145" s="443"/>
      <c r="B145" s="443"/>
      <c r="C145" s="415" t="s">
        <v>90</v>
      </c>
      <c r="D145" s="461" t="s">
        <v>52</v>
      </c>
      <c r="E145" s="324"/>
      <c r="F145" s="607" t="s">
        <v>210</v>
      </c>
      <c r="G145" s="489">
        <v>103</v>
      </c>
      <c r="H145" s="489">
        <v>0</v>
      </c>
      <c r="I145" s="489">
        <f t="shared" si="11"/>
        <v>103</v>
      </c>
      <c r="J145" s="489">
        <v>-103</v>
      </c>
      <c r="K145" s="489"/>
      <c r="L145" s="489">
        <f t="shared" si="7"/>
        <v>-103</v>
      </c>
      <c r="M145" s="489">
        <f t="shared" si="8"/>
        <v>0</v>
      </c>
      <c r="N145" s="489">
        <f t="shared" si="9"/>
        <v>0</v>
      </c>
      <c r="O145" s="489">
        <f t="shared" si="10"/>
        <v>0</v>
      </c>
    </row>
    <row r="146" spans="1:15" ht="24.75" customHeight="1">
      <c r="A146" s="443"/>
      <c r="B146" s="443"/>
      <c r="C146" s="415" t="s">
        <v>91</v>
      </c>
      <c r="D146" s="462" t="s">
        <v>862</v>
      </c>
      <c r="E146" s="324"/>
      <c r="F146" s="607"/>
      <c r="G146" s="489">
        <v>0</v>
      </c>
      <c r="H146" s="489">
        <v>0</v>
      </c>
      <c r="I146" s="489">
        <f t="shared" si="11"/>
        <v>0</v>
      </c>
      <c r="J146" s="489"/>
      <c r="K146" s="489"/>
      <c r="L146" s="489">
        <f t="shared" si="7"/>
        <v>0</v>
      </c>
      <c r="M146" s="489">
        <f t="shared" si="8"/>
        <v>0</v>
      </c>
      <c r="N146" s="489">
        <f t="shared" si="9"/>
        <v>0</v>
      </c>
      <c r="O146" s="489">
        <f t="shared" si="10"/>
        <v>0</v>
      </c>
    </row>
    <row r="147" spans="1:15" ht="12.75" customHeight="1">
      <c r="A147" s="443"/>
      <c r="B147" s="443"/>
      <c r="C147" s="415" t="s">
        <v>92</v>
      </c>
      <c r="D147" s="462" t="s">
        <v>206</v>
      </c>
      <c r="E147" s="324"/>
      <c r="F147" s="607"/>
      <c r="G147" s="489">
        <v>0</v>
      </c>
      <c r="H147" s="489">
        <v>0</v>
      </c>
      <c r="I147" s="489">
        <f t="shared" si="11"/>
        <v>0</v>
      </c>
      <c r="J147" s="489"/>
      <c r="K147" s="489"/>
      <c r="L147" s="489">
        <f t="shared" si="7"/>
        <v>0</v>
      </c>
      <c r="M147" s="489">
        <f t="shared" si="8"/>
        <v>0</v>
      </c>
      <c r="N147" s="489">
        <f t="shared" si="9"/>
        <v>0</v>
      </c>
      <c r="O147" s="489">
        <f t="shared" si="10"/>
        <v>0</v>
      </c>
    </row>
    <row r="148" spans="1:15" ht="12.75" customHeight="1">
      <c r="A148" s="443"/>
      <c r="B148" s="443"/>
      <c r="C148" s="285" t="s">
        <v>129</v>
      </c>
      <c r="D148" s="286" t="s">
        <v>47</v>
      </c>
      <c r="E148" s="428"/>
      <c r="F148" s="610"/>
      <c r="G148" s="489"/>
      <c r="H148" s="489"/>
      <c r="I148" s="489">
        <f t="shared" si="11"/>
        <v>0</v>
      </c>
      <c r="J148" s="489"/>
      <c r="K148" s="489"/>
      <c r="L148" s="489"/>
      <c r="M148" s="489"/>
      <c r="N148" s="489"/>
      <c r="O148" s="489"/>
    </row>
    <row r="149" spans="1:15" ht="12.75" customHeight="1">
      <c r="A149" s="443"/>
      <c r="B149" s="443"/>
      <c r="C149" s="291" t="s">
        <v>171</v>
      </c>
      <c r="D149" s="323" t="s">
        <v>863</v>
      </c>
      <c r="E149" s="428"/>
      <c r="F149" s="610" t="s">
        <v>210</v>
      </c>
      <c r="G149" s="489">
        <v>2000</v>
      </c>
      <c r="H149" s="489">
        <v>0</v>
      </c>
      <c r="I149" s="489">
        <f t="shared" si="11"/>
        <v>2000</v>
      </c>
      <c r="J149" s="489">
        <v>-2000</v>
      </c>
      <c r="K149" s="489"/>
      <c r="L149" s="489">
        <f t="shared" si="7"/>
        <v>-2000</v>
      </c>
      <c r="M149" s="489">
        <f t="shared" si="8"/>
        <v>0</v>
      </c>
      <c r="N149" s="489">
        <f t="shared" si="9"/>
        <v>0</v>
      </c>
      <c r="O149" s="489">
        <f t="shared" si="10"/>
        <v>0</v>
      </c>
    </row>
    <row r="150" spans="1:15" ht="12.75" customHeight="1">
      <c r="A150" s="443"/>
      <c r="B150" s="443"/>
      <c r="C150" s="291" t="s">
        <v>172</v>
      </c>
      <c r="D150" s="323" t="s">
        <v>864</v>
      </c>
      <c r="E150" s="428"/>
      <c r="F150" s="610" t="s">
        <v>210</v>
      </c>
      <c r="G150" s="489">
        <v>2000</v>
      </c>
      <c r="H150" s="489">
        <v>0</v>
      </c>
      <c r="I150" s="489">
        <f t="shared" si="11"/>
        <v>2000</v>
      </c>
      <c r="J150" s="489">
        <v>-2000</v>
      </c>
      <c r="K150" s="489"/>
      <c r="L150" s="489">
        <f t="shared" si="7"/>
        <v>-2000</v>
      </c>
      <c r="M150" s="489">
        <f t="shared" si="8"/>
        <v>0</v>
      </c>
      <c r="N150" s="489">
        <f t="shared" si="9"/>
        <v>0</v>
      </c>
      <c r="O150" s="489">
        <f t="shared" si="10"/>
        <v>0</v>
      </c>
    </row>
    <row r="151" spans="1:15" ht="12.75" customHeight="1">
      <c r="A151" s="443"/>
      <c r="B151" s="443"/>
      <c r="C151" s="291" t="s">
        <v>173</v>
      </c>
      <c r="D151" s="323" t="s">
        <v>865</v>
      </c>
      <c r="E151" s="428"/>
      <c r="F151" s="610" t="s">
        <v>210</v>
      </c>
      <c r="G151" s="489">
        <v>1500</v>
      </c>
      <c r="H151" s="489">
        <v>0</v>
      </c>
      <c r="I151" s="489">
        <f t="shared" si="11"/>
        <v>1500</v>
      </c>
      <c r="J151" s="489">
        <v>-1045</v>
      </c>
      <c r="K151" s="489"/>
      <c r="L151" s="489">
        <f t="shared" si="7"/>
        <v>-1045</v>
      </c>
      <c r="M151" s="489">
        <f t="shared" si="8"/>
        <v>455</v>
      </c>
      <c r="N151" s="489">
        <f t="shared" si="9"/>
        <v>0</v>
      </c>
      <c r="O151" s="489">
        <f t="shared" si="10"/>
        <v>455</v>
      </c>
    </row>
    <row r="152" spans="1:15" ht="12.75" customHeight="1">
      <c r="A152" s="443"/>
      <c r="B152" s="443"/>
      <c r="C152" s="291" t="s">
        <v>174</v>
      </c>
      <c r="D152" s="277" t="s">
        <v>866</v>
      </c>
      <c r="E152" s="428"/>
      <c r="F152" s="610" t="s">
        <v>210</v>
      </c>
      <c r="G152" s="489">
        <v>800</v>
      </c>
      <c r="H152" s="489">
        <v>0</v>
      </c>
      <c r="I152" s="489">
        <f t="shared" si="11"/>
        <v>800</v>
      </c>
      <c r="J152" s="489">
        <v>-800</v>
      </c>
      <c r="K152" s="489"/>
      <c r="L152" s="489">
        <f t="shared" si="7"/>
        <v>-800</v>
      </c>
      <c r="M152" s="489">
        <f t="shared" si="8"/>
        <v>0</v>
      </c>
      <c r="N152" s="489">
        <f t="shared" si="9"/>
        <v>0</v>
      </c>
      <c r="O152" s="489">
        <f t="shared" si="10"/>
        <v>0</v>
      </c>
    </row>
    <row r="153" spans="1:15" ht="12.75" customHeight="1">
      <c r="A153" s="443"/>
      <c r="B153" s="443"/>
      <c r="C153" s="291" t="s">
        <v>338</v>
      </c>
      <c r="D153" s="277" t="s">
        <v>867</v>
      </c>
      <c r="E153" s="428"/>
      <c r="F153" s="610"/>
      <c r="G153" s="489">
        <v>500</v>
      </c>
      <c r="H153" s="489">
        <v>0</v>
      </c>
      <c r="I153" s="489">
        <f t="shared" si="11"/>
        <v>500</v>
      </c>
      <c r="J153" s="489"/>
      <c r="K153" s="489"/>
      <c r="L153" s="489">
        <f t="shared" si="7"/>
        <v>0</v>
      </c>
      <c r="M153" s="489">
        <f t="shared" si="8"/>
        <v>500</v>
      </c>
      <c r="N153" s="489">
        <f t="shared" si="9"/>
        <v>0</v>
      </c>
      <c r="O153" s="489">
        <f t="shared" si="10"/>
        <v>500</v>
      </c>
    </row>
    <row r="154" spans="1:15" ht="12.75" customHeight="1">
      <c r="A154" s="443"/>
      <c r="B154" s="443"/>
      <c r="C154" s="291" t="s">
        <v>340</v>
      </c>
      <c r="D154" s="300" t="s">
        <v>868</v>
      </c>
      <c r="E154" s="428"/>
      <c r="F154" s="610" t="s">
        <v>210</v>
      </c>
      <c r="G154" s="489">
        <v>2400</v>
      </c>
      <c r="H154" s="489">
        <v>0</v>
      </c>
      <c r="I154" s="489">
        <f t="shared" si="11"/>
        <v>2400</v>
      </c>
      <c r="J154" s="489">
        <v>-1415</v>
      </c>
      <c r="K154" s="489"/>
      <c r="L154" s="489">
        <f t="shared" si="7"/>
        <v>-1415</v>
      </c>
      <c r="M154" s="489">
        <f t="shared" si="8"/>
        <v>985</v>
      </c>
      <c r="N154" s="489">
        <f t="shared" si="9"/>
        <v>0</v>
      </c>
      <c r="O154" s="489">
        <f t="shared" si="10"/>
        <v>985</v>
      </c>
    </row>
    <row r="155" spans="1:15" ht="12.75" customHeight="1">
      <c r="A155" s="443"/>
      <c r="B155" s="443"/>
      <c r="C155" s="291" t="s">
        <v>342</v>
      </c>
      <c r="D155" s="300" t="s">
        <v>869</v>
      </c>
      <c r="E155" s="428"/>
      <c r="F155" s="610"/>
      <c r="G155" s="489">
        <v>600</v>
      </c>
      <c r="H155" s="489">
        <v>0</v>
      </c>
      <c r="I155" s="489">
        <f t="shared" si="11"/>
        <v>600</v>
      </c>
      <c r="J155" s="489"/>
      <c r="K155" s="489"/>
      <c r="L155" s="489">
        <f aca="true" t="shared" si="15" ref="L155:L221">SUM(J155:K155)</f>
        <v>0</v>
      </c>
      <c r="M155" s="489">
        <f aca="true" t="shared" si="16" ref="M155:M220">SUM(G155+J155)</f>
        <v>600</v>
      </c>
      <c r="N155" s="489">
        <f aca="true" t="shared" si="17" ref="N155:N220">SUM(H155+K155)</f>
        <v>0</v>
      </c>
      <c r="O155" s="489">
        <f aca="true" t="shared" si="18" ref="O155:O221">SUM(M155:N155)</f>
        <v>600</v>
      </c>
    </row>
    <row r="156" spans="1:15" ht="12.75" customHeight="1">
      <c r="A156" s="443"/>
      <c r="B156" s="443"/>
      <c r="C156" s="291" t="s">
        <v>346</v>
      </c>
      <c r="D156" s="463" t="s">
        <v>870</v>
      </c>
      <c r="E156" s="428"/>
      <c r="F156" s="610"/>
      <c r="G156" s="489">
        <v>7531</v>
      </c>
      <c r="H156" s="489">
        <v>0</v>
      </c>
      <c r="I156" s="489">
        <f t="shared" si="11"/>
        <v>7531</v>
      </c>
      <c r="J156" s="489"/>
      <c r="K156" s="489"/>
      <c r="L156" s="489">
        <f t="shared" si="15"/>
        <v>0</v>
      </c>
      <c r="M156" s="489">
        <f t="shared" si="16"/>
        <v>7531</v>
      </c>
      <c r="N156" s="489">
        <f t="shared" si="17"/>
        <v>0</v>
      </c>
      <c r="O156" s="489">
        <f t="shared" si="18"/>
        <v>7531</v>
      </c>
    </row>
    <row r="157" spans="1:15" ht="12.75" customHeight="1">
      <c r="A157" s="443"/>
      <c r="B157" s="443"/>
      <c r="C157" s="291"/>
      <c r="D157" s="457" t="s">
        <v>279</v>
      </c>
      <c r="E157" s="428"/>
      <c r="F157" s="610"/>
      <c r="G157" s="489">
        <v>0</v>
      </c>
      <c r="H157" s="489">
        <v>0</v>
      </c>
      <c r="I157" s="489">
        <f t="shared" si="11"/>
        <v>0</v>
      </c>
      <c r="J157" s="489"/>
      <c r="K157" s="489"/>
      <c r="L157" s="489">
        <f t="shared" si="15"/>
        <v>0</v>
      </c>
      <c r="M157" s="489">
        <f t="shared" si="16"/>
        <v>0</v>
      </c>
      <c r="N157" s="489">
        <f t="shared" si="17"/>
        <v>0</v>
      </c>
      <c r="O157" s="489">
        <f t="shared" si="18"/>
        <v>0</v>
      </c>
    </row>
    <row r="158" spans="1:15" ht="15" customHeight="1">
      <c r="A158" s="443"/>
      <c r="B158" s="443"/>
      <c r="C158" s="291" t="s">
        <v>280</v>
      </c>
      <c r="D158" s="464" t="s">
        <v>93</v>
      </c>
      <c r="E158" s="428"/>
      <c r="F158" s="610" t="s">
        <v>210</v>
      </c>
      <c r="G158" s="489">
        <v>2900</v>
      </c>
      <c r="H158" s="489">
        <v>0</v>
      </c>
      <c r="I158" s="489">
        <f t="shared" si="11"/>
        <v>2900</v>
      </c>
      <c r="J158" s="489">
        <v>-2150</v>
      </c>
      <c r="K158" s="489">
        <v>1000</v>
      </c>
      <c r="L158" s="489">
        <f t="shared" si="15"/>
        <v>-1150</v>
      </c>
      <c r="M158" s="489">
        <f t="shared" si="16"/>
        <v>750</v>
      </c>
      <c r="N158" s="489">
        <f t="shared" si="17"/>
        <v>1000</v>
      </c>
      <c r="O158" s="489">
        <f t="shared" si="18"/>
        <v>1750</v>
      </c>
    </row>
    <row r="159" spans="1:15" ht="12.75" customHeight="1">
      <c r="A159" s="443"/>
      <c r="B159" s="443"/>
      <c r="C159" s="465" t="s">
        <v>182</v>
      </c>
      <c r="D159" s="466" t="s">
        <v>183</v>
      </c>
      <c r="E159" s="324"/>
      <c r="F159" s="607"/>
      <c r="G159" s="489"/>
      <c r="H159" s="489"/>
      <c r="I159" s="489">
        <f t="shared" si="11"/>
        <v>0</v>
      </c>
      <c r="J159" s="489"/>
      <c r="K159" s="489"/>
      <c r="L159" s="489"/>
      <c r="M159" s="489"/>
      <c r="N159" s="489"/>
      <c r="O159" s="489"/>
    </row>
    <row r="160" spans="1:15" ht="12.75" customHeight="1">
      <c r="A160" s="443"/>
      <c r="B160" s="443"/>
      <c r="C160" s="465" t="s">
        <v>905</v>
      </c>
      <c r="D160" s="249" t="s">
        <v>871</v>
      </c>
      <c r="E160" s="324"/>
      <c r="F160" s="607" t="s">
        <v>210</v>
      </c>
      <c r="G160" s="489">
        <v>3000</v>
      </c>
      <c r="H160" s="489">
        <v>0</v>
      </c>
      <c r="I160" s="489">
        <f t="shared" si="11"/>
        <v>3000</v>
      </c>
      <c r="J160" s="489">
        <v>-2000</v>
      </c>
      <c r="K160" s="489"/>
      <c r="L160" s="489">
        <f t="shared" si="15"/>
        <v>-2000</v>
      </c>
      <c r="M160" s="489">
        <f t="shared" si="16"/>
        <v>1000</v>
      </c>
      <c r="N160" s="489">
        <f t="shared" si="17"/>
        <v>0</v>
      </c>
      <c r="O160" s="489">
        <f t="shared" si="18"/>
        <v>1000</v>
      </c>
    </row>
    <row r="161" spans="1:15" ht="12.75" customHeight="1">
      <c r="A161" s="443"/>
      <c r="B161" s="443"/>
      <c r="C161" s="465" t="s">
        <v>906</v>
      </c>
      <c r="D161" s="467" t="s">
        <v>872</v>
      </c>
      <c r="E161" s="324"/>
      <c r="F161" s="607"/>
      <c r="G161" s="489">
        <v>3000</v>
      </c>
      <c r="H161" s="489">
        <v>0</v>
      </c>
      <c r="I161" s="489">
        <f t="shared" si="11"/>
        <v>3000</v>
      </c>
      <c r="J161" s="489"/>
      <c r="K161" s="489"/>
      <c r="L161" s="489">
        <f t="shared" si="15"/>
        <v>0</v>
      </c>
      <c r="M161" s="489">
        <f t="shared" si="16"/>
        <v>3000</v>
      </c>
      <c r="N161" s="489">
        <f t="shared" si="17"/>
        <v>0</v>
      </c>
      <c r="O161" s="489">
        <f t="shared" si="18"/>
        <v>3000</v>
      </c>
    </row>
    <row r="162" spans="1:15" ht="12.75" customHeight="1">
      <c r="A162" s="443"/>
      <c r="B162" s="443"/>
      <c r="C162" s="465" t="s">
        <v>1149</v>
      </c>
      <c r="D162" s="323" t="s">
        <v>873</v>
      </c>
      <c r="E162" s="324"/>
      <c r="F162" s="607" t="s">
        <v>210</v>
      </c>
      <c r="G162" s="489">
        <v>1000</v>
      </c>
      <c r="H162" s="489">
        <v>0</v>
      </c>
      <c r="I162" s="489">
        <f t="shared" si="11"/>
        <v>1000</v>
      </c>
      <c r="J162" s="489">
        <v>500</v>
      </c>
      <c r="K162" s="489"/>
      <c r="L162" s="489">
        <f t="shared" si="15"/>
        <v>500</v>
      </c>
      <c r="M162" s="489">
        <f t="shared" si="16"/>
        <v>1500</v>
      </c>
      <c r="N162" s="489">
        <f t="shared" si="17"/>
        <v>0</v>
      </c>
      <c r="O162" s="489">
        <f t="shared" si="18"/>
        <v>1500</v>
      </c>
    </row>
    <row r="163" spans="1:15" ht="12.75" customHeight="1">
      <c r="A163" s="443"/>
      <c r="B163" s="443"/>
      <c r="C163" s="465" t="s">
        <v>1150</v>
      </c>
      <c r="D163" s="323" t="s">
        <v>874</v>
      </c>
      <c r="E163" s="324"/>
      <c r="F163" s="607" t="s">
        <v>210</v>
      </c>
      <c r="G163" s="489">
        <v>500</v>
      </c>
      <c r="H163" s="489">
        <v>0</v>
      </c>
      <c r="I163" s="489">
        <f t="shared" si="11"/>
        <v>500</v>
      </c>
      <c r="J163" s="489">
        <v>-500</v>
      </c>
      <c r="K163" s="489"/>
      <c r="L163" s="489">
        <f t="shared" si="15"/>
        <v>-500</v>
      </c>
      <c r="M163" s="489">
        <f t="shared" si="16"/>
        <v>0</v>
      </c>
      <c r="N163" s="489">
        <f t="shared" si="17"/>
        <v>0</v>
      </c>
      <c r="O163" s="489">
        <f t="shared" si="18"/>
        <v>0</v>
      </c>
    </row>
    <row r="164" spans="1:15" ht="12.75" customHeight="1">
      <c r="A164" s="443"/>
      <c r="B164" s="443"/>
      <c r="C164" s="465" t="s">
        <v>875</v>
      </c>
      <c r="D164" s="323" t="s">
        <v>876</v>
      </c>
      <c r="E164" s="324"/>
      <c r="F164" s="607" t="s">
        <v>210</v>
      </c>
      <c r="G164" s="489">
        <v>1000</v>
      </c>
      <c r="H164" s="489">
        <v>0</v>
      </c>
      <c r="I164" s="489">
        <f t="shared" si="11"/>
        <v>1000</v>
      </c>
      <c r="J164" s="489">
        <v>557</v>
      </c>
      <c r="K164" s="489"/>
      <c r="L164" s="489">
        <f t="shared" si="15"/>
        <v>557</v>
      </c>
      <c r="M164" s="489">
        <f t="shared" si="16"/>
        <v>1557</v>
      </c>
      <c r="N164" s="489">
        <f t="shared" si="17"/>
        <v>0</v>
      </c>
      <c r="O164" s="489">
        <f t="shared" si="18"/>
        <v>1557</v>
      </c>
    </row>
    <row r="165" spans="1:15" ht="12.75" customHeight="1">
      <c r="A165" s="443"/>
      <c r="B165" s="443"/>
      <c r="C165" s="465" t="s">
        <v>877</v>
      </c>
      <c r="D165" s="300" t="s">
        <v>878</v>
      </c>
      <c r="E165" s="324"/>
      <c r="F165" s="607"/>
      <c r="G165" s="489">
        <v>0</v>
      </c>
      <c r="H165" s="489">
        <v>0</v>
      </c>
      <c r="I165" s="489">
        <f t="shared" si="11"/>
        <v>0</v>
      </c>
      <c r="J165" s="489"/>
      <c r="K165" s="489"/>
      <c r="L165" s="489">
        <f t="shared" si="15"/>
        <v>0</v>
      </c>
      <c r="M165" s="489">
        <f t="shared" si="16"/>
        <v>0</v>
      </c>
      <c r="N165" s="489">
        <f t="shared" si="17"/>
        <v>0</v>
      </c>
      <c r="O165" s="489">
        <f t="shared" si="18"/>
        <v>0</v>
      </c>
    </row>
    <row r="166" spans="1:15" ht="12.75" customHeight="1">
      <c r="A166" s="443"/>
      <c r="B166" s="443"/>
      <c r="C166" s="285" t="s">
        <v>186</v>
      </c>
      <c r="D166" s="293" t="s">
        <v>187</v>
      </c>
      <c r="E166" s="324"/>
      <c r="F166" s="607"/>
      <c r="G166" s="489"/>
      <c r="H166" s="489"/>
      <c r="I166" s="489">
        <f t="shared" si="11"/>
        <v>0</v>
      </c>
      <c r="J166" s="489"/>
      <c r="K166" s="489"/>
      <c r="L166" s="489"/>
      <c r="M166" s="489"/>
      <c r="N166" s="489"/>
      <c r="O166" s="489"/>
    </row>
    <row r="167" spans="1:15" ht="12.75" customHeight="1">
      <c r="A167" s="443"/>
      <c r="B167" s="443"/>
      <c r="C167" s="443" t="s">
        <v>188</v>
      </c>
      <c r="D167" s="421" t="s">
        <v>879</v>
      </c>
      <c r="E167" s="324"/>
      <c r="F167" s="607"/>
      <c r="G167" s="489">
        <v>3850</v>
      </c>
      <c r="H167" s="489">
        <v>0</v>
      </c>
      <c r="I167" s="489">
        <f t="shared" si="11"/>
        <v>3850</v>
      </c>
      <c r="J167" s="489"/>
      <c r="K167" s="489"/>
      <c r="L167" s="489">
        <f t="shared" si="15"/>
        <v>0</v>
      </c>
      <c r="M167" s="489">
        <f t="shared" si="16"/>
        <v>3850</v>
      </c>
      <c r="N167" s="489">
        <f t="shared" si="17"/>
        <v>0</v>
      </c>
      <c r="O167" s="489">
        <f t="shared" si="18"/>
        <v>3850</v>
      </c>
    </row>
    <row r="168" spans="1:15" ht="12.75" customHeight="1">
      <c r="A168" s="443"/>
      <c r="B168" s="443"/>
      <c r="C168" s="443" t="s">
        <v>189</v>
      </c>
      <c r="D168" s="421" t="s">
        <v>881</v>
      </c>
      <c r="E168" s="324"/>
      <c r="F168" s="607"/>
      <c r="G168" s="489">
        <v>0</v>
      </c>
      <c r="H168" s="489">
        <v>500</v>
      </c>
      <c r="I168" s="489">
        <f t="shared" si="11"/>
        <v>500</v>
      </c>
      <c r="J168" s="489"/>
      <c r="K168" s="489"/>
      <c r="L168" s="489">
        <f t="shared" si="15"/>
        <v>0</v>
      </c>
      <c r="M168" s="489">
        <f t="shared" si="16"/>
        <v>0</v>
      </c>
      <c r="N168" s="489">
        <f t="shared" si="17"/>
        <v>500</v>
      </c>
      <c r="O168" s="489">
        <f t="shared" si="18"/>
        <v>500</v>
      </c>
    </row>
    <row r="169" spans="1:15" ht="12.75" customHeight="1">
      <c r="A169" s="443"/>
      <c r="B169" s="443"/>
      <c r="C169" s="443" t="s">
        <v>190</v>
      </c>
      <c r="D169" s="422" t="s">
        <v>882</v>
      </c>
      <c r="E169" s="324"/>
      <c r="F169" s="607" t="s">
        <v>210</v>
      </c>
      <c r="G169" s="489">
        <v>1200</v>
      </c>
      <c r="H169" s="489">
        <v>3800</v>
      </c>
      <c r="I169" s="489">
        <f t="shared" si="11"/>
        <v>5000</v>
      </c>
      <c r="J169" s="489">
        <v>-1200</v>
      </c>
      <c r="K169" s="489"/>
      <c r="L169" s="489">
        <f t="shared" si="15"/>
        <v>-1200</v>
      </c>
      <c r="M169" s="489">
        <f t="shared" si="16"/>
        <v>0</v>
      </c>
      <c r="N169" s="489">
        <f t="shared" si="17"/>
        <v>3800</v>
      </c>
      <c r="O169" s="489">
        <f t="shared" si="18"/>
        <v>3800</v>
      </c>
    </row>
    <row r="170" spans="1:15" ht="12.75" customHeight="1">
      <c r="A170" s="443"/>
      <c r="B170" s="443"/>
      <c r="C170" s="443" t="s">
        <v>191</v>
      </c>
      <c r="D170" s="468" t="s">
        <v>883</v>
      </c>
      <c r="E170" s="324"/>
      <c r="F170" s="607"/>
      <c r="G170" s="489">
        <v>0</v>
      </c>
      <c r="H170" s="489">
        <v>1000</v>
      </c>
      <c r="I170" s="489">
        <f t="shared" si="11"/>
        <v>1000</v>
      </c>
      <c r="J170" s="489"/>
      <c r="K170" s="489"/>
      <c r="L170" s="489">
        <f t="shared" si="15"/>
        <v>0</v>
      </c>
      <c r="M170" s="489">
        <f t="shared" si="16"/>
        <v>0</v>
      </c>
      <c r="N170" s="489">
        <f t="shared" si="17"/>
        <v>1000</v>
      </c>
      <c r="O170" s="489">
        <f t="shared" si="18"/>
        <v>1000</v>
      </c>
    </row>
    <row r="171" spans="1:15" ht="24.75" customHeight="1">
      <c r="A171" s="443"/>
      <c r="B171" s="443"/>
      <c r="C171" s="443" t="s">
        <v>908</v>
      </c>
      <c r="D171" s="670" t="s">
        <v>412</v>
      </c>
      <c r="E171" s="324"/>
      <c r="F171" s="607"/>
      <c r="G171" s="489">
        <v>994</v>
      </c>
      <c r="H171" s="489"/>
      <c r="I171" s="489">
        <f t="shared" si="11"/>
        <v>994</v>
      </c>
      <c r="J171" s="489"/>
      <c r="K171" s="489"/>
      <c r="L171" s="489">
        <f t="shared" si="15"/>
        <v>0</v>
      </c>
      <c r="M171" s="489">
        <f t="shared" si="16"/>
        <v>994</v>
      </c>
      <c r="N171" s="489"/>
      <c r="O171" s="489">
        <f t="shared" si="18"/>
        <v>994</v>
      </c>
    </row>
    <row r="172" spans="1:15" ht="12.75" customHeight="1">
      <c r="A172" s="443"/>
      <c r="B172" s="443"/>
      <c r="C172" s="443" t="s">
        <v>909</v>
      </c>
      <c r="D172" s="670" t="s">
        <v>413</v>
      </c>
      <c r="E172" s="324"/>
      <c r="F172" s="607"/>
      <c r="G172" s="489">
        <v>800</v>
      </c>
      <c r="H172" s="489"/>
      <c r="I172" s="489">
        <f t="shared" si="11"/>
        <v>800</v>
      </c>
      <c r="J172" s="489"/>
      <c r="K172" s="489"/>
      <c r="L172" s="489">
        <f t="shared" si="15"/>
        <v>0</v>
      </c>
      <c r="M172" s="489">
        <f t="shared" si="16"/>
        <v>800</v>
      </c>
      <c r="N172" s="489"/>
      <c r="O172" s="489">
        <f t="shared" si="18"/>
        <v>800</v>
      </c>
    </row>
    <row r="173" spans="1:15" ht="24.75" customHeight="1">
      <c r="A173" s="443"/>
      <c r="B173" s="443"/>
      <c r="C173" s="443" t="s">
        <v>1073</v>
      </c>
      <c r="D173" s="284" t="s">
        <v>39</v>
      </c>
      <c r="E173" s="324"/>
      <c r="F173" s="607"/>
      <c r="G173" s="489"/>
      <c r="H173" s="489">
        <v>4000</v>
      </c>
      <c r="I173" s="489">
        <f t="shared" si="11"/>
        <v>4000</v>
      </c>
      <c r="J173" s="489"/>
      <c r="K173" s="489"/>
      <c r="L173" s="489">
        <f t="shared" si="15"/>
        <v>0</v>
      </c>
      <c r="M173" s="489"/>
      <c r="N173" s="489">
        <f t="shared" si="17"/>
        <v>4000</v>
      </c>
      <c r="O173" s="489">
        <v>4000</v>
      </c>
    </row>
    <row r="174" spans="1:15" ht="15" customHeight="1">
      <c r="A174" s="443"/>
      <c r="B174" s="443"/>
      <c r="C174" s="443" t="s">
        <v>1064</v>
      </c>
      <c r="D174" s="284" t="s">
        <v>349</v>
      </c>
      <c r="E174" s="324"/>
      <c r="F174" s="607"/>
      <c r="G174" s="489"/>
      <c r="H174" s="489">
        <v>1400</v>
      </c>
      <c r="I174" s="489">
        <f t="shared" si="11"/>
        <v>1400</v>
      </c>
      <c r="J174" s="489"/>
      <c r="K174" s="489"/>
      <c r="L174" s="489">
        <f t="shared" si="15"/>
        <v>0</v>
      </c>
      <c r="M174" s="489"/>
      <c r="N174" s="489">
        <v>1400</v>
      </c>
      <c r="O174" s="489">
        <v>1400</v>
      </c>
    </row>
    <row r="175" spans="1:15" ht="12.75" customHeight="1">
      <c r="A175" s="443"/>
      <c r="B175" s="443"/>
      <c r="C175" s="443"/>
      <c r="D175" s="433" t="s">
        <v>279</v>
      </c>
      <c r="E175" s="324"/>
      <c r="F175" s="607"/>
      <c r="G175" s="489"/>
      <c r="H175" s="489"/>
      <c r="I175" s="489"/>
      <c r="J175" s="489"/>
      <c r="K175" s="489"/>
      <c r="L175" s="489">
        <f t="shared" si="15"/>
        <v>0</v>
      </c>
      <c r="M175" s="489"/>
      <c r="N175" s="489"/>
      <c r="O175" s="489"/>
    </row>
    <row r="176" spans="1:15" ht="12.75" customHeight="1">
      <c r="A176" s="443"/>
      <c r="B176" s="443"/>
      <c r="C176" s="443" t="s">
        <v>31</v>
      </c>
      <c r="D176" s="469" t="s">
        <v>884</v>
      </c>
      <c r="E176" s="324"/>
      <c r="F176" s="607"/>
      <c r="G176" s="489">
        <v>5167</v>
      </c>
      <c r="H176" s="489">
        <v>0</v>
      </c>
      <c r="I176" s="489">
        <f t="shared" si="11"/>
        <v>5167</v>
      </c>
      <c r="J176" s="489"/>
      <c r="K176" s="489"/>
      <c r="L176" s="489">
        <f t="shared" si="15"/>
        <v>0</v>
      </c>
      <c r="M176" s="489">
        <f t="shared" si="16"/>
        <v>5167</v>
      </c>
      <c r="N176" s="489">
        <f t="shared" si="17"/>
        <v>0</v>
      </c>
      <c r="O176" s="489">
        <f t="shared" si="18"/>
        <v>5167</v>
      </c>
    </row>
    <row r="177" spans="1:15" ht="12.75" customHeight="1">
      <c r="A177" s="470"/>
      <c r="B177" s="470"/>
      <c r="C177" s="470"/>
      <c r="D177" s="314" t="s">
        <v>106</v>
      </c>
      <c r="E177" s="441"/>
      <c r="F177" s="634"/>
      <c r="G177" s="442">
        <f>SUM(G54:G176)</f>
        <v>400564</v>
      </c>
      <c r="H177" s="442">
        <f aca="true" t="shared" si="19" ref="H177:O177">SUM(H54:H176)</f>
        <v>10700</v>
      </c>
      <c r="I177" s="442">
        <f t="shared" si="19"/>
        <v>411264</v>
      </c>
      <c r="J177" s="442">
        <f t="shared" si="19"/>
        <v>255595</v>
      </c>
      <c r="K177" s="442">
        <f t="shared" si="19"/>
        <v>207514</v>
      </c>
      <c r="L177" s="442">
        <f t="shared" si="19"/>
        <v>463109</v>
      </c>
      <c r="M177" s="442">
        <f t="shared" si="19"/>
        <v>656159</v>
      </c>
      <c r="N177" s="442">
        <f t="shared" si="19"/>
        <v>218214</v>
      </c>
      <c r="O177" s="442">
        <f t="shared" si="19"/>
        <v>874373</v>
      </c>
    </row>
    <row r="178" spans="1:15" ht="12.75" customHeight="1">
      <c r="A178" s="450">
        <v>1</v>
      </c>
      <c r="B178" s="450">
        <v>16</v>
      </c>
      <c r="C178" s="450"/>
      <c r="D178" s="471" t="s">
        <v>1204</v>
      </c>
      <c r="E178" s="472"/>
      <c r="F178" s="636"/>
      <c r="G178" s="489"/>
      <c r="H178" s="489"/>
      <c r="I178" s="473"/>
      <c r="J178" s="489"/>
      <c r="K178" s="489"/>
      <c r="L178" s="489"/>
      <c r="M178" s="489"/>
      <c r="N178" s="489"/>
      <c r="O178" s="489"/>
    </row>
    <row r="179" spans="1:15" ht="12.75" customHeight="1">
      <c r="A179" s="450"/>
      <c r="B179" s="450"/>
      <c r="C179" s="285" t="s">
        <v>128</v>
      </c>
      <c r="D179" s="286" t="s">
        <v>885</v>
      </c>
      <c r="E179" s="472"/>
      <c r="F179" s="636"/>
      <c r="G179" s="489"/>
      <c r="H179" s="489"/>
      <c r="I179" s="473"/>
      <c r="J179" s="489"/>
      <c r="K179" s="489"/>
      <c r="L179" s="489"/>
      <c r="M179" s="489"/>
      <c r="N179" s="489"/>
      <c r="O179" s="489"/>
    </row>
    <row r="180" spans="1:15" ht="12.75" customHeight="1">
      <c r="A180" s="450"/>
      <c r="B180" s="450"/>
      <c r="C180" s="450" t="s">
        <v>134</v>
      </c>
      <c r="D180" s="283" t="s">
        <v>886</v>
      </c>
      <c r="E180" s="452"/>
      <c r="F180" s="607"/>
      <c r="G180" s="489">
        <v>0</v>
      </c>
      <c r="H180" s="489">
        <v>0</v>
      </c>
      <c r="I180" s="489">
        <f>SUM(G180:H180)</f>
        <v>0</v>
      </c>
      <c r="J180" s="489"/>
      <c r="K180" s="489"/>
      <c r="L180" s="489">
        <f t="shared" si="15"/>
        <v>0</v>
      </c>
      <c r="M180" s="489">
        <f t="shared" si="16"/>
        <v>0</v>
      </c>
      <c r="N180" s="489">
        <f t="shared" si="17"/>
        <v>0</v>
      </c>
      <c r="O180" s="489">
        <f t="shared" si="18"/>
        <v>0</v>
      </c>
    </row>
    <row r="181" spans="1:15" ht="12.75" customHeight="1">
      <c r="A181" s="450"/>
      <c r="B181" s="450"/>
      <c r="C181" s="450" t="s">
        <v>135</v>
      </c>
      <c r="D181" s="294" t="s">
        <v>887</v>
      </c>
      <c r="E181" s="452"/>
      <c r="F181" s="607"/>
      <c r="G181" s="489">
        <v>1500</v>
      </c>
      <c r="H181" s="489">
        <v>0</v>
      </c>
      <c r="I181" s="489">
        <f aca="true" t="shared" si="20" ref="I181:I201">SUM(G181:H181)</f>
        <v>1500</v>
      </c>
      <c r="J181" s="489"/>
      <c r="K181" s="489"/>
      <c r="L181" s="489">
        <f t="shared" si="15"/>
        <v>0</v>
      </c>
      <c r="M181" s="489">
        <f t="shared" si="16"/>
        <v>1500</v>
      </c>
      <c r="N181" s="489">
        <f t="shared" si="17"/>
        <v>0</v>
      </c>
      <c r="O181" s="489">
        <f t="shared" si="18"/>
        <v>1500</v>
      </c>
    </row>
    <row r="182" spans="1:15" ht="12.75" customHeight="1">
      <c r="A182" s="450"/>
      <c r="B182" s="450"/>
      <c r="C182" s="450" t="s">
        <v>136</v>
      </c>
      <c r="D182" s="294" t="s">
        <v>888</v>
      </c>
      <c r="E182" s="452"/>
      <c r="F182" s="607"/>
      <c r="G182" s="489">
        <v>2000</v>
      </c>
      <c r="H182" s="489">
        <v>0</v>
      </c>
      <c r="I182" s="489">
        <f t="shared" si="20"/>
        <v>2000</v>
      </c>
      <c r="J182" s="489"/>
      <c r="K182" s="489"/>
      <c r="L182" s="489">
        <f t="shared" si="15"/>
        <v>0</v>
      </c>
      <c r="M182" s="489">
        <f t="shared" si="16"/>
        <v>2000</v>
      </c>
      <c r="N182" s="489">
        <f t="shared" si="17"/>
        <v>0</v>
      </c>
      <c r="O182" s="489">
        <f t="shared" si="18"/>
        <v>2000</v>
      </c>
    </row>
    <row r="183" spans="1:15" ht="12.75" customHeight="1">
      <c r="A183" s="450"/>
      <c r="B183" s="450"/>
      <c r="C183" s="450"/>
      <c r="D183" s="457" t="s">
        <v>279</v>
      </c>
      <c r="E183" s="452"/>
      <c r="F183" s="607"/>
      <c r="G183" s="489"/>
      <c r="H183" s="489"/>
      <c r="I183" s="489">
        <f t="shared" si="20"/>
        <v>0</v>
      </c>
      <c r="J183" s="489"/>
      <c r="K183" s="489"/>
      <c r="L183" s="489"/>
      <c r="M183" s="489"/>
      <c r="N183" s="489"/>
      <c r="O183" s="489"/>
    </row>
    <row r="184" spans="1:15" ht="12.75" customHeight="1">
      <c r="A184" s="450"/>
      <c r="B184" s="450"/>
      <c r="C184" s="450" t="s">
        <v>1069</v>
      </c>
      <c r="D184" s="572" t="s">
        <v>1068</v>
      </c>
      <c r="E184" s="452"/>
      <c r="F184" s="607"/>
      <c r="G184" s="489">
        <v>292</v>
      </c>
      <c r="H184" s="489"/>
      <c r="I184" s="489">
        <f t="shared" si="20"/>
        <v>292</v>
      </c>
      <c r="J184" s="489"/>
      <c r="K184" s="489"/>
      <c r="L184" s="489">
        <f t="shared" si="15"/>
        <v>0</v>
      </c>
      <c r="M184" s="489">
        <f t="shared" si="16"/>
        <v>292</v>
      </c>
      <c r="N184" s="489"/>
      <c r="O184" s="489">
        <f t="shared" si="18"/>
        <v>292</v>
      </c>
    </row>
    <row r="185" spans="1:15" ht="12.75" customHeight="1">
      <c r="A185" s="450"/>
      <c r="B185" s="450"/>
      <c r="C185" s="285" t="s">
        <v>129</v>
      </c>
      <c r="D185" s="293" t="s">
        <v>47</v>
      </c>
      <c r="E185" s="472"/>
      <c r="F185" s="636"/>
      <c r="G185" s="489"/>
      <c r="H185" s="489"/>
      <c r="I185" s="489">
        <f t="shared" si="20"/>
        <v>0</v>
      </c>
      <c r="J185" s="489"/>
      <c r="K185" s="489"/>
      <c r="L185" s="489"/>
      <c r="M185" s="489"/>
      <c r="N185" s="489"/>
      <c r="O185" s="489"/>
    </row>
    <row r="186" spans="1:15" ht="24.75" customHeight="1">
      <c r="A186" s="450"/>
      <c r="B186" s="450"/>
      <c r="C186" s="450" t="s">
        <v>1205</v>
      </c>
      <c r="D186" s="277" t="s">
        <v>889</v>
      </c>
      <c r="E186" s="428"/>
      <c r="F186" s="610"/>
      <c r="G186" s="489">
        <v>3000</v>
      </c>
      <c r="H186" s="489">
        <v>0</v>
      </c>
      <c r="I186" s="489">
        <f t="shared" si="20"/>
        <v>3000</v>
      </c>
      <c r="J186" s="489"/>
      <c r="K186" s="489"/>
      <c r="L186" s="489">
        <f t="shared" si="15"/>
        <v>0</v>
      </c>
      <c r="M186" s="489">
        <f t="shared" si="16"/>
        <v>3000</v>
      </c>
      <c r="N186" s="489">
        <f t="shared" si="17"/>
        <v>0</v>
      </c>
      <c r="O186" s="489">
        <f t="shared" si="18"/>
        <v>3000</v>
      </c>
    </row>
    <row r="187" spans="1:15" ht="12.75" customHeight="1">
      <c r="A187" s="450"/>
      <c r="B187" s="450"/>
      <c r="C187" s="450"/>
      <c r="D187" s="433" t="s">
        <v>279</v>
      </c>
      <c r="E187" s="428"/>
      <c r="F187" s="610"/>
      <c r="G187" s="489">
        <v>0</v>
      </c>
      <c r="H187" s="489">
        <v>0</v>
      </c>
      <c r="I187" s="489">
        <f t="shared" si="20"/>
        <v>0</v>
      </c>
      <c r="J187" s="489"/>
      <c r="K187" s="489"/>
      <c r="L187" s="489">
        <f t="shared" si="15"/>
        <v>0</v>
      </c>
      <c r="M187" s="489">
        <f t="shared" si="16"/>
        <v>0</v>
      </c>
      <c r="N187" s="489">
        <f t="shared" si="17"/>
        <v>0</v>
      </c>
      <c r="O187" s="489">
        <f t="shared" si="18"/>
        <v>0</v>
      </c>
    </row>
    <row r="188" spans="1:15" ht="12.75" customHeight="1">
      <c r="A188" s="450"/>
      <c r="B188" s="450"/>
      <c r="C188" s="450" t="s">
        <v>280</v>
      </c>
      <c r="D188" s="469" t="s">
        <v>1206</v>
      </c>
      <c r="E188" s="428"/>
      <c r="F188" s="610" t="s">
        <v>210</v>
      </c>
      <c r="G188" s="489">
        <v>2000</v>
      </c>
      <c r="H188" s="489">
        <v>0</v>
      </c>
      <c r="I188" s="489">
        <f t="shared" si="20"/>
        <v>2000</v>
      </c>
      <c r="J188" s="489">
        <v>-2000</v>
      </c>
      <c r="K188" s="489"/>
      <c r="L188" s="489">
        <f t="shared" si="15"/>
        <v>-2000</v>
      </c>
      <c r="M188" s="489">
        <f t="shared" si="16"/>
        <v>0</v>
      </c>
      <c r="N188" s="489">
        <f t="shared" si="17"/>
        <v>0</v>
      </c>
      <c r="O188" s="489">
        <f t="shared" si="18"/>
        <v>0</v>
      </c>
    </row>
    <row r="189" spans="1:15" ht="12.75" customHeight="1">
      <c r="A189" s="450"/>
      <c r="B189" s="450"/>
      <c r="C189" s="285" t="s">
        <v>130</v>
      </c>
      <c r="D189" s="286" t="s">
        <v>48</v>
      </c>
      <c r="E189" s="472"/>
      <c r="F189" s="636"/>
      <c r="G189" s="489"/>
      <c r="H189" s="489">
        <v>0</v>
      </c>
      <c r="I189" s="489">
        <f t="shared" si="20"/>
        <v>0</v>
      </c>
      <c r="J189" s="489"/>
      <c r="K189" s="489"/>
      <c r="L189" s="489"/>
      <c r="M189" s="489"/>
      <c r="N189" s="489">
        <f t="shared" si="17"/>
        <v>0</v>
      </c>
      <c r="O189" s="489"/>
    </row>
    <row r="190" spans="1:15" ht="12.75" customHeight="1">
      <c r="A190" s="450"/>
      <c r="B190" s="450"/>
      <c r="C190" s="291" t="s">
        <v>1055</v>
      </c>
      <c r="D190" s="362" t="s">
        <v>1070</v>
      </c>
      <c r="E190" s="472"/>
      <c r="F190" s="636" t="s">
        <v>210</v>
      </c>
      <c r="G190" s="489">
        <v>11000</v>
      </c>
      <c r="H190" s="489">
        <v>0</v>
      </c>
      <c r="I190" s="489">
        <f t="shared" si="20"/>
        <v>11000</v>
      </c>
      <c r="J190" s="489">
        <v>813</v>
      </c>
      <c r="K190" s="489"/>
      <c r="L190" s="489">
        <f t="shared" si="15"/>
        <v>813</v>
      </c>
      <c r="M190" s="489">
        <f t="shared" si="16"/>
        <v>11813</v>
      </c>
      <c r="N190" s="489">
        <f t="shared" si="17"/>
        <v>0</v>
      </c>
      <c r="O190" s="489">
        <f t="shared" si="18"/>
        <v>11813</v>
      </c>
    </row>
    <row r="191" spans="1:15" ht="12.75" customHeight="1">
      <c r="A191" s="450"/>
      <c r="B191" s="450"/>
      <c r="C191" s="215" t="s">
        <v>414</v>
      </c>
      <c r="D191" s="362" t="s">
        <v>415</v>
      </c>
      <c r="E191" s="472"/>
      <c r="F191" s="636"/>
      <c r="G191" s="489">
        <v>4479</v>
      </c>
      <c r="H191" s="489">
        <v>0</v>
      </c>
      <c r="I191" s="489">
        <f t="shared" si="20"/>
        <v>4479</v>
      </c>
      <c r="J191" s="489"/>
      <c r="K191" s="489"/>
      <c r="L191" s="489">
        <f t="shared" si="15"/>
        <v>0</v>
      </c>
      <c r="M191" s="489">
        <f t="shared" si="16"/>
        <v>4479</v>
      </c>
      <c r="N191" s="489">
        <f t="shared" si="17"/>
        <v>0</v>
      </c>
      <c r="O191" s="489">
        <f t="shared" si="18"/>
        <v>4479</v>
      </c>
    </row>
    <row r="192" spans="1:15" ht="24.75" customHeight="1">
      <c r="A192" s="450"/>
      <c r="B192" s="450"/>
      <c r="C192" s="215" t="s">
        <v>416</v>
      </c>
      <c r="D192" s="359" t="s">
        <v>582</v>
      </c>
      <c r="E192" s="472"/>
      <c r="F192" s="636"/>
      <c r="G192" s="489">
        <v>75700</v>
      </c>
      <c r="H192" s="489">
        <v>0</v>
      </c>
      <c r="I192" s="489">
        <f t="shared" si="20"/>
        <v>75700</v>
      </c>
      <c r="J192" s="489"/>
      <c r="K192" s="489"/>
      <c r="L192" s="489">
        <f t="shared" si="15"/>
        <v>0</v>
      </c>
      <c r="M192" s="489">
        <f t="shared" si="16"/>
        <v>75700</v>
      </c>
      <c r="N192" s="489">
        <f t="shared" si="17"/>
        <v>0</v>
      </c>
      <c r="O192" s="489">
        <f t="shared" si="18"/>
        <v>75700</v>
      </c>
    </row>
    <row r="193" spans="1:15" ht="15" customHeight="1">
      <c r="A193" s="450"/>
      <c r="B193" s="450"/>
      <c r="C193" s="215" t="s">
        <v>351</v>
      </c>
      <c r="D193" s="359" t="s">
        <v>352</v>
      </c>
      <c r="E193" s="472"/>
      <c r="F193" s="636"/>
      <c r="G193" s="489"/>
      <c r="H193" s="489">
        <v>3000</v>
      </c>
      <c r="I193" s="489">
        <f t="shared" si="20"/>
        <v>3000</v>
      </c>
      <c r="J193" s="489"/>
      <c r="K193" s="489"/>
      <c r="L193" s="489">
        <f t="shared" si="15"/>
        <v>0</v>
      </c>
      <c r="M193" s="489">
        <f t="shared" si="16"/>
        <v>0</v>
      </c>
      <c r="N193" s="489">
        <f t="shared" si="17"/>
        <v>3000</v>
      </c>
      <c r="O193" s="489">
        <f t="shared" si="18"/>
        <v>3000</v>
      </c>
    </row>
    <row r="194" spans="1:15" ht="15" customHeight="1">
      <c r="A194" s="450"/>
      <c r="B194" s="450"/>
      <c r="C194" s="215" t="s">
        <v>652</v>
      </c>
      <c r="D194" s="356" t="s">
        <v>588</v>
      </c>
      <c r="E194" s="472"/>
      <c r="F194" s="636" t="s">
        <v>1261</v>
      </c>
      <c r="G194" s="489"/>
      <c r="H194" s="489"/>
      <c r="I194" s="489"/>
      <c r="J194" s="489">
        <v>222192</v>
      </c>
      <c r="K194" s="489"/>
      <c r="L194" s="489">
        <f t="shared" si="15"/>
        <v>222192</v>
      </c>
      <c r="M194" s="489">
        <f t="shared" si="16"/>
        <v>222192</v>
      </c>
      <c r="N194" s="489"/>
      <c r="O194" s="489">
        <f t="shared" si="18"/>
        <v>222192</v>
      </c>
    </row>
    <row r="195" spans="1:15" ht="12.75" customHeight="1">
      <c r="A195" s="450"/>
      <c r="B195" s="450"/>
      <c r="C195" s="285" t="s">
        <v>186</v>
      </c>
      <c r="D195" s="286" t="s">
        <v>187</v>
      </c>
      <c r="E195" s="472"/>
      <c r="F195" s="636"/>
      <c r="G195" s="489"/>
      <c r="H195" s="489"/>
      <c r="I195" s="489">
        <f t="shared" si="20"/>
        <v>0</v>
      </c>
      <c r="J195" s="489"/>
      <c r="K195" s="489"/>
      <c r="L195" s="489"/>
      <c r="M195" s="489"/>
      <c r="N195" s="489"/>
      <c r="O195" s="489"/>
    </row>
    <row r="196" spans="1:15" ht="12.75" customHeight="1">
      <c r="A196" s="450"/>
      <c r="B196" s="450"/>
      <c r="C196" s="291" t="s">
        <v>188</v>
      </c>
      <c r="D196" s="345" t="s">
        <v>890</v>
      </c>
      <c r="E196" s="472"/>
      <c r="F196" s="636"/>
      <c r="G196" s="489">
        <v>0</v>
      </c>
      <c r="H196" s="489">
        <v>8000</v>
      </c>
      <c r="I196" s="489">
        <f t="shared" si="20"/>
        <v>8000</v>
      </c>
      <c r="J196" s="489"/>
      <c r="K196" s="489"/>
      <c r="L196" s="489">
        <f t="shared" si="15"/>
        <v>0</v>
      </c>
      <c r="M196" s="489">
        <f t="shared" si="16"/>
        <v>0</v>
      </c>
      <c r="N196" s="489">
        <f t="shared" si="17"/>
        <v>8000</v>
      </c>
      <c r="O196" s="489">
        <f t="shared" si="18"/>
        <v>8000</v>
      </c>
    </row>
    <row r="197" spans="1:15" ht="12.75" customHeight="1">
      <c r="A197" s="450"/>
      <c r="B197" s="450"/>
      <c r="C197" s="291" t="s">
        <v>189</v>
      </c>
      <c r="D197" s="474" t="s">
        <v>1203</v>
      </c>
      <c r="E197" s="324"/>
      <c r="F197" s="607"/>
      <c r="G197" s="489">
        <v>2000</v>
      </c>
      <c r="H197" s="489">
        <v>0</v>
      </c>
      <c r="I197" s="489">
        <f t="shared" si="20"/>
        <v>2000</v>
      </c>
      <c r="J197" s="489"/>
      <c r="K197" s="489"/>
      <c r="L197" s="489">
        <f t="shared" si="15"/>
        <v>0</v>
      </c>
      <c r="M197" s="489">
        <f t="shared" si="16"/>
        <v>2000</v>
      </c>
      <c r="N197" s="489">
        <f t="shared" si="17"/>
        <v>0</v>
      </c>
      <c r="O197" s="489">
        <f t="shared" si="18"/>
        <v>2000</v>
      </c>
    </row>
    <row r="198" spans="1:15" ht="12.75" customHeight="1">
      <c r="A198" s="450"/>
      <c r="B198" s="450"/>
      <c r="C198" s="291" t="s">
        <v>190</v>
      </c>
      <c r="D198" s="469" t="s">
        <v>1191</v>
      </c>
      <c r="E198" s="365"/>
      <c r="F198" s="671"/>
      <c r="G198" s="489">
        <v>3287</v>
      </c>
      <c r="H198" s="489">
        <v>0</v>
      </c>
      <c r="I198" s="489">
        <f t="shared" si="20"/>
        <v>3287</v>
      </c>
      <c r="J198" s="489"/>
      <c r="K198" s="489"/>
      <c r="L198" s="489">
        <f t="shared" si="15"/>
        <v>0</v>
      </c>
      <c r="M198" s="489">
        <f t="shared" si="16"/>
        <v>3287</v>
      </c>
      <c r="N198" s="489">
        <f t="shared" si="17"/>
        <v>0</v>
      </c>
      <c r="O198" s="489">
        <f t="shared" si="18"/>
        <v>3287</v>
      </c>
    </row>
    <row r="199" spans="1:15" ht="12.75" customHeight="1">
      <c r="A199" s="450"/>
      <c r="B199" s="450"/>
      <c r="C199" s="215" t="s">
        <v>653</v>
      </c>
      <c r="D199" s="469" t="s">
        <v>654</v>
      </c>
      <c r="E199" s="365"/>
      <c r="F199" s="671" t="s">
        <v>399</v>
      </c>
      <c r="G199" s="489"/>
      <c r="H199" s="489"/>
      <c r="I199" s="489"/>
      <c r="J199" s="489">
        <v>7535</v>
      </c>
      <c r="K199" s="489"/>
      <c r="L199" s="489">
        <f t="shared" si="15"/>
        <v>7535</v>
      </c>
      <c r="M199" s="489">
        <f t="shared" si="16"/>
        <v>7535</v>
      </c>
      <c r="N199" s="489"/>
      <c r="O199" s="489">
        <f t="shared" si="18"/>
        <v>7535</v>
      </c>
    </row>
    <row r="200" spans="1:15" ht="12.75" customHeight="1">
      <c r="A200" s="450"/>
      <c r="B200" s="450"/>
      <c r="C200" s="285"/>
      <c r="D200" s="457" t="s">
        <v>279</v>
      </c>
      <c r="E200" s="472"/>
      <c r="F200" s="636"/>
      <c r="G200" s="489"/>
      <c r="H200" s="489"/>
      <c r="I200" s="489">
        <f t="shared" si="20"/>
        <v>0</v>
      </c>
      <c r="J200" s="489"/>
      <c r="K200" s="489"/>
      <c r="L200" s="489"/>
      <c r="M200" s="489"/>
      <c r="N200" s="489"/>
      <c r="O200" s="489"/>
    </row>
    <row r="201" spans="1:15" ht="12.75" customHeight="1">
      <c r="A201" s="450"/>
      <c r="B201" s="450"/>
      <c r="C201" s="291" t="s">
        <v>31</v>
      </c>
      <c r="D201" s="475" t="s">
        <v>212</v>
      </c>
      <c r="E201" s="472"/>
      <c r="F201" s="636"/>
      <c r="G201" s="489">
        <v>162</v>
      </c>
      <c r="H201" s="489">
        <v>412</v>
      </c>
      <c r="I201" s="489">
        <f t="shared" si="20"/>
        <v>574</v>
      </c>
      <c r="J201" s="489"/>
      <c r="K201" s="489"/>
      <c r="L201" s="489">
        <f t="shared" si="15"/>
        <v>0</v>
      </c>
      <c r="M201" s="489">
        <f t="shared" si="16"/>
        <v>162</v>
      </c>
      <c r="N201" s="489">
        <f t="shared" si="17"/>
        <v>412</v>
      </c>
      <c r="O201" s="489">
        <f t="shared" si="18"/>
        <v>574</v>
      </c>
    </row>
    <row r="202" spans="1:15" ht="12.75" customHeight="1">
      <c r="A202" s="470"/>
      <c r="B202" s="470"/>
      <c r="C202" s="476"/>
      <c r="D202" s="477" t="s">
        <v>1228</v>
      </c>
      <c r="E202" s="478"/>
      <c r="F202" s="637"/>
      <c r="G202" s="479">
        <f>SUM(G179:G201)</f>
        <v>105420</v>
      </c>
      <c r="H202" s="479">
        <f aca="true" t="shared" si="21" ref="H202:O202">SUM(H179:H201)</f>
        <v>11412</v>
      </c>
      <c r="I202" s="479">
        <f t="shared" si="21"/>
        <v>116832</v>
      </c>
      <c r="J202" s="479">
        <f t="shared" si="21"/>
        <v>228540</v>
      </c>
      <c r="K202" s="479">
        <f t="shared" si="21"/>
        <v>0</v>
      </c>
      <c r="L202" s="479">
        <f t="shared" si="21"/>
        <v>228540</v>
      </c>
      <c r="M202" s="479">
        <f t="shared" si="21"/>
        <v>333960</v>
      </c>
      <c r="N202" s="479">
        <f t="shared" si="21"/>
        <v>11412</v>
      </c>
      <c r="O202" s="479">
        <f t="shared" si="21"/>
        <v>345372</v>
      </c>
    </row>
    <row r="203" spans="1:15" ht="12.75" customHeight="1">
      <c r="A203" s="443">
        <v>1</v>
      </c>
      <c r="B203" s="443">
        <v>17</v>
      </c>
      <c r="C203" s="480"/>
      <c r="D203" s="466" t="s">
        <v>198</v>
      </c>
      <c r="E203" s="481"/>
      <c r="F203" s="638"/>
      <c r="G203" s="489"/>
      <c r="H203" s="489"/>
      <c r="I203" s="482"/>
      <c r="J203" s="489"/>
      <c r="K203" s="489"/>
      <c r="L203" s="489"/>
      <c r="M203" s="489"/>
      <c r="N203" s="489"/>
      <c r="O203" s="489"/>
    </row>
    <row r="204" spans="1:15" ht="12.75" customHeight="1">
      <c r="A204" s="443"/>
      <c r="B204" s="443"/>
      <c r="C204" s="480"/>
      <c r="D204" s="466" t="s">
        <v>891</v>
      </c>
      <c r="E204" s="481"/>
      <c r="F204" s="638"/>
      <c r="G204" s="489"/>
      <c r="H204" s="489"/>
      <c r="I204" s="482"/>
      <c r="J204" s="489"/>
      <c r="K204" s="489"/>
      <c r="L204" s="489"/>
      <c r="M204" s="489"/>
      <c r="N204" s="489"/>
      <c r="O204" s="489"/>
    </row>
    <row r="205" spans="1:15" ht="24.75" customHeight="1">
      <c r="A205" s="443"/>
      <c r="B205" s="443"/>
      <c r="C205" s="483" t="s">
        <v>45</v>
      </c>
      <c r="D205" s="484" t="s">
        <v>32</v>
      </c>
      <c r="E205" s="485"/>
      <c r="F205" s="638"/>
      <c r="G205" s="489">
        <v>31564</v>
      </c>
      <c r="H205" s="489">
        <v>0</v>
      </c>
      <c r="I205" s="489">
        <f>SUM(G205:H205)</f>
        <v>31564</v>
      </c>
      <c r="J205" s="489"/>
      <c r="K205" s="489"/>
      <c r="L205" s="489">
        <f t="shared" si="15"/>
        <v>0</v>
      </c>
      <c r="M205" s="489">
        <f t="shared" si="16"/>
        <v>31564</v>
      </c>
      <c r="N205" s="489">
        <f t="shared" si="17"/>
        <v>0</v>
      </c>
      <c r="O205" s="489">
        <f t="shared" si="18"/>
        <v>31564</v>
      </c>
    </row>
    <row r="206" spans="1:15" ht="36" customHeight="1">
      <c r="A206" s="443"/>
      <c r="B206" s="443"/>
      <c r="C206" s="483" t="s">
        <v>124</v>
      </c>
      <c r="D206" s="484" t="s">
        <v>41</v>
      </c>
      <c r="E206" s="485"/>
      <c r="F206" s="638"/>
      <c r="G206" s="489">
        <v>0</v>
      </c>
      <c r="H206" s="489">
        <v>11131</v>
      </c>
      <c r="I206" s="489">
        <f>SUM(G206:H206)</f>
        <v>11131</v>
      </c>
      <c r="J206" s="489"/>
      <c r="K206" s="489"/>
      <c r="L206" s="489">
        <f t="shared" si="15"/>
        <v>0</v>
      </c>
      <c r="M206" s="489">
        <f t="shared" si="16"/>
        <v>0</v>
      </c>
      <c r="N206" s="489">
        <f t="shared" si="17"/>
        <v>11131</v>
      </c>
      <c r="O206" s="489">
        <f t="shared" si="18"/>
        <v>11131</v>
      </c>
    </row>
    <row r="207" spans="1:15" ht="15" customHeight="1">
      <c r="A207" s="443"/>
      <c r="B207" s="443"/>
      <c r="C207" s="483" t="s">
        <v>126</v>
      </c>
      <c r="D207" s="484" t="s">
        <v>1242</v>
      </c>
      <c r="E207" s="485"/>
      <c r="F207" s="638"/>
      <c r="G207" s="489"/>
      <c r="H207" s="489">
        <v>13970</v>
      </c>
      <c r="I207" s="489">
        <f>SUM(G207:H207)</f>
        <v>13970</v>
      </c>
      <c r="J207" s="489"/>
      <c r="K207" s="489">
        <v>-2247</v>
      </c>
      <c r="L207" s="489">
        <f t="shared" si="15"/>
        <v>-2247</v>
      </c>
      <c r="M207" s="489">
        <f t="shared" si="16"/>
        <v>0</v>
      </c>
      <c r="N207" s="489">
        <f t="shared" si="17"/>
        <v>11723</v>
      </c>
      <c r="O207" s="489">
        <f t="shared" si="18"/>
        <v>11723</v>
      </c>
    </row>
    <row r="208" spans="1:15" ht="25.5" customHeight="1">
      <c r="A208" s="443"/>
      <c r="B208" s="443"/>
      <c r="C208" s="483" t="s">
        <v>128</v>
      </c>
      <c r="D208" s="685" t="s">
        <v>655</v>
      </c>
      <c r="E208" s="485"/>
      <c r="F208" s="638" t="s">
        <v>1261</v>
      </c>
      <c r="G208" s="489"/>
      <c r="H208" s="489"/>
      <c r="I208" s="489"/>
      <c r="J208" s="489"/>
      <c r="K208" s="489">
        <v>5595</v>
      </c>
      <c r="L208" s="489">
        <f t="shared" si="15"/>
        <v>5595</v>
      </c>
      <c r="M208" s="489">
        <f t="shared" si="16"/>
        <v>0</v>
      </c>
      <c r="N208" s="489">
        <f t="shared" si="17"/>
        <v>5595</v>
      </c>
      <c r="O208" s="489">
        <f t="shared" si="18"/>
        <v>5595</v>
      </c>
    </row>
    <row r="209" spans="1:15" ht="15" customHeight="1">
      <c r="A209" s="443"/>
      <c r="B209" s="443"/>
      <c r="C209" s="483" t="s">
        <v>129</v>
      </c>
      <c r="D209" s="699" t="s">
        <v>304</v>
      </c>
      <c r="E209" s="485"/>
      <c r="F209" s="638" t="s">
        <v>1261</v>
      </c>
      <c r="G209" s="489"/>
      <c r="H209" s="489"/>
      <c r="I209" s="489"/>
      <c r="J209" s="489">
        <v>373</v>
      </c>
      <c r="K209" s="489"/>
      <c r="L209" s="489">
        <v>373</v>
      </c>
      <c r="M209" s="489">
        <f t="shared" si="16"/>
        <v>373</v>
      </c>
      <c r="N209" s="489"/>
      <c r="O209" s="489">
        <v>373</v>
      </c>
    </row>
    <row r="210" spans="1:15" ht="15.75" customHeight="1">
      <c r="A210" s="443"/>
      <c r="B210" s="443"/>
      <c r="C210" s="483" t="s">
        <v>130</v>
      </c>
      <c r="D210" s="700" t="s">
        <v>298</v>
      </c>
      <c r="E210" s="485"/>
      <c r="F210" s="638" t="s">
        <v>1261</v>
      </c>
      <c r="G210" s="489"/>
      <c r="H210" s="489"/>
      <c r="I210" s="489"/>
      <c r="J210" s="489"/>
      <c r="K210" s="489">
        <v>520</v>
      </c>
      <c r="L210" s="489">
        <v>520</v>
      </c>
      <c r="M210" s="489"/>
      <c r="N210" s="489">
        <f t="shared" si="17"/>
        <v>520</v>
      </c>
      <c r="O210" s="489">
        <f t="shared" si="18"/>
        <v>520</v>
      </c>
    </row>
    <row r="211" spans="1:15" ht="12.75" customHeight="1">
      <c r="A211" s="470"/>
      <c r="B211" s="470"/>
      <c r="C211" s="476"/>
      <c r="D211" s="477" t="s">
        <v>1215</v>
      </c>
      <c r="E211" s="478"/>
      <c r="F211" s="637"/>
      <c r="G211" s="479">
        <f>SUM(G205:G207)</f>
        <v>31564</v>
      </c>
      <c r="H211" s="479">
        <f>SUM(H205:H207)</f>
        <v>25101</v>
      </c>
      <c r="I211" s="479">
        <f>SUM(I205:I207)</f>
        <v>56665</v>
      </c>
      <c r="J211" s="479">
        <f aca="true" t="shared" si="22" ref="J211:O211">SUM(J205:J210)</f>
        <v>373</v>
      </c>
      <c r="K211" s="479">
        <f t="shared" si="22"/>
        <v>3868</v>
      </c>
      <c r="L211" s="479">
        <f t="shared" si="22"/>
        <v>4241</v>
      </c>
      <c r="M211" s="479">
        <f t="shared" si="22"/>
        <v>31937</v>
      </c>
      <c r="N211" s="479">
        <f t="shared" si="22"/>
        <v>28969</v>
      </c>
      <c r="O211" s="479">
        <f t="shared" si="22"/>
        <v>60906</v>
      </c>
    </row>
    <row r="212" spans="1:15" ht="12.75" customHeight="1">
      <c r="A212" s="443">
        <v>1</v>
      </c>
      <c r="B212" s="443">
        <v>19</v>
      </c>
      <c r="C212" s="480"/>
      <c r="D212" s="486" t="s">
        <v>199</v>
      </c>
      <c r="E212" s="481"/>
      <c r="F212" s="638"/>
      <c r="G212" s="489"/>
      <c r="H212" s="489"/>
      <c r="I212" s="489"/>
      <c r="J212" s="489"/>
      <c r="K212" s="489"/>
      <c r="L212" s="489"/>
      <c r="M212" s="489"/>
      <c r="N212" s="489"/>
      <c r="O212" s="489"/>
    </row>
    <row r="213" spans="1:15" ht="12.75" customHeight="1">
      <c r="A213" s="443"/>
      <c r="B213" s="443"/>
      <c r="C213" s="480"/>
      <c r="D213" s="457" t="s">
        <v>279</v>
      </c>
      <c r="E213" s="481"/>
      <c r="F213" s="638"/>
      <c r="G213" s="489"/>
      <c r="H213" s="489"/>
      <c r="I213" s="489"/>
      <c r="J213" s="489"/>
      <c r="K213" s="489"/>
      <c r="L213" s="489"/>
      <c r="M213" s="489"/>
      <c r="N213" s="489"/>
      <c r="O213" s="489"/>
    </row>
    <row r="214" spans="1:15" ht="12.75" customHeight="1">
      <c r="A214" s="443"/>
      <c r="B214" s="443"/>
      <c r="C214" s="483" t="s">
        <v>1265</v>
      </c>
      <c r="D214" s="487" t="s">
        <v>1207</v>
      </c>
      <c r="E214" s="481"/>
      <c r="F214" s="638"/>
      <c r="G214" s="489">
        <v>0</v>
      </c>
      <c r="H214" s="489">
        <v>2000</v>
      </c>
      <c r="I214" s="489">
        <f>SUM(G214:H214)</f>
        <v>2000</v>
      </c>
      <c r="J214" s="489"/>
      <c r="K214" s="489"/>
      <c r="L214" s="489">
        <f t="shared" si="15"/>
        <v>0</v>
      </c>
      <c r="M214" s="489">
        <f t="shared" si="16"/>
        <v>0</v>
      </c>
      <c r="N214" s="489">
        <f t="shared" si="17"/>
        <v>2000</v>
      </c>
      <c r="O214" s="489">
        <f t="shared" si="18"/>
        <v>2000</v>
      </c>
    </row>
    <row r="215" spans="1:15" ht="12.75" customHeight="1">
      <c r="A215" s="470"/>
      <c r="B215" s="470"/>
      <c r="C215" s="476"/>
      <c r="D215" s="477" t="s">
        <v>200</v>
      </c>
      <c r="E215" s="478"/>
      <c r="F215" s="637"/>
      <c r="G215" s="479">
        <f>SUM(G213:G214)</f>
        <v>0</v>
      </c>
      <c r="H215" s="479">
        <f aca="true" t="shared" si="23" ref="H215:O215">SUM(H213:H214)</f>
        <v>2000</v>
      </c>
      <c r="I215" s="479">
        <f t="shared" si="23"/>
        <v>2000</v>
      </c>
      <c r="J215" s="479">
        <f t="shared" si="23"/>
        <v>0</v>
      </c>
      <c r="K215" s="479">
        <f t="shared" si="23"/>
        <v>0</v>
      </c>
      <c r="L215" s="479">
        <f t="shared" si="23"/>
        <v>0</v>
      </c>
      <c r="M215" s="479">
        <f t="shared" si="23"/>
        <v>0</v>
      </c>
      <c r="N215" s="479">
        <f t="shared" si="23"/>
        <v>2000</v>
      </c>
      <c r="O215" s="479">
        <f t="shared" si="23"/>
        <v>2000</v>
      </c>
    </row>
    <row r="216" spans="1:15" ht="12.75" customHeight="1">
      <c r="A216" s="411">
        <v>1</v>
      </c>
      <c r="B216" s="411">
        <v>30</v>
      </c>
      <c r="C216" s="411"/>
      <c r="D216" s="412" t="s">
        <v>1218</v>
      </c>
      <c r="E216" s="488"/>
      <c r="F216" s="639"/>
      <c r="G216" s="489"/>
      <c r="H216" s="489"/>
      <c r="I216" s="489"/>
      <c r="J216" s="489"/>
      <c r="K216" s="489"/>
      <c r="L216" s="489"/>
      <c r="M216" s="489"/>
      <c r="N216" s="489"/>
      <c r="O216" s="489"/>
    </row>
    <row r="217" spans="1:15" ht="12.75" customHeight="1">
      <c r="A217" s="411"/>
      <c r="B217" s="411"/>
      <c r="C217" s="411" t="s">
        <v>45</v>
      </c>
      <c r="D217" s="490" t="s">
        <v>94</v>
      </c>
      <c r="E217" s="491"/>
      <c r="F217" s="639" t="s">
        <v>210</v>
      </c>
      <c r="G217" s="489">
        <v>8633</v>
      </c>
      <c r="H217" s="489">
        <v>0</v>
      </c>
      <c r="I217" s="489">
        <f>SUM(G217:H217)</f>
        <v>8633</v>
      </c>
      <c r="J217" s="489">
        <v>-882</v>
      </c>
      <c r="K217" s="489"/>
      <c r="L217" s="489">
        <f t="shared" si="15"/>
        <v>-882</v>
      </c>
      <c r="M217" s="489">
        <f t="shared" si="16"/>
        <v>7751</v>
      </c>
      <c r="N217" s="489">
        <f t="shared" si="17"/>
        <v>0</v>
      </c>
      <c r="O217" s="489">
        <f t="shared" si="18"/>
        <v>7751</v>
      </c>
    </row>
    <row r="218" spans="1:15" ht="12.75" customHeight="1">
      <c r="A218" s="492"/>
      <c r="B218" s="492"/>
      <c r="C218" s="492"/>
      <c r="D218" s="493" t="s">
        <v>1219</v>
      </c>
      <c r="E218" s="494"/>
      <c r="F218" s="640"/>
      <c r="G218" s="495">
        <f>SUM(G217:G217)</f>
        <v>8633</v>
      </c>
      <c r="H218" s="495">
        <f>SUM(H217:H217)</f>
        <v>0</v>
      </c>
      <c r="I218" s="495">
        <f>SUM(I217:I217)</f>
        <v>8633</v>
      </c>
      <c r="J218" s="641">
        <f>SUM(J217)</f>
        <v>-882</v>
      </c>
      <c r="K218" s="641"/>
      <c r="L218" s="641">
        <f t="shared" si="15"/>
        <v>-882</v>
      </c>
      <c r="M218" s="641">
        <f t="shared" si="16"/>
        <v>7751</v>
      </c>
      <c r="N218" s="641">
        <f t="shared" si="17"/>
        <v>0</v>
      </c>
      <c r="O218" s="641">
        <f t="shared" si="18"/>
        <v>7751</v>
      </c>
    </row>
    <row r="219" spans="1:15" ht="12.75" customHeight="1">
      <c r="A219" s="492"/>
      <c r="B219" s="492"/>
      <c r="C219" s="492"/>
      <c r="D219" s="388" t="s">
        <v>1179</v>
      </c>
      <c r="E219" s="494"/>
      <c r="F219" s="640"/>
      <c r="G219" s="495">
        <f>SUM(G52+G177+G202+G211+G215+G218)</f>
        <v>740939</v>
      </c>
      <c r="H219" s="495">
        <f>SUM(H52+H177+H202+H211+H215+H218)</f>
        <v>91280</v>
      </c>
      <c r="I219" s="495">
        <f>SUM(G219:H219)</f>
        <v>832219</v>
      </c>
      <c r="J219" s="495">
        <f>SUM(J52+J177+J202+J211+J215+J218)</f>
        <v>490431</v>
      </c>
      <c r="K219" s="495">
        <f>SUM(K52+K177+K202+K211+K215+K218)</f>
        <v>212382</v>
      </c>
      <c r="L219" s="495">
        <f>SUM(J219:K219)</f>
        <v>702813</v>
      </c>
      <c r="M219" s="495">
        <f>SUM(M52+M177+M202+M211+M215+M218)</f>
        <v>1231370</v>
      </c>
      <c r="N219" s="495">
        <f>SUM(N52+N177+N202+N211+N215+N218)</f>
        <v>303662</v>
      </c>
      <c r="O219" s="495">
        <f>SUM(M219:N219)</f>
        <v>1535032</v>
      </c>
    </row>
    <row r="220" spans="1:15" ht="12.75" customHeight="1">
      <c r="A220" s="496">
        <v>2</v>
      </c>
      <c r="B220" s="497"/>
      <c r="C220" s="497"/>
      <c r="D220" s="221" t="s">
        <v>1249</v>
      </c>
      <c r="E220" s="498"/>
      <c r="F220" s="642"/>
      <c r="G220" s="489">
        <v>77943</v>
      </c>
      <c r="H220" s="489">
        <v>0</v>
      </c>
      <c r="I220" s="676">
        <f>SUM(G220:H220)</f>
        <v>77943</v>
      </c>
      <c r="J220" s="489">
        <f>'táj.2.'!I20</f>
        <v>47865</v>
      </c>
      <c r="K220" s="489"/>
      <c r="L220" s="489">
        <f t="shared" si="15"/>
        <v>47865</v>
      </c>
      <c r="M220" s="489">
        <f t="shared" si="16"/>
        <v>125808</v>
      </c>
      <c r="N220" s="489">
        <f t="shared" si="17"/>
        <v>0</v>
      </c>
      <c r="O220" s="489">
        <f t="shared" si="18"/>
        <v>125808</v>
      </c>
    </row>
    <row r="221" spans="1:15" ht="12.75" customHeight="1">
      <c r="A221" s="499"/>
      <c r="B221" s="499"/>
      <c r="C221" s="499"/>
      <c r="D221" s="493" t="s">
        <v>1221</v>
      </c>
      <c r="E221" s="494"/>
      <c r="F221" s="640"/>
      <c r="G221" s="495">
        <f>SUM(G219+G220)</f>
        <v>818882</v>
      </c>
      <c r="H221" s="495">
        <f>SUM(H219+H220)</f>
        <v>91280</v>
      </c>
      <c r="I221" s="495">
        <f>SUM(G221:H221)</f>
        <v>910162</v>
      </c>
      <c r="J221" s="495">
        <f>SUM(J219:J220)</f>
        <v>538296</v>
      </c>
      <c r="K221" s="495">
        <f>SUM(K219:K220)</f>
        <v>212382</v>
      </c>
      <c r="L221" s="495">
        <f t="shared" si="15"/>
        <v>750678</v>
      </c>
      <c r="M221" s="495">
        <f>SUM(G221+J221)</f>
        <v>1357178</v>
      </c>
      <c r="N221" s="495">
        <f>SUM(H221+K221)</f>
        <v>303662</v>
      </c>
      <c r="O221" s="495">
        <f t="shared" si="18"/>
        <v>1660840</v>
      </c>
    </row>
    <row r="222" spans="1:12" ht="13.5" customHeight="1">
      <c r="A222" s="394" t="s">
        <v>1208</v>
      </c>
      <c r="B222" s="394"/>
      <c r="C222" s="394"/>
      <c r="D222" s="394"/>
      <c r="E222" s="394"/>
      <c r="F222" s="394"/>
      <c r="G222" s="394"/>
      <c r="H222" s="394"/>
      <c r="I222" s="394"/>
      <c r="L222" s="627"/>
    </row>
    <row r="223" spans="1:9" ht="13.5" customHeight="1">
      <c r="A223" s="500"/>
      <c r="B223" s="500"/>
      <c r="C223" s="500"/>
      <c r="D223" s="501"/>
      <c r="E223" s="501"/>
      <c r="F223" s="501"/>
      <c r="G223" s="502"/>
      <c r="H223" s="503"/>
      <c r="I223" s="503"/>
    </row>
    <row r="224" spans="1:3" ht="12">
      <c r="A224" s="504"/>
      <c r="B224" s="505"/>
      <c r="C224" s="505"/>
    </row>
    <row r="225" spans="1:3" ht="12">
      <c r="A225" s="505"/>
      <c r="B225" s="505"/>
      <c r="C225" s="505"/>
    </row>
    <row r="226" spans="1:3" ht="12">
      <c r="A226" s="505"/>
      <c r="B226" s="505"/>
      <c r="C226" s="505"/>
    </row>
  </sheetData>
  <sheetProtection selectLockedCells="1" selectUnlockedCells="1"/>
  <mergeCells count="5">
    <mergeCell ref="M1:O1"/>
    <mergeCell ref="D37:E37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.00390625" style="56" customWidth="1"/>
    <col min="2" max="2" width="35.00390625" style="53" customWidth="1"/>
    <col min="3" max="4" width="11.375" style="53" customWidth="1"/>
    <col min="5" max="6" width="11.875" style="53" customWidth="1"/>
    <col min="7" max="7" width="10.50390625" style="53" customWidth="1"/>
    <col min="8" max="8" width="12.00390625" style="53" customWidth="1"/>
    <col min="9" max="9" width="11.50390625" style="53" customWidth="1"/>
    <col min="10" max="10" width="11.625" style="53" customWidth="1"/>
    <col min="11" max="11" width="11.375" style="53" customWidth="1"/>
    <col min="12" max="12" width="12.875" style="53" customWidth="1"/>
    <col min="13" max="13" width="13.125" style="53" customWidth="1"/>
    <col min="14" max="14" width="9.50390625" style="53" customWidth="1"/>
    <col min="15" max="15" width="13.125" style="53" customWidth="1"/>
    <col min="16" max="16384" width="9.375" style="53" customWidth="1"/>
  </cols>
  <sheetData>
    <row r="1" spans="1:15" ht="14.25" customHeight="1">
      <c r="A1" s="798" t="s">
        <v>240</v>
      </c>
      <c r="B1" s="798" t="s">
        <v>1253</v>
      </c>
      <c r="C1" s="802" t="s">
        <v>246</v>
      </c>
      <c r="D1" s="802" t="s">
        <v>986</v>
      </c>
      <c r="E1" s="798" t="s">
        <v>247</v>
      </c>
      <c r="F1" s="800"/>
      <c r="G1" s="800"/>
      <c r="H1" s="800"/>
      <c r="I1" s="800"/>
      <c r="J1" s="800"/>
      <c r="K1" s="800"/>
      <c r="L1" s="801" t="s">
        <v>248</v>
      </c>
      <c r="M1" s="800"/>
      <c r="N1" s="800"/>
      <c r="O1" s="798" t="s">
        <v>249</v>
      </c>
    </row>
    <row r="2" spans="1:15" ht="81.75" customHeight="1">
      <c r="A2" s="799"/>
      <c r="B2" s="799"/>
      <c r="C2" s="803"/>
      <c r="D2" s="803"/>
      <c r="E2" s="211" t="s">
        <v>250</v>
      </c>
      <c r="F2" s="211" t="s">
        <v>251</v>
      </c>
      <c r="G2" s="211" t="s">
        <v>1006</v>
      </c>
      <c r="H2" s="211" t="s">
        <v>252</v>
      </c>
      <c r="I2" s="211" t="s">
        <v>1250</v>
      </c>
      <c r="J2" s="211" t="s">
        <v>253</v>
      </c>
      <c r="K2" s="211" t="s">
        <v>254</v>
      </c>
      <c r="L2" s="211" t="s">
        <v>255</v>
      </c>
      <c r="M2" s="211" t="s">
        <v>256</v>
      </c>
      <c r="N2" s="211" t="s">
        <v>257</v>
      </c>
      <c r="O2" s="798"/>
    </row>
    <row r="3" spans="1:15" ht="15" customHeight="1">
      <c r="A3" s="210">
        <v>2</v>
      </c>
      <c r="B3" s="151" t="s">
        <v>196</v>
      </c>
      <c r="C3" s="152">
        <v>1237075</v>
      </c>
      <c r="D3" s="152">
        <f>76650+'táj.1.'!M3</f>
        <v>80429</v>
      </c>
      <c r="E3" s="212">
        <f>21704+'táj.1.'!C3</f>
        <v>30832</v>
      </c>
      <c r="F3" s="212">
        <f>0+'táj.1.'!D3</f>
        <v>0</v>
      </c>
      <c r="G3" s="212">
        <f>0+'táj.1.'!E3</f>
        <v>0</v>
      </c>
      <c r="H3" s="585">
        <f>12400+'táj.1.'!F3</f>
        <v>15400</v>
      </c>
      <c r="I3" s="585">
        <f>0+'táj.1.'!G3</f>
        <v>264</v>
      </c>
      <c r="J3" s="585">
        <f>0+'táj.1.'!H3</f>
        <v>0</v>
      </c>
      <c r="K3" s="585">
        <f>0+'táj.1.'!I3</f>
        <v>0</v>
      </c>
      <c r="L3" s="585">
        <f>151729+'táj.1.'!J3</f>
        <v>151729</v>
      </c>
      <c r="M3" s="585">
        <f>1127892+'táj.1.'!K3</f>
        <v>1119279</v>
      </c>
      <c r="N3" s="585">
        <f>0+'táj.1.'!L3</f>
        <v>0</v>
      </c>
      <c r="O3" s="585">
        <f aca="true" t="shared" si="0" ref="O3:O19">SUM(E3:N3)</f>
        <v>1317504</v>
      </c>
    </row>
    <row r="4" spans="1:15" s="54" customFormat="1" ht="28.5" customHeight="1">
      <c r="A4" s="210">
        <v>3</v>
      </c>
      <c r="B4" s="151" t="s">
        <v>230</v>
      </c>
      <c r="C4" s="152">
        <v>1361767</v>
      </c>
      <c r="D4" s="152">
        <f>46563+'táj.1.'!M4</f>
        <v>49624</v>
      </c>
      <c r="E4" s="212">
        <f>7067+'táj.1.'!C4</f>
        <v>8004</v>
      </c>
      <c r="F4" s="212">
        <f>9700+'táj.1.'!D4</f>
        <v>11100</v>
      </c>
      <c r="G4" s="212">
        <f>0+'táj.1.'!E4</f>
        <v>0</v>
      </c>
      <c r="H4" s="585">
        <f>411358+'táj.1.'!F4</f>
        <v>411358</v>
      </c>
      <c r="I4" s="585">
        <f>0+'táj.1.'!G4</f>
        <v>0</v>
      </c>
      <c r="J4" s="585">
        <f>0+'táj.1.'!H4</f>
        <v>0</v>
      </c>
      <c r="K4" s="585">
        <f>0+'táj.1.'!I4</f>
        <v>0</v>
      </c>
      <c r="L4" s="585">
        <f>41560+'táj.1.'!J4</f>
        <v>41560</v>
      </c>
      <c r="M4" s="585">
        <f>938645+'táj.1.'!K4</f>
        <v>939369</v>
      </c>
      <c r="N4" s="585">
        <f>0+'táj.1.'!L4</f>
        <v>0</v>
      </c>
      <c r="O4" s="585">
        <f t="shared" si="0"/>
        <v>1411391</v>
      </c>
    </row>
    <row r="5" spans="1:15" s="54" customFormat="1" ht="19.5" customHeight="1">
      <c r="A5" s="210">
        <v>4</v>
      </c>
      <c r="B5" s="151" t="s">
        <v>231</v>
      </c>
      <c r="C5" s="152">
        <v>362804</v>
      </c>
      <c r="D5" s="152">
        <f>43155+'táj.1.'!M5</f>
        <v>50305</v>
      </c>
      <c r="E5" s="212">
        <f>8791+'táj.1.'!C5</f>
        <v>9857</v>
      </c>
      <c r="F5" s="212">
        <f>15682+'táj.1.'!D5</f>
        <v>15682</v>
      </c>
      <c r="G5" s="212">
        <f>0+'táj.1.'!E5</f>
        <v>0</v>
      </c>
      <c r="H5" s="585">
        <f>106176+'táj.1.'!F5</f>
        <v>107376</v>
      </c>
      <c r="I5" s="585">
        <f>0+'táj.1.'!G5</f>
        <v>0</v>
      </c>
      <c r="J5" s="585">
        <f>0+'táj.1.'!H5</f>
        <v>0</v>
      </c>
      <c r="K5" s="585">
        <f>0+'táj.1.'!I5</f>
        <v>0</v>
      </c>
      <c r="L5" s="585">
        <f>859+'táj.1.'!J5</f>
        <v>859</v>
      </c>
      <c r="M5" s="585">
        <f>274451+'táj.1.'!K5</f>
        <v>279335</v>
      </c>
      <c r="N5" s="585">
        <f>0+'táj.1.'!L5</f>
        <v>0</v>
      </c>
      <c r="O5" s="585">
        <f t="shared" si="0"/>
        <v>413109</v>
      </c>
    </row>
    <row r="6" spans="1:15" s="54" customFormat="1" ht="32.25" customHeight="1">
      <c r="A6" s="210">
        <v>5</v>
      </c>
      <c r="B6" s="201" t="s">
        <v>232</v>
      </c>
      <c r="C6" s="128">
        <v>316218</v>
      </c>
      <c r="D6" s="152">
        <f>97326+'táj.1.'!M6</f>
        <v>99013</v>
      </c>
      <c r="E6" s="212">
        <f>289942+'táj.1.'!C6</f>
        <v>289942</v>
      </c>
      <c r="F6" s="212">
        <f>1000+'táj.1.'!D6</f>
        <v>1000</v>
      </c>
      <c r="G6" s="212">
        <f>0+'táj.1.'!E6</f>
        <v>0</v>
      </c>
      <c r="H6" s="585">
        <f>3000+'táj.1.'!F6</f>
        <v>3000</v>
      </c>
      <c r="I6" s="585">
        <f>0+'táj.1.'!G6</f>
        <v>0</v>
      </c>
      <c r="J6" s="585">
        <f>0+'táj.1.'!H6</f>
        <v>0</v>
      </c>
      <c r="K6" s="585">
        <f>0+'táj.1.'!I6</f>
        <v>0</v>
      </c>
      <c r="L6" s="585">
        <f>57550+'táj.1.'!J6</f>
        <v>57550</v>
      </c>
      <c r="M6" s="585">
        <f>62052+'táj.1.'!K6</f>
        <v>63739</v>
      </c>
      <c r="N6" s="585">
        <f>0+'táj.1.'!L6</f>
        <v>0</v>
      </c>
      <c r="O6" s="585">
        <f t="shared" si="0"/>
        <v>415231</v>
      </c>
    </row>
    <row r="7" spans="1:15" s="54" customFormat="1" ht="25.5">
      <c r="A7" s="210">
        <v>6</v>
      </c>
      <c r="B7" s="201" t="s">
        <v>233</v>
      </c>
      <c r="C7" s="128">
        <v>310239</v>
      </c>
      <c r="D7" s="152">
        <f>3852+'táj.1.'!M7</f>
        <v>12203</v>
      </c>
      <c r="E7" s="212">
        <f>1117+'táj.1.'!C7</f>
        <v>1517</v>
      </c>
      <c r="F7" s="212">
        <f>0+'táj.1.'!D7</f>
        <v>600</v>
      </c>
      <c r="G7" s="212">
        <f>0+'táj.1.'!E7</f>
        <v>0</v>
      </c>
      <c r="H7" s="585">
        <f>36430+'táj.1.'!F7</f>
        <v>36430</v>
      </c>
      <c r="I7" s="585">
        <f>0+'táj.1.'!G7</f>
        <v>0</v>
      </c>
      <c r="J7" s="585">
        <f>0+'táj.1.'!H7</f>
        <v>0</v>
      </c>
      <c r="K7" s="585">
        <f>0+'táj.1.'!I7</f>
        <v>0</v>
      </c>
      <c r="L7" s="585">
        <f>870+'táj.1.'!J7</f>
        <v>870</v>
      </c>
      <c r="M7" s="585">
        <f>275674+'táj.1.'!K7</f>
        <v>283025</v>
      </c>
      <c r="N7" s="585">
        <f>0+'táj.1.'!L7</f>
        <v>0</v>
      </c>
      <c r="O7" s="585">
        <f t="shared" si="0"/>
        <v>322442</v>
      </c>
    </row>
    <row r="8" spans="1:15" s="54" customFormat="1" ht="26.25" customHeight="1">
      <c r="A8" s="210">
        <v>7</v>
      </c>
      <c r="B8" s="201" t="s">
        <v>234</v>
      </c>
      <c r="C8" s="128">
        <v>288134</v>
      </c>
      <c r="D8" s="152">
        <f>5681+'táj.1.'!M8</f>
        <v>-2006</v>
      </c>
      <c r="E8" s="212">
        <f>2028+'táj.1.'!C8</f>
        <v>2028</v>
      </c>
      <c r="F8" s="212">
        <f>0+'táj.1.'!D8</f>
        <v>0</v>
      </c>
      <c r="G8" s="212">
        <f>0+'táj.1.'!E8</f>
        <v>0</v>
      </c>
      <c r="H8" s="585">
        <f>32119+'táj.1.'!F8</f>
        <v>32119</v>
      </c>
      <c r="I8" s="585">
        <f>0+'táj.1.'!G8</f>
        <v>0</v>
      </c>
      <c r="J8" s="585">
        <f>0+'táj.1.'!H8</f>
        <v>0</v>
      </c>
      <c r="K8" s="585">
        <f>0+'táj.1.'!I8</f>
        <v>0</v>
      </c>
      <c r="L8" s="585">
        <f>1584+'táj.1.'!J8</f>
        <v>1584</v>
      </c>
      <c r="M8" s="585">
        <f>258084+'táj.1.'!K8</f>
        <v>250397</v>
      </c>
      <c r="N8" s="585">
        <f>0+'táj.1.'!L8</f>
        <v>0</v>
      </c>
      <c r="O8" s="585">
        <f t="shared" si="0"/>
        <v>286128</v>
      </c>
    </row>
    <row r="9" spans="1:15" s="54" customFormat="1" ht="15" customHeight="1">
      <c r="A9" s="210">
        <v>8</v>
      </c>
      <c r="B9" s="201" t="s">
        <v>235</v>
      </c>
      <c r="C9" s="128">
        <v>283986</v>
      </c>
      <c r="D9" s="152">
        <f>3291+'táj.1.'!M9</f>
        <v>10396</v>
      </c>
      <c r="E9" s="212">
        <f>200+'táj.1.'!C9</f>
        <v>700</v>
      </c>
      <c r="F9" s="212">
        <f>0+'táj.1.'!D9</f>
        <v>0</v>
      </c>
      <c r="G9" s="212">
        <f>0+'táj.1.'!E9</f>
        <v>0</v>
      </c>
      <c r="H9" s="585">
        <f>27698+'táj.1.'!F9</f>
        <v>27798</v>
      </c>
      <c r="I9" s="585">
        <f>0+'táj.1.'!G9</f>
        <v>0</v>
      </c>
      <c r="J9" s="585">
        <f>0+'táj.1.'!H9</f>
        <v>0</v>
      </c>
      <c r="K9" s="585">
        <f>0+'táj.1.'!I9</f>
        <v>0</v>
      </c>
      <c r="L9" s="585">
        <f>757+'táj.1.'!J9</f>
        <v>757</v>
      </c>
      <c r="M9" s="585">
        <f>258622+'táj.1.'!K9</f>
        <v>265127</v>
      </c>
      <c r="N9" s="585">
        <f>0+'táj.1.'!L9</f>
        <v>0</v>
      </c>
      <c r="O9" s="585">
        <f t="shared" si="0"/>
        <v>294382</v>
      </c>
    </row>
    <row r="10" spans="1:15" s="54" customFormat="1" ht="19.5" customHeight="1">
      <c r="A10" s="210">
        <v>9</v>
      </c>
      <c r="B10" s="201" t="s">
        <v>236</v>
      </c>
      <c r="C10" s="128">
        <v>287762</v>
      </c>
      <c r="D10" s="152">
        <f>5146+'táj.1.'!M10</f>
        <v>-780</v>
      </c>
      <c r="E10" s="212">
        <f>2369+'táj.1.'!C10</f>
        <v>2369</v>
      </c>
      <c r="F10" s="212">
        <f>0+'táj.1.'!D10</f>
        <v>0</v>
      </c>
      <c r="G10" s="212">
        <f>0+'táj.1.'!E10</f>
        <v>0</v>
      </c>
      <c r="H10" s="585">
        <f>25240+'táj.1.'!F10</f>
        <v>25240</v>
      </c>
      <c r="I10" s="585">
        <f>0+'táj.1.'!G10</f>
        <v>0</v>
      </c>
      <c r="J10" s="585">
        <f>0+'táj.1.'!H10</f>
        <v>0</v>
      </c>
      <c r="K10" s="585">
        <f>0+'táj.1.'!I10</f>
        <v>0</v>
      </c>
      <c r="L10" s="585">
        <f>519+'táj.1.'!J10</f>
        <v>519</v>
      </c>
      <c r="M10" s="585">
        <f>264780+'táj.1.'!K10</f>
        <v>258854</v>
      </c>
      <c r="N10" s="585">
        <f>0+'táj.1.'!L10</f>
        <v>0</v>
      </c>
      <c r="O10" s="585">
        <f t="shared" si="0"/>
        <v>286982</v>
      </c>
    </row>
    <row r="11" spans="1:15" s="54" customFormat="1" ht="27" customHeight="1">
      <c r="A11" s="210">
        <v>10</v>
      </c>
      <c r="B11" s="201" t="s">
        <v>237</v>
      </c>
      <c r="C11" s="126">
        <v>112025</v>
      </c>
      <c r="D11" s="152">
        <f>42225+'táj.1.'!M11</f>
        <v>48048</v>
      </c>
      <c r="E11" s="212">
        <f>30481+'táj.1.'!C11</f>
        <v>33881</v>
      </c>
      <c r="F11" s="212">
        <f>6900+'táj.1.'!D11</f>
        <v>7400</v>
      </c>
      <c r="G11" s="212">
        <f>0+'táj.1.'!E11</f>
        <v>0</v>
      </c>
      <c r="H11" s="585">
        <f>21060+'táj.1.'!F11</f>
        <v>22560</v>
      </c>
      <c r="I11" s="585">
        <f>0+'táj.1.'!G11</f>
        <v>0</v>
      </c>
      <c r="J11" s="585">
        <f>130+'táj.1.'!H11</f>
        <v>130</v>
      </c>
      <c r="K11" s="585">
        <f>0+'táj.1.'!I11</f>
        <v>0</v>
      </c>
      <c r="L11" s="585">
        <f>5278+'táj.1.'!J11</f>
        <v>5278</v>
      </c>
      <c r="M11" s="585">
        <f>90401+'táj.1.'!K11</f>
        <v>90824</v>
      </c>
      <c r="N11" s="585">
        <f>0+'táj.1.'!L11</f>
        <v>0</v>
      </c>
      <c r="O11" s="585">
        <f t="shared" si="0"/>
        <v>160073</v>
      </c>
    </row>
    <row r="12" spans="1:15" s="54" customFormat="1" ht="20.25" customHeight="1">
      <c r="A12" s="210">
        <v>11</v>
      </c>
      <c r="B12" s="201" t="s">
        <v>238</v>
      </c>
      <c r="C12" s="128">
        <v>188141</v>
      </c>
      <c r="D12" s="152">
        <f>55024+'táj.1.'!M12</f>
        <v>69071</v>
      </c>
      <c r="E12" s="212">
        <f>32404+'táj.1.'!C12</f>
        <v>45548</v>
      </c>
      <c r="F12" s="212">
        <f>14494+'táj.1.'!D12</f>
        <v>14614</v>
      </c>
      <c r="G12" s="212">
        <f>0+'táj.1.'!E12</f>
        <v>0</v>
      </c>
      <c r="H12" s="585">
        <f>45000+'táj.1.'!F12</f>
        <v>45000</v>
      </c>
      <c r="I12" s="585">
        <f>0+'táj.1.'!G12</f>
        <v>0</v>
      </c>
      <c r="J12" s="585">
        <f>3174+'táj.1.'!H12</f>
        <v>3174</v>
      </c>
      <c r="K12" s="585">
        <f>0+'táj.1.'!I12</f>
        <v>0</v>
      </c>
      <c r="L12" s="585">
        <f>2440+'táj.1.'!J12</f>
        <v>2440</v>
      </c>
      <c r="M12" s="585">
        <f>145653+'táj.1.'!K12</f>
        <v>146436</v>
      </c>
      <c r="N12" s="585">
        <f>0+'táj.1.'!L12</f>
        <v>0</v>
      </c>
      <c r="O12" s="585">
        <f t="shared" si="0"/>
        <v>257212</v>
      </c>
    </row>
    <row r="13" spans="1:15" s="54" customFormat="1" ht="30" customHeight="1">
      <c r="A13" s="210">
        <v>12</v>
      </c>
      <c r="B13" s="201" t="s">
        <v>239</v>
      </c>
      <c r="C13" s="126">
        <v>15555</v>
      </c>
      <c r="D13" s="152">
        <f>2465+'táj.1.'!M13</f>
        <v>2698</v>
      </c>
      <c r="E13" s="212">
        <f>1550+'táj.1.'!C13</f>
        <v>1591</v>
      </c>
      <c r="F13" s="212">
        <f>0+'táj.1.'!D13</f>
        <v>0</v>
      </c>
      <c r="G13" s="212">
        <f>0+'táj.1.'!E13</f>
        <v>0</v>
      </c>
      <c r="H13" s="585">
        <f>1086+'táj.1.'!F13</f>
        <v>1286</v>
      </c>
      <c r="I13" s="585">
        <f>0+'táj.1.'!G13</f>
        <v>0</v>
      </c>
      <c r="J13" s="585">
        <f>0+'táj.1.'!H13</f>
        <v>0</v>
      </c>
      <c r="K13" s="585">
        <f>0+'táj.1.'!I13</f>
        <v>0</v>
      </c>
      <c r="L13" s="585">
        <f>1600+'táj.1.'!J13</f>
        <v>1600</v>
      </c>
      <c r="M13" s="585">
        <f>13784+'táj.1.'!K13</f>
        <v>13776</v>
      </c>
      <c r="N13" s="585">
        <f>0+'táj.1.'!L13</f>
        <v>0</v>
      </c>
      <c r="O13" s="585">
        <f t="shared" si="0"/>
        <v>18253</v>
      </c>
    </row>
    <row r="14" spans="1:15" s="54" customFormat="1" ht="26.25" customHeight="1">
      <c r="A14" s="210">
        <v>13</v>
      </c>
      <c r="B14" s="201" t="s">
        <v>1266</v>
      </c>
      <c r="C14" s="128">
        <v>353704</v>
      </c>
      <c r="D14" s="152">
        <f>24747+'táj.1.'!M14</f>
        <v>52260</v>
      </c>
      <c r="E14" s="212">
        <f>18890+'táj.1.'!C14</f>
        <v>44490</v>
      </c>
      <c r="F14" s="212">
        <f>0+'táj.1.'!D14</f>
        <v>0</v>
      </c>
      <c r="G14" s="212">
        <f>0+'táj.1.'!E14</f>
        <v>0</v>
      </c>
      <c r="H14" s="585">
        <f>34200+'táj.1.'!F14</f>
        <v>34200</v>
      </c>
      <c r="I14" s="585">
        <f>0+'táj.1.'!G14</f>
        <v>0</v>
      </c>
      <c r="J14" s="585">
        <f>0+'táj.1.'!H14</f>
        <v>0</v>
      </c>
      <c r="K14" s="585">
        <f>0+'táj.1.'!I14</f>
        <v>0</v>
      </c>
      <c r="L14" s="585">
        <f>9540+'táj.1.'!J14</f>
        <v>9540</v>
      </c>
      <c r="M14" s="585">
        <f>315821+'táj.1.'!K14</f>
        <v>317734</v>
      </c>
      <c r="N14" s="585">
        <f>0+'táj.1.'!L14</f>
        <v>0</v>
      </c>
      <c r="O14" s="585">
        <f t="shared" si="0"/>
        <v>405964</v>
      </c>
    </row>
    <row r="15" spans="1:15" s="54" customFormat="1" ht="16.5" customHeight="1">
      <c r="A15" s="210">
        <v>14</v>
      </c>
      <c r="B15" s="201" t="s">
        <v>1267</v>
      </c>
      <c r="C15" s="128">
        <v>271692</v>
      </c>
      <c r="D15" s="152">
        <f>66970+'táj.1.'!M15</f>
        <v>84569</v>
      </c>
      <c r="E15" s="212">
        <f>35909+'táj.1.'!C15</f>
        <v>37492</v>
      </c>
      <c r="F15" s="212">
        <f>31380+'táj.1.'!D15</f>
        <v>31380</v>
      </c>
      <c r="G15" s="212">
        <f>0+'táj.1.'!E15</f>
        <v>0</v>
      </c>
      <c r="H15" s="585">
        <f>122867+'táj.1.'!F15</f>
        <v>138142</v>
      </c>
      <c r="I15" s="585">
        <f>400+'táj.1.'!G15</f>
        <v>400</v>
      </c>
      <c r="J15" s="585">
        <f>1224+'táj.1.'!H15</f>
        <v>1224</v>
      </c>
      <c r="K15" s="585">
        <f>0+'táj.1.'!I15</f>
        <v>0</v>
      </c>
      <c r="L15" s="585">
        <f>39956+'táj.1.'!J15</f>
        <v>39956</v>
      </c>
      <c r="M15" s="585">
        <f>106926+'táj.1.'!K15</f>
        <v>107667</v>
      </c>
      <c r="N15" s="585">
        <f>0+'táj.1.'!L15</f>
        <v>0</v>
      </c>
      <c r="O15" s="585">
        <f t="shared" si="0"/>
        <v>356261</v>
      </c>
    </row>
    <row r="16" spans="1:15" s="54" customFormat="1" ht="18" customHeight="1">
      <c r="A16" s="210">
        <v>15</v>
      </c>
      <c r="B16" s="201" t="s">
        <v>2</v>
      </c>
      <c r="C16" s="128">
        <v>573476</v>
      </c>
      <c r="D16" s="152">
        <f>24956+'táj.1.'!M16</f>
        <v>40297</v>
      </c>
      <c r="E16" s="212">
        <f>480+'táj.1.'!C16</f>
        <v>1980</v>
      </c>
      <c r="F16" s="212">
        <f>10500+'táj.1.'!D16</f>
        <v>11300</v>
      </c>
      <c r="G16" s="212">
        <f>0+'táj.1.'!E16</f>
        <v>0</v>
      </c>
      <c r="H16" s="585">
        <f>162180+'táj.1.'!F16</f>
        <v>165680</v>
      </c>
      <c r="I16" s="585">
        <f>0+'táj.1.'!G16</f>
        <v>0</v>
      </c>
      <c r="J16" s="585">
        <f>54000+'táj.1.'!H16</f>
        <v>58367</v>
      </c>
      <c r="K16" s="585">
        <f>0+'táj.1.'!I16</f>
        <v>0</v>
      </c>
      <c r="L16" s="585">
        <f>1843+'táj.1.'!J16</f>
        <v>1843</v>
      </c>
      <c r="M16" s="585">
        <f>369429+'táj.1.'!K16</f>
        <v>374603</v>
      </c>
      <c r="N16" s="585">
        <f>0+'táj.1.'!L16</f>
        <v>0</v>
      </c>
      <c r="O16" s="585">
        <f t="shared" si="0"/>
        <v>613773</v>
      </c>
    </row>
    <row r="17" spans="1:15" s="54" customFormat="1" ht="18.75" customHeight="1">
      <c r="A17" s="210">
        <v>16</v>
      </c>
      <c r="B17" s="201" t="s">
        <v>1269</v>
      </c>
      <c r="C17" s="128">
        <v>102360</v>
      </c>
      <c r="D17" s="152">
        <f>3803+'táj.1.'!M17</f>
        <v>6400</v>
      </c>
      <c r="E17" s="212">
        <f>800+'táj.1.'!C17</f>
        <v>1500</v>
      </c>
      <c r="F17" s="212">
        <f>0+'táj.1.'!D17</f>
        <v>0</v>
      </c>
      <c r="G17" s="212">
        <f>0+'táj.1.'!E17</f>
        <v>0</v>
      </c>
      <c r="H17" s="585">
        <f>16805+'táj.1.'!F17</f>
        <v>16805</v>
      </c>
      <c r="I17" s="585">
        <f>0+'táj.1.'!G17</f>
        <v>0</v>
      </c>
      <c r="J17" s="585">
        <f>5600+'táj.1.'!H17</f>
        <v>6670</v>
      </c>
      <c r="K17" s="585">
        <f>0+'táj.1.'!I17</f>
        <v>0</v>
      </c>
      <c r="L17" s="585">
        <f>5039+'táj.1.'!J17</f>
        <v>5039</v>
      </c>
      <c r="M17" s="585">
        <f>77919+'táj.1.'!K17</f>
        <v>78746</v>
      </c>
      <c r="N17" s="585">
        <f>0+'táj.1.'!L17</f>
        <v>0</v>
      </c>
      <c r="O17" s="585">
        <f t="shared" si="0"/>
        <v>108760</v>
      </c>
    </row>
    <row r="18" spans="1:15" s="54" customFormat="1" ht="31.5" customHeight="1">
      <c r="A18" s="210">
        <v>17</v>
      </c>
      <c r="B18" s="201" t="s">
        <v>1268</v>
      </c>
      <c r="C18" s="128">
        <v>110370</v>
      </c>
      <c r="D18" s="152">
        <f>8471+'táj.1.'!M18</f>
        <v>9748</v>
      </c>
      <c r="E18" s="212">
        <f>0+'táj.1.'!C18</f>
        <v>0</v>
      </c>
      <c r="F18" s="212">
        <f>0+'táj.1.'!D18</f>
        <v>0</v>
      </c>
      <c r="G18" s="212">
        <f>0+'táj.1.'!E18</f>
        <v>0</v>
      </c>
      <c r="H18" s="585">
        <f>10381+'táj.1.'!F18</f>
        <v>11731</v>
      </c>
      <c r="I18" s="585">
        <f>0+'táj.1.'!G18</f>
        <v>0</v>
      </c>
      <c r="J18" s="585">
        <f>0+'táj.1.'!H18</f>
        <v>0</v>
      </c>
      <c r="K18" s="585">
        <f>0+'táj.1.'!I18</f>
        <v>0</v>
      </c>
      <c r="L18" s="585">
        <f>22611+'táj.1.'!J18</f>
        <v>22611</v>
      </c>
      <c r="M18" s="585">
        <f>85849+'táj.1.'!K18</f>
        <v>85776</v>
      </c>
      <c r="N18" s="585">
        <f>0+'táj.1.'!L18</f>
        <v>0</v>
      </c>
      <c r="O18" s="585">
        <f t="shared" si="0"/>
        <v>120118</v>
      </c>
    </row>
    <row r="19" spans="1:15" s="54" customFormat="1" ht="18.75" customHeight="1">
      <c r="A19" s="210">
        <v>18</v>
      </c>
      <c r="B19" s="200" t="s">
        <v>1236</v>
      </c>
      <c r="C19" s="153">
        <v>90900</v>
      </c>
      <c r="D19" s="152">
        <f>19226+'táj.1.'!M19</f>
        <v>29338</v>
      </c>
      <c r="E19" s="212">
        <f>250+'táj.1.'!C19</f>
        <v>435</v>
      </c>
      <c r="F19" s="212">
        <f>0+'táj.1.'!D19</f>
        <v>2815</v>
      </c>
      <c r="G19" s="212">
        <f>0+'táj.1.'!E19</f>
        <v>0</v>
      </c>
      <c r="H19" s="585">
        <f>97600+'táj.1.'!F19</f>
        <v>104600</v>
      </c>
      <c r="I19" s="585">
        <f>0+'táj.1.'!G19</f>
        <v>0</v>
      </c>
      <c r="J19" s="585">
        <f>0+'táj.1.'!H19</f>
        <v>0</v>
      </c>
      <c r="K19" s="585">
        <f>0+'táj.1.'!I19</f>
        <v>0</v>
      </c>
      <c r="L19" s="585">
        <f>12028+'táj.1.'!J19</f>
        <v>12028</v>
      </c>
      <c r="M19" s="585">
        <f>248+'táj.1.'!K19</f>
        <v>360</v>
      </c>
      <c r="N19" s="585">
        <f>0+'táj.1.'!L19</f>
        <v>0</v>
      </c>
      <c r="O19" s="585">
        <f t="shared" si="0"/>
        <v>120238</v>
      </c>
    </row>
    <row r="20" spans="1:15" s="54" customFormat="1" ht="24" customHeight="1">
      <c r="A20" s="63"/>
      <c r="B20" s="64" t="s">
        <v>1254</v>
      </c>
      <c r="C20" s="65">
        <f>SUM(C3:C19)</f>
        <v>6266208</v>
      </c>
      <c r="D20" s="65">
        <f>SUM(D3:D19)</f>
        <v>641613</v>
      </c>
      <c r="E20" s="65">
        <f aca="true" t="shared" si="1" ref="E20:O20">SUM(E3:E19)</f>
        <v>512166</v>
      </c>
      <c r="F20" s="65">
        <f t="shared" si="1"/>
        <v>95891</v>
      </c>
      <c r="G20" s="65">
        <f t="shared" si="1"/>
        <v>0</v>
      </c>
      <c r="H20" s="65">
        <f t="shared" si="1"/>
        <v>1198725</v>
      </c>
      <c r="I20" s="65">
        <f t="shared" si="1"/>
        <v>664</v>
      </c>
      <c r="J20" s="65">
        <f t="shared" si="1"/>
        <v>69565</v>
      </c>
      <c r="K20" s="65">
        <f t="shared" si="1"/>
        <v>0</v>
      </c>
      <c r="L20" s="65">
        <f t="shared" si="1"/>
        <v>355763</v>
      </c>
      <c r="M20" s="65">
        <f t="shared" si="1"/>
        <v>4675047</v>
      </c>
      <c r="N20" s="65">
        <f t="shared" si="1"/>
        <v>0</v>
      </c>
      <c r="O20" s="65">
        <f t="shared" si="1"/>
        <v>6907821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2014-12-18T13:35:58Z</cp:lastPrinted>
  <dcterms:created xsi:type="dcterms:W3CDTF">2002-12-30T13:12:46Z</dcterms:created>
  <dcterms:modified xsi:type="dcterms:W3CDTF">2014-12-19T06:17:00Z</dcterms:modified>
  <cp:category/>
  <cp:version/>
  <cp:contentType/>
  <cp:contentStatus/>
</cp:coreProperties>
</file>