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640" windowHeight="9525" activeTab="5"/>
  </bookViews>
  <sheets>
    <sheet name="1 bevétel-kiadás" sheetId="1" r:id="rId1"/>
    <sheet name="2 helyi adó bev." sheetId="2" r:id="rId2"/>
    <sheet name="3 tám.ért. bev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ak jutt." sheetId="8" r:id="rId8"/>
    <sheet name="9 létszám" sheetId="9" r:id="rId9"/>
    <sheet name="10 közvetett tám-ok kiad." sheetId="10" r:id="rId10"/>
    <sheet name="11 ktgvetési mérleg" sheetId="11" r:id="rId11"/>
    <sheet name="12 EI felh.terv" sheetId="12" r:id="rId12"/>
  </sheets>
  <externalReferences>
    <externalReference r:id="rId15"/>
  </externalReferences>
  <definedNames>
    <definedName name="_xlnm.Print_Area" localSheetId="0">'1 bevétel-kiadás'!$A$1:$P$67</definedName>
  </definedNames>
  <calcPr fullCalcOnLoad="1"/>
</workbook>
</file>

<file path=xl/sharedStrings.xml><?xml version="1.0" encoding="utf-8"?>
<sst xmlns="http://schemas.openxmlformats.org/spreadsheetml/2006/main" count="646" uniqueCount="319">
  <si>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</si>
  <si>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</si>
  <si>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</si>
  <si>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</si>
  <si>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</si>
  <si>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</si>
  <si>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</si>
  <si>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</si>
  <si>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</si>
  <si>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</si>
  <si>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</si>
  <si>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</si>
  <si>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</si>
  <si>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</si>
  <si>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</si>
  <si>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</si>
  <si>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</si>
  <si>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</si>
  <si>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</si>
  <si>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Intézményi működési bevételek</t>
    </r>
    <r>
      <rPr>
        <sz val="11"/>
        <rFont val="Georgia"/>
        <family val="1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</si>
  <si>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Georgia"/>
        <family val="1"/>
      </rPr>
      <t>(adók, illetékek, járulékok, hozzájárulások, bírságok, díjak, és más fizetési kötelezettségek)</t>
    </r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</si>
  <si>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</si>
  <si>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</si>
  <si>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</si>
  <si>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</si>
  <si>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</si>
  <si>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</si>
  <si>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</si>
  <si>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</si>
  <si>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</si>
  <si>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</si>
  <si>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</si>
  <si>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</si>
  <si>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</si>
  <si>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</si>
  <si>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</si>
  <si>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</si>
  <si>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</si>
  <si>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</si>
  <si>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</si>
  <si>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</si>
  <si>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</si>
  <si>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</si>
  <si>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</si>
  <si>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</si>
  <si>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</si>
  <si>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</si>
  <si>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</si>
  <si>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</si>
  <si>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</si>
  <si>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</si>
  <si>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</si>
  <si>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</si>
  <si>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</si>
  <si>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</si>
  <si>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</si>
  <si>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</si>
  <si>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</si>
  <si>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</si>
  <si>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</si>
  <si>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</si>
  <si>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>Kormányzati beruházások</t>
  </si>
  <si>
    <t>Lakástámogatás</t>
  </si>
  <si>
    <t>Lakásépítés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</si>
  <si>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</si>
  <si>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</si>
  <si>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</si>
  <si>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</si>
  <si>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</si>
  <si>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</si>
  <si>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</si>
  <si>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</si>
  <si>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</si>
  <si>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</si>
  <si>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</si>
  <si>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</si>
  <si>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</si>
  <si>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</si>
  <si>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</si>
  <si>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</si>
  <si>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</si>
  <si>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</si>
  <si>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</si>
  <si>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</si>
  <si>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</si>
  <si>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</si>
  <si>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</si>
  <si>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</si>
  <si>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LÉTSZÁM (FŐ)</t>
  </si>
  <si>
    <t>KÖZFOGLALKOZTATOTT</t>
  </si>
  <si>
    <t>N</t>
  </si>
  <si>
    <t>O</t>
  </si>
  <si>
    <t>Önkormányzat módosított előirányzatai</t>
  </si>
  <si>
    <t xml:space="preserve">Építményadó </t>
  </si>
  <si>
    <t xml:space="preserve">Telekadó </t>
  </si>
  <si>
    <t xml:space="preserve">Idegenforgalmi adó tartózkodás után </t>
  </si>
  <si>
    <t xml:space="preserve">Iparűzési adó állandó jelleggel végzett iparűzési tevékenység után 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</si>
  <si>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</si>
  <si>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</si>
  <si>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</si>
  <si>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</si>
  <si>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</si>
  <si>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</si>
  <si>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</si>
  <si>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</si>
  <si>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</si>
  <si>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</si>
  <si>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</si>
  <si>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Óvodapedagógusok, óvodapedagógusok munkáját közvetlenül segítők bértámogatása</t>
  </si>
  <si>
    <t>Óvodaműködtetési támogatás</t>
  </si>
  <si>
    <t>Hozzájárulás pénzbeli szociális ellátásokhoz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</si>
  <si>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</si>
  <si>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</si>
  <si>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</si>
  <si>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</si>
  <si>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Európai Uniós Projektek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</si>
  <si>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</si>
  <si>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</si>
  <si>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</si>
  <si>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</si>
  <si>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</si>
  <si>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</si>
  <si>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BERUHÁZÁS-FELÚJÍTÁS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</si>
  <si>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</si>
  <si>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</si>
  <si>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</si>
  <si>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</si>
  <si>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</si>
  <si>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</si>
  <si>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</si>
  <si>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</si>
  <si>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</si>
  <si>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Működési célú pénzeszközátadások államháztartáson kívülre </t>
  </si>
  <si>
    <t>Felhalmozási célú pénzeszközátadások államháztartáson kívülre</t>
  </si>
  <si>
    <t>ÁTADOTT PÉNZESZKÖZÖK ÁLLAMHÁZTARTÁSON KÍVÜLRE</t>
  </si>
  <si>
    <t>Szociálpolitikai ellátások és egyéb juttatások, TB pénzbeli ellátások összesen</t>
  </si>
  <si>
    <t>LÉTSZÁM</t>
  </si>
  <si>
    <t xml:space="preserve">Létszám összesen </t>
  </si>
  <si>
    <t>KÖZVETETT TÁMOGATÁSOK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</si>
  <si>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</si>
  <si>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</si>
  <si>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</si>
  <si>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</si>
  <si>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</si>
  <si>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</si>
  <si>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</si>
  <si>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</si>
  <si>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</si>
  <si>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</si>
  <si>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</si>
  <si>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</si>
  <si>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</si>
  <si>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</si>
  <si>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</si>
  <si>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</si>
  <si>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</si>
  <si>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</si>
  <si>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</si>
  <si>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</si>
  <si>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</si>
  <si>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</si>
  <si>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</si>
  <si>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</si>
  <si>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</si>
  <si>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</si>
  <si>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</si>
  <si>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</si>
  <si>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</si>
  <si>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</si>
  <si>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 xml:space="preserve">Átfutó bevételek </t>
  </si>
  <si>
    <t>Átfutó kiadások forgalma</t>
  </si>
  <si>
    <t>* aműködési és felhalmozási kiadás összesen összegből levonásra került az intézményeknek átadott finanszírozás, annak érdekében, hogy a végösszesen ne tartalmazzon halmozódást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</si>
  <si>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</si>
  <si>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</si>
  <si>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</si>
  <si>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</si>
  <si>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</si>
  <si>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</si>
  <si>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</si>
  <si>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</si>
  <si>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</si>
  <si>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</si>
  <si>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</si>
  <si>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</si>
  <si>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ELŐIRÁNYZAT FELHASZNÁLÁSI TERV</t>
  </si>
  <si>
    <t>Alsóörs Község Önkormányzata</t>
  </si>
  <si>
    <t>Alsóörsi Közös Önkormányzati Hivatal</t>
  </si>
  <si>
    <t>Alsóörsi Településműködtetési és Községgazdálkodási Szervezet</t>
  </si>
  <si>
    <t>Napraforgó Óvoda Alsóörs</t>
  </si>
  <si>
    <t>Mindösszesen</t>
  </si>
  <si>
    <t>ÖSSZESEN:</t>
  </si>
  <si>
    <t>Talajterhelési díj</t>
  </si>
  <si>
    <t xml:space="preserve">2014 évi költségvetés </t>
  </si>
  <si>
    <t>BEVÉTELEK 2014</t>
  </si>
  <si>
    <t>KIADÁSOK 2014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</si>
  <si>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</si>
  <si>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</si>
  <si>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</si>
  <si>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</si>
  <si>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Gyermekétkeztetés üzemeltetési támogatása</t>
  </si>
  <si>
    <t>Külterülettel kapcsolatos feladatok támogatása</t>
  </si>
  <si>
    <t>Központosított előirányzatok összesen</t>
  </si>
  <si>
    <t>Költségvetési bevételek összesen</t>
  </si>
  <si>
    <t xml:space="preserve">  Ellátottak juttatásai,  társadalom-, szociálpolitikai és egyéb juttatás, támogatás</t>
  </si>
  <si>
    <t>Beruházások</t>
  </si>
  <si>
    <t>LEADER Kultúrparkok és központok kialakítása II. ütem (MERSE PARK) LEADER pályázat, benyújtás ideje: 2013.</t>
  </si>
  <si>
    <t xml:space="preserve">Új önkormányzati hivatal épület építés </t>
  </si>
  <si>
    <t xml:space="preserve">Tájház vásárlás </t>
  </si>
  <si>
    <t xml:space="preserve">Vis Maior </t>
  </si>
  <si>
    <t>Leader Kultúrpark kialakítása (Merse II.)</t>
  </si>
  <si>
    <t xml:space="preserve">Útépítés </t>
  </si>
  <si>
    <t>Kemping beléptető sorompó kialakítása</t>
  </si>
  <si>
    <t xml:space="preserve">Udvari játékok (óvoda) 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</si>
  <si>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</si>
  <si>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</si>
  <si>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</si>
  <si>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</si>
  <si>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</si>
  <si>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</si>
  <si>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</si>
  <si>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</si>
  <si>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</si>
  <si>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ELLÁTOTTAK JUTTATÁSAI</t>
  </si>
  <si>
    <t>Egyéb műk.c. támogatás (IFA kieg.tám.)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</si>
  <si>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</si>
  <si>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</si>
  <si>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</si>
  <si>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Felh.c. támogatás központi ktgv. Szervtől (Vis Maior)</t>
  </si>
  <si>
    <t>Felh.c. támogatás központi ktgv. Szervtől (Merse I.II.)</t>
  </si>
  <si>
    <t>TÁMOGATÁSÉRTÉKŰ BEVÉTELEK</t>
  </si>
  <si>
    <t>Építményadó</t>
  </si>
  <si>
    <t>Telekadó</t>
  </si>
  <si>
    <t>Állandó jelleggel végzett ip.űzési adó</t>
  </si>
  <si>
    <r>
      <t xml:space="preserve">Gépjárműadó (beszedett összeg </t>
    </r>
    <r>
      <rPr>
        <b/>
        <sz val="10"/>
        <rFont val="Arial"/>
        <family val="2"/>
      </rPr>
      <t>40 %-</t>
    </r>
    <r>
      <rPr>
        <sz val="10"/>
        <rFont val="Arial"/>
        <family val="0"/>
      </rPr>
      <t>a marad)</t>
    </r>
  </si>
  <si>
    <t>Idegenfor.adó épület után</t>
  </si>
  <si>
    <t>Idegenfor.adó tartózkodás után</t>
  </si>
  <si>
    <t>Egyéb közhatalmi bevételek (Pótlékok, illetékek, bírságok)</t>
  </si>
  <si>
    <t>Rendszeres gyermekvéd.kedv. (5800/fő Erzsébet utalvány) Normatív</t>
  </si>
  <si>
    <t>Foglalkoztatást Helyettesítő tám. Normatív</t>
  </si>
  <si>
    <t>Lakásfenntartási tám. Normatív</t>
  </si>
  <si>
    <t>Rendszeres szociális segély Szoc.tv. 37.§ (1) a-d Normatív</t>
  </si>
  <si>
    <t>Átmeneti segély (temetési segély, rendk.gyv.tám.) Szoc.tv. 45.§ Önk.rend.</t>
  </si>
  <si>
    <t>Első lakáshoz jutók tám. Önk.rend.</t>
  </si>
  <si>
    <t>Szociális étkeztetés tám. Önk.rend. Szoc.tv. 62.§</t>
  </si>
  <si>
    <t>Méltányossági ápolási díj Önk.rend.</t>
  </si>
  <si>
    <t>Gyermek étkeztetési tám. Gyvt. 151.§ (5) Önk.rend.</t>
  </si>
  <si>
    <t>Pénzbeli beiskolázási tám. Önk.rend.</t>
  </si>
  <si>
    <t>Tankönyvtámogatás Önk.rend.</t>
  </si>
  <si>
    <t>Szakmai</t>
  </si>
  <si>
    <t xml:space="preserve">Intézmény üzemeltetéshez kapcsolódó </t>
  </si>
  <si>
    <t xml:space="preserve">Közfoglalkoztatott </t>
  </si>
  <si>
    <t>könyvtáros 0,75</t>
  </si>
  <si>
    <t>IKSZT munk. 1</t>
  </si>
  <si>
    <t>polgármester 1</t>
  </si>
  <si>
    <t>védőnő 1</t>
  </si>
  <si>
    <t>kult.menedzs. 0,75</t>
  </si>
  <si>
    <t>kilátó gond. 1</t>
  </si>
  <si>
    <t>takarító 0,75</t>
  </si>
  <si>
    <t>Törökház 0,5 (2 fő 6 órás 4 hóra)</t>
  </si>
  <si>
    <t>közfogl. 1,75</t>
  </si>
  <si>
    <t>irodai kiseg. 0,58 (1 fő 7 hóra)</t>
  </si>
  <si>
    <t>jegyző 1</t>
  </si>
  <si>
    <t>aljegyző 1</t>
  </si>
  <si>
    <t>pü 4</t>
  </si>
  <si>
    <t>adó 3</t>
  </si>
  <si>
    <t>adóellenőr 0,44 (2 fő 6 órás 3,5 hóra)</t>
  </si>
  <si>
    <t>inform. 0,75</t>
  </si>
  <si>
    <t>szoc.ea. 1</t>
  </si>
  <si>
    <t>anyakönyvv. 1</t>
  </si>
  <si>
    <t>óvónő 4,75</t>
  </si>
  <si>
    <t>konyhai dolg. 4</t>
  </si>
  <si>
    <t>dajka 2</t>
  </si>
  <si>
    <t>karbant. 0,25</t>
  </si>
  <si>
    <t>Közvilágítás (Szilvás lakópark)</t>
  </si>
  <si>
    <t>int.vez. 1</t>
  </si>
  <si>
    <t>int.vez.h. 1</t>
  </si>
  <si>
    <t>pü.üi. 1</t>
  </si>
  <si>
    <t>int.üz. 17,83</t>
  </si>
  <si>
    <t>ebből strand, kemping 9,  temüsz 9</t>
  </si>
  <si>
    <t>Óvodai, szociális étkeztetés</t>
  </si>
  <si>
    <t>Temüsz bevételek</t>
  </si>
  <si>
    <t>Önkormányzat bevételek</t>
  </si>
  <si>
    <t xml:space="preserve">Előző évi működési célú előirányzat-maradvány, pénzmaradvány  összesen </t>
  </si>
  <si>
    <t>Gyermekétkeztetés üzemeltetési támogatása kieg.</t>
  </si>
  <si>
    <t>Egyéb műk.c. támogatás (rendsz.gyv.kedv., 5800/fő Erzsébet utalvány)</t>
  </si>
  <si>
    <t>Egyéb műk.c. támogatás Társulástól</t>
  </si>
  <si>
    <t>Felh.c. támogatás központi ktgv. Szervtől (Adósságkonszolidációban részt nem vettek tám.)</t>
  </si>
  <si>
    <t>Felh.c. támogatás önkormányzattól (Felsőörstől kerékpárút projektre kapott tám.)</t>
  </si>
  <si>
    <t>Helyi önkormányzatok kiegészítő támogatásai</t>
  </si>
  <si>
    <t>Skoda Yeti vásárlás</t>
  </si>
  <si>
    <t xml:space="preserve">   Ellátottak juttatásai, társadalom-,szociálolitikai és egyéb juttatás, támogatás</t>
  </si>
  <si>
    <t>12.sz. melléklet a  .../2014. (XI. 28.) sz. Önkormányzati rendelethez</t>
  </si>
  <si>
    <t>1. melléklet a ..../2015. (III. 16.) sz. Önkormányzati rendelethez</t>
  </si>
  <si>
    <t xml:space="preserve">   előző évi működési célú előirányzat-maradvány, pénzmaradvány átadás, elvonás összesen</t>
  </si>
  <si>
    <t>2. melléklet a ..../2015. (III. 16.) sz. Önkormányzati rendelethez</t>
  </si>
  <si>
    <t>3. melléklet a ..../2015. (III. 16.) sz. Önkormányzati rendelethez</t>
  </si>
  <si>
    <t>Felh.c. támogatás központi ktgv. Szervtől (Közbiztonság növelő pály. /kamerák/)</t>
  </si>
  <si>
    <t>Felh.c. támogatás központi ktgv. Szervtől (biztonságos működést elősegítő tám.)</t>
  </si>
  <si>
    <t>4. melléklet a ..../2015. (III. 16.) sz. Önkormányzati rendelethez</t>
  </si>
  <si>
    <t>5. melléklet a ..../2015. (III. 16.) sz. Önkormányzati rendelethez</t>
  </si>
  <si>
    <t>Megvalósult, támogatásiösszeg megérkezett</t>
  </si>
  <si>
    <t>Kisértékű tárgyieszköz 200.000 Ft. Alatt (Egyéb gép, berendezés:  fűnyíró, ping-pong asztal, fitness eszköz strandra)</t>
  </si>
  <si>
    <t>Kisértékű tárgyieszköz 200.000 Ft. Alatt (Informatikai eszköz: laptop, számítógép, interaktív tábla iskola)</t>
  </si>
  <si>
    <t>Internetes rendszer kiép. (iskola) (átcsoportosítva dologi kiadásokhoz)</t>
  </si>
  <si>
    <t>6. melléklet a ..../2015. (III. 16.) sz. Önkormányzati rendelethez</t>
  </si>
  <si>
    <t>7. melléklet a ..../2015. (III. 16.) sz. Önkormányzati rendelethez</t>
  </si>
  <si>
    <t>8. melléklet a ..../2015. (III. 16.) sz. Önkormányzati rendelethez</t>
  </si>
  <si>
    <t>irodai kiseg. 1fő</t>
  </si>
  <si>
    <t>Törökház 1 fő 8 órás 2 hóra</t>
  </si>
  <si>
    <t>közfogl. 1</t>
  </si>
  <si>
    <t>ebből strand, kemping 7,  temüsz 8</t>
  </si>
  <si>
    <t>int.üz. 15</t>
  </si>
  <si>
    <t>gyermek születés miatt vissza nem térítendő tám.</t>
  </si>
  <si>
    <t>10. melléklet a ..../2015. (III. 16.) sz. Önkormányzati rendelethez</t>
  </si>
  <si>
    <t>ÖSSZESEN módosított:</t>
  </si>
  <si>
    <t>11. melléklet a ..../2015. (III. 16.) sz. Önkormányzati rendelethez</t>
  </si>
  <si>
    <t xml:space="preserve">Megjegyzés: az építmény adó tekintetében a 2014.évi teljesítéshez kapcsolódó valódi előirányzat 76.305 eFt. </t>
  </si>
  <si>
    <t>A 106.616 eFt előirányat tartalmazza az új számviteli szabályok szerint a következő évre vonatkozó követelést is, azaz az adó hátralékot.</t>
  </si>
  <si>
    <t>9. melléklet a ..../2015. (III. 16.) sz.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</si>
</sst>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0.0__"/>
    <numFmt numFmtId="166" formatCode="0.00__"/>
    <numFmt numFmtId="167" formatCode="_-* #,##0.0\ _F_t_-;\-* #,##0.0\ _F_t_-;_-* &quot;-&quot;??\ _F_t_-;_-@_-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Times New Roman CE"/>
      <family val="0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i/>
      <sz val="11"/>
      <name val="Georgia"/>
      <family val="1"/>
    </font>
    <font>
      <b/>
      <i/>
      <sz val="11"/>
      <color indexed="8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sz val="10"/>
      <color indexed="8"/>
      <name val="Georgia"/>
      <family val="1"/>
    </font>
    <font>
      <sz val="13"/>
      <color indexed="8"/>
      <name val="Arial"/>
      <family val="2"/>
    </font>
    <font>
      <b/>
      <i/>
      <sz val="12"/>
      <color indexed="8"/>
      <name val="Georgia"/>
      <family val="1"/>
    </font>
    <font>
      <sz val="10"/>
      <name val="Georgia"/>
      <family val="1"/>
    </font>
    <font>
      <b/>
      <i/>
      <sz val="16"/>
      <name val="Georgia"/>
      <family val="1"/>
    </font>
    <font>
      <sz val="13"/>
      <color indexed="8"/>
      <name val="Georgia"/>
      <family val="1"/>
    </font>
    <font>
      <i/>
      <sz val="22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sz val="13"/>
      <color indexed="8"/>
      <name val="Georgia"/>
      <family val="1"/>
    </font>
    <font>
      <b/>
      <sz val="14"/>
      <color indexed="8"/>
      <name val="Georgia"/>
      <family val="1"/>
    </font>
    <font>
      <b/>
      <sz val="14"/>
      <name val="Georgia"/>
      <family val="1"/>
    </font>
    <font>
      <i/>
      <sz val="13"/>
      <color indexed="8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i/>
      <sz val="14"/>
      <name val="Georgia"/>
      <family val="1"/>
    </font>
    <font>
      <sz val="14"/>
      <name val="Georgia"/>
      <family val="1"/>
    </font>
    <font>
      <sz val="14"/>
      <color indexed="10"/>
      <name val="Georgia"/>
      <family val="1"/>
    </font>
    <font>
      <b/>
      <i/>
      <sz val="12"/>
      <name val="Georgia"/>
      <family val="1"/>
    </font>
    <font>
      <b/>
      <i/>
      <sz val="10"/>
      <color indexed="8"/>
      <name val="Georgia"/>
      <family val="1"/>
    </font>
    <font>
      <b/>
      <i/>
      <sz val="9"/>
      <name val="Georgia"/>
      <family val="1"/>
    </font>
    <font>
      <b/>
      <i/>
      <u val="single"/>
      <sz val="12"/>
      <name val="Georgia"/>
      <family val="1"/>
    </font>
    <font>
      <b/>
      <i/>
      <u val="single"/>
      <sz val="11"/>
      <name val="Georgia"/>
      <family val="1"/>
    </font>
    <font>
      <u val="single"/>
      <sz val="12"/>
      <name val="Georgia"/>
      <family val="1"/>
    </font>
    <font>
      <b/>
      <sz val="12"/>
      <name val="Georgia"/>
      <family val="1"/>
    </font>
    <font>
      <i/>
      <sz val="12"/>
      <name val="Georgia"/>
      <family val="1"/>
    </font>
    <font>
      <b/>
      <sz val="9"/>
      <name val="Georgia"/>
      <family val="1"/>
    </font>
    <font>
      <b/>
      <i/>
      <sz val="12"/>
      <color indexed="10"/>
      <name val="Georgia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4" fontId="6" fillId="0" borderId="10" xfId="57" applyNumberFormat="1" applyFont="1" applyFill="1" applyBorder="1" applyAlignment="1">
      <alignment horizontal="left" vertical="center" wrapText="1"/>
      <protection/>
    </xf>
    <xf numFmtId="164" fontId="6" fillId="0" borderId="10" xfId="57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center" vertical="center"/>
    </xf>
    <xf numFmtId="164" fontId="7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64" fontId="2" fillId="35" borderId="10" xfId="0" applyNumberFormat="1" applyFont="1" applyFill="1" applyBorder="1" applyAlignment="1">
      <alignment horizontal="center" vertical="center"/>
    </xf>
    <xf numFmtId="164" fontId="7" fillId="0" borderId="10" xfId="57" applyNumberFormat="1" applyFont="1" applyFill="1" applyBorder="1" applyAlignment="1">
      <alignment horizontal="left" vertical="center" wrapText="1"/>
      <protection/>
    </xf>
    <xf numFmtId="164" fontId="9" fillId="36" borderId="10" xfId="57" applyNumberFormat="1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6" fillId="0" borderId="10" xfId="57" applyNumberFormat="1" applyFont="1" applyFill="1" applyBorder="1" applyAlignment="1">
      <alignment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164" fontId="13" fillId="0" borderId="0" xfId="57" applyNumberFormat="1" applyFont="1" applyFill="1" applyBorder="1" applyAlignment="1">
      <alignment horizontal="left" vertical="center" wrapText="1"/>
      <protection/>
    </xf>
    <xf numFmtId="164" fontId="14" fillId="0" borderId="10" xfId="57" applyNumberFormat="1" applyFont="1" applyFill="1" applyBorder="1" applyAlignment="1">
      <alignment horizontal="left" vertical="center" wrapText="1"/>
      <protection/>
    </xf>
    <xf numFmtId="3" fontId="11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7" fillId="0" borderId="0" xfId="57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3" fontId="17" fillId="0" borderId="10" xfId="57" applyNumberFormat="1" applyFont="1" applyFill="1" applyBorder="1" applyAlignment="1">
      <alignment horizontal="right" vertical="center"/>
      <protection/>
    </xf>
    <xf numFmtId="3" fontId="21" fillId="0" borderId="10" xfId="57" applyNumberFormat="1" applyFont="1" applyFill="1" applyBorder="1" applyAlignment="1">
      <alignment horizontal="right" vertical="center" wrapText="1"/>
      <protection/>
    </xf>
    <xf numFmtId="3" fontId="17" fillId="0" borderId="10" xfId="57" applyNumberFormat="1" applyFont="1" applyFill="1" applyBorder="1" applyAlignment="1">
      <alignment horizontal="right" vertical="center" wrapText="1"/>
      <protection/>
    </xf>
    <xf numFmtId="3" fontId="17" fillId="0" borderId="10" xfId="56" applyNumberFormat="1" applyFont="1" applyFill="1" applyBorder="1" applyAlignment="1">
      <alignment horizontal="right" vertical="center"/>
      <protection/>
    </xf>
    <xf numFmtId="164" fontId="22" fillId="0" borderId="0" xfId="57" applyNumberFormat="1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64" fontId="17" fillId="0" borderId="0" xfId="57" applyNumberFormat="1" applyFont="1" applyFill="1" applyBorder="1" applyAlignment="1">
      <alignment horizontal="left" vertical="center"/>
      <protection/>
    </xf>
    <xf numFmtId="164" fontId="21" fillId="0" borderId="0" xfId="57" applyNumberFormat="1" applyFont="1" applyFill="1" applyBorder="1" applyAlignment="1">
      <alignment horizontal="left" vertical="center" wrapText="1"/>
      <protection/>
    </xf>
    <xf numFmtId="164" fontId="24" fillId="0" borderId="0" xfId="57" applyNumberFormat="1" applyFont="1" applyFill="1" applyBorder="1" applyAlignment="1">
      <alignment horizontal="right" vertical="center" wrapText="1"/>
      <protection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56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5" fillId="0" borderId="0" xfId="0" applyFont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164" fontId="14" fillId="0" borderId="0" xfId="57" applyNumberFormat="1" applyFont="1" applyFill="1" applyBorder="1" applyAlignment="1">
      <alignment horizontal="left" vertical="center" wrapText="1"/>
      <protection/>
    </xf>
    <xf numFmtId="3" fontId="21" fillId="0" borderId="0" xfId="57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164" fontId="21" fillId="0" borderId="0" xfId="57" applyNumberFormat="1" applyFont="1" applyFill="1" applyBorder="1" applyAlignment="1">
      <alignment vertical="center" wrapText="1"/>
      <protection/>
    </xf>
    <xf numFmtId="0" fontId="24" fillId="0" borderId="0" xfId="56" applyFont="1" applyFill="1" applyBorder="1" applyAlignment="1">
      <alignment horizontal="right" vertical="center"/>
      <protection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57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2" fontId="39" fillId="0" borderId="10" xfId="57" applyNumberFormat="1" applyFont="1" applyFill="1" applyBorder="1" applyAlignment="1">
      <alignment horizontal="center" vertical="center" wrapText="1"/>
      <protection/>
    </xf>
    <xf numFmtId="0" fontId="31" fillId="37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1" fillId="37" borderId="14" xfId="0" applyFont="1" applyFill="1" applyBorder="1" applyAlignment="1">
      <alignment wrapText="1"/>
    </xf>
    <xf numFmtId="0" fontId="3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3" fontId="12" fillId="0" borderId="10" xfId="57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38" borderId="10" xfId="0" applyFont="1" applyFill="1" applyBorder="1" applyAlignment="1">
      <alignment horizontal="justify" wrapText="1"/>
    </xf>
    <xf numFmtId="0" fontId="3" fillId="38" borderId="10" xfId="0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wrapText="1"/>
    </xf>
    <xf numFmtId="164" fontId="7" fillId="0" borderId="21" xfId="57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1" fontId="15" fillId="0" borderId="0" xfId="0" applyNumberFormat="1" applyFont="1" applyAlignment="1">
      <alignment horizontal="right" vertical="center"/>
    </xf>
    <xf numFmtId="0" fontId="30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wrapText="1"/>
    </xf>
    <xf numFmtId="168" fontId="15" fillId="0" borderId="10" xfId="40" applyNumberFormat="1" applyFont="1" applyBorder="1" applyAlignment="1">
      <alignment vertical="center" shrinkToFit="1"/>
    </xf>
    <xf numFmtId="168" fontId="11" fillId="0" borderId="10" xfId="40" applyNumberFormat="1" applyFont="1" applyBorder="1" applyAlignment="1">
      <alignment vertical="center" shrinkToFit="1"/>
    </xf>
    <xf numFmtId="3" fontId="21" fillId="0" borderId="10" xfId="57" applyNumberFormat="1" applyFont="1" applyFill="1" applyBorder="1" applyAlignment="1">
      <alignment horizontal="right" vertical="center"/>
      <protection/>
    </xf>
    <xf numFmtId="164" fontId="21" fillId="0" borderId="0" xfId="57" applyNumberFormat="1" applyFont="1" applyFill="1" applyBorder="1" applyAlignment="1">
      <alignment horizontal="left" vertical="center"/>
      <protection/>
    </xf>
    <xf numFmtId="0" fontId="41" fillId="0" borderId="0" xfId="43" applyAlignment="1" applyProtection="1">
      <alignment/>
      <protection/>
    </xf>
    <xf numFmtId="0" fontId="11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164" fontId="9" fillId="33" borderId="10" xfId="57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justify" wrapText="1"/>
    </xf>
    <xf numFmtId="3" fontId="12" fillId="0" borderId="10" xfId="57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wrapText="1"/>
    </xf>
    <xf numFmtId="2" fontId="39" fillId="0" borderId="0" xfId="57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justify" wrapText="1"/>
    </xf>
    <xf numFmtId="0" fontId="4" fillId="35" borderId="10" xfId="0" applyFont="1" applyFill="1" applyBorder="1" applyAlignment="1">
      <alignment wrapText="1"/>
    </xf>
    <xf numFmtId="164" fontId="7" fillId="35" borderId="10" xfId="57" applyNumberFormat="1" applyFont="1" applyFill="1" applyBorder="1" applyAlignment="1">
      <alignment horizontal="center" vertical="center" wrapText="1"/>
      <protection/>
    </xf>
    <xf numFmtId="164" fontId="4" fillId="35" borderId="10" xfId="0" applyNumberFormat="1" applyFont="1" applyFill="1" applyBorder="1" applyAlignment="1">
      <alignment horizontal="center" vertical="center"/>
    </xf>
    <xf numFmtId="168" fontId="25" fillId="0" borderId="10" xfId="40" applyNumberFormat="1" applyFont="1" applyBorder="1" applyAlignment="1">
      <alignment vertical="center" shrinkToFit="1"/>
    </xf>
    <xf numFmtId="164" fontId="4" fillId="3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29" fillId="0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 applyProtection="1">
      <alignment wrapText="1"/>
      <protection locked="0"/>
    </xf>
    <xf numFmtId="0" fontId="25" fillId="0" borderId="17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4" fillId="0" borderId="20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wrapText="1"/>
    </xf>
    <xf numFmtId="1" fontId="30" fillId="0" borderId="21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4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164" fontId="4" fillId="4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70ûrlap" xfId="56"/>
    <cellStyle name="Normál_97ûrlap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zoomScale="75" zoomScaleNormal="75" zoomScalePageLayoutView="0" workbookViewId="0" topLeftCell="B1">
      <pane ySplit="6" topLeftCell="A24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7.28125" style="34" customWidth="1"/>
    <col min="2" max="2" width="55.00390625" style="60" customWidth="1"/>
    <col min="3" max="4" width="19.421875" style="144" customWidth="1"/>
    <col min="5" max="6" width="19.28125" style="144" customWidth="1"/>
    <col min="7" max="10" width="18.57421875" style="144" customWidth="1"/>
    <col min="11" max="11" width="17.28125" style="144" customWidth="1"/>
    <col min="12" max="12" width="17.421875" style="144" customWidth="1"/>
    <col min="13" max="13" width="18.28125" style="144" customWidth="1"/>
    <col min="14" max="14" width="18.57421875" style="144" customWidth="1"/>
    <col min="15" max="15" width="18.28125" style="144" customWidth="1"/>
    <col min="16" max="16" width="18.57421875" style="144" customWidth="1"/>
    <col min="17" max="24" width="9.140625" style="59" customWidth="1"/>
    <col min="25" max="16384" width="9.140625" style="34" customWidth="1"/>
  </cols>
  <sheetData>
    <row r="1" spans="2:15" ht="27">
      <c r="B1" s="143" t="s">
        <v>192</v>
      </c>
      <c r="O1" s="144" t="s">
        <v>292</v>
      </c>
    </row>
    <row r="2" ht="27">
      <c r="B2" s="143"/>
    </row>
    <row r="3" ht="20.25">
      <c r="B3" s="145" t="s">
        <v>193</v>
      </c>
    </row>
    <row r="4" spans="2:15" ht="20.25">
      <c r="B4" s="145"/>
      <c r="O4" s="144" t="s">
        <v>0</v>
      </c>
    </row>
    <row r="5" spans="2:16" ht="71.25">
      <c r="B5" s="146" t="s">
        <v>1</v>
      </c>
      <c r="C5" s="147" t="s">
        <v>2</v>
      </c>
      <c r="D5" s="147" t="s">
        <v>78</v>
      </c>
      <c r="E5" s="147" t="s">
        <v>77</v>
      </c>
      <c r="F5" s="147" t="s">
        <v>79</v>
      </c>
      <c r="G5" s="147" t="s">
        <v>3</v>
      </c>
      <c r="H5" s="147" t="s">
        <v>80</v>
      </c>
      <c r="I5" s="147" t="s">
        <v>84</v>
      </c>
      <c r="J5" s="147" t="s">
        <v>81</v>
      </c>
      <c r="K5" s="148" t="s">
        <v>4</v>
      </c>
      <c r="L5" s="148" t="s">
        <v>5</v>
      </c>
      <c r="M5" s="148" t="s">
        <v>82</v>
      </c>
      <c r="N5" s="148" t="s">
        <v>83</v>
      </c>
      <c r="O5" s="148" t="s">
        <v>85</v>
      </c>
      <c r="P5" s="148" t="s">
        <v>86</v>
      </c>
    </row>
    <row r="6" spans="2:16" ht="14.25">
      <c r="B6" s="146" t="s">
        <v>6</v>
      </c>
      <c r="C6" s="147" t="s">
        <v>7</v>
      </c>
      <c r="D6" s="146" t="s">
        <v>8</v>
      </c>
      <c r="E6" s="147" t="s">
        <v>9</v>
      </c>
      <c r="F6" s="147" t="s">
        <v>10</v>
      </c>
      <c r="G6" s="147" t="s">
        <v>11</v>
      </c>
      <c r="H6" s="147" t="s">
        <v>12</v>
      </c>
      <c r="I6" s="147" t="s">
        <v>13</v>
      </c>
      <c r="J6" s="147" t="s">
        <v>14</v>
      </c>
      <c r="K6" s="148" t="s">
        <v>15</v>
      </c>
      <c r="L6" s="148" t="s">
        <v>16</v>
      </c>
      <c r="M6" s="148" t="s">
        <v>17</v>
      </c>
      <c r="N6" s="148" t="s">
        <v>18</v>
      </c>
      <c r="O6" s="148" t="s">
        <v>90</v>
      </c>
      <c r="P6" s="148" t="s">
        <v>91</v>
      </c>
    </row>
    <row r="7" spans="1:16" ht="84" customHeight="1">
      <c r="A7" s="34">
        <v>1</v>
      </c>
      <c r="B7" s="149" t="s">
        <v>19</v>
      </c>
      <c r="C7" s="150">
        <v>52815</v>
      </c>
      <c r="D7" s="151">
        <f>288+5256+14316+171+5390+1583+4893+716+582+22179+1224+2630</f>
        <v>59228</v>
      </c>
      <c r="E7" s="150">
        <v>200</v>
      </c>
      <c r="F7" s="150">
        <f>1+519</f>
        <v>520</v>
      </c>
      <c r="G7" s="150">
        <v>118489</v>
      </c>
      <c r="H7" s="150">
        <f>2079+2100+7095+26368+2221+3675+42371+2794+20996+1471+557</f>
        <v>111727</v>
      </c>
      <c r="I7" s="150">
        <v>24696</v>
      </c>
      <c r="J7" s="150">
        <f>12644+2848+2928+4972+1+1</f>
        <v>23394</v>
      </c>
      <c r="K7" s="150">
        <f>C7+E7+G7+I7</f>
        <v>196200</v>
      </c>
      <c r="L7" s="150">
        <f>D7+F7+H7+J7</f>
        <v>194869</v>
      </c>
      <c r="M7" s="150">
        <f>C7+E7+G7+I7-15919</f>
        <v>180281</v>
      </c>
      <c r="N7" s="150">
        <v>15919</v>
      </c>
      <c r="O7" s="150">
        <f>L7</f>
        <v>194869</v>
      </c>
      <c r="P7" s="150">
        <v>0</v>
      </c>
    </row>
    <row r="8" spans="1:16" ht="42.75">
      <c r="A8" s="34">
        <v>2</v>
      </c>
      <c r="B8" s="149" t="s">
        <v>20</v>
      </c>
      <c r="C8" s="151">
        <f>SUM(C9:C12)</f>
        <v>173500</v>
      </c>
      <c r="D8" s="151">
        <f aca="true" t="shared" si="0" ref="D8:I8">SUM(D9:D12)</f>
        <v>210107</v>
      </c>
      <c r="E8" s="151">
        <f t="shared" si="0"/>
        <v>0</v>
      </c>
      <c r="F8" s="151">
        <f t="shared" si="0"/>
        <v>0</v>
      </c>
      <c r="G8" s="151">
        <f t="shared" si="0"/>
        <v>0</v>
      </c>
      <c r="H8" s="151">
        <f t="shared" si="0"/>
        <v>0</v>
      </c>
      <c r="I8" s="151">
        <f t="shared" si="0"/>
        <v>0</v>
      </c>
      <c r="J8" s="151">
        <f>SUM(J9:J12)</f>
        <v>0</v>
      </c>
      <c r="K8" s="150">
        <f aca="true" t="shared" si="1" ref="K8:K32">C8+E8+G8+I8</f>
        <v>173500</v>
      </c>
      <c r="L8" s="150">
        <f aca="true" t="shared" si="2" ref="L8:L32">D8+F8+H8+J8</f>
        <v>210107</v>
      </c>
      <c r="M8" s="150">
        <f aca="true" t="shared" si="3" ref="M8:M32">C8+E8+G8+I8</f>
        <v>173500</v>
      </c>
      <c r="N8" s="150">
        <v>0</v>
      </c>
      <c r="O8" s="150">
        <f aca="true" t="shared" si="4" ref="O8:O28">L8</f>
        <v>210107</v>
      </c>
      <c r="P8" s="150">
        <v>0</v>
      </c>
    </row>
    <row r="9" spans="1:16" ht="14.25">
      <c r="A9" s="34">
        <v>3</v>
      </c>
      <c r="B9" s="5" t="s">
        <v>21</v>
      </c>
      <c r="C9" s="6">
        <v>166000</v>
      </c>
      <c r="D9" s="6">
        <f>106616+29390+27717+39592</f>
        <v>203315</v>
      </c>
      <c r="E9" s="6"/>
      <c r="F9" s="6"/>
      <c r="G9" s="6"/>
      <c r="H9" s="6"/>
      <c r="I9" s="6"/>
      <c r="J9" s="6"/>
      <c r="K9" s="150">
        <f t="shared" si="1"/>
        <v>166000</v>
      </c>
      <c r="L9" s="150">
        <f t="shared" si="2"/>
        <v>203315</v>
      </c>
      <c r="M9" s="150">
        <f t="shared" si="3"/>
        <v>166000</v>
      </c>
      <c r="N9" s="150">
        <v>0</v>
      </c>
      <c r="O9" s="150">
        <f t="shared" si="4"/>
        <v>203315</v>
      </c>
      <c r="P9" s="150">
        <v>0</v>
      </c>
    </row>
    <row r="10" spans="1:16" ht="14.25">
      <c r="A10" s="34">
        <v>4</v>
      </c>
      <c r="B10" s="5" t="s">
        <v>22</v>
      </c>
      <c r="C10" s="6"/>
      <c r="D10" s="6"/>
      <c r="E10" s="6"/>
      <c r="F10" s="6"/>
      <c r="G10" s="6"/>
      <c r="H10" s="6"/>
      <c r="I10" s="6"/>
      <c r="J10" s="6"/>
      <c r="K10" s="150">
        <f t="shared" si="1"/>
        <v>0</v>
      </c>
      <c r="L10" s="150">
        <f t="shared" si="2"/>
        <v>0</v>
      </c>
      <c r="M10" s="150">
        <f t="shared" si="3"/>
        <v>0</v>
      </c>
      <c r="N10" s="150">
        <v>0</v>
      </c>
      <c r="O10" s="150">
        <f t="shared" si="4"/>
        <v>0</v>
      </c>
      <c r="P10" s="150">
        <v>0</v>
      </c>
    </row>
    <row r="11" spans="1:16" ht="14.25">
      <c r="A11" s="34">
        <v>5</v>
      </c>
      <c r="B11" s="5" t="s">
        <v>23</v>
      </c>
      <c r="C11" s="6">
        <v>1500</v>
      </c>
      <c r="D11" s="6">
        <v>957</v>
      </c>
      <c r="E11" s="6"/>
      <c r="F11" s="6"/>
      <c r="G11" s="6"/>
      <c r="H11" s="6"/>
      <c r="I11" s="6"/>
      <c r="J11" s="6"/>
      <c r="K11" s="150">
        <f t="shared" si="1"/>
        <v>1500</v>
      </c>
      <c r="L11" s="150">
        <f t="shared" si="2"/>
        <v>957</v>
      </c>
      <c r="M11" s="150">
        <f t="shared" si="3"/>
        <v>1500</v>
      </c>
      <c r="N11" s="150">
        <v>0</v>
      </c>
      <c r="O11" s="150">
        <f t="shared" si="4"/>
        <v>957</v>
      </c>
      <c r="P11" s="150">
        <v>0</v>
      </c>
    </row>
    <row r="12" spans="1:16" ht="14.25">
      <c r="A12" s="34">
        <v>6</v>
      </c>
      <c r="B12" s="5" t="s">
        <v>87</v>
      </c>
      <c r="C12" s="6">
        <v>6000</v>
      </c>
      <c r="D12" s="6">
        <v>5835</v>
      </c>
      <c r="E12" s="6"/>
      <c r="F12" s="6"/>
      <c r="G12" s="6"/>
      <c r="H12" s="6"/>
      <c r="I12" s="6"/>
      <c r="J12" s="6"/>
      <c r="K12" s="150">
        <f t="shared" si="1"/>
        <v>6000</v>
      </c>
      <c r="L12" s="150">
        <f t="shared" si="2"/>
        <v>5835</v>
      </c>
      <c r="M12" s="150">
        <f t="shared" si="3"/>
        <v>6000</v>
      </c>
      <c r="N12" s="150">
        <v>0</v>
      </c>
      <c r="O12" s="150">
        <f t="shared" si="4"/>
        <v>5835</v>
      </c>
      <c r="P12" s="150">
        <v>0</v>
      </c>
    </row>
    <row r="13" spans="1:16" ht="28.5">
      <c r="A13" s="34">
        <v>7</v>
      </c>
      <c r="B13" s="170" t="s">
        <v>24</v>
      </c>
      <c r="C13" s="9">
        <v>0</v>
      </c>
      <c r="D13" s="9">
        <v>0</v>
      </c>
      <c r="E13" s="171">
        <v>48808</v>
      </c>
      <c r="F13" s="171">
        <v>49148</v>
      </c>
      <c r="G13" s="171">
        <v>67497</v>
      </c>
      <c r="H13" s="171">
        <v>54646</v>
      </c>
      <c r="I13" s="171">
        <v>43742</v>
      </c>
      <c r="J13" s="171">
        <v>40161</v>
      </c>
      <c r="K13" s="161">
        <f t="shared" si="1"/>
        <v>160047</v>
      </c>
      <c r="L13" s="161">
        <f t="shared" si="2"/>
        <v>143955</v>
      </c>
      <c r="M13" s="161">
        <f t="shared" si="3"/>
        <v>160047</v>
      </c>
      <c r="N13" s="161">
        <v>0</v>
      </c>
      <c r="O13" s="161">
        <f t="shared" si="4"/>
        <v>143955</v>
      </c>
      <c r="P13" s="161">
        <v>0</v>
      </c>
    </row>
    <row r="14" spans="1:16" ht="14.25">
      <c r="A14" s="34">
        <v>8</v>
      </c>
      <c r="B14" s="149" t="s">
        <v>25</v>
      </c>
      <c r="C14" s="150">
        <f>156360+274</f>
        <v>156634</v>
      </c>
      <c r="D14" s="150">
        <f>65207+26944+8831+1946+70226+4044+6458</f>
        <v>183656</v>
      </c>
      <c r="E14" s="150"/>
      <c r="F14" s="150"/>
      <c r="G14" s="150"/>
      <c r="H14" s="150"/>
      <c r="I14" s="150"/>
      <c r="J14" s="150"/>
      <c r="K14" s="150">
        <f t="shared" si="1"/>
        <v>156634</v>
      </c>
      <c r="L14" s="150">
        <f t="shared" si="2"/>
        <v>183656</v>
      </c>
      <c r="M14" s="150">
        <f t="shared" si="3"/>
        <v>156634</v>
      </c>
      <c r="N14" s="150">
        <v>0</v>
      </c>
      <c r="O14" s="150">
        <f t="shared" si="4"/>
        <v>183656</v>
      </c>
      <c r="P14" s="150">
        <v>0</v>
      </c>
    </row>
    <row r="15" spans="1:16" ht="28.5">
      <c r="A15" s="34">
        <v>9</v>
      </c>
      <c r="B15" s="149" t="s">
        <v>26</v>
      </c>
      <c r="C15" s="150">
        <v>19670</v>
      </c>
      <c r="D15" s="150">
        <f>249+14170+5055+3058+1489+1499+1022</f>
        <v>26542</v>
      </c>
      <c r="E15" s="150"/>
      <c r="F15" s="150">
        <v>2499</v>
      </c>
      <c r="G15" s="150"/>
      <c r="H15" s="150"/>
      <c r="I15" s="150"/>
      <c r="J15" s="150"/>
      <c r="K15" s="150">
        <f t="shared" si="1"/>
        <v>19670</v>
      </c>
      <c r="L15" s="150">
        <f t="shared" si="2"/>
        <v>29041</v>
      </c>
      <c r="M15" s="150">
        <f t="shared" si="3"/>
        <v>19670</v>
      </c>
      <c r="N15" s="150">
        <v>0</v>
      </c>
      <c r="O15" s="150">
        <f t="shared" si="4"/>
        <v>29041</v>
      </c>
      <c r="P15" s="150">
        <v>0</v>
      </c>
    </row>
    <row r="16" spans="1:16" ht="14.25">
      <c r="A16" s="34">
        <v>10</v>
      </c>
      <c r="B16" s="149" t="s">
        <v>27</v>
      </c>
      <c r="C16" s="150"/>
      <c r="D16" s="150">
        <f>100+2789</f>
        <v>2889</v>
      </c>
      <c r="E16" s="150"/>
      <c r="F16" s="150"/>
      <c r="G16" s="150"/>
      <c r="H16" s="150"/>
      <c r="I16" s="150"/>
      <c r="J16" s="150"/>
      <c r="K16" s="150">
        <f t="shared" si="1"/>
        <v>0</v>
      </c>
      <c r="L16" s="150">
        <f t="shared" si="2"/>
        <v>2889</v>
      </c>
      <c r="M16" s="150">
        <f t="shared" si="3"/>
        <v>0</v>
      </c>
      <c r="N16" s="150">
        <v>0</v>
      </c>
      <c r="O16" s="150">
        <f t="shared" si="4"/>
        <v>2889</v>
      </c>
      <c r="P16" s="150">
        <v>0</v>
      </c>
    </row>
    <row r="17" spans="1:16" ht="28.5">
      <c r="A17" s="34">
        <v>11</v>
      </c>
      <c r="B17" s="149" t="s">
        <v>28</v>
      </c>
      <c r="C17" s="150"/>
      <c r="D17" s="150"/>
      <c r="E17" s="150"/>
      <c r="F17" s="150"/>
      <c r="G17" s="150"/>
      <c r="H17" s="150"/>
      <c r="I17" s="150"/>
      <c r="J17" s="150"/>
      <c r="K17" s="150">
        <f t="shared" si="1"/>
        <v>0</v>
      </c>
      <c r="L17" s="150">
        <f t="shared" si="2"/>
        <v>0</v>
      </c>
      <c r="M17" s="150">
        <f t="shared" si="3"/>
        <v>0</v>
      </c>
      <c r="N17" s="150">
        <v>0</v>
      </c>
      <c r="O17" s="150">
        <f t="shared" si="4"/>
        <v>0</v>
      </c>
      <c r="P17" s="150">
        <v>0</v>
      </c>
    </row>
    <row r="18" spans="1:16" ht="14.25">
      <c r="A18" s="34">
        <v>12</v>
      </c>
      <c r="B18" s="160" t="s">
        <v>29</v>
      </c>
      <c r="C18" s="13">
        <f>C7+C8+C14+C15+C16+C17+C13</f>
        <v>402619</v>
      </c>
      <c r="D18" s="13">
        <f aca="true" t="shared" si="5" ref="D18:J18">D7+D8+D14+D15+D16+D17+D13</f>
        <v>482422</v>
      </c>
      <c r="E18" s="13">
        <f t="shared" si="5"/>
        <v>49008</v>
      </c>
      <c r="F18" s="13">
        <f t="shared" si="5"/>
        <v>52167</v>
      </c>
      <c r="G18" s="13">
        <f t="shared" si="5"/>
        <v>185986</v>
      </c>
      <c r="H18" s="13">
        <f t="shared" si="5"/>
        <v>166373</v>
      </c>
      <c r="I18" s="13">
        <f t="shared" si="5"/>
        <v>68438</v>
      </c>
      <c r="J18" s="13">
        <f t="shared" si="5"/>
        <v>63555</v>
      </c>
      <c r="K18" s="161">
        <f t="shared" si="1"/>
        <v>706051</v>
      </c>
      <c r="L18" s="161">
        <f t="shared" si="2"/>
        <v>764517</v>
      </c>
      <c r="M18" s="161">
        <f t="shared" si="3"/>
        <v>706051</v>
      </c>
      <c r="N18" s="161">
        <v>0</v>
      </c>
      <c r="O18" s="161">
        <f t="shared" si="4"/>
        <v>764517</v>
      </c>
      <c r="P18" s="161">
        <v>0</v>
      </c>
    </row>
    <row r="19" spans="1:16" ht="28.5">
      <c r="A19" s="34">
        <v>13</v>
      </c>
      <c r="B19" s="149" t="s">
        <v>30</v>
      </c>
      <c r="C19" s="9">
        <v>49443</v>
      </c>
      <c r="D19" s="9">
        <f>193358+30384+5610</f>
        <v>229352</v>
      </c>
      <c r="E19" s="9"/>
      <c r="F19" s="9"/>
      <c r="G19" s="9"/>
      <c r="H19" s="9"/>
      <c r="I19" s="9"/>
      <c r="J19" s="9"/>
      <c r="K19" s="150">
        <f t="shared" si="1"/>
        <v>49443</v>
      </c>
      <c r="L19" s="150">
        <f t="shared" si="2"/>
        <v>229352</v>
      </c>
      <c r="M19" s="150">
        <f t="shared" si="3"/>
        <v>49443</v>
      </c>
      <c r="N19" s="150">
        <v>0</v>
      </c>
      <c r="O19" s="150">
        <f t="shared" si="4"/>
        <v>229352</v>
      </c>
      <c r="P19" s="150">
        <v>0</v>
      </c>
    </row>
    <row r="20" spans="1:16" ht="28.5">
      <c r="A20" s="34">
        <v>14</v>
      </c>
      <c r="B20" s="149" t="s">
        <v>31</v>
      </c>
      <c r="C20" s="9"/>
      <c r="D20" s="9"/>
      <c r="E20" s="9"/>
      <c r="F20" s="9"/>
      <c r="G20" s="9"/>
      <c r="H20" s="9"/>
      <c r="I20" s="9"/>
      <c r="J20" s="9"/>
      <c r="K20" s="150">
        <f t="shared" si="1"/>
        <v>0</v>
      </c>
      <c r="L20" s="150">
        <f t="shared" si="2"/>
        <v>0</v>
      </c>
      <c r="M20" s="150">
        <f t="shared" si="3"/>
        <v>0</v>
      </c>
      <c r="N20" s="150">
        <v>0</v>
      </c>
      <c r="O20" s="150">
        <f t="shared" si="4"/>
        <v>0</v>
      </c>
      <c r="P20" s="150">
        <v>0</v>
      </c>
    </row>
    <row r="21" spans="1:16" ht="42.75">
      <c r="A21" s="34">
        <v>15</v>
      </c>
      <c r="B21" s="149" t="s">
        <v>32</v>
      </c>
      <c r="C21" s="9">
        <v>51760</v>
      </c>
      <c r="D21" s="9">
        <f>54108</f>
        <v>54108</v>
      </c>
      <c r="E21" s="9"/>
      <c r="F21" s="9"/>
      <c r="G21" s="9"/>
      <c r="H21" s="9"/>
      <c r="I21" s="9"/>
      <c r="J21" s="9"/>
      <c r="K21" s="150">
        <f t="shared" si="1"/>
        <v>51760</v>
      </c>
      <c r="L21" s="150">
        <f t="shared" si="2"/>
        <v>54108</v>
      </c>
      <c r="M21" s="150">
        <f t="shared" si="3"/>
        <v>51760</v>
      </c>
      <c r="N21" s="150">
        <v>0</v>
      </c>
      <c r="O21" s="150">
        <f t="shared" si="4"/>
        <v>54108</v>
      </c>
      <c r="P21" s="150">
        <v>0</v>
      </c>
    </row>
    <row r="22" spans="1:16" ht="28.5">
      <c r="A22" s="34">
        <v>16</v>
      </c>
      <c r="B22" s="149" t="s">
        <v>33</v>
      </c>
      <c r="C22" s="150"/>
      <c r="D22" s="150"/>
      <c r="E22" s="150"/>
      <c r="F22" s="150"/>
      <c r="G22" s="150"/>
      <c r="H22" s="150"/>
      <c r="I22" s="150"/>
      <c r="J22" s="150"/>
      <c r="K22" s="150">
        <f t="shared" si="1"/>
        <v>0</v>
      </c>
      <c r="L22" s="150">
        <f t="shared" si="2"/>
        <v>0</v>
      </c>
      <c r="M22" s="150">
        <f t="shared" si="3"/>
        <v>0</v>
      </c>
      <c r="N22" s="150">
        <v>0</v>
      </c>
      <c r="O22" s="150">
        <f t="shared" si="4"/>
        <v>0</v>
      </c>
      <c r="P22" s="150">
        <v>0</v>
      </c>
    </row>
    <row r="23" spans="1:16" ht="28.5">
      <c r="A23" s="34">
        <v>17</v>
      </c>
      <c r="B23" s="149" t="s">
        <v>34</v>
      </c>
      <c r="C23" s="150"/>
      <c r="D23" s="150"/>
      <c r="E23" s="150"/>
      <c r="F23" s="150"/>
      <c r="G23" s="150"/>
      <c r="H23" s="150"/>
      <c r="I23" s="150"/>
      <c r="J23" s="150"/>
      <c r="K23" s="150">
        <f t="shared" si="1"/>
        <v>0</v>
      </c>
      <c r="L23" s="150">
        <f t="shared" si="2"/>
        <v>0</v>
      </c>
      <c r="M23" s="150">
        <f t="shared" si="3"/>
        <v>0</v>
      </c>
      <c r="N23" s="150">
        <v>0</v>
      </c>
      <c r="O23" s="150">
        <f t="shared" si="4"/>
        <v>0</v>
      </c>
      <c r="P23" s="150">
        <v>0</v>
      </c>
    </row>
    <row r="24" spans="1:16" ht="14.25">
      <c r="A24" s="34">
        <v>18</v>
      </c>
      <c r="B24" s="160" t="s">
        <v>35</v>
      </c>
      <c r="C24" s="13">
        <f>SUM(C19:C23)</f>
        <v>101203</v>
      </c>
      <c r="D24" s="13">
        <f aca="true" t="shared" si="6" ref="D24:I24">SUM(D19:D23)</f>
        <v>283460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>SUM(J19:J23)</f>
        <v>0</v>
      </c>
      <c r="K24" s="161">
        <f t="shared" si="1"/>
        <v>101203</v>
      </c>
      <c r="L24" s="161">
        <f t="shared" si="2"/>
        <v>283460</v>
      </c>
      <c r="M24" s="161">
        <f t="shared" si="3"/>
        <v>101203</v>
      </c>
      <c r="N24" s="161">
        <v>0</v>
      </c>
      <c r="O24" s="161">
        <f t="shared" si="4"/>
        <v>283460</v>
      </c>
      <c r="P24" s="161">
        <v>0</v>
      </c>
    </row>
    <row r="25" spans="1:16" ht="14.25">
      <c r="A25" s="34">
        <v>19</v>
      </c>
      <c r="B25" s="93" t="s">
        <v>40</v>
      </c>
      <c r="C25" s="152">
        <f>C24+C18-E13-G13-I13</f>
        <v>343775</v>
      </c>
      <c r="D25" s="152">
        <f>D24+D18-F13-H13-J13</f>
        <v>621927</v>
      </c>
      <c r="E25" s="152">
        <f aca="true" t="shared" si="7" ref="E25:J25">E24+E18</f>
        <v>49008</v>
      </c>
      <c r="F25" s="152">
        <f t="shared" si="7"/>
        <v>52167</v>
      </c>
      <c r="G25" s="152">
        <f t="shared" si="7"/>
        <v>185986</v>
      </c>
      <c r="H25" s="152">
        <f t="shared" si="7"/>
        <v>166373</v>
      </c>
      <c r="I25" s="152">
        <f t="shared" si="7"/>
        <v>68438</v>
      </c>
      <c r="J25" s="152">
        <f t="shared" si="7"/>
        <v>63555</v>
      </c>
      <c r="K25" s="150">
        <f t="shared" si="1"/>
        <v>647207</v>
      </c>
      <c r="L25" s="150">
        <f t="shared" si="2"/>
        <v>904022</v>
      </c>
      <c r="M25" s="150">
        <f t="shared" si="3"/>
        <v>647207</v>
      </c>
      <c r="N25" s="150">
        <v>0</v>
      </c>
      <c r="O25" s="150">
        <f t="shared" si="4"/>
        <v>904022</v>
      </c>
      <c r="P25" s="150">
        <v>0</v>
      </c>
    </row>
    <row r="26" spans="1:16" ht="42.75">
      <c r="A26" s="34">
        <v>20</v>
      </c>
      <c r="B26" s="14" t="s">
        <v>41</v>
      </c>
      <c r="C26" s="150">
        <v>50000</v>
      </c>
      <c r="D26" s="150">
        <v>62103</v>
      </c>
      <c r="E26" s="150"/>
      <c r="F26" s="150">
        <v>2224</v>
      </c>
      <c r="G26" s="110"/>
      <c r="H26" s="150">
        <v>1984</v>
      </c>
      <c r="I26" s="110"/>
      <c r="J26" s="150">
        <v>2005</v>
      </c>
      <c r="K26" s="150">
        <f t="shared" si="1"/>
        <v>50000</v>
      </c>
      <c r="L26" s="150">
        <f t="shared" si="2"/>
        <v>68316</v>
      </c>
      <c r="M26" s="150">
        <f t="shared" si="3"/>
        <v>50000</v>
      </c>
      <c r="N26" s="150">
        <v>0</v>
      </c>
      <c r="O26" s="150">
        <f t="shared" si="4"/>
        <v>68316</v>
      </c>
      <c r="P26" s="150">
        <v>0</v>
      </c>
    </row>
    <row r="27" spans="1:16" ht="14.25">
      <c r="A27" s="34">
        <v>21</v>
      </c>
      <c r="B27" s="14" t="s">
        <v>42</v>
      </c>
      <c r="C27" s="110"/>
      <c r="D27" s="110"/>
      <c r="E27" s="150"/>
      <c r="F27" s="150"/>
      <c r="G27" s="110"/>
      <c r="H27" s="110"/>
      <c r="I27" s="110"/>
      <c r="J27" s="110"/>
      <c r="K27" s="150">
        <f t="shared" si="1"/>
        <v>0</v>
      </c>
      <c r="L27" s="150">
        <f t="shared" si="2"/>
        <v>0</v>
      </c>
      <c r="M27" s="150">
        <f t="shared" si="3"/>
        <v>0</v>
      </c>
      <c r="N27" s="150">
        <v>0</v>
      </c>
      <c r="O27" s="150">
        <f t="shared" si="4"/>
        <v>0</v>
      </c>
      <c r="P27" s="150">
        <v>0</v>
      </c>
    </row>
    <row r="28" spans="1:16" ht="14.25">
      <c r="A28" s="34">
        <v>22</v>
      </c>
      <c r="B28" s="162" t="s">
        <v>43</v>
      </c>
      <c r="C28" s="23">
        <f aca="true" t="shared" si="8" ref="C28:I28">SUM(C25:C27)</f>
        <v>393775</v>
      </c>
      <c r="D28" s="23">
        <f t="shared" si="8"/>
        <v>684030</v>
      </c>
      <c r="E28" s="23">
        <f t="shared" si="8"/>
        <v>49008</v>
      </c>
      <c r="F28" s="23">
        <f t="shared" si="8"/>
        <v>54391</v>
      </c>
      <c r="G28" s="23">
        <f t="shared" si="8"/>
        <v>185986</v>
      </c>
      <c r="H28" s="23">
        <f t="shared" si="8"/>
        <v>168357</v>
      </c>
      <c r="I28" s="23">
        <f t="shared" si="8"/>
        <v>68438</v>
      </c>
      <c r="J28" s="23">
        <f>SUM(J25:J27)</f>
        <v>65560</v>
      </c>
      <c r="K28" s="163">
        <f t="shared" si="1"/>
        <v>697207</v>
      </c>
      <c r="L28" s="186">
        <f t="shared" si="2"/>
        <v>972338</v>
      </c>
      <c r="M28" s="163">
        <f t="shared" si="3"/>
        <v>697207</v>
      </c>
      <c r="N28" s="163">
        <v>0</v>
      </c>
      <c r="O28" s="185">
        <f t="shared" si="4"/>
        <v>972338</v>
      </c>
      <c r="P28" s="163">
        <v>0</v>
      </c>
    </row>
    <row r="29" spans="1:16" ht="14.25">
      <c r="A29" s="34">
        <v>23</v>
      </c>
      <c r="B29" s="14"/>
      <c r="C29" s="110"/>
      <c r="D29" s="110"/>
      <c r="E29" s="110"/>
      <c r="F29" s="110"/>
      <c r="G29" s="110"/>
      <c r="H29" s="110"/>
      <c r="I29" s="110"/>
      <c r="J29" s="110"/>
      <c r="K29" s="150">
        <f t="shared" si="1"/>
        <v>0</v>
      </c>
      <c r="L29" s="150">
        <f t="shared" si="2"/>
        <v>0</v>
      </c>
      <c r="M29" s="150">
        <f t="shared" si="3"/>
        <v>0</v>
      </c>
      <c r="N29" s="150">
        <v>0</v>
      </c>
      <c r="O29" s="150">
        <v>0</v>
      </c>
      <c r="P29" s="150">
        <v>0</v>
      </c>
    </row>
    <row r="30" spans="1:24" s="40" customFormat="1" ht="28.5">
      <c r="A30" s="34">
        <v>24</v>
      </c>
      <c r="B30" s="5" t="s">
        <v>44</v>
      </c>
      <c r="C30" s="6">
        <f aca="true" t="shared" si="9" ref="C30:J30">C28-C60</f>
        <v>0</v>
      </c>
      <c r="D30" s="6">
        <f t="shared" si="9"/>
        <v>0</v>
      </c>
      <c r="E30" s="6">
        <f t="shared" si="9"/>
        <v>0</v>
      </c>
      <c r="F30" s="6">
        <f t="shared" si="9"/>
        <v>0</v>
      </c>
      <c r="G30" s="6">
        <f t="shared" si="9"/>
        <v>0</v>
      </c>
      <c r="H30" s="6">
        <f t="shared" si="9"/>
        <v>0</v>
      </c>
      <c r="I30" s="6">
        <f t="shared" si="9"/>
        <v>0</v>
      </c>
      <c r="J30" s="6">
        <f t="shared" si="9"/>
        <v>0</v>
      </c>
      <c r="K30" s="150">
        <f t="shared" si="1"/>
        <v>0</v>
      </c>
      <c r="L30" s="150">
        <f t="shared" si="2"/>
        <v>0</v>
      </c>
      <c r="M30" s="150">
        <f t="shared" si="3"/>
        <v>0</v>
      </c>
      <c r="N30" s="150">
        <v>0</v>
      </c>
      <c r="O30" s="150">
        <v>0</v>
      </c>
      <c r="P30" s="150">
        <v>0</v>
      </c>
      <c r="Q30" s="153"/>
      <c r="R30" s="153"/>
      <c r="S30" s="153"/>
      <c r="T30" s="153"/>
      <c r="U30" s="153"/>
      <c r="V30" s="153"/>
      <c r="W30" s="153"/>
      <c r="X30" s="153"/>
    </row>
    <row r="31" spans="1:24" s="40" customFormat="1" ht="28.5">
      <c r="A31" s="34">
        <v>25</v>
      </c>
      <c r="B31" s="5" t="s">
        <v>45</v>
      </c>
      <c r="C31" s="6">
        <f aca="true" t="shared" si="10" ref="C31:J31">C28-C60</f>
        <v>0</v>
      </c>
      <c r="D31" s="6">
        <f t="shared" si="10"/>
        <v>0</v>
      </c>
      <c r="E31" s="6">
        <f t="shared" si="10"/>
        <v>0</v>
      </c>
      <c r="F31" s="6">
        <f t="shared" si="10"/>
        <v>0</v>
      </c>
      <c r="G31" s="6">
        <f t="shared" si="10"/>
        <v>0</v>
      </c>
      <c r="H31" s="6">
        <f t="shared" si="10"/>
        <v>0</v>
      </c>
      <c r="I31" s="6">
        <f t="shared" si="10"/>
        <v>0</v>
      </c>
      <c r="J31" s="6">
        <f t="shared" si="10"/>
        <v>0</v>
      </c>
      <c r="K31" s="150">
        <f t="shared" si="1"/>
        <v>0</v>
      </c>
      <c r="L31" s="150">
        <f t="shared" si="2"/>
        <v>0</v>
      </c>
      <c r="M31" s="150">
        <f t="shared" si="3"/>
        <v>0</v>
      </c>
      <c r="N31" s="150">
        <v>0</v>
      </c>
      <c r="O31" s="150">
        <v>0</v>
      </c>
      <c r="P31" s="150">
        <v>0</v>
      </c>
      <c r="Q31" s="153"/>
      <c r="R31" s="153"/>
      <c r="S31" s="153"/>
      <c r="T31" s="153"/>
      <c r="U31" s="153"/>
      <c r="V31" s="153"/>
      <c r="W31" s="153"/>
      <c r="X31" s="153"/>
    </row>
    <row r="32" spans="1:24" s="40" customFormat="1" ht="71.25">
      <c r="A32" s="34">
        <v>26</v>
      </c>
      <c r="B32" s="5" t="s">
        <v>46</v>
      </c>
      <c r="C32" s="6">
        <f aca="true" t="shared" si="11" ref="C32:J32">C30+C22</f>
        <v>0</v>
      </c>
      <c r="D32" s="6">
        <f t="shared" si="11"/>
        <v>0</v>
      </c>
      <c r="E32" s="6">
        <f t="shared" si="11"/>
        <v>0</v>
      </c>
      <c r="F32" s="6">
        <f t="shared" si="11"/>
        <v>0</v>
      </c>
      <c r="G32" s="6">
        <f t="shared" si="11"/>
        <v>0</v>
      </c>
      <c r="H32" s="6">
        <f t="shared" si="11"/>
        <v>0</v>
      </c>
      <c r="I32" s="6">
        <f t="shared" si="11"/>
        <v>0</v>
      </c>
      <c r="J32" s="6">
        <f t="shared" si="11"/>
        <v>0</v>
      </c>
      <c r="K32" s="150">
        <f t="shared" si="1"/>
        <v>0</v>
      </c>
      <c r="L32" s="150">
        <f t="shared" si="2"/>
        <v>0</v>
      </c>
      <c r="M32" s="150">
        <f t="shared" si="3"/>
        <v>0</v>
      </c>
      <c r="N32" s="150">
        <v>0</v>
      </c>
      <c r="O32" s="150">
        <v>0</v>
      </c>
      <c r="P32" s="150">
        <v>0</v>
      </c>
      <c r="Q32" s="153"/>
      <c r="R32" s="153"/>
      <c r="S32" s="153"/>
      <c r="T32" s="153"/>
      <c r="U32" s="153"/>
      <c r="V32" s="153"/>
      <c r="W32" s="153"/>
      <c r="X32" s="153"/>
    </row>
    <row r="33" spans="1:24" s="40" customFormat="1" ht="20.25">
      <c r="A33" s="34"/>
      <c r="B33" s="145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53"/>
      <c r="R33" s="153"/>
      <c r="S33" s="153"/>
      <c r="T33" s="153"/>
      <c r="U33" s="153"/>
      <c r="V33" s="153"/>
      <c r="W33" s="153"/>
      <c r="X33" s="153"/>
    </row>
    <row r="34" spans="1:24" s="40" customFormat="1" ht="20.25">
      <c r="A34" s="34"/>
      <c r="B34" s="145" t="s">
        <v>194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53"/>
      <c r="R34" s="153"/>
      <c r="S34" s="153"/>
      <c r="T34" s="153"/>
      <c r="U34" s="153"/>
      <c r="V34" s="153"/>
      <c r="W34" s="153"/>
      <c r="X34" s="153"/>
    </row>
    <row r="35" spans="1:24" s="40" customFormat="1" ht="20.25">
      <c r="A35" s="34"/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53"/>
      <c r="R35" s="153"/>
      <c r="S35" s="153"/>
      <c r="T35" s="153"/>
      <c r="U35" s="153"/>
      <c r="V35" s="153"/>
      <c r="W35" s="153"/>
      <c r="X35" s="153"/>
    </row>
    <row r="36" spans="1:24" s="40" customFormat="1" ht="71.25">
      <c r="A36" s="34"/>
      <c r="B36" s="146" t="s">
        <v>1</v>
      </c>
      <c r="C36" s="147" t="s">
        <v>2</v>
      </c>
      <c r="D36" s="147" t="s">
        <v>78</v>
      </c>
      <c r="E36" s="147" t="s">
        <v>77</v>
      </c>
      <c r="F36" s="147" t="s">
        <v>79</v>
      </c>
      <c r="G36" s="147" t="s">
        <v>3</v>
      </c>
      <c r="H36" s="147" t="s">
        <v>80</v>
      </c>
      <c r="I36" s="147" t="s">
        <v>84</v>
      </c>
      <c r="J36" s="147" t="s">
        <v>81</v>
      </c>
      <c r="K36" s="148" t="s">
        <v>4</v>
      </c>
      <c r="L36" s="148" t="s">
        <v>5</v>
      </c>
      <c r="M36" s="148" t="s">
        <v>82</v>
      </c>
      <c r="N36" s="148" t="s">
        <v>83</v>
      </c>
      <c r="O36" s="148" t="s">
        <v>85</v>
      </c>
      <c r="P36" s="148" t="s">
        <v>86</v>
      </c>
      <c r="Q36" s="153"/>
      <c r="R36" s="153"/>
      <c r="S36" s="153"/>
      <c r="T36" s="153"/>
      <c r="U36" s="153"/>
      <c r="V36" s="153"/>
      <c r="W36" s="153"/>
      <c r="X36" s="153"/>
    </row>
    <row r="37" spans="1:24" s="40" customFormat="1" ht="14.25">
      <c r="A37" s="34"/>
      <c r="B37" s="146" t="s">
        <v>6</v>
      </c>
      <c r="C37" s="147" t="s">
        <v>7</v>
      </c>
      <c r="D37" s="146" t="s">
        <v>8</v>
      </c>
      <c r="E37" s="147" t="s">
        <v>9</v>
      </c>
      <c r="F37" s="147" t="s">
        <v>10</v>
      </c>
      <c r="G37" s="147" t="s">
        <v>11</v>
      </c>
      <c r="H37" s="147" t="s">
        <v>12</v>
      </c>
      <c r="I37" s="147" t="s">
        <v>13</v>
      </c>
      <c r="J37" s="147" t="s">
        <v>14</v>
      </c>
      <c r="K37" s="148" t="s">
        <v>15</v>
      </c>
      <c r="L37" s="148" t="s">
        <v>16</v>
      </c>
      <c r="M37" s="148" t="s">
        <v>17</v>
      </c>
      <c r="N37" s="148" t="s">
        <v>18</v>
      </c>
      <c r="O37" s="148" t="s">
        <v>90</v>
      </c>
      <c r="P37" s="148" t="s">
        <v>91</v>
      </c>
      <c r="Q37" s="153"/>
      <c r="R37" s="153"/>
      <c r="S37" s="153"/>
      <c r="T37" s="153"/>
      <c r="U37" s="153"/>
      <c r="V37" s="153"/>
      <c r="W37" s="153"/>
      <c r="X37" s="153"/>
    </row>
    <row r="38" spans="1:24" s="40" customFormat="1" ht="14.25">
      <c r="A38" s="34">
        <v>1</v>
      </c>
      <c r="B38" s="21" t="s">
        <v>47</v>
      </c>
      <c r="C38" s="150">
        <v>27162</v>
      </c>
      <c r="D38" s="150">
        <f>2740+1909+7680+1037+2766+1663+775+360+279+13+5+38+144+226+673+165+44+22+44+44+23+88+18+21+10210+1926+1406+1223+123+4045</f>
        <v>39710</v>
      </c>
      <c r="E38" s="150">
        <v>35423</v>
      </c>
      <c r="F38" s="150">
        <f>31292+3100+378+893+2365+100+611+2417+124</f>
        <v>41280</v>
      </c>
      <c r="G38" s="150">
        <v>42248</v>
      </c>
      <c r="H38" s="150">
        <f>24280+9266+1880+100+518+163+29+1591+803+158+822+2698+90</f>
        <v>42398</v>
      </c>
      <c r="I38" s="150">
        <v>29661</v>
      </c>
      <c r="J38" s="150">
        <f>26901+380+570+120+1587+33+444+1095+31</f>
        <v>31161</v>
      </c>
      <c r="K38" s="150">
        <f>C38+E38+G38+I38</f>
        <v>134494</v>
      </c>
      <c r="L38" s="150">
        <f>D38+F38+H38+J38</f>
        <v>154549</v>
      </c>
      <c r="M38" s="150">
        <f>C38+E38+G38+I38</f>
        <v>134494</v>
      </c>
      <c r="N38" s="150">
        <v>0</v>
      </c>
      <c r="O38" s="150">
        <f>L38</f>
        <v>154549</v>
      </c>
      <c r="P38" s="150">
        <v>0</v>
      </c>
      <c r="Q38" s="153"/>
      <c r="R38" s="153"/>
      <c r="S38" s="153"/>
      <c r="T38" s="153"/>
      <c r="U38" s="153"/>
      <c r="V38" s="153"/>
      <c r="W38" s="153"/>
      <c r="X38" s="153"/>
    </row>
    <row r="39" spans="1:24" s="40" customFormat="1" ht="28.5">
      <c r="A39" s="34">
        <v>2</v>
      </c>
      <c r="B39" s="21" t="s">
        <v>48</v>
      </c>
      <c r="C39" s="150">
        <v>9474</v>
      </c>
      <c r="D39" s="150">
        <f>7181+2022+59+1281</f>
        <v>10543</v>
      </c>
      <c r="E39" s="150">
        <v>10614</v>
      </c>
      <c r="F39" s="150">
        <f>9500+435+349</f>
        <v>10284</v>
      </c>
      <c r="G39" s="150">
        <v>12507</v>
      </c>
      <c r="H39" s="150">
        <f>8720+805+48+476</f>
        <v>10049</v>
      </c>
      <c r="I39" s="150">
        <v>8908</v>
      </c>
      <c r="J39" s="150">
        <f>7170+474+17+282</f>
        <v>7943</v>
      </c>
      <c r="K39" s="150">
        <f aca="true" t="shared" si="12" ref="K39:K59">C39+E39+G39+I39</f>
        <v>41503</v>
      </c>
      <c r="L39" s="150">
        <f aca="true" t="shared" si="13" ref="L39:L59">D39+F39+H39+J39</f>
        <v>38819</v>
      </c>
      <c r="M39" s="150">
        <f aca="true" t="shared" si="14" ref="M39:M59">C39+E39+G39+I39</f>
        <v>41503</v>
      </c>
      <c r="N39" s="150">
        <v>0</v>
      </c>
      <c r="O39" s="150">
        <f aca="true" t="shared" si="15" ref="O39:O49">L39</f>
        <v>38819</v>
      </c>
      <c r="P39" s="150">
        <v>0</v>
      </c>
      <c r="Q39" s="153"/>
      <c r="R39" s="153"/>
      <c r="S39" s="153"/>
      <c r="T39" s="153"/>
      <c r="U39" s="153"/>
      <c r="V39" s="153"/>
      <c r="W39" s="153"/>
      <c r="X39" s="153"/>
    </row>
    <row r="40" spans="1:24" s="40" customFormat="1" ht="14.25">
      <c r="A40" s="34">
        <v>3</v>
      </c>
      <c r="B40" s="21" t="s">
        <v>49</v>
      </c>
      <c r="C40" s="150">
        <v>74893</v>
      </c>
      <c r="D40" s="150">
        <f>141+337+210+349+347+1471+20+2437+299+195+1307+2070+414+221+2244+258+242+10237+1346+1654+1084+6711+6161+2620+617+4615+8715+25867+109+9324</f>
        <v>91622</v>
      </c>
      <c r="E40" s="150">
        <v>2971</v>
      </c>
      <c r="F40" s="150">
        <f>2+1021+6+3+348+50+402+115+359+496+25</f>
        <v>2827</v>
      </c>
      <c r="G40" s="150">
        <v>131231</v>
      </c>
      <c r="H40" s="150">
        <f>74+258+93+312+80+3300+192+10117+505+148+23+18669+2653+5804+68+30+26488+796+75+952+14+2270+802+5870+833+508+2821+20165+10990+261</f>
        <v>115171</v>
      </c>
      <c r="I40" s="150">
        <v>29869</v>
      </c>
      <c r="J40" s="150">
        <f>13946+429+10+100+184+9+76+850+100+541+1089+629+371+59+400+20+191+94+600+226+11+4639+1881+1</f>
        <v>26456</v>
      </c>
      <c r="K40" s="150">
        <f t="shared" si="12"/>
        <v>238964</v>
      </c>
      <c r="L40" s="150">
        <f t="shared" si="13"/>
        <v>236076</v>
      </c>
      <c r="M40" s="150">
        <f>C40+E40+G40+I40-13265</f>
        <v>225699</v>
      </c>
      <c r="N40" s="150">
        <v>13265</v>
      </c>
      <c r="O40" s="150">
        <f t="shared" si="15"/>
        <v>236076</v>
      </c>
      <c r="P40" s="150">
        <v>0</v>
      </c>
      <c r="Q40" s="153"/>
      <c r="R40" s="153"/>
      <c r="S40" s="153"/>
      <c r="T40" s="153"/>
      <c r="U40" s="153"/>
      <c r="V40" s="153"/>
      <c r="W40" s="153"/>
      <c r="X40" s="153"/>
    </row>
    <row r="41" spans="1:24" s="40" customFormat="1" ht="28.5">
      <c r="A41" s="34">
        <v>4</v>
      </c>
      <c r="B41" s="169" t="s">
        <v>50</v>
      </c>
      <c r="C41" s="172">
        <f>E13+G13+I13</f>
        <v>160047</v>
      </c>
      <c r="D41" s="174">
        <f>F13+H13+J13</f>
        <v>143955</v>
      </c>
      <c r="E41" s="151"/>
      <c r="F41" s="151"/>
      <c r="G41" s="150"/>
      <c r="H41" s="150"/>
      <c r="I41" s="150"/>
      <c r="J41" s="150"/>
      <c r="K41" s="150">
        <f t="shared" si="12"/>
        <v>160047</v>
      </c>
      <c r="L41" s="150">
        <f t="shared" si="13"/>
        <v>143955</v>
      </c>
      <c r="M41" s="150">
        <f t="shared" si="14"/>
        <v>160047</v>
      </c>
      <c r="N41" s="150">
        <v>0</v>
      </c>
      <c r="O41" s="150">
        <f t="shared" si="15"/>
        <v>143955</v>
      </c>
      <c r="P41" s="150">
        <v>0</v>
      </c>
      <c r="Q41" s="153"/>
      <c r="R41" s="153"/>
      <c r="S41" s="153"/>
      <c r="T41" s="153"/>
      <c r="U41" s="153"/>
      <c r="V41" s="153"/>
      <c r="W41" s="153"/>
      <c r="X41" s="153"/>
    </row>
    <row r="42" spans="1:24" s="40" customFormat="1" ht="14.25">
      <c r="A42" s="34">
        <v>5</v>
      </c>
      <c r="B42" s="21" t="s">
        <v>51</v>
      </c>
      <c r="C42" s="150">
        <f>SUM(C43:C45)</f>
        <v>95502</v>
      </c>
      <c r="D42" s="150">
        <f aca="true" t="shared" si="16" ref="D42:J42">SUM(D43:D45)</f>
        <v>145577</v>
      </c>
      <c r="E42" s="150">
        <f t="shared" si="16"/>
        <v>0</v>
      </c>
      <c r="F42" s="150">
        <f t="shared" si="16"/>
        <v>0</v>
      </c>
      <c r="G42" s="150">
        <f t="shared" si="16"/>
        <v>0</v>
      </c>
      <c r="H42" s="150">
        <f t="shared" si="16"/>
        <v>0</v>
      </c>
      <c r="I42" s="150">
        <f t="shared" si="16"/>
        <v>0</v>
      </c>
      <c r="J42" s="150">
        <f t="shared" si="16"/>
        <v>0</v>
      </c>
      <c r="K42" s="150">
        <f aca="true" t="shared" si="17" ref="K42:P42">SUM(K43:K45)</f>
        <v>95502</v>
      </c>
      <c r="L42" s="150">
        <f t="shared" si="17"/>
        <v>145577</v>
      </c>
      <c r="M42" s="150">
        <f t="shared" si="17"/>
        <v>2700</v>
      </c>
      <c r="N42" s="150">
        <f t="shared" si="17"/>
        <v>92802</v>
      </c>
      <c r="O42" s="150">
        <f t="shared" si="15"/>
        <v>145577</v>
      </c>
      <c r="P42" s="150">
        <f t="shared" si="17"/>
        <v>0</v>
      </c>
      <c r="Q42" s="153"/>
      <c r="R42" s="153"/>
      <c r="S42" s="153"/>
      <c r="T42" s="153"/>
      <c r="U42" s="153"/>
      <c r="V42" s="153"/>
      <c r="W42" s="153"/>
      <c r="X42" s="153"/>
    </row>
    <row r="43" spans="1:24" s="40" customFormat="1" ht="14.25">
      <c r="A43" s="34">
        <v>6</v>
      </c>
      <c r="B43" s="18" t="s">
        <v>52</v>
      </c>
      <c r="C43" s="110">
        <v>2700</v>
      </c>
      <c r="D43" s="110">
        <f>573+3231+2437+80</f>
        <v>6321</v>
      </c>
      <c r="E43" s="110"/>
      <c r="F43" s="110"/>
      <c r="G43" s="110"/>
      <c r="H43" s="110"/>
      <c r="I43" s="110"/>
      <c r="J43" s="110"/>
      <c r="K43" s="150">
        <f t="shared" si="12"/>
        <v>2700</v>
      </c>
      <c r="L43" s="150">
        <f t="shared" si="13"/>
        <v>6321</v>
      </c>
      <c r="M43" s="150">
        <f t="shared" si="14"/>
        <v>2700</v>
      </c>
      <c r="N43" s="150">
        <v>0</v>
      </c>
      <c r="O43" s="150">
        <f t="shared" si="15"/>
        <v>6321</v>
      </c>
      <c r="P43" s="150">
        <v>0</v>
      </c>
      <c r="Q43" s="153"/>
      <c r="R43" s="153"/>
      <c r="S43" s="153"/>
      <c r="T43" s="153"/>
      <c r="U43" s="153"/>
      <c r="V43" s="153"/>
      <c r="W43" s="153"/>
      <c r="X43" s="153"/>
    </row>
    <row r="44" spans="1:24" s="40" customFormat="1" ht="28.5">
      <c r="A44" s="34">
        <v>7</v>
      </c>
      <c r="B44" s="18" t="s">
        <v>293</v>
      </c>
      <c r="C44" s="110"/>
      <c r="D44" s="110">
        <f>1218+6458</f>
        <v>7676</v>
      </c>
      <c r="E44" s="110"/>
      <c r="F44" s="110"/>
      <c r="G44" s="110"/>
      <c r="H44" s="110"/>
      <c r="I44" s="110"/>
      <c r="J44" s="110"/>
      <c r="K44" s="150">
        <f t="shared" si="12"/>
        <v>0</v>
      </c>
      <c r="L44" s="150">
        <f t="shared" si="13"/>
        <v>7676</v>
      </c>
      <c r="M44" s="150">
        <f t="shared" si="14"/>
        <v>0</v>
      </c>
      <c r="N44" s="150">
        <v>0</v>
      </c>
      <c r="O44" s="150">
        <f t="shared" si="15"/>
        <v>7676</v>
      </c>
      <c r="P44" s="150">
        <v>0</v>
      </c>
      <c r="Q44" s="153"/>
      <c r="R44" s="153"/>
      <c r="S44" s="153"/>
      <c r="T44" s="153"/>
      <c r="U44" s="153"/>
      <c r="V44" s="153"/>
      <c r="W44" s="153"/>
      <c r="X44" s="153"/>
    </row>
    <row r="45" spans="1:24" s="40" customFormat="1" ht="28.5">
      <c r="A45" s="34">
        <v>8</v>
      </c>
      <c r="B45" s="18" t="s">
        <v>54</v>
      </c>
      <c r="C45" s="110">
        <v>92802</v>
      </c>
      <c r="D45" s="110">
        <f>28563+1360+650+46177+860+53970</f>
        <v>131580</v>
      </c>
      <c r="E45" s="110"/>
      <c r="F45" s="110"/>
      <c r="G45" s="110"/>
      <c r="H45" s="110"/>
      <c r="I45" s="110"/>
      <c r="J45" s="110"/>
      <c r="K45" s="150">
        <f t="shared" si="12"/>
        <v>92802</v>
      </c>
      <c r="L45" s="150">
        <f t="shared" si="13"/>
        <v>131580</v>
      </c>
      <c r="M45" s="150">
        <v>0</v>
      </c>
      <c r="N45" s="150">
        <f>C45</f>
        <v>92802</v>
      </c>
      <c r="O45" s="150">
        <f t="shared" si="15"/>
        <v>131580</v>
      </c>
      <c r="P45" s="150">
        <v>0</v>
      </c>
      <c r="Q45" s="153"/>
      <c r="R45" s="153"/>
      <c r="S45" s="153"/>
      <c r="T45" s="153"/>
      <c r="U45" s="153"/>
      <c r="V45" s="153"/>
      <c r="W45" s="153"/>
      <c r="X45" s="153"/>
    </row>
    <row r="46" spans="1:24" s="142" customFormat="1" ht="28.5">
      <c r="A46" s="57">
        <v>9</v>
      </c>
      <c r="B46" s="21" t="s">
        <v>203</v>
      </c>
      <c r="C46" s="148">
        <v>7678</v>
      </c>
      <c r="D46" s="148">
        <f>250+1157+629+716+921+300+1604+53+345+770+645</f>
        <v>7390</v>
      </c>
      <c r="E46" s="148"/>
      <c r="F46" s="148"/>
      <c r="G46" s="148"/>
      <c r="H46" s="148"/>
      <c r="I46" s="148"/>
      <c r="J46" s="148"/>
      <c r="K46" s="150">
        <f t="shared" si="12"/>
        <v>7678</v>
      </c>
      <c r="L46" s="150">
        <f t="shared" si="13"/>
        <v>7390</v>
      </c>
      <c r="M46" s="150">
        <f>C46+E46+G46+I46-N46</f>
        <v>7678</v>
      </c>
      <c r="N46" s="150">
        <v>0</v>
      </c>
      <c r="O46" s="150">
        <f t="shared" si="15"/>
        <v>7390</v>
      </c>
      <c r="P46" s="150">
        <v>0</v>
      </c>
      <c r="Q46" s="154"/>
      <c r="R46" s="154"/>
      <c r="S46" s="154"/>
      <c r="T46" s="154"/>
      <c r="U46" s="154"/>
      <c r="V46" s="154"/>
      <c r="W46" s="154"/>
      <c r="X46" s="154"/>
    </row>
    <row r="47" spans="1:16" ht="28.5">
      <c r="A47" s="34">
        <v>10</v>
      </c>
      <c r="B47" s="21" t="s">
        <v>55</v>
      </c>
      <c r="C47" s="150">
        <f>SUM(C48:C49)</f>
        <v>31187</v>
      </c>
      <c r="D47" s="150">
        <f aca="true" t="shared" si="18" ref="D47:N47">SUM(D48:D49)</f>
        <v>287302</v>
      </c>
      <c r="E47" s="150">
        <f t="shared" si="18"/>
        <v>0</v>
      </c>
      <c r="F47" s="150">
        <f t="shared" si="18"/>
        <v>0</v>
      </c>
      <c r="G47" s="150">
        <f t="shared" si="18"/>
        <v>0</v>
      </c>
      <c r="H47" s="150">
        <f t="shared" si="18"/>
        <v>0</v>
      </c>
      <c r="I47" s="150">
        <f t="shared" si="18"/>
        <v>0</v>
      </c>
      <c r="J47" s="150">
        <f t="shared" si="18"/>
        <v>0</v>
      </c>
      <c r="K47" s="150">
        <f t="shared" si="18"/>
        <v>31187</v>
      </c>
      <c r="L47" s="150">
        <f t="shared" si="18"/>
        <v>287302</v>
      </c>
      <c r="M47" s="150">
        <f t="shared" si="18"/>
        <v>31187</v>
      </c>
      <c r="N47" s="150">
        <f t="shared" si="18"/>
        <v>0</v>
      </c>
      <c r="O47" s="150">
        <f t="shared" si="15"/>
        <v>287302</v>
      </c>
      <c r="P47" s="150">
        <f>F47+H47+J47+L47</f>
        <v>287302</v>
      </c>
    </row>
    <row r="48" spans="1:16" ht="14.25">
      <c r="A48" s="34">
        <v>11</v>
      </c>
      <c r="B48" s="18" t="s">
        <v>56</v>
      </c>
      <c r="C48" s="110">
        <f>30113+274</f>
        <v>30387</v>
      </c>
      <c r="D48" s="110">
        <v>287302</v>
      </c>
      <c r="E48" s="110"/>
      <c r="F48" s="110"/>
      <c r="G48" s="110"/>
      <c r="H48" s="110"/>
      <c r="I48" s="110"/>
      <c r="J48" s="110"/>
      <c r="K48" s="150">
        <f t="shared" si="12"/>
        <v>30387</v>
      </c>
      <c r="L48" s="150">
        <f t="shared" si="13"/>
        <v>287302</v>
      </c>
      <c r="M48" s="150">
        <f t="shared" si="14"/>
        <v>30387</v>
      </c>
      <c r="N48" s="150">
        <v>0</v>
      </c>
      <c r="O48" s="150">
        <f t="shared" si="15"/>
        <v>287302</v>
      </c>
      <c r="P48" s="150">
        <v>0</v>
      </c>
    </row>
    <row r="49" spans="1:16" ht="14.25">
      <c r="A49" s="34">
        <v>12</v>
      </c>
      <c r="B49" s="18" t="s">
        <v>57</v>
      </c>
      <c r="C49" s="110">
        <v>800</v>
      </c>
      <c r="D49" s="110"/>
      <c r="E49" s="110"/>
      <c r="F49" s="110"/>
      <c r="G49" s="110"/>
      <c r="H49" s="110"/>
      <c r="I49" s="110"/>
      <c r="J49" s="110"/>
      <c r="K49" s="150">
        <f t="shared" si="12"/>
        <v>800</v>
      </c>
      <c r="L49" s="150">
        <f t="shared" si="13"/>
        <v>0</v>
      </c>
      <c r="M49" s="150">
        <f t="shared" si="14"/>
        <v>800</v>
      </c>
      <c r="N49" s="150">
        <v>0</v>
      </c>
      <c r="O49" s="150">
        <f t="shared" si="15"/>
        <v>0</v>
      </c>
      <c r="P49" s="150">
        <v>0</v>
      </c>
    </row>
    <row r="50" spans="1:24" s="42" customFormat="1" ht="14.25">
      <c r="A50" s="34">
        <v>13</v>
      </c>
      <c r="B50" s="165" t="s">
        <v>58</v>
      </c>
      <c r="C50" s="13">
        <f>C47+C42+C41+C40+C39+C38+C46</f>
        <v>405943</v>
      </c>
      <c r="D50" s="13">
        <f aca="true" t="shared" si="19" ref="D50:P50">D47+D42+D41+D40+D39+D38+D46</f>
        <v>726099</v>
      </c>
      <c r="E50" s="13">
        <f t="shared" si="19"/>
        <v>49008</v>
      </c>
      <c r="F50" s="13">
        <f t="shared" si="19"/>
        <v>54391</v>
      </c>
      <c r="G50" s="13">
        <f t="shared" si="19"/>
        <v>185986</v>
      </c>
      <c r="H50" s="13">
        <f t="shared" si="19"/>
        <v>167618</v>
      </c>
      <c r="I50" s="13">
        <f t="shared" si="19"/>
        <v>68438</v>
      </c>
      <c r="J50" s="13">
        <f t="shared" si="19"/>
        <v>65560</v>
      </c>
      <c r="K50" s="13">
        <f t="shared" si="19"/>
        <v>709375</v>
      </c>
      <c r="L50" s="13">
        <f t="shared" si="19"/>
        <v>1013668</v>
      </c>
      <c r="M50" s="13">
        <f t="shared" si="19"/>
        <v>603308</v>
      </c>
      <c r="N50" s="13">
        <f t="shared" si="19"/>
        <v>106067</v>
      </c>
      <c r="O50" s="13">
        <f t="shared" si="19"/>
        <v>1013668</v>
      </c>
      <c r="P50" s="13">
        <f t="shared" si="19"/>
        <v>287302</v>
      </c>
      <c r="Q50" s="155"/>
      <c r="R50" s="155"/>
      <c r="S50" s="155"/>
      <c r="T50" s="155"/>
      <c r="U50" s="155"/>
      <c r="V50" s="155"/>
      <c r="W50" s="155"/>
      <c r="X50" s="155"/>
    </row>
    <row r="51" spans="1:16" ht="14.25">
      <c r="A51" s="34">
        <v>14</v>
      </c>
      <c r="B51" s="21" t="s">
        <v>204</v>
      </c>
      <c r="C51" s="150">
        <v>147879</v>
      </c>
      <c r="D51" s="150">
        <f>19879+57058+1293+6249+17407</f>
        <v>101886</v>
      </c>
      <c r="E51" s="150"/>
      <c r="F51" s="150"/>
      <c r="G51" s="150"/>
      <c r="H51" s="150">
        <f>104+478+157</f>
        <v>739</v>
      </c>
      <c r="I51" s="150"/>
      <c r="J51" s="150"/>
      <c r="K51" s="150">
        <f t="shared" si="12"/>
        <v>147879</v>
      </c>
      <c r="L51" s="150">
        <f t="shared" si="13"/>
        <v>102625</v>
      </c>
      <c r="M51" s="150">
        <f>K51-12065</f>
        <v>135814</v>
      </c>
      <c r="N51" s="150">
        <v>12065</v>
      </c>
      <c r="O51" s="150">
        <f>L51</f>
        <v>102625</v>
      </c>
      <c r="P51" s="150">
        <v>0</v>
      </c>
    </row>
    <row r="52" spans="1:16" ht="14.25">
      <c r="A52" s="34">
        <v>15</v>
      </c>
      <c r="B52" s="21" t="s">
        <v>60</v>
      </c>
      <c r="C52" s="150"/>
      <c r="D52" s="150"/>
      <c r="E52" s="150"/>
      <c r="F52" s="150"/>
      <c r="G52" s="150"/>
      <c r="H52" s="150"/>
      <c r="I52" s="150"/>
      <c r="J52" s="150"/>
      <c r="K52" s="150">
        <f t="shared" si="12"/>
        <v>0</v>
      </c>
      <c r="L52" s="150">
        <f t="shared" si="13"/>
        <v>0</v>
      </c>
      <c r="M52" s="150">
        <v>0</v>
      </c>
      <c r="N52" s="150">
        <f>C52</f>
        <v>0</v>
      </c>
      <c r="O52" s="150">
        <v>0</v>
      </c>
      <c r="P52" s="150">
        <v>0</v>
      </c>
    </row>
    <row r="53" spans="1:16" ht="14.25">
      <c r="A53" s="34">
        <v>20</v>
      </c>
      <c r="B53" s="21" t="s">
        <v>64</v>
      </c>
      <c r="C53" s="150">
        <f aca="true" t="shared" si="20" ref="C53:N53">SUM(C54:C56)</f>
        <v>0</v>
      </c>
      <c r="D53" s="150">
        <f t="shared" si="20"/>
        <v>0</v>
      </c>
      <c r="E53" s="150">
        <f t="shared" si="20"/>
        <v>0</v>
      </c>
      <c r="F53" s="150">
        <f t="shared" si="20"/>
        <v>0</v>
      </c>
      <c r="G53" s="150">
        <f t="shared" si="20"/>
        <v>0</v>
      </c>
      <c r="H53" s="150">
        <f t="shared" si="20"/>
        <v>0</v>
      </c>
      <c r="I53" s="150">
        <f t="shared" si="20"/>
        <v>0</v>
      </c>
      <c r="J53" s="150">
        <f t="shared" si="20"/>
        <v>0</v>
      </c>
      <c r="K53" s="150">
        <f t="shared" si="20"/>
        <v>0</v>
      </c>
      <c r="L53" s="150">
        <f t="shared" si="20"/>
        <v>0</v>
      </c>
      <c r="M53" s="150">
        <f t="shared" si="20"/>
        <v>0</v>
      </c>
      <c r="N53" s="150">
        <f t="shared" si="20"/>
        <v>0</v>
      </c>
      <c r="O53" s="150">
        <v>0</v>
      </c>
      <c r="P53" s="150">
        <v>0</v>
      </c>
    </row>
    <row r="54" spans="1:16" ht="14.25">
      <c r="A54" s="34">
        <v>21</v>
      </c>
      <c r="B54" s="22" t="s">
        <v>65</v>
      </c>
      <c r="C54" s="110"/>
      <c r="D54" s="110"/>
      <c r="E54" s="110"/>
      <c r="F54" s="110"/>
      <c r="G54" s="110"/>
      <c r="H54" s="110"/>
      <c r="I54" s="110"/>
      <c r="J54" s="110"/>
      <c r="K54" s="150">
        <f t="shared" si="12"/>
        <v>0</v>
      </c>
      <c r="L54" s="150">
        <f t="shared" si="13"/>
        <v>0</v>
      </c>
      <c r="M54" s="150">
        <f t="shared" si="14"/>
        <v>0</v>
      </c>
      <c r="N54" s="150">
        <v>0</v>
      </c>
      <c r="O54" s="150">
        <v>0</v>
      </c>
      <c r="P54" s="150">
        <v>0</v>
      </c>
    </row>
    <row r="55" spans="1:16" ht="14.25">
      <c r="A55" s="34">
        <v>22</v>
      </c>
      <c r="B55" s="22" t="s">
        <v>66</v>
      </c>
      <c r="C55" s="110"/>
      <c r="D55" s="110"/>
      <c r="E55" s="110"/>
      <c r="F55" s="110"/>
      <c r="G55" s="110"/>
      <c r="H55" s="110"/>
      <c r="I55" s="110"/>
      <c r="J55" s="110"/>
      <c r="K55" s="150">
        <f t="shared" si="12"/>
        <v>0</v>
      </c>
      <c r="L55" s="150">
        <f t="shared" si="13"/>
        <v>0</v>
      </c>
      <c r="M55" s="150">
        <f t="shared" si="14"/>
        <v>0</v>
      </c>
      <c r="N55" s="150">
        <v>0</v>
      </c>
      <c r="O55" s="150">
        <v>0</v>
      </c>
      <c r="P55" s="150">
        <v>0</v>
      </c>
    </row>
    <row r="56" spans="1:16" ht="28.5">
      <c r="A56" s="34">
        <v>24</v>
      </c>
      <c r="B56" s="22" t="s">
        <v>68</v>
      </c>
      <c r="C56" s="110"/>
      <c r="D56" s="110"/>
      <c r="E56" s="110"/>
      <c r="F56" s="110"/>
      <c r="G56" s="110"/>
      <c r="H56" s="110"/>
      <c r="I56" s="110"/>
      <c r="J56" s="110"/>
      <c r="K56" s="150">
        <f t="shared" si="12"/>
        <v>0</v>
      </c>
      <c r="L56" s="150">
        <f t="shared" si="13"/>
        <v>0</v>
      </c>
      <c r="M56" s="150">
        <f t="shared" si="14"/>
        <v>0</v>
      </c>
      <c r="N56" s="150">
        <v>0</v>
      </c>
      <c r="O56" s="150">
        <v>0</v>
      </c>
      <c r="P56" s="150">
        <v>0</v>
      </c>
    </row>
    <row r="57" spans="1:24" s="42" customFormat="1" ht="14.25">
      <c r="A57" s="34">
        <v>25</v>
      </c>
      <c r="B57" s="165" t="s">
        <v>69</v>
      </c>
      <c r="C57" s="16">
        <f>C51+C52+C53</f>
        <v>147879</v>
      </c>
      <c r="D57" s="16">
        <f aca="true" t="shared" si="21" ref="D57:P57">D51+D52+D53</f>
        <v>101886</v>
      </c>
      <c r="E57" s="16">
        <f t="shared" si="21"/>
        <v>0</v>
      </c>
      <c r="F57" s="16">
        <f t="shared" si="21"/>
        <v>0</v>
      </c>
      <c r="G57" s="16">
        <f t="shared" si="21"/>
        <v>0</v>
      </c>
      <c r="H57" s="16">
        <f t="shared" si="21"/>
        <v>739</v>
      </c>
      <c r="I57" s="16">
        <f t="shared" si="21"/>
        <v>0</v>
      </c>
      <c r="J57" s="16">
        <f t="shared" si="21"/>
        <v>0</v>
      </c>
      <c r="K57" s="16">
        <f t="shared" si="21"/>
        <v>147879</v>
      </c>
      <c r="L57" s="16">
        <f t="shared" si="21"/>
        <v>102625</v>
      </c>
      <c r="M57" s="16">
        <f t="shared" si="21"/>
        <v>135814</v>
      </c>
      <c r="N57" s="16">
        <f t="shared" si="21"/>
        <v>12065</v>
      </c>
      <c r="O57" s="16">
        <f t="shared" si="21"/>
        <v>102625</v>
      </c>
      <c r="P57" s="16">
        <f t="shared" si="21"/>
        <v>0</v>
      </c>
      <c r="Q57" s="155"/>
      <c r="R57" s="155"/>
      <c r="S57" s="155"/>
      <c r="T57" s="155"/>
      <c r="U57" s="155"/>
      <c r="V57" s="155"/>
      <c r="W57" s="155"/>
      <c r="X57" s="155"/>
    </row>
    <row r="58" spans="1:24" s="43" customFormat="1" ht="14.25">
      <c r="A58" s="34">
        <v>30</v>
      </c>
      <c r="B58" s="93" t="s">
        <v>73</v>
      </c>
      <c r="C58" s="152">
        <f>C57+C50-C41</f>
        <v>393775</v>
      </c>
      <c r="D58" s="152">
        <f>D57+D50-D41</f>
        <v>684030</v>
      </c>
      <c r="E58" s="152">
        <f>E57+E50</f>
        <v>49008</v>
      </c>
      <c r="F58" s="152">
        <f aca="true" t="shared" si="22" ref="F58:P58">F57+F50</f>
        <v>54391</v>
      </c>
      <c r="G58" s="152">
        <f t="shared" si="22"/>
        <v>185986</v>
      </c>
      <c r="H58" s="152">
        <f t="shared" si="22"/>
        <v>168357</v>
      </c>
      <c r="I58" s="152">
        <f t="shared" si="22"/>
        <v>68438</v>
      </c>
      <c r="J58" s="152">
        <f t="shared" si="22"/>
        <v>65560</v>
      </c>
      <c r="K58" s="152">
        <f>K57+K50</f>
        <v>857254</v>
      </c>
      <c r="L58" s="152">
        <f t="shared" si="22"/>
        <v>1116293</v>
      </c>
      <c r="M58" s="152">
        <f t="shared" si="22"/>
        <v>739122</v>
      </c>
      <c r="N58" s="152">
        <f t="shared" si="22"/>
        <v>118132</v>
      </c>
      <c r="O58" s="152">
        <f t="shared" si="22"/>
        <v>1116293</v>
      </c>
      <c r="P58" s="152">
        <f t="shared" si="22"/>
        <v>287302</v>
      </c>
      <c r="Q58" s="96"/>
      <c r="R58" s="96"/>
      <c r="S58" s="96"/>
      <c r="T58" s="96"/>
      <c r="U58" s="96"/>
      <c r="V58" s="96"/>
      <c r="W58" s="96"/>
      <c r="X58" s="96"/>
    </row>
    <row r="59" spans="1:16" ht="14.25">
      <c r="A59" s="34">
        <v>31</v>
      </c>
      <c r="B59" s="14" t="s">
        <v>74</v>
      </c>
      <c r="C59" s="150"/>
      <c r="D59" s="150"/>
      <c r="E59" s="150">
        <v>0</v>
      </c>
      <c r="F59" s="150">
        <v>0</v>
      </c>
      <c r="G59" s="150">
        <v>0</v>
      </c>
      <c r="H59" s="150">
        <v>0</v>
      </c>
      <c r="I59" s="150"/>
      <c r="J59" s="150"/>
      <c r="K59" s="150">
        <f t="shared" si="12"/>
        <v>0</v>
      </c>
      <c r="L59" s="150">
        <f t="shared" si="13"/>
        <v>0</v>
      </c>
      <c r="M59" s="150">
        <f t="shared" si="14"/>
        <v>0</v>
      </c>
      <c r="N59" s="150">
        <v>0</v>
      </c>
      <c r="O59" s="150">
        <v>0</v>
      </c>
      <c r="P59" s="150">
        <v>0</v>
      </c>
    </row>
    <row r="60" spans="1:24" s="43" customFormat="1" ht="14.25">
      <c r="A60" s="34">
        <v>32</v>
      </c>
      <c r="B60" s="7" t="s">
        <v>75</v>
      </c>
      <c r="C60" s="8">
        <f aca="true" t="shared" si="23" ref="C60:I60">SUM(C58:C59)</f>
        <v>393775</v>
      </c>
      <c r="D60" s="8">
        <f t="shared" si="23"/>
        <v>684030</v>
      </c>
      <c r="E60" s="23">
        <f t="shared" si="23"/>
        <v>49008</v>
      </c>
      <c r="F60" s="23">
        <f t="shared" si="23"/>
        <v>54391</v>
      </c>
      <c r="G60" s="23">
        <f t="shared" si="23"/>
        <v>185986</v>
      </c>
      <c r="H60" s="23">
        <f t="shared" si="23"/>
        <v>168357</v>
      </c>
      <c r="I60" s="23">
        <f t="shared" si="23"/>
        <v>68438</v>
      </c>
      <c r="J60" s="23">
        <f>SUM(J58:J59)</f>
        <v>65560</v>
      </c>
      <c r="K60" s="164">
        <f aca="true" t="shared" si="24" ref="K60:P60">K58+K59</f>
        <v>857254</v>
      </c>
      <c r="L60" s="187">
        <f>L58+L59-D41</f>
        <v>972338</v>
      </c>
      <c r="M60" s="164">
        <f t="shared" si="24"/>
        <v>739122</v>
      </c>
      <c r="N60" s="164">
        <f t="shared" si="24"/>
        <v>118132</v>
      </c>
      <c r="O60" s="164">
        <f t="shared" si="24"/>
        <v>1116293</v>
      </c>
      <c r="P60" s="164">
        <f t="shared" si="24"/>
        <v>287302</v>
      </c>
      <c r="Q60" s="96"/>
      <c r="R60" s="96"/>
      <c r="S60" s="96"/>
      <c r="T60" s="96"/>
      <c r="U60" s="96"/>
      <c r="V60" s="96"/>
      <c r="W60" s="96"/>
      <c r="X60" s="96"/>
    </row>
    <row r="61" spans="2:10" ht="15">
      <c r="B61" s="156"/>
      <c r="I61" s="157"/>
      <c r="J61" s="157"/>
    </row>
    <row r="62" spans="2:10" ht="15">
      <c r="B62" s="156" t="s">
        <v>88</v>
      </c>
      <c r="C62" s="144">
        <f>7.33</f>
        <v>7.33</v>
      </c>
      <c r="D62" s="144">
        <v>7</v>
      </c>
      <c r="E62" s="144">
        <v>12.19</v>
      </c>
      <c r="F62" s="144">
        <v>12</v>
      </c>
      <c r="G62" s="144">
        <v>20.83</v>
      </c>
      <c r="H62" s="144">
        <v>18</v>
      </c>
      <c r="I62" s="157">
        <v>11</v>
      </c>
      <c r="J62" s="157">
        <v>11</v>
      </c>
    </row>
    <row r="63" spans="2:10" ht="15">
      <c r="B63" s="156" t="s">
        <v>89</v>
      </c>
      <c r="C63" s="144">
        <v>3.09</v>
      </c>
      <c r="D63" s="144">
        <v>1</v>
      </c>
      <c r="I63" s="157"/>
      <c r="J63" s="157"/>
    </row>
    <row r="64" spans="2:10" ht="18">
      <c r="B64" s="158" t="s">
        <v>190</v>
      </c>
      <c r="C64" s="159">
        <f>C62+C63+E62+G62+I62</f>
        <v>54.44</v>
      </c>
      <c r="I64" s="157"/>
      <c r="J64" s="157"/>
    </row>
    <row r="65" spans="2:10" ht="18">
      <c r="B65" s="158" t="s">
        <v>314</v>
      </c>
      <c r="C65" s="159">
        <f>D62+D63+F62+H62+J62</f>
        <v>49</v>
      </c>
      <c r="I65" s="157"/>
      <c r="J65" s="157"/>
    </row>
    <row r="66" ht="81" customHeight="1">
      <c r="B66" s="156" t="s">
        <v>76</v>
      </c>
    </row>
    <row r="67" ht="15">
      <c r="B67" s="156"/>
    </row>
    <row r="68" ht="15">
      <c r="B68" s="156"/>
    </row>
    <row r="69" ht="15">
      <c r="B69" s="156"/>
    </row>
    <row r="70" ht="15">
      <c r="B70" s="156"/>
    </row>
    <row r="71" ht="15">
      <c r="B71" s="156"/>
    </row>
    <row r="72" ht="15">
      <c r="B72" s="156"/>
    </row>
    <row r="73" spans="1:24" s="38" customFormat="1" ht="15">
      <c r="A73" s="34"/>
      <c r="B73" s="156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</row>
    <row r="74" spans="1:24" s="38" customFormat="1" ht="15">
      <c r="A74" s="34"/>
      <c r="B74" s="156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</row>
    <row r="75" spans="1:24" s="38" customFormat="1" ht="15">
      <c r="A75" s="34"/>
      <c r="B75" s="156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</row>
    <row r="76" spans="1:24" s="38" customFormat="1" ht="15">
      <c r="A76" s="34"/>
      <c r="B76" s="156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1:24" s="38" customFormat="1" ht="15">
      <c r="A77" s="34"/>
      <c r="B77" s="156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</row>
    <row r="78" spans="1:24" s="38" customFormat="1" ht="15">
      <c r="A78" s="34"/>
      <c r="B78" s="156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1:24" s="38" customFormat="1" ht="15">
      <c r="A79" s="34"/>
      <c r="B79" s="156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</row>
    <row r="80" spans="1:24" s="38" customFormat="1" ht="15">
      <c r="A80" s="34"/>
      <c r="B80" s="156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</row>
    <row r="81" spans="1:24" s="38" customFormat="1" ht="15">
      <c r="A81" s="34"/>
      <c r="B81" s="156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</row>
    <row r="82" spans="1:24" s="38" customFormat="1" ht="15">
      <c r="A82" s="34"/>
      <c r="B82" s="156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s="38" customFormat="1" ht="15">
      <c r="A83" s="34"/>
      <c r="B83" s="156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s="38" customFormat="1" ht="15">
      <c r="A84" s="34"/>
      <c r="B84" s="156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s="38" customFormat="1" ht="15">
      <c r="A85" s="34"/>
      <c r="B85" s="156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</row>
    <row r="86" spans="1:24" s="38" customFormat="1" ht="15">
      <c r="A86" s="34"/>
      <c r="B86" s="156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</row>
    <row r="87" spans="1:24" s="38" customFormat="1" ht="15">
      <c r="A87" s="34"/>
      <c r="B87" s="156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1:24" s="38" customFormat="1" ht="15">
      <c r="A88" s="34"/>
      <c r="B88" s="156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1:24" s="38" customFormat="1" ht="15">
      <c r="A89" s="34"/>
      <c r="B89" s="156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1:24" s="38" customFormat="1" ht="15">
      <c r="A90" s="34"/>
      <c r="B90" s="156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</row>
    <row r="91" spans="1:24" s="38" customFormat="1" ht="15">
      <c r="A91" s="34"/>
      <c r="B91" s="156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</row>
    <row r="92" spans="1:24" s="38" customFormat="1" ht="15">
      <c r="A92" s="34"/>
      <c r="B92" s="156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</row>
    <row r="93" spans="1:24" s="38" customFormat="1" ht="15">
      <c r="A93" s="34"/>
      <c r="B93" s="156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</row>
    <row r="94" spans="1:24" s="38" customFormat="1" ht="15">
      <c r="A94" s="34"/>
      <c r="B94" s="156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</row>
    <row r="95" spans="1:24" s="38" customFormat="1" ht="15">
      <c r="A95" s="34"/>
      <c r="B95" s="156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</row>
    <row r="96" spans="1:24" s="38" customFormat="1" ht="15">
      <c r="A96" s="34"/>
      <c r="B96" s="156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</row>
    <row r="97" spans="1:24" s="38" customFormat="1" ht="15">
      <c r="A97" s="34"/>
      <c r="B97" s="156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</row>
    <row r="98" spans="1:24" s="38" customFormat="1" ht="15">
      <c r="A98" s="34"/>
      <c r="B98" s="156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</row>
    <row r="99" spans="1:24" s="38" customFormat="1" ht="15">
      <c r="A99" s="34"/>
      <c r="B99" s="156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</row>
    <row r="100" spans="1:24" s="38" customFormat="1" ht="15">
      <c r="A100" s="34"/>
      <c r="B100" s="156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</row>
    <row r="101" spans="1:24" s="38" customFormat="1" ht="15">
      <c r="A101" s="34"/>
      <c r="B101" s="156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</row>
    <row r="102" spans="1:24" s="38" customFormat="1" ht="15">
      <c r="A102" s="34"/>
      <c r="B102" s="156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</row>
    <row r="103" spans="1:24" s="38" customFormat="1" ht="15">
      <c r="A103" s="34"/>
      <c r="B103" s="156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</row>
    <row r="104" spans="1:24" s="38" customFormat="1" ht="15">
      <c r="A104" s="34"/>
      <c r="B104" s="156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</row>
    <row r="105" spans="1:24" s="38" customFormat="1" ht="15">
      <c r="A105" s="34"/>
      <c r="B105" s="156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</row>
    <row r="106" spans="1:24" s="38" customFormat="1" ht="15">
      <c r="A106" s="34"/>
      <c r="B106" s="156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</row>
    <row r="107" spans="1:24" s="38" customFormat="1" ht="15">
      <c r="A107" s="34"/>
      <c r="B107" s="156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</row>
    <row r="108" spans="1:24" s="38" customFormat="1" ht="15">
      <c r="A108" s="34"/>
      <c r="B108" s="156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</row>
    <row r="109" spans="1:24" s="38" customFormat="1" ht="15">
      <c r="A109" s="34"/>
      <c r="B109" s="156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</row>
    <row r="110" spans="1:24" s="38" customFormat="1" ht="15">
      <c r="A110" s="34"/>
      <c r="B110" s="156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</row>
    <row r="111" spans="1:24" s="38" customFormat="1" ht="15">
      <c r="A111" s="34"/>
      <c r="B111" s="156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</row>
    <row r="112" spans="1:24" s="38" customFormat="1" ht="15">
      <c r="A112" s="34"/>
      <c r="B112" s="156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</row>
    <row r="113" spans="1:24" s="38" customFormat="1" ht="15">
      <c r="A113" s="34"/>
      <c r="B113" s="156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</row>
    <row r="114" spans="1:24" s="38" customFormat="1" ht="15">
      <c r="A114" s="34"/>
      <c r="B114" s="156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</row>
    <row r="115" spans="1:24" s="38" customFormat="1" ht="15">
      <c r="A115" s="34"/>
      <c r="B115" s="156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</row>
    <row r="116" spans="1:24" s="38" customFormat="1" ht="15">
      <c r="A116" s="34"/>
      <c r="B116" s="156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</row>
    <row r="117" spans="1:24" s="38" customFormat="1" ht="15">
      <c r="A117" s="34"/>
      <c r="B117" s="156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</row>
    <row r="118" spans="1:24" s="38" customFormat="1" ht="15">
      <c r="A118" s="34"/>
      <c r="B118" s="156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</row>
    <row r="119" spans="1:24" s="38" customFormat="1" ht="15">
      <c r="A119" s="34"/>
      <c r="B119" s="156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</row>
    <row r="120" spans="1:24" s="38" customFormat="1" ht="15">
      <c r="A120" s="34"/>
      <c r="B120" s="156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</row>
    <row r="121" spans="1:24" s="38" customFormat="1" ht="15">
      <c r="A121" s="34"/>
      <c r="B121" s="156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</row>
  </sheetData>
  <sheetProtection/>
  <printOptions vertic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40" r:id="rId1"/>
  <rowBreaks count="1" manualBreakCount="1">
    <brk id="3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9.140625" style="34" customWidth="1"/>
    <col min="2" max="2" width="51.140625" style="34" customWidth="1"/>
    <col min="3" max="3" width="18.8515625" style="34" customWidth="1"/>
    <col min="4" max="4" width="15.421875" style="34" customWidth="1"/>
    <col min="5" max="5" width="17.421875" style="34" customWidth="1"/>
    <col min="6" max="6" width="13.8515625" style="34" customWidth="1"/>
    <col min="7" max="7" width="12.8515625" style="34" customWidth="1"/>
    <col min="8" max="8" width="20.7109375" style="34" customWidth="1"/>
    <col min="9" max="9" width="18.00390625" style="34" customWidth="1"/>
    <col min="10" max="16384" width="9.140625" style="34" customWidth="1"/>
  </cols>
  <sheetData>
    <row r="1" spans="3:4" ht="12.75">
      <c r="C1" s="38"/>
      <c r="D1" s="144" t="s">
        <v>313</v>
      </c>
    </row>
    <row r="2" ht="19.5" customHeight="1">
      <c r="B2" s="35" t="s">
        <v>138</v>
      </c>
    </row>
    <row r="3" ht="12.75">
      <c r="E3" s="34" t="s">
        <v>0</v>
      </c>
    </row>
    <row r="4" spans="2:5" ht="13.5" thickBot="1">
      <c r="B4" s="104" t="s">
        <v>6</v>
      </c>
      <c r="C4" s="104" t="s">
        <v>139</v>
      </c>
      <c r="D4" s="104" t="s">
        <v>8</v>
      </c>
      <c r="E4" s="104" t="s">
        <v>9</v>
      </c>
    </row>
    <row r="5" spans="1:5" ht="48" customHeight="1">
      <c r="A5" s="34">
        <v>1</v>
      </c>
      <c r="B5" s="98" t="s">
        <v>140</v>
      </c>
      <c r="C5" s="106" t="s">
        <v>141</v>
      </c>
      <c r="D5" s="106" t="s">
        <v>142</v>
      </c>
      <c r="E5" s="107" t="s">
        <v>143</v>
      </c>
    </row>
    <row r="6" spans="1:5" ht="14.25">
      <c r="A6" s="34">
        <v>2</v>
      </c>
      <c r="B6" s="29" t="s">
        <v>93</v>
      </c>
      <c r="C6" s="110">
        <v>106616</v>
      </c>
      <c r="D6" s="108">
        <v>0</v>
      </c>
      <c r="E6" s="109"/>
    </row>
    <row r="7" spans="1:5" ht="14.25">
      <c r="A7" s="34">
        <v>3</v>
      </c>
      <c r="B7" s="29" t="s">
        <v>94</v>
      </c>
      <c r="C7" s="110">
        <v>29390</v>
      </c>
      <c r="D7" s="108">
        <v>0</v>
      </c>
      <c r="E7" s="109"/>
    </row>
    <row r="8" spans="1:5" ht="14.25">
      <c r="A8" s="34">
        <v>4</v>
      </c>
      <c r="B8" s="29" t="s">
        <v>95</v>
      </c>
      <c r="C8" s="110">
        <v>39592</v>
      </c>
      <c r="D8" s="108">
        <v>0</v>
      </c>
      <c r="E8" s="109"/>
    </row>
    <row r="9" spans="1:5" ht="28.5">
      <c r="A9" s="34">
        <v>5</v>
      </c>
      <c r="B9" s="29" t="s">
        <v>96</v>
      </c>
      <c r="C9" s="110">
        <v>27717</v>
      </c>
      <c r="D9" s="108">
        <v>0</v>
      </c>
      <c r="E9" s="109"/>
    </row>
    <row r="10" spans="1:5" ht="14.25">
      <c r="A10" s="34">
        <v>6</v>
      </c>
      <c r="B10" s="29" t="s">
        <v>191</v>
      </c>
      <c r="C10" s="110">
        <v>0</v>
      </c>
      <c r="D10" s="108">
        <v>0</v>
      </c>
      <c r="E10" s="109"/>
    </row>
    <row r="11" spans="1:5" ht="14.25">
      <c r="A11" s="34">
        <v>7</v>
      </c>
      <c r="B11" s="99" t="s">
        <v>144</v>
      </c>
      <c r="C11" s="110">
        <v>5835</v>
      </c>
      <c r="D11" s="108">
        <v>0</v>
      </c>
      <c r="E11" s="109"/>
    </row>
    <row r="12" spans="1:5" ht="15.75" thickBot="1">
      <c r="A12" s="34">
        <v>8</v>
      </c>
      <c r="B12" s="101" t="s">
        <v>145</v>
      </c>
      <c r="C12" s="114">
        <f>SUM(C6:C11)</f>
        <v>209150</v>
      </c>
      <c r="D12" s="114">
        <f>SUM(D6:D11)</f>
        <v>0</v>
      </c>
      <c r="E12" s="111"/>
    </row>
    <row r="13" spans="1:5" ht="38.25">
      <c r="A13" s="34">
        <v>9</v>
      </c>
      <c r="B13" s="98" t="s">
        <v>146</v>
      </c>
      <c r="C13" s="112" t="s">
        <v>141</v>
      </c>
      <c r="D13" s="106" t="s">
        <v>142</v>
      </c>
      <c r="E13" s="113" t="s">
        <v>143</v>
      </c>
    </row>
    <row r="14" spans="1:5" ht="36">
      <c r="A14" s="34">
        <v>10</v>
      </c>
      <c r="B14" s="100"/>
      <c r="C14" s="179">
        <f>16667*12/1000</f>
        <v>200.004</v>
      </c>
      <c r="D14" s="110">
        <v>300</v>
      </c>
      <c r="E14" s="178" t="s">
        <v>312</v>
      </c>
    </row>
    <row r="15" spans="1:5" ht="14.25">
      <c r="A15" s="34">
        <v>11</v>
      </c>
      <c r="B15" s="100"/>
      <c r="C15" s="179"/>
      <c r="D15" s="110"/>
      <c r="E15" s="109"/>
    </row>
    <row r="16" spans="1:5" ht="15" thickBot="1">
      <c r="A16" s="34">
        <v>12</v>
      </c>
      <c r="B16" s="101" t="s">
        <v>147</v>
      </c>
      <c r="C16" s="180">
        <f>SUM(C14:C15)</f>
        <v>200.004</v>
      </c>
      <c r="D16" s="114">
        <f>SUM(D14:D15)</f>
        <v>300</v>
      </c>
      <c r="E16" s="115"/>
    </row>
    <row r="17" spans="1:5" ht="38.25">
      <c r="A17" s="34">
        <v>13</v>
      </c>
      <c r="B17" s="98" t="s">
        <v>148</v>
      </c>
      <c r="C17" s="112" t="s">
        <v>141</v>
      </c>
      <c r="D17" s="106" t="s">
        <v>142</v>
      </c>
      <c r="E17" s="113" t="s">
        <v>143</v>
      </c>
    </row>
    <row r="18" spans="1:5" ht="14.25">
      <c r="A18" s="34">
        <v>14</v>
      </c>
      <c r="B18" s="100" t="s">
        <v>279</v>
      </c>
      <c r="C18" s="179">
        <f>2927*1.27+2847*1.27</f>
        <v>7332.98</v>
      </c>
      <c r="D18" s="110">
        <v>0</v>
      </c>
      <c r="E18" s="109"/>
    </row>
    <row r="19" spans="1:5" ht="14.25">
      <c r="A19" s="34">
        <v>15</v>
      </c>
      <c r="B19" s="100"/>
      <c r="C19" s="110"/>
      <c r="D19" s="110"/>
      <c r="E19" s="109"/>
    </row>
    <row r="20" spans="1:5" ht="15.75" thickBot="1">
      <c r="A20" s="34">
        <v>16</v>
      </c>
      <c r="B20" s="101" t="s">
        <v>149</v>
      </c>
      <c r="C20" s="180">
        <f>SUM(C18:C19)</f>
        <v>7332.98</v>
      </c>
      <c r="D20" s="114">
        <f>SUM(D18:D19)</f>
        <v>0</v>
      </c>
      <c r="E20" s="116"/>
    </row>
    <row r="21" spans="1:5" ht="38.25">
      <c r="A21" s="34">
        <v>17</v>
      </c>
      <c r="B21" s="102" t="s">
        <v>150</v>
      </c>
      <c r="C21" s="112" t="s">
        <v>141</v>
      </c>
      <c r="D21" s="106" t="s">
        <v>142</v>
      </c>
      <c r="E21" s="113" t="s">
        <v>143</v>
      </c>
    </row>
    <row r="22" spans="1:5" ht="15">
      <c r="A22" s="34">
        <v>18</v>
      </c>
      <c r="B22" s="100" t="s">
        <v>280</v>
      </c>
      <c r="C22" s="179">
        <f>2078*1.27+7095*1.27+2220*1.27+2794*1.27</f>
        <v>18017.489999999998</v>
      </c>
      <c r="D22" s="110">
        <v>0</v>
      </c>
      <c r="E22" s="117"/>
    </row>
    <row r="23" spans="1:5" ht="15">
      <c r="A23" s="34">
        <v>19</v>
      </c>
      <c r="B23" s="100" t="s">
        <v>281</v>
      </c>
      <c r="C23" s="179">
        <f>14316*1.27+5390*1.27</f>
        <v>25026.62</v>
      </c>
      <c r="D23" s="110">
        <v>0</v>
      </c>
      <c r="E23" s="117"/>
    </row>
    <row r="24" spans="1:5" ht="15.75" thickBot="1">
      <c r="A24" s="34">
        <v>20</v>
      </c>
      <c r="B24" s="101" t="s">
        <v>151</v>
      </c>
      <c r="C24" s="180">
        <f>SUM(C22:C23)</f>
        <v>43044.11</v>
      </c>
      <c r="D24" s="114">
        <f>SUM(D22:D23)</f>
        <v>0</v>
      </c>
      <c r="E24" s="116"/>
    </row>
    <row r="25" spans="1:5" ht="36">
      <c r="A25" s="34">
        <v>21</v>
      </c>
      <c r="B25" s="98" t="s">
        <v>152</v>
      </c>
      <c r="C25" s="112" t="s">
        <v>141</v>
      </c>
      <c r="D25" s="106" t="s">
        <v>142</v>
      </c>
      <c r="E25" s="113" t="s">
        <v>143</v>
      </c>
    </row>
    <row r="26" spans="1:5" ht="14.25">
      <c r="A26" s="34">
        <v>22</v>
      </c>
      <c r="B26" s="100" t="s">
        <v>153</v>
      </c>
      <c r="C26" s="110"/>
      <c r="D26" s="110"/>
      <c r="E26" s="109"/>
    </row>
    <row r="27" spans="1:5" ht="14.25">
      <c r="A27" s="34">
        <v>23</v>
      </c>
      <c r="B27" s="100" t="s">
        <v>154</v>
      </c>
      <c r="C27" s="110"/>
      <c r="D27" s="110"/>
      <c r="E27" s="109"/>
    </row>
    <row r="28" spans="1:5" ht="15" thickBot="1">
      <c r="A28" s="34">
        <v>24</v>
      </c>
      <c r="B28" s="101" t="s">
        <v>155</v>
      </c>
      <c r="C28" s="114">
        <f>SUM(C26:C27)</f>
        <v>0</v>
      </c>
      <c r="D28" s="114">
        <f>SUM(D26:D27)</f>
        <v>0</v>
      </c>
      <c r="E28" s="115"/>
    </row>
    <row r="29" spans="1:5" s="77" customFormat="1" ht="26.25" customHeight="1">
      <c r="A29" s="77">
        <v>25</v>
      </c>
      <c r="B29" s="181" t="s">
        <v>156</v>
      </c>
      <c r="C29" s="182">
        <f>SUM(C12,C16,C20,C24,C28)</f>
        <v>259727.09399999998</v>
      </c>
      <c r="D29" s="183">
        <f>SUM(D12,D16,D20,D24,D28)</f>
        <v>300</v>
      </c>
      <c r="E29" s="183"/>
    </row>
    <row r="30" spans="2:5" ht="12.75">
      <c r="B30" s="105"/>
      <c r="C30" s="105"/>
      <c r="D30" s="105"/>
      <c r="E30" s="105"/>
    </row>
    <row r="31" spans="2:5" ht="15">
      <c r="B31" s="103"/>
      <c r="C31" s="105"/>
      <c r="D31" s="105"/>
      <c r="E31" s="105"/>
    </row>
    <row r="32" ht="12.75">
      <c r="B32" s="141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zoomScalePageLayoutView="0" workbookViewId="0" topLeftCell="A1">
      <selection activeCell="F1" sqref="F1"/>
    </sheetView>
  </sheetViews>
  <sheetFormatPr defaultColWidth="9.140625" defaultRowHeight="12.75"/>
  <cols>
    <col min="1" max="1" width="9.140625" style="34" customWidth="1"/>
    <col min="2" max="2" width="48.00390625" style="34" customWidth="1"/>
    <col min="3" max="3" width="21.421875" style="118" customWidth="1"/>
    <col min="4" max="4" width="21.7109375" style="118" customWidth="1"/>
    <col min="5" max="5" width="49.57421875" style="34" customWidth="1"/>
    <col min="6" max="6" width="20.140625" style="119" customWidth="1"/>
    <col min="7" max="7" width="20.8515625" style="119" customWidth="1"/>
    <col min="8" max="8" width="20.7109375" style="34" customWidth="1"/>
    <col min="9" max="9" width="18.00390625" style="34" customWidth="1"/>
    <col min="10" max="16384" width="9.140625" style="34" customWidth="1"/>
  </cols>
  <sheetData>
    <row r="1" spans="3:6" ht="14.25">
      <c r="C1" s="38"/>
      <c r="D1" s="129"/>
      <c r="F1" s="144" t="s">
        <v>315</v>
      </c>
    </row>
    <row r="2" spans="2:5" ht="20.25">
      <c r="B2" s="35" t="s">
        <v>157</v>
      </c>
      <c r="E2" s="35"/>
    </row>
    <row r="3" ht="14.25">
      <c r="F3" s="119" t="s">
        <v>0</v>
      </c>
    </row>
    <row r="4" spans="2:7" ht="60" customHeight="1">
      <c r="B4" s="23" t="s">
        <v>1</v>
      </c>
      <c r="C4" s="120" t="s">
        <v>158</v>
      </c>
      <c r="D4" s="120" t="s">
        <v>159</v>
      </c>
      <c r="E4" s="120" t="s">
        <v>1</v>
      </c>
      <c r="F4" s="120" t="s">
        <v>158</v>
      </c>
      <c r="G4" s="120" t="s">
        <v>159</v>
      </c>
    </row>
    <row r="5" spans="2:7" ht="14.25">
      <c r="B5" s="23" t="s">
        <v>6</v>
      </c>
      <c r="C5" s="121" t="s">
        <v>7</v>
      </c>
      <c r="D5" s="121" t="s">
        <v>8</v>
      </c>
      <c r="E5" s="23" t="s">
        <v>160</v>
      </c>
      <c r="F5" s="120" t="s">
        <v>10</v>
      </c>
      <c r="G5" s="120" t="s">
        <v>11</v>
      </c>
    </row>
    <row r="6" spans="1:7" ht="14.25">
      <c r="A6" s="34">
        <v>1</v>
      </c>
      <c r="B6" s="75"/>
      <c r="C6" s="122"/>
      <c r="D6" s="122"/>
      <c r="E6" s="17" t="s">
        <v>47</v>
      </c>
      <c r="F6" s="123">
        <v>134494</v>
      </c>
      <c r="G6" s="123">
        <v>154549</v>
      </c>
    </row>
    <row r="7" spans="1:7" ht="28.5">
      <c r="A7" s="34">
        <v>2</v>
      </c>
      <c r="B7" s="75"/>
      <c r="C7" s="122"/>
      <c r="D7" s="122"/>
      <c r="E7" s="17" t="s">
        <v>48</v>
      </c>
      <c r="F7" s="123">
        <v>41503</v>
      </c>
      <c r="G7" s="123">
        <v>38819</v>
      </c>
    </row>
    <row r="8" spans="1:7" ht="96" customHeight="1">
      <c r="A8" s="34">
        <v>3</v>
      </c>
      <c r="B8" s="4" t="s">
        <v>19</v>
      </c>
      <c r="C8" s="122">
        <v>196200</v>
      </c>
      <c r="D8" s="122">
        <v>194869</v>
      </c>
      <c r="E8" s="135" t="s">
        <v>49</v>
      </c>
      <c r="F8" s="123">
        <v>238964</v>
      </c>
      <c r="G8" s="123">
        <v>236076</v>
      </c>
    </row>
    <row r="9" spans="1:7" ht="42.75">
      <c r="A9" s="34">
        <v>4</v>
      </c>
      <c r="B9" s="4" t="s">
        <v>20</v>
      </c>
      <c r="C9" s="122">
        <f>SUM(C10:C13)</f>
        <v>173500</v>
      </c>
      <c r="D9" s="122">
        <f>SUM(D10:D13)</f>
        <v>210107</v>
      </c>
      <c r="E9" s="124" t="s">
        <v>161</v>
      </c>
      <c r="F9" s="125"/>
      <c r="G9" s="125">
        <v>143955</v>
      </c>
    </row>
    <row r="10" spans="1:7" ht="14.25">
      <c r="A10" s="34">
        <v>5</v>
      </c>
      <c r="B10" s="5" t="s">
        <v>21</v>
      </c>
      <c r="C10" s="122">
        <v>166000</v>
      </c>
      <c r="D10" s="122">
        <v>203315</v>
      </c>
      <c r="E10" s="17" t="s">
        <v>51</v>
      </c>
      <c r="F10" s="123">
        <f>SUM(F11:F14)</f>
        <v>103180</v>
      </c>
      <c r="G10" s="123">
        <f>SUM(G11:G13)</f>
        <v>145577</v>
      </c>
    </row>
    <row r="11" spans="1:7" ht="14.25">
      <c r="A11" s="34">
        <v>6</v>
      </c>
      <c r="B11" s="5" t="s">
        <v>22</v>
      </c>
      <c r="C11" s="122">
        <f>'[1]1 bevétel-kiadás'!J9</f>
        <v>0</v>
      </c>
      <c r="D11" s="122">
        <v>0</v>
      </c>
      <c r="E11" s="18" t="s">
        <v>52</v>
      </c>
      <c r="F11" s="123">
        <v>2700</v>
      </c>
      <c r="G11" s="123">
        <v>6321</v>
      </c>
    </row>
    <row r="12" spans="1:7" ht="28.5">
      <c r="A12" s="34">
        <v>7</v>
      </c>
      <c r="B12" s="5" t="s">
        <v>23</v>
      </c>
      <c r="C12" s="122">
        <v>1500</v>
      </c>
      <c r="D12" s="122">
        <v>957</v>
      </c>
      <c r="E12" s="19" t="s">
        <v>53</v>
      </c>
      <c r="F12" s="123">
        <v>0</v>
      </c>
      <c r="G12" s="123">
        <v>7676</v>
      </c>
    </row>
    <row r="13" spans="1:7" ht="28.5">
      <c r="A13" s="34">
        <v>8</v>
      </c>
      <c r="B13" s="5" t="s">
        <v>87</v>
      </c>
      <c r="C13" s="122">
        <v>6000</v>
      </c>
      <c r="D13" s="122">
        <v>5835</v>
      </c>
      <c r="E13" s="18" t="s">
        <v>54</v>
      </c>
      <c r="F13" s="123">
        <v>92802</v>
      </c>
      <c r="G13" s="123">
        <v>131580</v>
      </c>
    </row>
    <row r="14" spans="1:7" ht="51.75" customHeight="1">
      <c r="A14" s="34">
        <v>9</v>
      </c>
      <c r="B14" s="4" t="s">
        <v>25</v>
      </c>
      <c r="C14" s="122">
        <f>156360+274</f>
        <v>156634</v>
      </c>
      <c r="D14" s="122">
        <v>183656</v>
      </c>
      <c r="E14" s="21" t="s">
        <v>290</v>
      </c>
      <c r="F14" s="123">
        <v>7678</v>
      </c>
      <c r="G14" s="123">
        <v>7390</v>
      </c>
    </row>
    <row r="15" spans="1:7" ht="28.5">
      <c r="A15" s="34">
        <v>10</v>
      </c>
      <c r="B15" s="4" t="s">
        <v>26</v>
      </c>
      <c r="C15" s="122">
        <v>19670</v>
      </c>
      <c r="D15" s="122">
        <v>29041</v>
      </c>
      <c r="E15" s="17" t="s">
        <v>55</v>
      </c>
      <c r="F15" s="123">
        <f>SUM(F16:F17)</f>
        <v>31187</v>
      </c>
      <c r="G15" s="123">
        <f>G16+G17</f>
        <v>287302</v>
      </c>
    </row>
    <row r="16" spans="1:7" ht="28.5">
      <c r="A16" s="34">
        <v>11</v>
      </c>
      <c r="B16" s="4" t="s">
        <v>27</v>
      </c>
      <c r="C16" s="122"/>
      <c r="D16" s="122">
        <v>2889</v>
      </c>
      <c r="E16" s="19" t="s">
        <v>56</v>
      </c>
      <c r="F16" s="123">
        <f>30113+274</f>
        <v>30387</v>
      </c>
      <c r="G16" s="123">
        <v>287302</v>
      </c>
    </row>
    <row r="17" spans="1:7" ht="28.5">
      <c r="A17" s="34">
        <v>12</v>
      </c>
      <c r="B17" s="4" t="s">
        <v>282</v>
      </c>
      <c r="C17" s="122">
        <v>50000</v>
      </c>
      <c r="D17" s="122">
        <v>68316</v>
      </c>
      <c r="E17" s="19" t="s">
        <v>57</v>
      </c>
      <c r="F17" s="123">
        <v>800</v>
      </c>
      <c r="G17" s="123">
        <v>0</v>
      </c>
    </row>
    <row r="18" spans="1:7" ht="14.25">
      <c r="A18" s="34">
        <v>13</v>
      </c>
      <c r="B18" s="7" t="s">
        <v>29</v>
      </c>
      <c r="C18" s="122">
        <f>C8+C9+C14+C15+C16+C17</f>
        <v>596004</v>
      </c>
      <c r="D18" s="122">
        <f>D8+D9+D14+D15+D16+D17</f>
        <v>688878</v>
      </c>
      <c r="E18" s="20" t="s">
        <v>162</v>
      </c>
      <c r="F18" s="123">
        <f>F15+F10+F8+F7+F6</f>
        <v>549328</v>
      </c>
      <c r="G18" s="123">
        <f>G15+G10+G8+G7+G6+G14</f>
        <v>869713</v>
      </c>
    </row>
    <row r="19" spans="1:7" ht="14.25">
      <c r="A19" s="34">
        <v>14</v>
      </c>
      <c r="B19" s="75"/>
      <c r="C19" s="122"/>
      <c r="D19" s="122"/>
      <c r="E19" s="21" t="s">
        <v>59</v>
      </c>
      <c r="F19" s="123">
        <v>147879</v>
      </c>
      <c r="G19" s="123">
        <v>102625</v>
      </c>
    </row>
    <row r="20" spans="1:7" ht="14.25">
      <c r="A20" s="34">
        <v>15</v>
      </c>
      <c r="B20" s="75"/>
      <c r="C20" s="122"/>
      <c r="D20" s="122"/>
      <c r="E20" s="21" t="s">
        <v>60</v>
      </c>
      <c r="F20" s="123"/>
      <c r="G20" s="123"/>
    </row>
    <row r="21" spans="1:7" ht="14.25">
      <c r="A21" s="34">
        <v>16</v>
      </c>
      <c r="B21" s="75"/>
      <c r="C21" s="122"/>
      <c r="D21" s="122"/>
      <c r="E21" s="17" t="s">
        <v>61</v>
      </c>
      <c r="F21" s="123"/>
      <c r="G21" s="123"/>
    </row>
    <row r="22" spans="1:7" ht="14.25">
      <c r="A22" s="34">
        <v>17</v>
      </c>
      <c r="B22" s="75"/>
      <c r="C22" s="122"/>
      <c r="D22" s="122"/>
      <c r="E22" s="17" t="s">
        <v>62</v>
      </c>
      <c r="F22" s="123"/>
      <c r="G22" s="123"/>
    </row>
    <row r="23" spans="1:7" ht="14.25">
      <c r="A23" s="34">
        <v>18</v>
      </c>
      <c r="B23" s="75"/>
      <c r="C23" s="122"/>
      <c r="D23" s="122"/>
      <c r="E23" s="17" t="s">
        <v>63</v>
      </c>
      <c r="F23" s="123"/>
      <c r="G23" s="123"/>
    </row>
    <row r="24" spans="1:7" ht="42.75">
      <c r="A24" s="34">
        <v>19</v>
      </c>
      <c r="B24" s="75"/>
      <c r="C24" s="122"/>
      <c r="D24" s="122"/>
      <c r="E24" s="126" t="s">
        <v>163</v>
      </c>
      <c r="F24" s="125"/>
      <c r="G24" s="125"/>
    </row>
    <row r="25" spans="1:7" ht="14.25">
      <c r="A25" s="34">
        <v>20</v>
      </c>
      <c r="B25" s="75"/>
      <c r="C25" s="122"/>
      <c r="D25" s="122"/>
      <c r="E25" s="17" t="s">
        <v>64</v>
      </c>
      <c r="F25" s="123"/>
      <c r="G25" s="123"/>
    </row>
    <row r="26" spans="1:7" ht="28.5">
      <c r="A26" s="34">
        <v>21</v>
      </c>
      <c r="B26" s="4" t="s">
        <v>30</v>
      </c>
      <c r="C26" s="122">
        <v>49443</v>
      </c>
      <c r="D26" s="122">
        <v>229352</v>
      </c>
      <c r="E26" s="22" t="s">
        <v>65</v>
      </c>
      <c r="F26" s="123"/>
      <c r="G26" s="123"/>
    </row>
    <row r="27" spans="1:7" ht="28.5">
      <c r="A27" s="34">
        <v>22</v>
      </c>
      <c r="B27" s="4" t="s">
        <v>31</v>
      </c>
      <c r="C27" s="122"/>
      <c r="D27" s="122"/>
      <c r="E27" s="22" t="s">
        <v>66</v>
      </c>
      <c r="F27" s="123"/>
      <c r="G27" s="123"/>
    </row>
    <row r="28" spans="1:7" ht="54" customHeight="1">
      <c r="A28" s="34">
        <v>23</v>
      </c>
      <c r="B28" s="4" t="s">
        <v>32</v>
      </c>
      <c r="C28" s="122">
        <v>51760</v>
      </c>
      <c r="D28" s="122">
        <v>54108</v>
      </c>
      <c r="E28" s="10" t="s">
        <v>67</v>
      </c>
      <c r="F28" s="123"/>
      <c r="G28" s="123"/>
    </row>
    <row r="29" spans="1:7" ht="28.5">
      <c r="A29" s="34">
        <v>24</v>
      </c>
      <c r="B29" s="4" t="s">
        <v>33</v>
      </c>
      <c r="C29" s="122">
        <f>'[1]1 bevétel-kiadás'!J21</f>
        <v>0</v>
      </c>
      <c r="D29" s="122">
        <v>0</v>
      </c>
      <c r="E29" s="22" t="s">
        <v>68</v>
      </c>
      <c r="F29" s="123"/>
      <c r="G29" s="123"/>
    </row>
    <row r="30" spans="1:7" ht="28.5">
      <c r="A30" s="34">
        <v>25</v>
      </c>
      <c r="B30" s="7" t="s">
        <v>35</v>
      </c>
      <c r="C30" s="122">
        <f>SUM(C26:C29)</f>
        <v>101203</v>
      </c>
      <c r="D30" s="122">
        <f>SUM(D26:D29)</f>
        <v>283460</v>
      </c>
      <c r="E30" s="20" t="s">
        <v>164</v>
      </c>
      <c r="F30" s="123">
        <f>F20+F19</f>
        <v>147879</v>
      </c>
      <c r="G30" s="123">
        <f>G20+G19</f>
        <v>102625</v>
      </c>
    </row>
    <row r="31" spans="1:7" ht="28.5">
      <c r="A31" s="34">
        <v>26</v>
      </c>
      <c r="B31" s="4" t="s">
        <v>36</v>
      </c>
      <c r="C31" s="122"/>
      <c r="D31" s="122"/>
      <c r="E31" s="4" t="s">
        <v>70</v>
      </c>
      <c r="F31" s="123"/>
      <c r="G31" s="123"/>
    </row>
    <row r="32" spans="1:7" ht="28.5">
      <c r="A32" s="34">
        <v>27</v>
      </c>
      <c r="B32" s="4" t="s">
        <v>37</v>
      </c>
      <c r="C32" s="122"/>
      <c r="D32" s="122"/>
      <c r="E32" s="4" t="s">
        <v>71</v>
      </c>
      <c r="F32" s="123"/>
      <c r="G32" s="123"/>
    </row>
    <row r="33" spans="1:7" ht="28.5">
      <c r="A33" s="34">
        <v>28</v>
      </c>
      <c r="B33" s="4" t="s">
        <v>38</v>
      </c>
      <c r="C33" s="122"/>
      <c r="D33" s="122"/>
      <c r="E33" s="4" t="s">
        <v>72</v>
      </c>
      <c r="F33" s="123"/>
      <c r="G33" s="123"/>
    </row>
    <row r="34" spans="1:7" ht="14.25">
      <c r="A34" s="34">
        <v>29</v>
      </c>
      <c r="B34" s="7" t="s">
        <v>39</v>
      </c>
      <c r="C34" s="122">
        <f>SUM(C31:C33)</f>
        <v>0</v>
      </c>
      <c r="D34" s="122">
        <f>SUM(D31:D33)</f>
        <v>0</v>
      </c>
      <c r="E34" s="7" t="s">
        <v>39</v>
      </c>
      <c r="F34" s="123">
        <f>SUM(F31:F33)</f>
        <v>0</v>
      </c>
      <c r="G34" s="123">
        <f>SUM(G31:G33)</f>
        <v>0</v>
      </c>
    </row>
    <row r="35" spans="1:7" ht="14.25">
      <c r="A35" s="34">
        <v>30</v>
      </c>
      <c r="B35" s="12" t="s">
        <v>165</v>
      </c>
      <c r="C35" s="122">
        <f>C34+C30+C18</f>
        <v>697207</v>
      </c>
      <c r="D35" s="122">
        <f>D34+D30+D18</f>
        <v>972338</v>
      </c>
      <c r="E35" s="12" t="s">
        <v>166</v>
      </c>
      <c r="F35" s="123">
        <f>F34+F18+F30</f>
        <v>697207</v>
      </c>
      <c r="G35" s="123">
        <f>G34+G30+G18</f>
        <v>972338</v>
      </c>
    </row>
    <row r="36" spans="1:7" ht="68.25" customHeight="1">
      <c r="A36" s="34">
        <v>31</v>
      </c>
      <c r="B36" s="14" t="s">
        <v>41</v>
      </c>
      <c r="C36" s="122"/>
      <c r="D36" s="122"/>
      <c r="E36" s="14" t="s">
        <v>41</v>
      </c>
      <c r="F36" s="123"/>
      <c r="G36" s="123"/>
    </row>
    <row r="37" spans="1:7" ht="14.25">
      <c r="A37" s="34">
        <v>32</v>
      </c>
      <c r="B37" s="14" t="s">
        <v>42</v>
      </c>
      <c r="C37" s="122"/>
      <c r="D37" s="122">
        <v>0</v>
      </c>
      <c r="E37" s="14" t="s">
        <v>74</v>
      </c>
      <c r="F37" s="123"/>
      <c r="G37" s="123"/>
    </row>
    <row r="38" spans="1:7" ht="14.25">
      <c r="A38" s="34">
        <v>33</v>
      </c>
      <c r="B38" s="15" t="s">
        <v>167</v>
      </c>
      <c r="C38" s="122">
        <f>C35+C37+C36</f>
        <v>697207</v>
      </c>
      <c r="D38" s="122">
        <f>D35+D37+D36</f>
        <v>972338</v>
      </c>
      <c r="E38" s="24" t="s">
        <v>168</v>
      </c>
      <c r="F38" s="123">
        <f>F37+F35+F36+F39</f>
        <v>697207</v>
      </c>
      <c r="G38" s="123">
        <f>G37+G35+G36+G39</f>
        <v>972338</v>
      </c>
    </row>
    <row r="39" spans="1:7" ht="14.25">
      <c r="A39" s="34">
        <v>34</v>
      </c>
      <c r="B39" s="127" t="s">
        <v>169</v>
      </c>
      <c r="C39" s="122"/>
      <c r="D39" s="122"/>
      <c r="E39" s="128" t="s">
        <v>170</v>
      </c>
      <c r="F39" s="123"/>
      <c r="G39" s="123"/>
    </row>
    <row r="40" spans="1:6" ht="28.5">
      <c r="A40" s="34">
        <v>35</v>
      </c>
      <c r="B40" s="5" t="s">
        <v>44</v>
      </c>
      <c r="C40" s="122"/>
      <c r="D40" s="122"/>
      <c r="F40" s="123"/>
    </row>
    <row r="41" spans="1:7" ht="28.5">
      <c r="A41" s="34">
        <v>36</v>
      </c>
      <c r="B41" s="5" t="s">
        <v>45</v>
      </c>
      <c r="C41" s="122"/>
      <c r="D41" s="122"/>
      <c r="E41" s="75"/>
      <c r="F41" s="123"/>
      <c r="G41" s="123"/>
    </row>
    <row r="42" spans="1:7" ht="97.5" customHeight="1">
      <c r="A42" s="34">
        <v>37</v>
      </c>
      <c r="B42" s="5" t="s">
        <v>46</v>
      </c>
      <c r="C42" s="122"/>
      <c r="D42" s="122"/>
      <c r="E42" s="136" t="s">
        <v>171</v>
      </c>
      <c r="F42" s="123"/>
      <c r="G42" s="1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4">
      <selection activeCell="L18" sqref="L18"/>
    </sheetView>
  </sheetViews>
  <sheetFormatPr defaultColWidth="9.140625" defaultRowHeight="12.75"/>
  <cols>
    <col min="1" max="1" width="4.8515625" style="34" customWidth="1"/>
    <col min="2" max="2" width="34.7109375" style="34" customWidth="1"/>
    <col min="3" max="3" width="9.7109375" style="34" customWidth="1"/>
    <col min="4" max="14" width="9.140625" style="34" customWidth="1"/>
    <col min="15" max="15" width="12.7109375" style="34" customWidth="1"/>
    <col min="16" max="16384" width="9.140625" style="34" customWidth="1"/>
  </cols>
  <sheetData>
    <row r="2" ht="12.75">
      <c r="L2" s="38" t="s">
        <v>291</v>
      </c>
    </row>
    <row r="4" spans="2:15" ht="15">
      <c r="B4" s="134" t="s">
        <v>184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3:15" ht="12.7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 t="s">
        <v>0</v>
      </c>
    </row>
    <row r="6" spans="2:15" ht="15">
      <c r="B6" s="130" t="s">
        <v>1</v>
      </c>
      <c r="C6" s="131" t="s">
        <v>172</v>
      </c>
      <c r="D6" s="131" t="s">
        <v>173</v>
      </c>
      <c r="E6" s="131" t="s">
        <v>174</v>
      </c>
      <c r="F6" s="131" t="s">
        <v>175</v>
      </c>
      <c r="G6" s="131" t="s">
        <v>176</v>
      </c>
      <c r="H6" s="131" t="s">
        <v>177</v>
      </c>
      <c r="I6" s="131" t="s">
        <v>178</v>
      </c>
      <c r="J6" s="131" t="s">
        <v>179</v>
      </c>
      <c r="K6" s="131" t="s">
        <v>180</v>
      </c>
      <c r="L6" s="131" t="s">
        <v>181</v>
      </c>
      <c r="M6" s="131" t="s">
        <v>182</v>
      </c>
      <c r="N6" s="131" t="s">
        <v>183</v>
      </c>
      <c r="O6" s="132" t="s">
        <v>116</v>
      </c>
    </row>
    <row r="7" spans="1:15" ht="14.25">
      <c r="A7" s="34">
        <v>1</v>
      </c>
      <c r="B7" s="133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11" t="s">
        <v>90</v>
      </c>
    </row>
    <row r="8" spans="1:15" ht="12.75">
      <c r="A8" s="34">
        <v>2</v>
      </c>
      <c r="B8" s="90" t="s">
        <v>185</v>
      </c>
      <c r="C8" s="173">
        <f>684030/12</f>
        <v>57002.5</v>
      </c>
      <c r="D8" s="173">
        <f aca="true" t="shared" si="0" ref="D8:N8">684030/12</f>
        <v>57002.5</v>
      </c>
      <c r="E8" s="173">
        <f t="shared" si="0"/>
        <v>57002.5</v>
      </c>
      <c r="F8" s="173">
        <f t="shared" si="0"/>
        <v>57002.5</v>
      </c>
      <c r="G8" s="173">
        <f t="shared" si="0"/>
        <v>57002.5</v>
      </c>
      <c r="H8" s="173">
        <f t="shared" si="0"/>
        <v>57002.5</v>
      </c>
      <c r="I8" s="173">
        <f t="shared" si="0"/>
        <v>57002.5</v>
      </c>
      <c r="J8" s="173">
        <f t="shared" si="0"/>
        <v>57002.5</v>
      </c>
      <c r="K8" s="173">
        <f t="shared" si="0"/>
        <v>57002.5</v>
      </c>
      <c r="L8" s="173">
        <f t="shared" si="0"/>
        <v>57002.5</v>
      </c>
      <c r="M8" s="173">
        <f t="shared" si="0"/>
        <v>57002.5</v>
      </c>
      <c r="N8" s="173">
        <f t="shared" si="0"/>
        <v>57002.5</v>
      </c>
      <c r="O8" s="137">
        <v>684030</v>
      </c>
    </row>
    <row r="9" spans="1:15" ht="25.5">
      <c r="A9" s="34">
        <v>3</v>
      </c>
      <c r="B9" s="90" t="s">
        <v>186</v>
      </c>
      <c r="C9" s="173">
        <f>54391/12</f>
        <v>4532.583333333333</v>
      </c>
      <c r="D9" s="173">
        <f aca="true" t="shared" si="1" ref="D9:N9">54391/12</f>
        <v>4532.583333333333</v>
      </c>
      <c r="E9" s="173">
        <f t="shared" si="1"/>
        <v>4532.583333333333</v>
      </c>
      <c r="F9" s="173">
        <f t="shared" si="1"/>
        <v>4532.583333333333</v>
      </c>
      <c r="G9" s="173">
        <f t="shared" si="1"/>
        <v>4532.583333333333</v>
      </c>
      <c r="H9" s="173">
        <f t="shared" si="1"/>
        <v>4532.583333333333</v>
      </c>
      <c r="I9" s="173">
        <f t="shared" si="1"/>
        <v>4532.583333333333</v>
      </c>
      <c r="J9" s="173">
        <f t="shared" si="1"/>
        <v>4532.583333333333</v>
      </c>
      <c r="K9" s="173">
        <f t="shared" si="1"/>
        <v>4532.583333333333</v>
      </c>
      <c r="L9" s="173">
        <f t="shared" si="1"/>
        <v>4532.583333333333</v>
      </c>
      <c r="M9" s="173">
        <f t="shared" si="1"/>
        <v>4532.583333333333</v>
      </c>
      <c r="N9" s="173">
        <f t="shared" si="1"/>
        <v>4532.583333333333</v>
      </c>
      <c r="O9" s="137">
        <v>54391</v>
      </c>
    </row>
    <row r="10" spans="1:15" ht="25.5">
      <c r="A10" s="34">
        <v>4</v>
      </c>
      <c r="B10" s="90" t="s">
        <v>187</v>
      </c>
      <c r="C10" s="173">
        <f>168357/12</f>
        <v>14029.75</v>
      </c>
      <c r="D10" s="173">
        <f aca="true" t="shared" si="2" ref="D10:N10">168357/12</f>
        <v>14029.75</v>
      </c>
      <c r="E10" s="173">
        <f t="shared" si="2"/>
        <v>14029.75</v>
      </c>
      <c r="F10" s="173">
        <f t="shared" si="2"/>
        <v>14029.75</v>
      </c>
      <c r="G10" s="173">
        <f t="shared" si="2"/>
        <v>14029.75</v>
      </c>
      <c r="H10" s="173">
        <f t="shared" si="2"/>
        <v>14029.75</v>
      </c>
      <c r="I10" s="173">
        <f t="shared" si="2"/>
        <v>14029.75</v>
      </c>
      <c r="J10" s="173">
        <f t="shared" si="2"/>
        <v>14029.75</v>
      </c>
      <c r="K10" s="173">
        <f t="shared" si="2"/>
        <v>14029.75</v>
      </c>
      <c r="L10" s="173">
        <f t="shared" si="2"/>
        <v>14029.75</v>
      </c>
      <c r="M10" s="173">
        <f t="shared" si="2"/>
        <v>14029.75</v>
      </c>
      <c r="N10" s="173">
        <f t="shared" si="2"/>
        <v>14029.75</v>
      </c>
      <c r="O10" s="137">
        <v>168357</v>
      </c>
    </row>
    <row r="11" spans="1:15" ht="12.75">
      <c r="A11" s="34">
        <v>5</v>
      </c>
      <c r="B11" s="90" t="s">
        <v>188</v>
      </c>
      <c r="C11" s="173">
        <f>65560/12</f>
        <v>5463.333333333333</v>
      </c>
      <c r="D11" s="173">
        <f aca="true" t="shared" si="3" ref="D11:N11">65560/12</f>
        <v>5463.333333333333</v>
      </c>
      <c r="E11" s="173">
        <f t="shared" si="3"/>
        <v>5463.333333333333</v>
      </c>
      <c r="F11" s="173">
        <f t="shared" si="3"/>
        <v>5463.333333333333</v>
      </c>
      <c r="G11" s="173">
        <f t="shared" si="3"/>
        <v>5463.333333333333</v>
      </c>
      <c r="H11" s="173">
        <f t="shared" si="3"/>
        <v>5463.333333333333</v>
      </c>
      <c r="I11" s="173">
        <f t="shared" si="3"/>
        <v>5463.333333333333</v>
      </c>
      <c r="J11" s="173">
        <f t="shared" si="3"/>
        <v>5463.333333333333</v>
      </c>
      <c r="K11" s="173">
        <f t="shared" si="3"/>
        <v>5463.333333333333</v>
      </c>
      <c r="L11" s="173">
        <f t="shared" si="3"/>
        <v>5463.333333333333</v>
      </c>
      <c r="M11" s="173">
        <f t="shared" si="3"/>
        <v>5463.333333333333</v>
      </c>
      <c r="N11" s="173">
        <f t="shared" si="3"/>
        <v>5463.333333333333</v>
      </c>
      <c r="O11" s="137">
        <v>65560</v>
      </c>
    </row>
    <row r="12" spans="1:15" ht="12.75">
      <c r="A12" s="34">
        <v>6</v>
      </c>
      <c r="B12" s="91" t="s">
        <v>189</v>
      </c>
      <c r="C12" s="138">
        <f>SUM(C8:C11)</f>
        <v>81028.16666666667</v>
      </c>
      <c r="D12" s="138">
        <f aca="true" t="shared" si="4" ref="D12:N12">SUM(D8:D11)</f>
        <v>81028.16666666667</v>
      </c>
      <c r="E12" s="138">
        <f t="shared" si="4"/>
        <v>81028.16666666667</v>
      </c>
      <c r="F12" s="138">
        <f t="shared" si="4"/>
        <v>81028.16666666667</v>
      </c>
      <c r="G12" s="138">
        <f t="shared" si="4"/>
        <v>81028.16666666667</v>
      </c>
      <c r="H12" s="138">
        <f t="shared" si="4"/>
        <v>81028.16666666667</v>
      </c>
      <c r="I12" s="138">
        <f t="shared" si="4"/>
        <v>81028.16666666667</v>
      </c>
      <c r="J12" s="138">
        <f t="shared" si="4"/>
        <v>81028.16666666667</v>
      </c>
      <c r="K12" s="138">
        <f t="shared" si="4"/>
        <v>81028.16666666667</v>
      </c>
      <c r="L12" s="138">
        <f t="shared" si="4"/>
        <v>81028.16666666667</v>
      </c>
      <c r="M12" s="138">
        <f t="shared" si="4"/>
        <v>81028.16666666667</v>
      </c>
      <c r="N12" s="138">
        <f t="shared" si="4"/>
        <v>81028.16666666667</v>
      </c>
      <c r="O12" s="138">
        <f>SUM(O8:O11)</f>
        <v>972338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2" max="2" width="51.140625" style="0" customWidth="1"/>
    <col min="3" max="4" width="18.140625" style="0" customWidth="1"/>
    <col min="5" max="5" width="19.00390625" style="0" customWidth="1"/>
    <col min="6" max="6" width="17.421875" style="0" customWidth="1"/>
    <col min="7" max="7" width="19.00390625" style="0" customWidth="1"/>
    <col min="8" max="8" width="17.421875" style="0" customWidth="1"/>
  </cols>
  <sheetData>
    <row r="1" spans="1:7" ht="12.75">
      <c r="A1" s="34"/>
      <c r="B1" s="34"/>
      <c r="C1" s="38"/>
      <c r="D1" s="34"/>
      <c r="E1" s="34"/>
      <c r="G1" s="144" t="s">
        <v>294</v>
      </c>
    </row>
    <row r="2" spans="1:7" ht="20.25">
      <c r="A2" s="34"/>
      <c r="B2" s="35" t="s">
        <v>102</v>
      </c>
      <c r="C2" s="34"/>
      <c r="D2" s="34"/>
      <c r="E2" s="34"/>
      <c r="G2" s="34"/>
    </row>
    <row r="3" spans="1:7" ht="12.75">
      <c r="A3" s="34"/>
      <c r="B3" s="34"/>
      <c r="C3" s="34"/>
      <c r="D3" s="34" t="s">
        <v>0</v>
      </c>
      <c r="E3" s="34"/>
      <c r="G3" s="34"/>
    </row>
    <row r="4" spans="1:8" ht="71.25">
      <c r="A4" s="34"/>
      <c r="B4" s="27" t="s">
        <v>1</v>
      </c>
      <c r="C4" s="28" t="s">
        <v>2</v>
      </c>
      <c r="D4" s="28" t="s">
        <v>92</v>
      </c>
      <c r="E4" s="3" t="s">
        <v>82</v>
      </c>
      <c r="F4" s="3" t="s">
        <v>83</v>
      </c>
      <c r="G4" s="3" t="s">
        <v>85</v>
      </c>
      <c r="H4" s="3" t="s">
        <v>86</v>
      </c>
    </row>
    <row r="5" spans="1:8" s="26" customFormat="1" ht="14.25">
      <c r="A5" s="34"/>
      <c r="B5" s="58" t="s">
        <v>6</v>
      </c>
      <c r="C5" s="2" t="s">
        <v>7</v>
      </c>
      <c r="D5" s="2" t="s">
        <v>8</v>
      </c>
      <c r="E5" s="2" t="s">
        <v>9</v>
      </c>
      <c r="F5" s="2" t="s">
        <v>98</v>
      </c>
      <c r="G5" s="2" t="s">
        <v>11</v>
      </c>
      <c r="H5" s="2" t="s">
        <v>12</v>
      </c>
    </row>
    <row r="6" spans="1:24" ht="16.5">
      <c r="A6" s="34">
        <v>1</v>
      </c>
      <c r="B6" s="166" t="s">
        <v>230</v>
      </c>
      <c r="C6" s="30">
        <v>72000</v>
      </c>
      <c r="D6" s="30">
        <v>106616</v>
      </c>
      <c r="E6" s="30">
        <f>C6</f>
        <v>72000</v>
      </c>
      <c r="F6" s="30"/>
      <c r="G6" s="30">
        <f>D6</f>
        <v>106616</v>
      </c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6.5">
      <c r="A7" s="34">
        <v>2</v>
      </c>
      <c r="B7" s="166" t="s">
        <v>231</v>
      </c>
      <c r="C7" s="30">
        <v>30000</v>
      </c>
      <c r="D7" s="30">
        <v>29390</v>
      </c>
      <c r="E7" s="30">
        <f aca="true" t="shared" si="0" ref="E7:E13">C7</f>
        <v>30000</v>
      </c>
      <c r="F7" s="30"/>
      <c r="G7" s="30">
        <f aca="true" t="shared" si="1" ref="G7:G13">D7</f>
        <v>29390</v>
      </c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6.5">
      <c r="A8" s="34">
        <v>3</v>
      </c>
      <c r="B8" s="166" t="s">
        <v>232</v>
      </c>
      <c r="C8" s="30">
        <v>22000</v>
      </c>
      <c r="D8" s="30">
        <v>27717</v>
      </c>
      <c r="E8" s="30">
        <f t="shared" si="0"/>
        <v>22000</v>
      </c>
      <c r="F8" s="30"/>
      <c r="G8" s="30">
        <f t="shared" si="1"/>
        <v>27717</v>
      </c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6.5">
      <c r="A9" s="34">
        <v>4</v>
      </c>
      <c r="B9" s="166" t="s">
        <v>233</v>
      </c>
      <c r="C9" s="30">
        <v>6000</v>
      </c>
      <c r="D9" s="30">
        <v>5835</v>
      </c>
      <c r="E9" s="30">
        <f t="shared" si="0"/>
        <v>6000</v>
      </c>
      <c r="F9" s="30"/>
      <c r="G9" s="30">
        <f t="shared" si="1"/>
        <v>5835</v>
      </c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6.5">
      <c r="A10" s="34">
        <v>5</v>
      </c>
      <c r="B10" s="166" t="s">
        <v>191</v>
      </c>
      <c r="C10" s="30">
        <v>2000</v>
      </c>
      <c r="D10" s="30">
        <v>0</v>
      </c>
      <c r="E10" s="30">
        <f t="shared" si="0"/>
        <v>2000</v>
      </c>
      <c r="F10" s="30"/>
      <c r="G10" s="30">
        <f t="shared" si="1"/>
        <v>0</v>
      </c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6.5">
      <c r="A11" s="34">
        <v>6</v>
      </c>
      <c r="B11" s="166" t="s">
        <v>234</v>
      </c>
      <c r="C11" s="30">
        <v>0</v>
      </c>
      <c r="D11" s="30">
        <v>0</v>
      </c>
      <c r="E11" s="30">
        <f t="shared" si="0"/>
        <v>0</v>
      </c>
      <c r="F11" s="30"/>
      <c r="G11" s="30">
        <f t="shared" si="1"/>
        <v>0</v>
      </c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6.5">
      <c r="A12" s="34">
        <v>7</v>
      </c>
      <c r="B12" s="166" t="s">
        <v>235</v>
      </c>
      <c r="C12" s="30">
        <v>40000</v>
      </c>
      <c r="D12" s="30">
        <v>39592</v>
      </c>
      <c r="E12" s="30">
        <f t="shared" si="0"/>
        <v>40000</v>
      </c>
      <c r="F12" s="30"/>
      <c r="G12" s="30">
        <f t="shared" si="1"/>
        <v>39592</v>
      </c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27" customHeight="1">
      <c r="A13" s="34">
        <v>8</v>
      </c>
      <c r="B13" s="166" t="s">
        <v>236</v>
      </c>
      <c r="C13" s="30">
        <f>1000+500</f>
        <v>1500</v>
      </c>
      <c r="D13" s="30">
        <v>957</v>
      </c>
      <c r="E13" s="30">
        <f t="shared" si="0"/>
        <v>1500</v>
      </c>
      <c r="F13" s="30"/>
      <c r="G13" s="30">
        <f t="shared" si="1"/>
        <v>957</v>
      </c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8" ht="15">
      <c r="A14" s="34">
        <v>9</v>
      </c>
      <c r="B14" s="32" t="s">
        <v>97</v>
      </c>
      <c r="C14" s="33">
        <f aca="true" t="shared" si="2" ref="C14:H14">SUM(C6:C13)</f>
        <v>173500</v>
      </c>
      <c r="D14" s="33">
        <f t="shared" si="2"/>
        <v>210107</v>
      </c>
      <c r="E14" s="33">
        <f t="shared" si="2"/>
        <v>173500</v>
      </c>
      <c r="F14" s="33">
        <f t="shared" si="2"/>
        <v>0</v>
      </c>
      <c r="G14" s="33">
        <f t="shared" si="2"/>
        <v>210107</v>
      </c>
      <c r="H14" s="33">
        <f t="shared" si="2"/>
        <v>0</v>
      </c>
    </row>
    <row r="15" spans="1:7" ht="12.75">
      <c r="A15" s="34"/>
      <c r="B15" s="34"/>
      <c r="C15" s="34"/>
      <c r="D15" s="34"/>
      <c r="E15" s="34"/>
      <c r="G15" s="34"/>
    </row>
    <row r="17" ht="12.75">
      <c r="B17" t="s">
        <v>316</v>
      </c>
    </row>
    <row r="18" ht="12.75">
      <c r="B18" t="s">
        <v>317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="75" zoomScaleNormal="75" zoomScalePageLayoutView="0" workbookViewId="0" topLeftCell="A1">
      <selection activeCell="G1" sqref="G1"/>
    </sheetView>
  </sheetViews>
  <sheetFormatPr defaultColWidth="9.140625" defaultRowHeight="12.75"/>
  <cols>
    <col min="1" max="1" width="9.140625" style="34" customWidth="1"/>
    <col min="2" max="2" width="71.421875" style="34" customWidth="1"/>
    <col min="3" max="3" width="18.8515625" style="34" customWidth="1"/>
    <col min="4" max="4" width="19.28125" style="34" customWidth="1"/>
    <col min="5" max="5" width="21.8515625" style="34" customWidth="1"/>
    <col min="6" max="6" width="21.00390625" style="34" customWidth="1"/>
    <col min="7" max="7" width="19.7109375" style="34" customWidth="1"/>
    <col min="8" max="8" width="21.00390625" style="34" customWidth="1"/>
    <col min="9" max="16384" width="9.140625" style="34" customWidth="1"/>
  </cols>
  <sheetData>
    <row r="1" spans="3:7" ht="12.75">
      <c r="C1" s="38"/>
      <c r="G1" s="144" t="s">
        <v>295</v>
      </c>
    </row>
    <row r="2" ht="20.25">
      <c r="B2" s="35" t="s">
        <v>229</v>
      </c>
    </row>
    <row r="3" ht="12.75">
      <c r="G3" s="34" t="s">
        <v>0</v>
      </c>
    </row>
    <row r="4" spans="2:8" ht="57">
      <c r="B4" s="1" t="s">
        <v>1</v>
      </c>
      <c r="C4" s="2" t="s">
        <v>2</v>
      </c>
      <c r="D4" s="2" t="s">
        <v>78</v>
      </c>
      <c r="E4" s="3" t="s">
        <v>82</v>
      </c>
      <c r="F4" s="3" t="s">
        <v>83</v>
      </c>
      <c r="G4" s="3" t="s">
        <v>85</v>
      </c>
      <c r="H4" s="3" t="s">
        <v>86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98</v>
      </c>
      <c r="G5" s="2" t="s">
        <v>11</v>
      </c>
      <c r="H5" s="2" t="s">
        <v>12</v>
      </c>
    </row>
    <row r="6" spans="1:26" ht="16.5">
      <c r="A6" s="34">
        <v>1</v>
      </c>
      <c r="B6" s="5" t="s">
        <v>223</v>
      </c>
      <c r="C6" s="45">
        <v>14170</v>
      </c>
      <c r="D6" s="45">
        <v>14170</v>
      </c>
      <c r="E6" s="47">
        <f>C6</f>
        <v>14170</v>
      </c>
      <c r="F6" s="47"/>
      <c r="G6" s="47">
        <f aca="true" t="shared" si="0" ref="G6:G11">D6</f>
        <v>14170</v>
      </c>
      <c r="H6" s="47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6.5">
      <c r="A7" s="34">
        <v>2</v>
      </c>
      <c r="B7" s="5" t="s">
        <v>284</v>
      </c>
      <c r="C7" s="45"/>
      <c r="D7" s="45">
        <v>249</v>
      </c>
      <c r="E7" s="47"/>
      <c r="F7" s="47"/>
      <c r="G7" s="47">
        <f t="shared" si="0"/>
        <v>249</v>
      </c>
      <c r="H7" s="47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6.5">
      <c r="A8" s="34">
        <v>3</v>
      </c>
      <c r="B8" s="5" t="s">
        <v>224</v>
      </c>
      <c r="C8" s="45">
        <v>4000</v>
      </c>
      <c r="D8" s="45">
        <v>5055</v>
      </c>
      <c r="E8" s="47">
        <f>C8</f>
        <v>4000</v>
      </c>
      <c r="F8" s="47"/>
      <c r="G8" s="47">
        <f t="shared" si="0"/>
        <v>5055</v>
      </c>
      <c r="H8" s="47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6.5">
      <c r="A9" s="34">
        <v>4</v>
      </c>
      <c r="B9" s="5" t="s">
        <v>225</v>
      </c>
      <c r="C9" s="47">
        <v>1000</v>
      </c>
      <c r="D9" s="47">
        <v>4547</v>
      </c>
      <c r="E9" s="47">
        <f>C9</f>
        <v>1000</v>
      </c>
      <c r="F9" s="47"/>
      <c r="G9" s="47">
        <f t="shared" si="0"/>
        <v>4547</v>
      </c>
      <c r="H9" s="4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6.5">
      <c r="A10" s="34">
        <v>5</v>
      </c>
      <c r="B10" s="5" t="s">
        <v>226</v>
      </c>
      <c r="C10" s="45">
        <v>500</v>
      </c>
      <c r="D10" s="45">
        <v>1499</v>
      </c>
      <c r="E10" s="47">
        <f>C10</f>
        <v>500</v>
      </c>
      <c r="F10" s="47"/>
      <c r="G10" s="47">
        <f t="shared" si="0"/>
        <v>1499</v>
      </c>
      <c r="H10" s="47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6.5">
      <c r="A11" s="34">
        <v>6</v>
      </c>
      <c r="B11" s="5" t="s">
        <v>285</v>
      </c>
      <c r="C11" s="45"/>
      <c r="D11" s="45">
        <v>1022</v>
      </c>
      <c r="E11" s="47">
        <f>C11</f>
        <v>0</v>
      </c>
      <c r="F11" s="47"/>
      <c r="G11" s="47">
        <f t="shared" si="0"/>
        <v>1022</v>
      </c>
      <c r="H11" s="47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6.5">
      <c r="A12" s="34">
        <v>7</v>
      </c>
      <c r="B12" s="32" t="s">
        <v>99</v>
      </c>
      <c r="C12" s="46">
        <f aca="true" t="shared" si="1" ref="C12:H12">SUM(C6:C11)</f>
        <v>19670</v>
      </c>
      <c r="D12" s="46">
        <f t="shared" si="1"/>
        <v>26542</v>
      </c>
      <c r="E12" s="46">
        <f t="shared" si="1"/>
        <v>19670</v>
      </c>
      <c r="F12" s="46">
        <f t="shared" si="1"/>
        <v>0</v>
      </c>
      <c r="G12" s="46">
        <f t="shared" si="1"/>
        <v>26542</v>
      </c>
      <c r="H12" s="46">
        <f t="shared" si="1"/>
        <v>0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  <c r="W12" s="54"/>
      <c r="X12" s="55"/>
      <c r="Y12" s="55"/>
      <c r="Z12" s="55"/>
    </row>
    <row r="13" spans="3:26" ht="16.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6" spans="2:8" ht="57">
      <c r="B16" s="1" t="s">
        <v>1</v>
      </c>
      <c r="C16" s="2" t="s">
        <v>2</v>
      </c>
      <c r="D16" s="2" t="s">
        <v>78</v>
      </c>
      <c r="E16" s="3" t="s">
        <v>82</v>
      </c>
      <c r="F16" s="3" t="s">
        <v>83</v>
      </c>
      <c r="G16" s="3" t="s">
        <v>85</v>
      </c>
      <c r="H16" s="3" t="s">
        <v>86</v>
      </c>
    </row>
    <row r="17" spans="2:8" ht="14.25">
      <c r="B17" s="2" t="s">
        <v>6</v>
      </c>
      <c r="C17" s="2" t="s">
        <v>7</v>
      </c>
      <c r="D17" s="2" t="s">
        <v>8</v>
      </c>
      <c r="E17" s="2" t="s">
        <v>9</v>
      </c>
      <c r="F17" s="2" t="s">
        <v>98</v>
      </c>
      <c r="G17" s="2" t="s">
        <v>11</v>
      </c>
      <c r="H17" s="2" t="s">
        <v>12</v>
      </c>
    </row>
    <row r="18" spans="1:26" ht="16.5">
      <c r="A18" s="34">
        <v>1</v>
      </c>
      <c r="B18" s="5" t="s">
        <v>227</v>
      </c>
      <c r="C18" s="48">
        <v>19443</v>
      </c>
      <c r="D18" s="48">
        <v>19443</v>
      </c>
      <c r="E18" s="47">
        <f>C18</f>
        <v>19443</v>
      </c>
      <c r="F18" s="47"/>
      <c r="G18" s="47">
        <f aca="true" t="shared" si="2" ref="G18:G23">D18</f>
        <v>19443</v>
      </c>
      <c r="H18" s="47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28.5">
      <c r="A19" s="34">
        <v>2</v>
      </c>
      <c r="B19" s="5" t="s">
        <v>286</v>
      </c>
      <c r="C19" s="48"/>
      <c r="D19" s="48">
        <v>20000</v>
      </c>
      <c r="E19" s="47">
        <f>C19</f>
        <v>0</v>
      </c>
      <c r="F19" s="47"/>
      <c r="G19" s="47">
        <f t="shared" si="2"/>
        <v>20000</v>
      </c>
      <c r="H19" s="47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28.5">
      <c r="A20" s="34">
        <v>3</v>
      </c>
      <c r="B20" s="5" t="s">
        <v>296</v>
      </c>
      <c r="C20" s="48"/>
      <c r="D20" s="48">
        <v>3916</v>
      </c>
      <c r="E20" s="47"/>
      <c r="F20" s="47"/>
      <c r="G20" s="47">
        <f t="shared" si="2"/>
        <v>3916</v>
      </c>
      <c r="H20" s="47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28.5">
      <c r="A21" s="34">
        <v>4</v>
      </c>
      <c r="B21" s="5" t="s">
        <v>297</v>
      </c>
      <c r="C21" s="48"/>
      <c r="D21" s="48">
        <v>150000</v>
      </c>
      <c r="E21" s="47"/>
      <c r="F21" s="47"/>
      <c r="G21" s="47">
        <f t="shared" si="2"/>
        <v>150000</v>
      </c>
      <c r="H21" s="47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6.5">
      <c r="A22" s="34">
        <v>5</v>
      </c>
      <c r="B22" s="5" t="s">
        <v>228</v>
      </c>
      <c r="C22" s="45">
        <v>30000</v>
      </c>
      <c r="D22" s="45">
        <v>30383</v>
      </c>
      <c r="E22" s="47">
        <f>C22</f>
        <v>30000</v>
      </c>
      <c r="F22" s="47"/>
      <c r="G22" s="47">
        <f t="shared" si="2"/>
        <v>30383</v>
      </c>
      <c r="H22" s="47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28.5">
      <c r="A23" s="34">
        <v>6</v>
      </c>
      <c r="B23" s="5" t="s">
        <v>287</v>
      </c>
      <c r="C23" s="45"/>
      <c r="D23" s="45">
        <v>5610</v>
      </c>
      <c r="E23" s="47">
        <f>C23</f>
        <v>0</v>
      </c>
      <c r="F23" s="47"/>
      <c r="G23" s="47">
        <f t="shared" si="2"/>
        <v>5610</v>
      </c>
      <c r="H23" s="47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6.5">
      <c r="A24" s="34">
        <v>7</v>
      </c>
      <c r="B24" s="32" t="s">
        <v>100</v>
      </c>
      <c r="C24" s="46">
        <f>SUM(C18:C22)</f>
        <v>49443</v>
      </c>
      <c r="D24" s="46">
        <f>SUM(D18:D23)</f>
        <v>229352</v>
      </c>
      <c r="E24" s="46">
        <f>SUM(E18:E23)</f>
        <v>49443</v>
      </c>
      <c r="F24" s="46">
        <f>SUM(F18:F23)</f>
        <v>0</v>
      </c>
      <c r="G24" s="46">
        <f>SUM(G18:G23)</f>
        <v>229352</v>
      </c>
      <c r="H24" s="46">
        <f>SUM(H18:H22)</f>
        <v>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  <c r="W24" s="54"/>
      <c r="X24" s="55"/>
      <c r="Y24" s="55"/>
      <c r="Z24" s="55"/>
    </row>
    <row r="26" spans="2:8" ht="18">
      <c r="B26" s="49" t="s">
        <v>101</v>
      </c>
      <c r="C26" s="51">
        <f aca="true" t="shared" si="3" ref="C26:H26">C24+C12</f>
        <v>69113</v>
      </c>
      <c r="D26" s="51">
        <f t="shared" si="3"/>
        <v>255894</v>
      </c>
      <c r="E26" s="51">
        <f t="shared" si="3"/>
        <v>69113</v>
      </c>
      <c r="F26" s="51">
        <f t="shared" si="3"/>
        <v>0</v>
      </c>
      <c r="G26" s="51">
        <f t="shared" si="3"/>
        <v>255894</v>
      </c>
      <c r="H26" s="51">
        <f t="shared" si="3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="75" zoomScaleNormal="75" zoomScalePageLayoutView="0" workbookViewId="0" topLeftCell="A7">
      <selection activeCell="E1" sqref="E1"/>
    </sheetView>
  </sheetViews>
  <sheetFormatPr defaultColWidth="9.140625" defaultRowHeight="12.75"/>
  <cols>
    <col min="1" max="1" width="9.140625" style="34" customWidth="1"/>
    <col min="2" max="2" width="71.421875" style="34" customWidth="1"/>
    <col min="3" max="3" width="18.8515625" style="34" customWidth="1"/>
    <col min="4" max="4" width="19.28125" style="34" customWidth="1"/>
    <col min="5" max="5" width="21.8515625" style="34" customWidth="1"/>
    <col min="6" max="6" width="19.7109375" style="34" customWidth="1"/>
    <col min="7" max="16384" width="9.140625" style="34" customWidth="1"/>
  </cols>
  <sheetData>
    <row r="1" spans="3:5" ht="12.75">
      <c r="C1" s="38"/>
      <c r="D1" s="144"/>
      <c r="E1" s="144" t="s">
        <v>298</v>
      </c>
    </row>
    <row r="2" ht="20.25">
      <c r="B2" s="35" t="s">
        <v>103</v>
      </c>
    </row>
    <row r="3" ht="12.75">
      <c r="F3" s="34" t="s">
        <v>105</v>
      </c>
    </row>
    <row r="4" spans="2:6" ht="57">
      <c r="B4" s="1" t="s">
        <v>1</v>
      </c>
      <c r="C4" s="2" t="s">
        <v>2</v>
      </c>
      <c r="D4" s="2" t="s">
        <v>78</v>
      </c>
      <c r="E4" s="3" t="s">
        <v>82</v>
      </c>
      <c r="F4" s="3" t="s">
        <v>85</v>
      </c>
    </row>
    <row r="5" spans="2:6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</row>
    <row r="6" spans="1:24" ht="16.5">
      <c r="A6" s="34">
        <v>1</v>
      </c>
      <c r="B6" s="5" t="s">
        <v>104</v>
      </c>
      <c r="C6" s="45">
        <v>32792800</v>
      </c>
      <c r="D6" s="45"/>
      <c r="E6" s="47">
        <f>C6</f>
        <v>32792800</v>
      </c>
      <c r="F6" s="47">
        <f>D6</f>
        <v>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16.5">
      <c r="A7" s="34">
        <v>2</v>
      </c>
      <c r="B7" s="5" t="s">
        <v>106</v>
      </c>
      <c r="C7" s="45">
        <v>27028427</v>
      </c>
      <c r="D7" s="45"/>
      <c r="E7" s="47">
        <f aca="true" t="shared" si="0" ref="E7:E22">C7</f>
        <v>27028427</v>
      </c>
      <c r="F7" s="47">
        <f aca="true" t="shared" si="1" ref="F7:F13">D7</f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ht="16.5">
      <c r="A8" s="34">
        <v>3</v>
      </c>
      <c r="B8" s="5" t="s">
        <v>107</v>
      </c>
      <c r="C8" s="47">
        <v>4414140</v>
      </c>
      <c r="D8" s="47"/>
      <c r="E8" s="47">
        <f t="shared" si="0"/>
        <v>4414140</v>
      </c>
      <c r="F8" s="47">
        <f t="shared" si="1"/>
        <v>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6.5">
      <c r="A9" s="34">
        <v>4</v>
      </c>
      <c r="B9" s="5" t="s">
        <v>110</v>
      </c>
      <c r="C9" s="45">
        <v>971205</v>
      </c>
      <c r="D9" s="45"/>
      <c r="E9" s="47">
        <f t="shared" si="0"/>
        <v>971205</v>
      </c>
      <c r="F9" s="47">
        <f t="shared" si="1"/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ht="33" customHeight="1">
      <c r="A10" s="34">
        <v>5</v>
      </c>
      <c r="B10" s="14" t="s">
        <v>196</v>
      </c>
      <c r="C10" s="46">
        <f>SUM(C6:C9)</f>
        <v>65206572</v>
      </c>
      <c r="D10" s="46">
        <v>65206572</v>
      </c>
      <c r="E10" s="46">
        <f t="shared" si="0"/>
        <v>65206572</v>
      </c>
      <c r="F10" s="46">
        <f t="shared" si="1"/>
        <v>65206572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28.5">
      <c r="A11" s="34">
        <v>6</v>
      </c>
      <c r="B11" s="5" t="s">
        <v>108</v>
      </c>
      <c r="C11" s="45">
        <v>24366934</v>
      </c>
      <c r="D11" s="45"/>
      <c r="E11" s="47">
        <f t="shared" si="0"/>
        <v>24366934</v>
      </c>
      <c r="F11" s="47">
        <f t="shared" si="1"/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16.5">
      <c r="A12" s="34">
        <v>7</v>
      </c>
      <c r="B12" s="5" t="s">
        <v>109</v>
      </c>
      <c r="C12" s="45">
        <v>2874666</v>
      </c>
      <c r="D12" s="45"/>
      <c r="E12" s="47">
        <f t="shared" si="0"/>
        <v>2874666</v>
      </c>
      <c r="F12" s="47">
        <f t="shared" si="1"/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4" ht="28.5">
      <c r="A13" s="34">
        <v>8</v>
      </c>
      <c r="B13" s="14" t="s">
        <v>197</v>
      </c>
      <c r="C13" s="46">
        <f>SUM(C11:C12)</f>
        <v>27241600</v>
      </c>
      <c r="D13" s="46">
        <v>26943680</v>
      </c>
      <c r="E13" s="46">
        <f t="shared" si="0"/>
        <v>27241600</v>
      </c>
      <c r="F13" s="46">
        <f t="shared" si="1"/>
        <v>26943680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6.5">
      <c r="A14" s="34">
        <v>9</v>
      </c>
      <c r="B14" s="5" t="s">
        <v>198</v>
      </c>
      <c r="C14" s="47">
        <v>885760</v>
      </c>
      <c r="D14" s="47"/>
      <c r="E14" s="47">
        <f t="shared" si="0"/>
        <v>885760</v>
      </c>
      <c r="F14" s="47">
        <f aca="true" t="shared" si="2" ref="F14:F25">D14</f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6.5">
      <c r="A15" s="34">
        <v>10</v>
      </c>
      <c r="B15" s="5" t="s">
        <v>195</v>
      </c>
      <c r="C15" s="45">
        <v>1707000</v>
      </c>
      <c r="D15" s="45"/>
      <c r="E15" s="47">
        <f t="shared" si="0"/>
        <v>1707000</v>
      </c>
      <c r="F15" s="47">
        <f t="shared" si="2"/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ht="16.5">
      <c r="A16" s="34">
        <v>11</v>
      </c>
      <c r="B16" s="5" t="s">
        <v>199</v>
      </c>
      <c r="C16" s="45">
        <v>3394560</v>
      </c>
      <c r="D16" s="45"/>
      <c r="E16" s="47">
        <f t="shared" si="0"/>
        <v>3394560</v>
      </c>
      <c r="F16" s="47">
        <f t="shared" si="2"/>
        <v>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1:24" ht="16.5">
      <c r="A17" s="34">
        <v>12</v>
      </c>
      <c r="B17" s="5" t="s">
        <v>283</v>
      </c>
      <c r="C17" s="45">
        <v>274016</v>
      </c>
      <c r="D17" s="45"/>
      <c r="E17" s="47">
        <f t="shared" si="0"/>
        <v>274016</v>
      </c>
      <c r="F17" s="47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ht="28.5">
      <c r="A18" s="34">
        <v>13</v>
      </c>
      <c r="B18" s="14" t="s">
        <v>111</v>
      </c>
      <c r="C18" s="46">
        <f>SUM(C14:C17)</f>
        <v>6261336</v>
      </c>
      <c r="D18" s="46">
        <v>8831288</v>
      </c>
      <c r="E18" s="46">
        <f t="shared" si="0"/>
        <v>6261336</v>
      </c>
      <c r="F18" s="46">
        <f t="shared" si="2"/>
        <v>8831288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6.5">
      <c r="A19" s="34">
        <v>14</v>
      </c>
      <c r="B19" s="5" t="s">
        <v>112</v>
      </c>
      <c r="C19" s="47">
        <v>1945980</v>
      </c>
      <c r="D19" s="47"/>
      <c r="E19" s="47">
        <f t="shared" si="0"/>
        <v>1945980</v>
      </c>
      <c r="F19" s="47">
        <f t="shared" si="2"/>
        <v>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28.5">
      <c r="A20" s="34">
        <v>15</v>
      </c>
      <c r="B20" s="14" t="s">
        <v>113</v>
      </c>
      <c r="C20" s="46">
        <f>C19</f>
        <v>1945980</v>
      </c>
      <c r="D20" s="46">
        <v>1945980</v>
      </c>
      <c r="E20" s="46">
        <f t="shared" si="0"/>
        <v>1945980</v>
      </c>
      <c r="F20" s="46">
        <f t="shared" si="2"/>
        <v>1945980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6.5">
      <c r="A21" s="34">
        <v>16</v>
      </c>
      <c r="B21" s="5" t="s">
        <v>114</v>
      </c>
      <c r="C21" s="45">
        <v>55911585</v>
      </c>
      <c r="D21" s="45"/>
      <c r="E21" s="47">
        <f t="shared" si="0"/>
        <v>55911585</v>
      </c>
      <c r="F21" s="47">
        <f t="shared" si="2"/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4" ht="16.5">
      <c r="A22" s="34">
        <v>17</v>
      </c>
      <c r="B22" s="5" t="s">
        <v>200</v>
      </c>
      <c r="C22" s="45">
        <v>66834</v>
      </c>
      <c r="D22" s="45"/>
      <c r="E22" s="47">
        <f t="shared" si="0"/>
        <v>66834</v>
      </c>
      <c r="F22" s="47">
        <f t="shared" si="2"/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4" s="57" customFormat="1" ht="16.5">
      <c r="A23" s="34">
        <v>18</v>
      </c>
      <c r="B23" s="14" t="s">
        <v>201</v>
      </c>
      <c r="C23" s="139">
        <f>SUM(C21:C22)</f>
        <v>55978419</v>
      </c>
      <c r="D23" s="139">
        <v>70225794</v>
      </c>
      <c r="E23" s="139">
        <f>SUM(E21:E22)</f>
        <v>55978419</v>
      </c>
      <c r="F23" s="46">
        <f t="shared" si="2"/>
        <v>70225794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</row>
    <row r="24" spans="1:24" s="57" customFormat="1" ht="16.5">
      <c r="A24" s="34">
        <v>19</v>
      </c>
      <c r="B24" s="14" t="s">
        <v>288</v>
      </c>
      <c r="C24" s="139"/>
      <c r="D24" s="139">
        <v>4044468</v>
      </c>
      <c r="E24" s="139"/>
      <c r="F24" s="46">
        <f t="shared" si="2"/>
        <v>4044468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1:24" s="57" customFormat="1" ht="16.5">
      <c r="A25" s="34">
        <v>20</v>
      </c>
      <c r="B25" s="14"/>
      <c r="C25" s="139"/>
      <c r="D25" s="139">
        <v>6457767</v>
      </c>
      <c r="E25" s="139"/>
      <c r="F25" s="46">
        <f t="shared" si="2"/>
        <v>6457767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ht="16.5">
      <c r="A26" s="34">
        <v>21</v>
      </c>
      <c r="B26" s="32" t="s">
        <v>202</v>
      </c>
      <c r="C26" s="46">
        <f>C23+C20+C18+C13+C10+C24+C25</f>
        <v>156633907</v>
      </c>
      <c r="D26" s="46">
        <f>D23+D20+D18+D13+D10+D24+D25</f>
        <v>183655549</v>
      </c>
      <c r="E26" s="46">
        <f>E23+E20+E18+E13+E10+E24+E25</f>
        <v>156633907</v>
      </c>
      <c r="F26" s="46">
        <f>F23+F20+F18+F13+F10+F24+F25</f>
        <v>183655549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54"/>
      <c r="V26" s="55"/>
      <c r="W26" s="55"/>
      <c r="X26" s="55"/>
    </row>
    <row r="27" spans="3:24" ht="16.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34" customWidth="1"/>
    <col min="2" max="2" width="35.8515625" style="34" customWidth="1"/>
    <col min="3" max="3" width="17.28125" style="34" customWidth="1"/>
    <col min="4" max="4" width="18.00390625" style="34" customWidth="1"/>
    <col min="5" max="5" width="19.8515625" style="34" customWidth="1"/>
    <col min="6" max="6" width="20.00390625" style="34" customWidth="1"/>
    <col min="7" max="7" width="37.57421875" style="41" customWidth="1"/>
    <col min="8" max="8" width="12.8515625" style="34" customWidth="1"/>
    <col min="9" max="9" width="13.57421875" style="34" customWidth="1"/>
    <col min="10" max="10" width="20.7109375" style="34" customWidth="1"/>
    <col min="11" max="11" width="18.00390625" style="34" customWidth="1"/>
    <col min="12" max="16384" width="9.140625" style="34" customWidth="1"/>
  </cols>
  <sheetData>
    <row r="1" spans="2:8" ht="12.75">
      <c r="B1" s="59"/>
      <c r="C1" s="59"/>
      <c r="D1" s="59"/>
      <c r="E1" s="59"/>
      <c r="F1" s="59"/>
      <c r="G1" s="60"/>
      <c r="H1" s="59"/>
    </row>
    <row r="2" spans="2:8" ht="12.75">
      <c r="B2" s="59"/>
      <c r="C2" s="38"/>
      <c r="E2" s="144" t="s">
        <v>299</v>
      </c>
      <c r="F2" s="59"/>
      <c r="G2" s="60"/>
      <c r="H2" s="59"/>
    </row>
    <row r="3" spans="2:8" ht="12.75">
      <c r="B3" s="59"/>
      <c r="C3" s="59"/>
      <c r="E3" s="59"/>
      <c r="F3" s="59"/>
      <c r="G3" s="60"/>
      <c r="H3" s="59"/>
    </row>
    <row r="4" spans="2:8" ht="20.25">
      <c r="B4" s="35" t="s">
        <v>115</v>
      </c>
      <c r="C4" s="59"/>
      <c r="E4" s="59"/>
      <c r="F4" s="59"/>
      <c r="G4" s="60"/>
      <c r="H4" s="59"/>
    </row>
    <row r="5" spans="2:8" ht="12.75">
      <c r="B5" s="59"/>
      <c r="C5" s="59"/>
      <c r="E5" s="59"/>
      <c r="F5" s="59" t="s">
        <v>105</v>
      </c>
      <c r="G5" s="60"/>
      <c r="H5" s="59"/>
    </row>
    <row r="6" spans="2:6" ht="25.5">
      <c r="B6" s="61" t="s">
        <v>1</v>
      </c>
      <c r="C6" s="62" t="s">
        <v>118</v>
      </c>
      <c r="D6" s="62" t="s">
        <v>119</v>
      </c>
      <c r="E6" s="62" t="s">
        <v>120</v>
      </c>
      <c r="F6" s="62" t="s">
        <v>121</v>
      </c>
    </row>
    <row r="7" spans="2:6" ht="12.75">
      <c r="B7" s="63" t="s">
        <v>6</v>
      </c>
      <c r="C7" s="63" t="s">
        <v>7</v>
      </c>
      <c r="D7" s="63" t="s">
        <v>8</v>
      </c>
      <c r="E7" s="63" t="s">
        <v>9</v>
      </c>
      <c r="F7" s="63" t="s">
        <v>10</v>
      </c>
    </row>
    <row r="8" spans="1:6" ht="50.25" customHeight="1">
      <c r="A8" s="34">
        <v>1</v>
      </c>
      <c r="B8" s="64" t="s">
        <v>205</v>
      </c>
      <c r="C8" s="65">
        <f>4953941+17914154</f>
        <v>22868095</v>
      </c>
      <c r="D8" s="65">
        <f>6291505+21733825</f>
        <v>28025330</v>
      </c>
      <c r="E8" s="65">
        <f>D8-C8</f>
        <v>5157235</v>
      </c>
      <c r="F8" s="67" t="s">
        <v>300</v>
      </c>
    </row>
    <row r="9" spans="1:6" ht="12.75">
      <c r="A9" s="34">
        <v>2</v>
      </c>
      <c r="B9" s="64" t="s">
        <v>117</v>
      </c>
      <c r="C9" s="66">
        <f>SUM(C8:C8)</f>
        <v>22868095</v>
      </c>
      <c r="D9" s="66">
        <f>SUM(D8:D8)</f>
        <v>28025330</v>
      </c>
      <c r="E9" s="66">
        <f>SUM(E8:E8)</f>
        <v>5157235</v>
      </c>
      <c r="F9" s="6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60" zoomScaleNormal="60" zoomScalePageLayoutView="0" workbookViewId="0" topLeftCell="A1">
      <selection activeCell="N19" sqref="N19"/>
    </sheetView>
  </sheetViews>
  <sheetFormatPr defaultColWidth="9.140625" defaultRowHeight="12.75"/>
  <cols>
    <col min="1" max="1" width="9.140625" style="34" customWidth="1"/>
    <col min="2" max="2" width="45.421875" style="34" customWidth="1"/>
    <col min="3" max="4" width="17.140625" style="78" customWidth="1"/>
    <col min="5" max="5" width="17.00390625" style="78" customWidth="1"/>
    <col min="6" max="8" width="18.7109375" style="78" customWidth="1"/>
    <col min="9" max="9" width="17.421875" style="78" customWidth="1"/>
    <col min="10" max="10" width="18.140625" style="78" customWidth="1"/>
    <col min="11" max="11" width="18.8515625" style="78" customWidth="1"/>
    <col min="12" max="14" width="18.140625" style="78" customWidth="1"/>
    <col min="15" max="16384" width="9.140625" style="34" customWidth="1"/>
  </cols>
  <sheetData>
    <row r="1" ht="12.75">
      <c r="C1" s="38"/>
    </row>
    <row r="2" spans="2:13" ht="20.25">
      <c r="B2" s="35" t="s">
        <v>122</v>
      </c>
      <c r="M2" s="144" t="s">
        <v>304</v>
      </c>
    </row>
    <row r="4" spans="2:13" ht="12.75">
      <c r="B4" s="57" t="s">
        <v>123</v>
      </c>
      <c r="M4" s="78" t="s">
        <v>0</v>
      </c>
    </row>
    <row r="5" spans="2:14" ht="71.25">
      <c r="B5" s="68" t="s">
        <v>1</v>
      </c>
      <c r="C5" s="2" t="s">
        <v>2</v>
      </c>
      <c r="D5" s="2" t="s">
        <v>92</v>
      </c>
      <c r="E5" s="2" t="s">
        <v>3</v>
      </c>
      <c r="F5" s="2" t="s">
        <v>129</v>
      </c>
      <c r="G5" s="2" t="s">
        <v>84</v>
      </c>
      <c r="H5" s="2" t="s">
        <v>130</v>
      </c>
      <c r="I5" s="3" t="s">
        <v>4</v>
      </c>
      <c r="J5" s="3" t="s">
        <v>5</v>
      </c>
      <c r="K5" s="3" t="s">
        <v>82</v>
      </c>
      <c r="L5" s="3" t="s">
        <v>83</v>
      </c>
      <c r="M5" s="3" t="s">
        <v>85</v>
      </c>
      <c r="N5" s="3" t="s">
        <v>86</v>
      </c>
    </row>
    <row r="6" spans="2:14" ht="15">
      <c r="B6" s="69" t="s">
        <v>8</v>
      </c>
      <c r="C6" s="69" t="s">
        <v>9</v>
      </c>
      <c r="D6" s="69" t="s">
        <v>10</v>
      </c>
      <c r="E6" s="69" t="s">
        <v>11</v>
      </c>
      <c r="F6" s="69" t="s">
        <v>12</v>
      </c>
      <c r="G6" s="69" t="s">
        <v>13</v>
      </c>
      <c r="H6" s="69" t="s">
        <v>14</v>
      </c>
      <c r="I6" s="69" t="s">
        <v>15</v>
      </c>
      <c r="J6" s="69" t="s">
        <v>16</v>
      </c>
      <c r="K6" s="69" t="s">
        <v>17</v>
      </c>
      <c r="L6" s="69" t="s">
        <v>18</v>
      </c>
      <c r="M6" s="69" t="s">
        <v>90</v>
      </c>
      <c r="N6" s="69" t="s">
        <v>91</v>
      </c>
    </row>
    <row r="7" spans="1:14" ht="36">
      <c r="A7" s="34">
        <v>1</v>
      </c>
      <c r="B7" s="70" t="s">
        <v>206</v>
      </c>
      <c r="C7" s="79">
        <v>76200</v>
      </c>
      <c r="D7" s="79">
        <f>19879</f>
        <v>19879</v>
      </c>
      <c r="E7" s="80"/>
      <c r="F7" s="80"/>
      <c r="G7" s="80"/>
      <c r="H7" s="80"/>
      <c r="I7" s="81">
        <f aca="true" t="shared" si="0" ref="I7:I18">C7+E7+G7</f>
        <v>76200</v>
      </c>
      <c r="J7" s="81"/>
      <c r="K7" s="81">
        <f>C7</f>
        <v>76200</v>
      </c>
      <c r="L7" s="81"/>
      <c r="M7" s="81">
        <f>D7</f>
        <v>19879</v>
      </c>
      <c r="N7" s="81"/>
    </row>
    <row r="8" spans="1:14" ht="18">
      <c r="A8" s="34">
        <v>2</v>
      </c>
      <c r="B8" s="70" t="s">
        <v>207</v>
      </c>
      <c r="C8" s="79">
        <v>12065</v>
      </c>
      <c r="D8" s="176">
        <v>0</v>
      </c>
      <c r="E8" s="80"/>
      <c r="F8" s="80"/>
      <c r="G8" s="80"/>
      <c r="H8" s="80"/>
      <c r="I8" s="81">
        <f t="shared" si="0"/>
        <v>12065</v>
      </c>
      <c r="J8" s="81"/>
      <c r="K8" s="81"/>
      <c r="L8" s="81">
        <f>I8</f>
        <v>12065</v>
      </c>
      <c r="M8" s="81">
        <f aca="true" t="shared" si="1" ref="M8:M17">D8</f>
        <v>0</v>
      </c>
      <c r="N8" s="81">
        <v>0</v>
      </c>
    </row>
    <row r="9" spans="1:14" ht="18">
      <c r="A9" s="34">
        <v>3</v>
      </c>
      <c r="B9" s="70" t="s">
        <v>208</v>
      </c>
      <c r="C9" s="79">
        <v>21603</v>
      </c>
      <c r="D9" s="176">
        <f>4520+10847+531+1220+2929</f>
        <v>20047</v>
      </c>
      <c r="E9" s="80"/>
      <c r="F9" s="80"/>
      <c r="G9" s="80"/>
      <c r="H9" s="80"/>
      <c r="I9" s="81">
        <f t="shared" si="0"/>
        <v>21603</v>
      </c>
      <c r="J9" s="81"/>
      <c r="K9" s="81">
        <f aca="true" t="shared" si="2" ref="K9:K17">C9</f>
        <v>21603</v>
      </c>
      <c r="L9" s="81"/>
      <c r="M9" s="81">
        <f t="shared" si="1"/>
        <v>20047</v>
      </c>
      <c r="N9" s="81"/>
    </row>
    <row r="10" spans="1:14" ht="36">
      <c r="A10" s="34">
        <v>4</v>
      </c>
      <c r="B10" s="70" t="s">
        <v>209</v>
      </c>
      <c r="C10" s="79">
        <v>27940</v>
      </c>
      <c r="D10" s="176">
        <f>4954+17113+1338+4621+144</f>
        <v>28170</v>
      </c>
      <c r="E10" s="80"/>
      <c r="F10" s="80"/>
      <c r="G10" s="80"/>
      <c r="H10" s="80"/>
      <c r="I10" s="81">
        <f t="shared" si="0"/>
        <v>27940</v>
      </c>
      <c r="J10" s="81"/>
      <c r="K10" s="81">
        <f t="shared" si="2"/>
        <v>27940</v>
      </c>
      <c r="L10" s="81"/>
      <c r="M10" s="81">
        <f t="shared" si="1"/>
        <v>28170</v>
      </c>
      <c r="N10" s="81"/>
    </row>
    <row r="11" spans="1:14" ht="18">
      <c r="A11" s="34">
        <v>5</v>
      </c>
      <c r="B11" s="70" t="s">
        <v>210</v>
      </c>
      <c r="C11" s="79">
        <v>5080</v>
      </c>
      <c r="D11" s="176">
        <f>2383+13566+643+3663</f>
        <v>20255</v>
      </c>
      <c r="E11" s="80"/>
      <c r="F11" s="80"/>
      <c r="G11" s="80"/>
      <c r="H11" s="80"/>
      <c r="I11" s="81">
        <f t="shared" si="0"/>
        <v>5080</v>
      </c>
      <c r="J11" s="81"/>
      <c r="K11" s="81">
        <f t="shared" si="2"/>
        <v>5080</v>
      </c>
      <c r="L11" s="81"/>
      <c r="M11" s="81">
        <f t="shared" si="1"/>
        <v>20255</v>
      </c>
      <c r="N11" s="81"/>
    </row>
    <row r="12" spans="1:14" ht="36">
      <c r="A12" s="34">
        <v>6</v>
      </c>
      <c r="B12" s="70" t="s">
        <v>211</v>
      </c>
      <c r="C12" s="79">
        <v>1300</v>
      </c>
      <c r="D12" s="176">
        <f>394+611+106+165</f>
        <v>1276</v>
      </c>
      <c r="E12" s="80"/>
      <c r="F12" s="80"/>
      <c r="G12" s="80"/>
      <c r="H12" s="80"/>
      <c r="I12" s="81">
        <f t="shared" si="0"/>
        <v>1300</v>
      </c>
      <c r="J12" s="81"/>
      <c r="K12" s="81">
        <f t="shared" si="2"/>
        <v>1300</v>
      </c>
      <c r="L12" s="81"/>
      <c r="M12" s="81">
        <f t="shared" si="1"/>
        <v>1276</v>
      </c>
      <c r="N12" s="81"/>
    </row>
    <row r="13" spans="1:14" ht="18">
      <c r="A13" s="34">
        <v>7</v>
      </c>
      <c r="B13" s="70" t="s">
        <v>273</v>
      </c>
      <c r="C13" s="79">
        <v>2540</v>
      </c>
      <c r="D13" s="176">
        <f>1480+400</f>
        <v>1880</v>
      </c>
      <c r="E13" s="80"/>
      <c r="F13" s="80"/>
      <c r="G13" s="80"/>
      <c r="H13" s="80"/>
      <c r="I13" s="81">
        <f t="shared" si="0"/>
        <v>2540</v>
      </c>
      <c r="J13" s="81"/>
      <c r="K13" s="81">
        <f t="shared" si="2"/>
        <v>2540</v>
      </c>
      <c r="L13" s="81"/>
      <c r="M13" s="81">
        <f t="shared" si="1"/>
        <v>1880</v>
      </c>
      <c r="N13" s="81"/>
    </row>
    <row r="14" spans="1:14" ht="53.25" customHeight="1">
      <c r="A14" s="34">
        <v>8</v>
      </c>
      <c r="B14" s="70" t="s">
        <v>303</v>
      </c>
      <c r="C14" s="79">
        <v>351</v>
      </c>
      <c r="D14" s="176">
        <v>0</v>
      </c>
      <c r="E14" s="80"/>
      <c r="F14" s="80"/>
      <c r="G14" s="80"/>
      <c r="H14" s="80"/>
      <c r="I14" s="81">
        <f t="shared" si="0"/>
        <v>351</v>
      </c>
      <c r="J14" s="81"/>
      <c r="K14" s="81">
        <f t="shared" si="2"/>
        <v>351</v>
      </c>
      <c r="L14" s="81"/>
      <c r="M14" s="81">
        <f t="shared" si="1"/>
        <v>0</v>
      </c>
      <c r="N14" s="81"/>
    </row>
    <row r="15" spans="1:14" ht="18">
      <c r="A15" s="34">
        <v>9</v>
      </c>
      <c r="B15" s="70" t="s">
        <v>212</v>
      </c>
      <c r="C15" s="79">
        <v>800</v>
      </c>
      <c r="D15" s="79">
        <f>264+396+71+107</f>
        <v>838</v>
      </c>
      <c r="E15" s="80"/>
      <c r="F15" s="80"/>
      <c r="G15" s="80"/>
      <c r="H15" s="80"/>
      <c r="I15" s="81">
        <f t="shared" si="0"/>
        <v>800</v>
      </c>
      <c r="J15" s="81"/>
      <c r="K15" s="81">
        <f t="shared" si="2"/>
        <v>800</v>
      </c>
      <c r="L15" s="81"/>
      <c r="M15" s="81">
        <f t="shared" si="1"/>
        <v>838</v>
      </c>
      <c r="N15" s="81"/>
    </row>
    <row r="16" spans="1:14" ht="18">
      <c r="A16" s="34">
        <v>10</v>
      </c>
      <c r="B16" s="70" t="s">
        <v>289</v>
      </c>
      <c r="C16" s="79"/>
      <c r="D16" s="79">
        <f>5000+134+1179</f>
        <v>6313</v>
      </c>
      <c r="E16" s="80"/>
      <c r="F16" s="80"/>
      <c r="G16" s="80"/>
      <c r="H16" s="80"/>
      <c r="I16" s="81">
        <f t="shared" si="0"/>
        <v>0</v>
      </c>
      <c r="J16" s="81"/>
      <c r="K16" s="81">
        <f t="shared" si="2"/>
        <v>0</v>
      </c>
      <c r="L16" s="81"/>
      <c r="M16" s="81">
        <f t="shared" si="1"/>
        <v>6313</v>
      </c>
      <c r="N16" s="81"/>
    </row>
    <row r="17" spans="1:14" ht="54">
      <c r="A17" s="34">
        <v>11</v>
      </c>
      <c r="B17" s="70" t="s">
        <v>302</v>
      </c>
      <c r="C17" s="79"/>
      <c r="D17" s="79">
        <f>1294+59+90+21+20+17+39+103</f>
        <v>1643</v>
      </c>
      <c r="E17" s="80"/>
      <c r="F17" s="80"/>
      <c r="G17" s="80"/>
      <c r="H17" s="80"/>
      <c r="I17" s="81">
        <f t="shared" si="0"/>
        <v>0</v>
      </c>
      <c r="J17" s="81"/>
      <c r="K17" s="81">
        <f t="shared" si="2"/>
        <v>0</v>
      </c>
      <c r="L17" s="81"/>
      <c r="M17" s="81">
        <f t="shared" si="1"/>
        <v>1643</v>
      </c>
      <c r="N17" s="81"/>
    </row>
    <row r="18" spans="1:14" ht="74.25" customHeight="1">
      <c r="A18" s="34">
        <v>12</v>
      </c>
      <c r="B18" s="70" t="s">
        <v>301</v>
      </c>
      <c r="C18" s="79"/>
      <c r="D18" s="79">
        <f>1249+37+18+243+38</f>
        <v>1585</v>
      </c>
      <c r="E18" s="80"/>
      <c r="F18" s="184">
        <v>739</v>
      </c>
      <c r="G18" s="80"/>
      <c r="H18" s="80"/>
      <c r="I18" s="81">
        <f t="shared" si="0"/>
        <v>0</v>
      </c>
      <c r="J18" s="81"/>
      <c r="K18" s="81">
        <f>C18</f>
        <v>0</v>
      </c>
      <c r="L18" s="81"/>
      <c r="M18" s="81">
        <f>D18+F18</f>
        <v>2324</v>
      </c>
      <c r="N18" s="81"/>
    </row>
    <row r="19" spans="1:14" ht="18">
      <c r="A19" s="34">
        <v>13</v>
      </c>
      <c r="B19" s="71" t="s">
        <v>117</v>
      </c>
      <c r="C19" s="81">
        <f>SUM(C7:C18)</f>
        <v>147879</v>
      </c>
      <c r="D19" s="81">
        <f aca="true" t="shared" si="3" ref="D19:N19">SUM(D7:D18)</f>
        <v>101886</v>
      </c>
      <c r="E19" s="81">
        <f t="shared" si="3"/>
        <v>0</v>
      </c>
      <c r="F19" s="81">
        <f t="shared" si="3"/>
        <v>739</v>
      </c>
      <c r="G19" s="81">
        <f t="shared" si="3"/>
        <v>0</v>
      </c>
      <c r="H19" s="81">
        <f t="shared" si="3"/>
        <v>0</v>
      </c>
      <c r="I19" s="81">
        <f t="shared" si="3"/>
        <v>147879</v>
      </c>
      <c r="J19" s="81">
        <f t="shared" si="3"/>
        <v>0</v>
      </c>
      <c r="K19" s="81">
        <f t="shared" si="3"/>
        <v>135814</v>
      </c>
      <c r="L19" s="81">
        <f t="shared" si="3"/>
        <v>12065</v>
      </c>
      <c r="M19" s="81">
        <f t="shared" si="3"/>
        <v>102625</v>
      </c>
      <c r="N19" s="81">
        <f t="shared" si="3"/>
        <v>0</v>
      </c>
    </row>
    <row r="20" ht="18">
      <c r="B20" s="72"/>
    </row>
    <row r="21" spans="2:4" ht="18">
      <c r="B21" s="72"/>
      <c r="D21" s="175">
        <f>69500+46664+769+6104+31537</f>
        <v>154574</v>
      </c>
    </row>
    <row r="22" ht="18">
      <c r="B22" s="73" t="s">
        <v>124</v>
      </c>
    </row>
    <row r="23" spans="2:14" ht="71.25">
      <c r="B23" s="68" t="s">
        <v>1</v>
      </c>
      <c r="C23" s="2" t="s">
        <v>2</v>
      </c>
      <c r="D23" s="2" t="s">
        <v>92</v>
      </c>
      <c r="E23" s="2" t="s">
        <v>3</v>
      </c>
      <c r="F23" s="2" t="s">
        <v>129</v>
      </c>
      <c r="G23" s="2" t="s">
        <v>84</v>
      </c>
      <c r="H23" s="2" t="s">
        <v>130</v>
      </c>
      <c r="I23" s="3" t="s">
        <v>4</v>
      </c>
      <c r="J23" s="3" t="s">
        <v>5</v>
      </c>
      <c r="K23" s="3" t="s">
        <v>82</v>
      </c>
      <c r="L23" s="3" t="s">
        <v>83</v>
      </c>
      <c r="M23" s="3" t="s">
        <v>85</v>
      </c>
      <c r="N23" s="3" t="s">
        <v>86</v>
      </c>
    </row>
    <row r="24" spans="2:14" ht="15">
      <c r="B24" s="69" t="s">
        <v>8</v>
      </c>
      <c r="C24" s="69" t="s">
        <v>9</v>
      </c>
      <c r="D24" s="69" t="s">
        <v>10</v>
      </c>
      <c r="E24" s="69" t="s">
        <v>11</v>
      </c>
      <c r="F24" s="69" t="s">
        <v>12</v>
      </c>
      <c r="G24" s="69" t="s">
        <v>13</v>
      </c>
      <c r="H24" s="69" t="s">
        <v>14</v>
      </c>
      <c r="I24" s="69" t="s">
        <v>15</v>
      </c>
      <c r="J24" s="69" t="s">
        <v>16</v>
      </c>
      <c r="K24" s="69" t="s">
        <v>17</v>
      </c>
      <c r="L24" s="69" t="s">
        <v>18</v>
      </c>
      <c r="M24" s="69" t="s">
        <v>90</v>
      </c>
      <c r="N24" s="69" t="s">
        <v>91</v>
      </c>
    </row>
    <row r="25" spans="1:14" ht="18">
      <c r="A25" s="34">
        <v>1</v>
      </c>
      <c r="B25" s="70"/>
      <c r="C25" s="79"/>
      <c r="D25" s="79"/>
      <c r="E25" s="80"/>
      <c r="F25" s="80"/>
      <c r="G25" s="80"/>
      <c r="H25" s="80"/>
      <c r="I25" s="81">
        <f>C25+E25+G25</f>
        <v>0</v>
      </c>
      <c r="J25" s="81"/>
      <c r="K25" s="81">
        <f>C25</f>
        <v>0</v>
      </c>
      <c r="L25" s="81"/>
      <c r="M25" s="81"/>
      <c r="N25" s="81"/>
    </row>
    <row r="26" spans="1:14" ht="18">
      <c r="A26" s="34">
        <v>2</v>
      </c>
      <c r="B26" s="70"/>
      <c r="C26" s="79"/>
      <c r="D26" s="79"/>
      <c r="E26" s="80"/>
      <c r="F26" s="80"/>
      <c r="G26" s="80"/>
      <c r="H26" s="80"/>
      <c r="I26" s="81">
        <f>C26+E26+G26</f>
        <v>0</v>
      </c>
      <c r="J26" s="81"/>
      <c r="K26" s="81">
        <f>C26</f>
        <v>0</v>
      </c>
      <c r="L26" s="81"/>
      <c r="M26" s="81"/>
      <c r="N26" s="81"/>
    </row>
    <row r="27" spans="1:14" ht="18">
      <c r="A27" s="34">
        <v>3</v>
      </c>
      <c r="B27" s="70"/>
      <c r="C27" s="79"/>
      <c r="D27" s="79"/>
      <c r="E27" s="80"/>
      <c r="F27" s="80"/>
      <c r="G27" s="80"/>
      <c r="H27" s="80"/>
      <c r="I27" s="81">
        <f>C27+E27+G27</f>
        <v>0</v>
      </c>
      <c r="J27" s="81"/>
      <c r="K27" s="81">
        <f>C27</f>
        <v>0</v>
      </c>
      <c r="L27" s="81"/>
      <c r="M27" s="81"/>
      <c r="N27" s="81"/>
    </row>
    <row r="28" spans="1:14" ht="18">
      <c r="A28" s="34">
        <v>4</v>
      </c>
      <c r="B28" s="71" t="s">
        <v>117</v>
      </c>
      <c r="C28" s="81">
        <f aca="true" t="shared" si="4" ref="C28:N28">SUM(C25:C27)</f>
        <v>0</v>
      </c>
      <c r="D28" s="81">
        <f t="shared" si="4"/>
        <v>0</v>
      </c>
      <c r="E28" s="81">
        <f t="shared" si="4"/>
        <v>0</v>
      </c>
      <c r="F28" s="81">
        <f t="shared" si="4"/>
        <v>0</v>
      </c>
      <c r="G28" s="81">
        <f t="shared" si="4"/>
        <v>0</v>
      </c>
      <c r="H28" s="81">
        <f t="shared" si="4"/>
        <v>0</v>
      </c>
      <c r="I28" s="81">
        <f t="shared" si="4"/>
        <v>0</v>
      </c>
      <c r="J28" s="81">
        <f t="shared" si="4"/>
        <v>0</v>
      </c>
      <c r="K28" s="81">
        <f t="shared" si="4"/>
        <v>0</v>
      </c>
      <c r="L28" s="81">
        <f t="shared" si="4"/>
        <v>0</v>
      </c>
      <c r="M28" s="81">
        <f t="shared" si="4"/>
        <v>0</v>
      </c>
      <c r="N28" s="81">
        <f t="shared" si="4"/>
        <v>0</v>
      </c>
    </row>
    <row r="29" spans="3:14" ht="18"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2:14" ht="18">
      <c r="B30" s="50" t="s">
        <v>125</v>
      </c>
      <c r="C30" s="83">
        <f aca="true" t="shared" si="5" ref="C30:N30">C19+C28</f>
        <v>147879</v>
      </c>
      <c r="D30" s="83">
        <f t="shared" si="5"/>
        <v>101886</v>
      </c>
      <c r="E30" s="83">
        <f t="shared" si="5"/>
        <v>0</v>
      </c>
      <c r="F30" s="83">
        <f t="shared" si="5"/>
        <v>739</v>
      </c>
      <c r="G30" s="83">
        <f t="shared" si="5"/>
        <v>0</v>
      </c>
      <c r="H30" s="83">
        <f t="shared" si="5"/>
        <v>0</v>
      </c>
      <c r="I30" s="83">
        <f t="shared" si="5"/>
        <v>147879</v>
      </c>
      <c r="J30" s="83">
        <f t="shared" si="5"/>
        <v>0</v>
      </c>
      <c r="K30" s="83">
        <f t="shared" si="5"/>
        <v>135814</v>
      </c>
      <c r="L30" s="83">
        <f t="shared" si="5"/>
        <v>12065</v>
      </c>
      <c r="M30" s="83">
        <f t="shared" si="5"/>
        <v>102625</v>
      </c>
      <c r="N30" s="83">
        <f t="shared" si="5"/>
        <v>0</v>
      </c>
    </row>
    <row r="31" spans="2:9" ht="12.75">
      <c r="B31" s="188" t="s">
        <v>131</v>
      </c>
      <c r="C31" s="188"/>
      <c r="D31" s="188"/>
      <c r="E31" s="188"/>
      <c r="F31" s="188"/>
      <c r="G31" s="188"/>
      <c r="H31" s="188"/>
      <c r="I31" s="188"/>
    </row>
    <row r="33" spans="2:14" ht="60">
      <c r="B33" s="27" t="s">
        <v>1</v>
      </c>
      <c r="C33" s="74" t="s">
        <v>126</v>
      </c>
      <c r="D33" s="74"/>
      <c r="E33" s="74" t="s">
        <v>127</v>
      </c>
      <c r="F33" s="74"/>
      <c r="G33" s="74"/>
      <c r="H33" s="74"/>
      <c r="I33" s="74" t="s">
        <v>128</v>
      </c>
      <c r="J33" s="74" t="s">
        <v>128</v>
      </c>
      <c r="K33" s="74" t="s">
        <v>128</v>
      </c>
      <c r="L33" s="74" t="s">
        <v>128</v>
      </c>
      <c r="M33" s="74" t="s">
        <v>128</v>
      </c>
      <c r="N33" s="74" t="s">
        <v>128</v>
      </c>
    </row>
    <row r="34" spans="2:14" ht="12.75">
      <c r="B34" s="75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  <row r="35" spans="2:14" ht="15">
      <c r="B35" s="76" t="s">
        <v>116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8" ht="15">
      <c r="B38" s="77"/>
    </row>
  </sheetData>
  <sheetProtection/>
  <mergeCells count="1">
    <mergeCell ref="B31:I31"/>
  </mergeCells>
  <printOptions/>
  <pageMargins left="0.4724409448818898" right="0.4330708661417323" top="0.7480314960629921" bottom="0.7480314960629921" header="0.31496062992125984" footer="0.31496062992125984"/>
  <pageSetup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zoomScalePageLayoutView="0" workbookViewId="0" topLeftCell="A1">
      <selection activeCell="A11" sqref="A11"/>
    </sheetView>
  </sheetViews>
  <sheetFormatPr defaultColWidth="9.140625" defaultRowHeight="12.75"/>
  <cols>
    <col min="1" max="1" width="9.140625" style="34" customWidth="1"/>
    <col min="2" max="2" width="73.140625" style="34" customWidth="1"/>
    <col min="3" max="4" width="17.8515625" style="34" customWidth="1"/>
    <col min="5" max="8" width="21.28125" style="34" customWidth="1"/>
    <col min="9" max="16384" width="9.140625" style="34" customWidth="1"/>
  </cols>
  <sheetData>
    <row r="1" spans="3:7" ht="12.75">
      <c r="C1" s="38"/>
      <c r="G1" s="144" t="s">
        <v>305</v>
      </c>
    </row>
    <row r="2" ht="20.25">
      <c r="B2" s="35" t="s">
        <v>134</v>
      </c>
    </row>
    <row r="3" spans="2:7" ht="20.25">
      <c r="B3" s="35"/>
      <c r="G3" s="34" t="s">
        <v>0</v>
      </c>
    </row>
    <row r="4" spans="2:8" ht="57">
      <c r="B4" s="1" t="s">
        <v>1</v>
      </c>
      <c r="C4" s="2" t="s">
        <v>2</v>
      </c>
      <c r="D4" s="2" t="s">
        <v>78</v>
      </c>
      <c r="E4" s="3" t="s">
        <v>82</v>
      </c>
      <c r="F4" s="3" t="s">
        <v>83</v>
      </c>
      <c r="G4" s="3" t="s">
        <v>85</v>
      </c>
      <c r="H4" s="3" t="s">
        <v>86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98</v>
      </c>
      <c r="G5" s="2" t="s">
        <v>11</v>
      </c>
      <c r="H5" s="2" t="s">
        <v>12</v>
      </c>
    </row>
    <row r="6" spans="1:24" ht="16.5">
      <c r="A6" s="34">
        <v>1</v>
      </c>
      <c r="B6" s="5" t="s">
        <v>213</v>
      </c>
      <c r="C6" s="47">
        <v>31822</v>
      </c>
      <c r="D6" s="47">
        <f>1360+28563</f>
        <v>29923</v>
      </c>
      <c r="E6" s="46"/>
      <c r="F6" s="47">
        <f>C6</f>
        <v>31822</v>
      </c>
      <c r="G6" s="47"/>
      <c r="H6" s="47">
        <f>D6</f>
        <v>29923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6.5">
      <c r="A7" s="34">
        <v>2</v>
      </c>
      <c r="B7" s="5" t="s">
        <v>214</v>
      </c>
      <c r="C7" s="47">
        <v>3000</v>
      </c>
      <c r="D7" s="47">
        <v>650</v>
      </c>
      <c r="E7" s="46"/>
      <c r="F7" s="47">
        <f>C7</f>
        <v>3000</v>
      </c>
      <c r="G7" s="47"/>
      <c r="H7" s="47">
        <f>D7</f>
        <v>650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28.5">
      <c r="A8" s="34">
        <v>3</v>
      </c>
      <c r="B8" s="5" t="s">
        <v>215</v>
      </c>
      <c r="C8" s="47">
        <v>18700</v>
      </c>
      <c r="D8" s="47">
        <v>46177</v>
      </c>
      <c r="E8" s="46"/>
      <c r="F8" s="47">
        <f>C8</f>
        <v>18700</v>
      </c>
      <c r="G8" s="47"/>
      <c r="H8" s="47">
        <f>D8</f>
        <v>46177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6.5">
      <c r="A9" s="34">
        <v>4</v>
      </c>
      <c r="B9" s="5" t="s">
        <v>216</v>
      </c>
      <c r="C9" s="47">
        <v>700</v>
      </c>
      <c r="D9" s="47">
        <v>860</v>
      </c>
      <c r="E9" s="46"/>
      <c r="F9" s="47">
        <f>C9</f>
        <v>700</v>
      </c>
      <c r="G9" s="47"/>
      <c r="H9" s="47">
        <f>D9</f>
        <v>860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6.5">
      <c r="A10" s="34">
        <v>5</v>
      </c>
      <c r="B10" s="5" t="s">
        <v>217</v>
      </c>
      <c r="C10" s="47">
        <v>38580</v>
      </c>
      <c r="D10" s="47">
        <v>53970</v>
      </c>
      <c r="E10" s="46"/>
      <c r="F10" s="47">
        <f>C10</f>
        <v>38580</v>
      </c>
      <c r="G10" s="47"/>
      <c r="H10" s="47">
        <f>D10</f>
        <v>53970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32.25" customHeight="1">
      <c r="A11" s="34">
        <v>6</v>
      </c>
      <c r="B11" s="32" t="s">
        <v>132</v>
      </c>
      <c r="C11" s="46">
        <f aca="true" t="shared" si="0" ref="C11:H11">SUM(C6:C10)</f>
        <v>92802</v>
      </c>
      <c r="D11" s="46">
        <f t="shared" si="0"/>
        <v>131580</v>
      </c>
      <c r="E11" s="46">
        <f t="shared" si="0"/>
        <v>0</v>
      </c>
      <c r="F11" s="46">
        <f t="shared" si="0"/>
        <v>92802</v>
      </c>
      <c r="G11" s="46">
        <f t="shared" si="0"/>
        <v>0</v>
      </c>
      <c r="H11" s="46">
        <f t="shared" si="0"/>
        <v>131580</v>
      </c>
      <c r="I11" s="53"/>
      <c r="J11" s="53"/>
      <c r="K11" s="53"/>
      <c r="L11" s="53"/>
      <c r="M11" s="53"/>
      <c r="N11" s="53"/>
      <c r="O11" s="53"/>
      <c r="P11" s="53"/>
      <c r="Q11" s="88"/>
      <c r="R11" s="54"/>
      <c r="S11" s="54"/>
      <c r="T11" s="54"/>
      <c r="U11" s="54"/>
      <c r="V11" s="54"/>
      <c r="W11" s="54"/>
      <c r="X11" s="54"/>
    </row>
    <row r="12" spans="2:24" ht="32.25" customHeight="1">
      <c r="B12" s="85"/>
      <c r="C12" s="86"/>
      <c r="D12" s="86"/>
      <c r="E12" s="86"/>
      <c r="F12" s="86"/>
      <c r="G12" s="86"/>
      <c r="H12" s="86"/>
      <c r="I12" s="53"/>
      <c r="J12" s="53"/>
      <c r="K12" s="53"/>
      <c r="L12" s="53"/>
      <c r="M12" s="53"/>
      <c r="N12" s="53"/>
      <c r="O12" s="53"/>
      <c r="P12" s="53"/>
      <c r="Q12" s="88"/>
      <c r="R12" s="54"/>
      <c r="S12" s="54"/>
      <c r="T12" s="54"/>
      <c r="U12" s="54"/>
      <c r="V12" s="54"/>
      <c r="W12" s="54"/>
      <c r="X12" s="54"/>
    </row>
    <row r="13" spans="2:8" ht="57">
      <c r="B13" s="1" t="s">
        <v>1</v>
      </c>
      <c r="C13" s="2" t="s">
        <v>2</v>
      </c>
      <c r="D13" s="2" t="s">
        <v>78</v>
      </c>
      <c r="E13" s="3" t="s">
        <v>82</v>
      </c>
      <c r="F13" s="3" t="s">
        <v>83</v>
      </c>
      <c r="G13" s="3" t="s">
        <v>85</v>
      </c>
      <c r="H13" s="3" t="s">
        <v>86</v>
      </c>
    </row>
    <row r="14" spans="2:8" ht="14.25">
      <c r="B14" s="1" t="s">
        <v>6</v>
      </c>
      <c r="C14" s="2" t="s">
        <v>7</v>
      </c>
      <c r="D14" s="2" t="s">
        <v>8</v>
      </c>
      <c r="E14" s="2" t="s">
        <v>9</v>
      </c>
      <c r="F14" s="2" t="s">
        <v>98</v>
      </c>
      <c r="G14" s="2" t="s">
        <v>11</v>
      </c>
      <c r="H14" s="2" t="s">
        <v>12</v>
      </c>
    </row>
    <row r="15" spans="1:24" ht="16.5">
      <c r="A15" s="34">
        <v>1</v>
      </c>
      <c r="B15" s="5" t="s">
        <v>218</v>
      </c>
      <c r="C15" s="47"/>
      <c r="D15" s="47"/>
      <c r="E15" s="46"/>
      <c r="F15" s="47">
        <f>C15</f>
        <v>0</v>
      </c>
      <c r="G15" s="47"/>
      <c r="H15" s="47">
        <f>D15</f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6.5">
      <c r="A16" s="34">
        <v>2</v>
      </c>
      <c r="B16" s="5" t="s">
        <v>219</v>
      </c>
      <c r="C16" s="47"/>
      <c r="D16" s="47"/>
      <c r="E16" s="46"/>
      <c r="F16" s="47">
        <f>C16</f>
        <v>0</v>
      </c>
      <c r="G16" s="47"/>
      <c r="H16" s="47">
        <f>D16</f>
        <v>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28.5">
      <c r="A17" s="34">
        <v>3</v>
      </c>
      <c r="B17" s="5" t="s">
        <v>220</v>
      </c>
      <c r="C17" s="47"/>
      <c r="D17" s="47"/>
      <c r="E17" s="46"/>
      <c r="F17" s="47">
        <f>C17</f>
        <v>0</v>
      </c>
      <c r="G17" s="47"/>
      <c r="H17" s="47">
        <f>D17</f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6.5">
      <c r="A18" s="34">
        <v>4</v>
      </c>
      <c r="B18" s="5" t="s">
        <v>221</v>
      </c>
      <c r="C18" s="47"/>
      <c r="D18" s="47"/>
      <c r="E18" s="46"/>
      <c r="F18" s="47">
        <f>C18</f>
        <v>0</v>
      </c>
      <c r="G18" s="47"/>
      <c r="H18" s="47">
        <f>D18</f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6.5">
      <c r="A19" s="34">
        <v>5</v>
      </c>
      <c r="B19" s="5" t="s">
        <v>217</v>
      </c>
      <c r="C19" s="47"/>
      <c r="D19" s="47"/>
      <c r="E19" s="46"/>
      <c r="F19" s="47">
        <f>C19</f>
        <v>0</v>
      </c>
      <c r="G19" s="47"/>
      <c r="H19" s="47">
        <f>D19</f>
        <v>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33" customHeight="1">
      <c r="A20" s="34">
        <v>6</v>
      </c>
      <c r="B20" s="32" t="s">
        <v>133</v>
      </c>
      <c r="C20" s="46">
        <f aca="true" t="shared" si="1" ref="C20:H20">SUM(C15:C19)</f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9"/>
      <c r="T20" s="89"/>
      <c r="U20" s="89"/>
      <c r="V20" s="89"/>
      <c r="W20" s="89"/>
      <c r="X20" s="89"/>
    </row>
    <row r="21" ht="14.25">
      <c r="B21" s="87"/>
    </row>
    <row r="22" ht="14.25">
      <c r="B22" s="87"/>
    </row>
    <row r="23" ht="14.25">
      <c r="B23" s="87"/>
    </row>
    <row r="24" ht="14.25">
      <c r="B24" s="87"/>
    </row>
    <row r="25" ht="14.25">
      <c r="B25" s="87"/>
    </row>
    <row r="26" ht="14.25">
      <c r="B26" s="87"/>
    </row>
    <row r="27" ht="14.25">
      <c r="B27" s="87"/>
    </row>
    <row r="28" ht="14.25">
      <c r="B28" s="87"/>
    </row>
    <row r="29" ht="14.25">
      <c r="B29" s="87"/>
    </row>
    <row r="30" ht="14.25">
      <c r="B30" s="87"/>
    </row>
    <row r="31" ht="14.25">
      <c r="B31" s="87"/>
    </row>
    <row r="32" ht="14.25">
      <c r="B32" s="87"/>
    </row>
    <row r="33" ht="14.25">
      <c r="B33" s="8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zoomScale="75" zoomScaleNormal="75" zoomScalePageLayoutView="0" workbookViewId="0" topLeftCell="A1">
      <selection activeCell="G1" sqref="G1"/>
    </sheetView>
  </sheetViews>
  <sheetFormatPr defaultColWidth="9.140625" defaultRowHeight="12.75"/>
  <cols>
    <col min="1" max="1" width="9.140625" style="34" customWidth="1"/>
    <col min="2" max="2" width="73.140625" style="34" customWidth="1"/>
    <col min="3" max="4" width="17.8515625" style="34" customWidth="1"/>
    <col min="5" max="8" width="21.28125" style="34" customWidth="1"/>
    <col min="9" max="16384" width="9.140625" style="34" customWidth="1"/>
  </cols>
  <sheetData>
    <row r="1" spans="3:7" ht="12.75">
      <c r="C1" s="38"/>
      <c r="G1" s="144" t="s">
        <v>306</v>
      </c>
    </row>
    <row r="2" ht="20.25">
      <c r="B2" s="35" t="s">
        <v>222</v>
      </c>
    </row>
    <row r="3" spans="2:7" ht="20.25">
      <c r="B3" s="35"/>
      <c r="G3" s="34" t="s">
        <v>0</v>
      </c>
    </row>
    <row r="4" spans="2:8" ht="57">
      <c r="B4" s="1" t="s">
        <v>1</v>
      </c>
      <c r="C4" s="2" t="s">
        <v>2</v>
      </c>
      <c r="D4" s="2" t="s">
        <v>78</v>
      </c>
      <c r="E4" s="3" t="s">
        <v>82</v>
      </c>
      <c r="F4" s="3" t="s">
        <v>83</v>
      </c>
      <c r="G4" s="3" t="s">
        <v>85</v>
      </c>
      <c r="H4" s="3" t="s">
        <v>86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98</v>
      </c>
      <c r="G5" s="2" t="s">
        <v>11</v>
      </c>
      <c r="H5" s="2" t="s">
        <v>12</v>
      </c>
    </row>
    <row r="6" spans="1:24" ht="16.5">
      <c r="A6" s="34">
        <v>1</v>
      </c>
      <c r="B6" s="177" t="s">
        <v>237</v>
      </c>
      <c r="C6" s="47">
        <v>280</v>
      </c>
      <c r="D6" s="47">
        <v>250</v>
      </c>
      <c r="E6" s="47">
        <f aca="true" t="shared" si="0" ref="E6:E14">C6</f>
        <v>280</v>
      </c>
      <c r="F6" s="47"/>
      <c r="G6" s="47">
        <f aca="true" t="shared" si="1" ref="G6:G14">D6</f>
        <v>250</v>
      </c>
      <c r="H6" s="4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6.5">
      <c r="A7" s="34">
        <v>2</v>
      </c>
      <c r="B7" s="177" t="s">
        <v>238</v>
      </c>
      <c r="C7" s="47">
        <v>900</v>
      </c>
      <c r="D7" s="47">
        <v>1157</v>
      </c>
      <c r="E7" s="47">
        <f t="shared" si="0"/>
        <v>900</v>
      </c>
      <c r="F7" s="47"/>
      <c r="G7" s="47">
        <f t="shared" si="1"/>
        <v>1157</v>
      </c>
      <c r="H7" s="4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16.5">
      <c r="A8" s="34">
        <v>3</v>
      </c>
      <c r="B8" s="177" t="s">
        <v>239</v>
      </c>
      <c r="C8" s="47">
        <v>300</v>
      </c>
      <c r="D8" s="47">
        <v>629</v>
      </c>
      <c r="E8" s="47">
        <f t="shared" si="0"/>
        <v>300</v>
      </c>
      <c r="F8" s="47"/>
      <c r="G8" s="47">
        <f t="shared" si="1"/>
        <v>629</v>
      </c>
      <c r="H8" s="4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6.5">
      <c r="A9" s="34">
        <v>4</v>
      </c>
      <c r="B9" s="177" t="s">
        <v>240</v>
      </c>
      <c r="C9" s="47">
        <v>800</v>
      </c>
      <c r="D9" s="47">
        <v>716</v>
      </c>
      <c r="E9" s="47">
        <f t="shared" si="0"/>
        <v>800</v>
      </c>
      <c r="F9" s="47"/>
      <c r="G9" s="47">
        <f t="shared" si="1"/>
        <v>716</v>
      </c>
      <c r="H9" s="4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6.5">
      <c r="A10" s="34">
        <v>5</v>
      </c>
      <c r="B10" s="177" t="s">
        <v>241</v>
      </c>
      <c r="C10" s="47">
        <v>650</v>
      </c>
      <c r="D10" s="47">
        <v>921</v>
      </c>
      <c r="E10" s="47"/>
      <c r="F10" s="47">
        <f>C10</f>
        <v>650</v>
      </c>
      <c r="G10" s="47"/>
      <c r="H10" s="47">
        <f>D10</f>
        <v>921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6.5">
      <c r="A11" s="34">
        <v>6</v>
      </c>
      <c r="B11" s="177" t="s">
        <v>242</v>
      </c>
      <c r="C11" s="47">
        <v>1000</v>
      </c>
      <c r="D11" s="47">
        <v>300</v>
      </c>
      <c r="E11" s="47"/>
      <c r="F11" s="47">
        <f>C11</f>
        <v>1000</v>
      </c>
      <c r="G11" s="47"/>
      <c r="H11" s="47">
        <f>D11</f>
        <v>300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6.5">
      <c r="A12" s="34">
        <v>7</v>
      </c>
      <c r="B12" s="177" t="s">
        <v>243</v>
      </c>
      <c r="C12" s="47">
        <v>800</v>
      </c>
      <c r="D12" s="47">
        <v>1604</v>
      </c>
      <c r="E12" s="47">
        <f t="shared" si="0"/>
        <v>800</v>
      </c>
      <c r="F12" s="46"/>
      <c r="G12" s="47">
        <f t="shared" si="1"/>
        <v>1604</v>
      </c>
      <c r="H12" s="4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6.5">
      <c r="A13" s="34">
        <v>8</v>
      </c>
      <c r="B13" s="177" t="s">
        <v>244</v>
      </c>
      <c r="C13" s="47">
        <v>48</v>
      </c>
      <c r="D13" s="47">
        <v>53</v>
      </c>
      <c r="E13" s="47">
        <f>C13</f>
        <v>48</v>
      </c>
      <c r="F13" s="47"/>
      <c r="G13" s="47">
        <f>D13</f>
        <v>53</v>
      </c>
      <c r="H13" s="4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6.5">
      <c r="A14" s="34">
        <v>9</v>
      </c>
      <c r="B14" s="177" t="s">
        <v>245</v>
      </c>
      <c r="C14" s="47">
        <v>1000</v>
      </c>
      <c r="D14" s="47">
        <v>345</v>
      </c>
      <c r="E14" s="47">
        <f t="shared" si="0"/>
        <v>1000</v>
      </c>
      <c r="F14" s="47"/>
      <c r="G14" s="47">
        <f t="shared" si="1"/>
        <v>345</v>
      </c>
      <c r="H14" s="4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6.5">
      <c r="A15" s="34">
        <v>10</v>
      </c>
      <c r="B15" s="177" t="s">
        <v>246</v>
      </c>
      <c r="C15" s="47">
        <v>800</v>
      </c>
      <c r="D15" s="47">
        <v>770</v>
      </c>
      <c r="E15" s="47"/>
      <c r="F15" s="47">
        <f>C15</f>
        <v>800</v>
      </c>
      <c r="G15" s="47"/>
      <c r="H15" s="47">
        <f>D15</f>
        <v>770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6.5">
      <c r="A16" s="34">
        <v>11</v>
      </c>
      <c r="B16" s="177" t="s">
        <v>247</v>
      </c>
      <c r="C16" s="47">
        <v>1100</v>
      </c>
      <c r="D16" s="47">
        <v>645</v>
      </c>
      <c r="E16" s="47"/>
      <c r="F16" s="47">
        <f>C16</f>
        <v>1100</v>
      </c>
      <c r="G16" s="47"/>
      <c r="H16" s="47">
        <f>D16</f>
        <v>645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25.5">
      <c r="A17" s="34">
        <v>24</v>
      </c>
      <c r="B17" s="92" t="s">
        <v>135</v>
      </c>
      <c r="C17" s="46">
        <f aca="true" t="shared" si="2" ref="C17:H17">SUM(C6:C16)</f>
        <v>7678</v>
      </c>
      <c r="D17" s="46">
        <f t="shared" si="2"/>
        <v>7390</v>
      </c>
      <c r="E17" s="46">
        <f t="shared" si="2"/>
        <v>4128</v>
      </c>
      <c r="F17" s="46">
        <f t="shared" si="2"/>
        <v>3550</v>
      </c>
      <c r="G17" s="46">
        <f t="shared" si="2"/>
        <v>4754</v>
      </c>
      <c r="H17" s="46">
        <f t="shared" si="2"/>
        <v>2636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ht="14.25">
      <c r="B18" s="87"/>
    </row>
    <row r="19" ht="14.25">
      <c r="B19" s="87"/>
    </row>
    <row r="20" ht="14.25">
      <c r="B20" s="8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C1">
      <selection activeCell="K21" sqref="K21"/>
    </sheetView>
  </sheetViews>
  <sheetFormatPr defaultColWidth="9.140625" defaultRowHeight="12.75"/>
  <cols>
    <col min="1" max="1" width="7.28125" style="34" customWidth="1"/>
    <col min="2" max="2" width="50.00390625" style="41" customWidth="1"/>
    <col min="3" max="4" width="19.421875" style="38" customWidth="1"/>
    <col min="5" max="6" width="19.28125" style="38" customWidth="1"/>
    <col min="7" max="8" width="17.57421875" style="38" customWidth="1"/>
    <col min="9" max="9" width="17.28125" style="38" customWidth="1"/>
    <col min="10" max="10" width="17.57421875" style="38" customWidth="1"/>
    <col min="11" max="11" width="19.57421875" style="38" customWidth="1"/>
    <col min="12" max="12" width="18.7109375" style="38" customWidth="1"/>
    <col min="13" max="13" width="19.421875" style="38" customWidth="1"/>
    <col min="14" max="14" width="19.7109375" style="38" customWidth="1"/>
    <col min="15" max="15" width="19.28125" style="38" customWidth="1"/>
    <col min="16" max="16" width="19.57421875" style="38" customWidth="1"/>
    <col min="17" max="16384" width="9.140625" style="34" customWidth="1"/>
  </cols>
  <sheetData>
    <row r="1" spans="2:15" ht="27">
      <c r="B1" s="37"/>
      <c r="O1" s="144" t="s">
        <v>318</v>
      </c>
    </row>
    <row r="2" ht="27">
      <c r="B2" s="37"/>
    </row>
    <row r="3" ht="20.25">
      <c r="B3" s="39" t="s">
        <v>136</v>
      </c>
    </row>
    <row r="4" spans="2:15" ht="20.25">
      <c r="B4" s="39"/>
      <c r="O4" s="38" t="s">
        <v>0</v>
      </c>
    </row>
    <row r="5" spans="2:16" ht="79.5" customHeight="1">
      <c r="B5" s="1" t="s">
        <v>1</v>
      </c>
      <c r="C5" s="2" t="s">
        <v>2</v>
      </c>
      <c r="D5" s="2" t="s">
        <v>78</v>
      </c>
      <c r="E5" s="2" t="s">
        <v>77</v>
      </c>
      <c r="F5" s="2" t="s">
        <v>79</v>
      </c>
      <c r="G5" s="2" t="s">
        <v>3</v>
      </c>
      <c r="H5" s="2" t="s">
        <v>80</v>
      </c>
      <c r="I5" s="2" t="s">
        <v>84</v>
      </c>
      <c r="J5" s="2" t="s">
        <v>81</v>
      </c>
      <c r="K5" s="3" t="s">
        <v>4</v>
      </c>
      <c r="L5" s="3" t="s">
        <v>5</v>
      </c>
      <c r="M5" s="3" t="s">
        <v>82</v>
      </c>
      <c r="N5" s="3" t="s">
        <v>83</v>
      </c>
      <c r="O5" s="3" t="s">
        <v>85</v>
      </c>
      <c r="P5" s="3" t="s">
        <v>86</v>
      </c>
    </row>
    <row r="6" spans="2:16" ht="14.25">
      <c r="B6" s="58" t="s">
        <v>6</v>
      </c>
      <c r="C6" s="2" t="s">
        <v>7</v>
      </c>
      <c r="D6" s="58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90</v>
      </c>
      <c r="P6" s="2" t="s">
        <v>91</v>
      </c>
    </row>
    <row r="7" spans="1:16" ht="14.25">
      <c r="A7" s="34">
        <v>1</v>
      </c>
      <c r="B7" s="10" t="s">
        <v>248</v>
      </c>
      <c r="C7" s="94">
        <f>1+1+1+0.75+0.75</f>
        <v>4.5</v>
      </c>
      <c r="D7" s="94">
        <f>1+1+1+0.75+0.75</f>
        <v>4.5</v>
      </c>
      <c r="E7" s="94">
        <v>12.19</v>
      </c>
      <c r="F7" s="94">
        <v>12</v>
      </c>
      <c r="G7" s="94">
        <v>3</v>
      </c>
      <c r="H7" s="94">
        <v>3</v>
      </c>
      <c r="I7" s="94">
        <v>6.75</v>
      </c>
      <c r="J7" s="94">
        <v>6.75</v>
      </c>
      <c r="K7" s="94">
        <f aca="true" t="shared" si="0" ref="K7:L9">C7+E7+G7+I7</f>
        <v>26.439999999999998</v>
      </c>
      <c r="L7" s="94">
        <f t="shared" si="0"/>
        <v>26.25</v>
      </c>
      <c r="M7" s="94">
        <f>C7+E7+G7+I7</f>
        <v>26.439999999999998</v>
      </c>
      <c r="N7" s="94">
        <v>0</v>
      </c>
      <c r="O7" s="94">
        <f>L7</f>
        <v>26.25</v>
      </c>
      <c r="P7" s="94">
        <v>0</v>
      </c>
    </row>
    <row r="8" spans="1:16" ht="14.25">
      <c r="A8" s="34">
        <v>2</v>
      </c>
      <c r="B8" s="10" t="s">
        <v>249</v>
      </c>
      <c r="C8" s="94">
        <f>1+0.75+(2*0.75/12*4)+1/12*7</f>
        <v>2.833333333333333</v>
      </c>
      <c r="D8" s="94">
        <f>1+0.75+(2/12*2)+0.5-0.08</f>
        <v>2.5033333333333334</v>
      </c>
      <c r="E8" s="94"/>
      <c r="F8" s="94"/>
      <c r="G8" s="94">
        <v>17.83</v>
      </c>
      <c r="H8" s="94">
        <v>15</v>
      </c>
      <c r="I8" s="94">
        <v>4.25</v>
      </c>
      <c r="J8" s="94">
        <v>4.25</v>
      </c>
      <c r="K8" s="94">
        <f t="shared" si="0"/>
        <v>24.91333333333333</v>
      </c>
      <c r="L8" s="94">
        <f t="shared" si="0"/>
        <v>21.753333333333334</v>
      </c>
      <c r="M8" s="94">
        <f>C8+E8+G8+I8</f>
        <v>24.91333333333333</v>
      </c>
      <c r="N8" s="94">
        <v>0</v>
      </c>
      <c r="O8" s="94">
        <f>L8</f>
        <v>21.753333333333334</v>
      </c>
      <c r="P8" s="94">
        <v>0</v>
      </c>
    </row>
    <row r="9" spans="1:16" ht="14.25">
      <c r="A9" s="34">
        <v>3</v>
      </c>
      <c r="B9" s="10" t="s">
        <v>250</v>
      </c>
      <c r="C9" s="95">
        <v>3.09</v>
      </c>
      <c r="D9" s="95">
        <v>1</v>
      </c>
      <c r="E9" s="95"/>
      <c r="F9" s="95"/>
      <c r="G9" s="95"/>
      <c r="H9" s="95"/>
      <c r="I9" s="95"/>
      <c r="J9" s="95"/>
      <c r="K9" s="94">
        <f t="shared" si="0"/>
        <v>3.09</v>
      </c>
      <c r="L9" s="94">
        <f t="shared" si="0"/>
        <v>1</v>
      </c>
      <c r="M9" s="94">
        <f>C9+E9+G9+I9</f>
        <v>3.09</v>
      </c>
      <c r="N9" s="94">
        <v>0</v>
      </c>
      <c r="O9" s="94">
        <f>L9</f>
        <v>1</v>
      </c>
      <c r="P9" s="94">
        <v>0</v>
      </c>
    </row>
    <row r="10" spans="1:16" s="96" customFormat="1" ht="15">
      <c r="A10" s="43">
        <v>9</v>
      </c>
      <c r="B10" s="93" t="s">
        <v>137</v>
      </c>
      <c r="C10" s="97">
        <f aca="true" t="shared" si="1" ref="C10:H10">SUM(C7:C9)</f>
        <v>10.423333333333332</v>
      </c>
      <c r="D10" s="97">
        <f t="shared" si="1"/>
        <v>8.003333333333334</v>
      </c>
      <c r="E10" s="97">
        <f t="shared" si="1"/>
        <v>12.19</v>
      </c>
      <c r="F10" s="97">
        <f t="shared" si="1"/>
        <v>12</v>
      </c>
      <c r="G10" s="97">
        <f t="shared" si="1"/>
        <v>20.83</v>
      </c>
      <c r="H10" s="97">
        <f t="shared" si="1"/>
        <v>18</v>
      </c>
      <c r="I10" s="97">
        <f aca="true" t="shared" si="2" ref="I10:P10">SUM(I7:I9)</f>
        <v>11</v>
      </c>
      <c r="J10" s="97">
        <f>SUM(J7:J9)</f>
        <v>11</v>
      </c>
      <c r="K10" s="97">
        <f t="shared" si="2"/>
        <v>54.44333333333333</v>
      </c>
      <c r="L10" s="97">
        <f t="shared" si="2"/>
        <v>49.00333333333333</v>
      </c>
      <c r="M10" s="97">
        <f t="shared" si="2"/>
        <v>54.44333333333333</v>
      </c>
      <c r="N10" s="97">
        <f t="shared" si="2"/>
        <v>0</v>
      </c>
      <c r="O10" s="97">
        <f t="shared" si="2"/>
        <v>49.00333333333333</v>
      </c>
      <c r="P10" s="97">
        <f t="shared" si="2"/>
        <v>0</v>
      </c>
    </row>
    <row r="11" spans="1:16" s="96" customFormat="1" ht="15">
      <c r="A11" s="43"/>
      <c r="B11" s="167"/>
      <c r="C11" s="38" t="s">
        <v>253</v>
      </c>
      <c r="D11" s="38" t="s">
        <v>253</v>
      </c>
      <c r="E11" s="38" t="s">
        <v>261</v>
      </c>
      <c r="F11" s="38" t="s">
        <v>261</v>
      </c>
      <c r="G11" s="38" t="s">
        <v>274</v>
      </c>
      <c r="H11" s="38" t="s">
        <v>274</v>
      </c>
      <c r="I11" s="38" t="s">
        <v>269</v>
      </c>
      <c r="J11" s="38" t="s">
        <v>269</v>
      </c>
      <c r="K11" s="168"/>
      <c r="L11" s="168"/>
      <c r="M11" s="168"/>
      <c r="N11" s="168"/>
      <c r="O11" s="168"/>
      <c r="P11" s="168"/>
    </row>
    <row r="12" spans="1:10" s="38" customFormat="1" ht="15">
      <c r="A12" s="34"/>
      <c r="B12" s="25"/>
      <c r="C12" s="38" t="s">
        <v>251</v>
      </c>
      <c r="D12" s="38" t="s">
        <v>251</v>
      </c>
      <c r="E12" s="38" t="s">
        <v>262</v>
      </c>
      <c r="F12" s="38" t="s">
        <v>262</v>
      </c>
      <c r="G12" s="38" t="s">
        <v>275</v>
      </c>
      <c r="H12" s="38" t="s">
        <v>275</v>
      </c>
      <c r="I12" s="38" t="s">
        <v>271</v>
      </c>
      <c r="J12" s="38" t="s">
        <v>271</v>
      </c>
    </row>
    <row r="13" spans="1:10" s="38" customFormat="1" ht="15">
      <c r="A13" s="34"/>
      <c r="B13" s="25"/>
      <c r="C13" s="38" t="s">
        <v>252</v>
      </c>
      <c r="D13" s="38" t="s">
        <v>252</v>
      </c>
      <c r="E13" s="38" t="s">
        <v>263</v>
      </c>
      <c r="F13" s="38" t="s">
        <v>263</v>
      </c>
      <c r="G13" s="38" t="s">
        <v>276</v>
      </c>
      <c r="H13" s="38" t="s">
        <v>276</v>
      </c>
      <c r="I13" s="38" t="s">
        <v>270</v>
      </c>
      <c r="J13" s="38" t="s">
        <v>270</v>
      </c>
    </row>
    <row r="14" spans="1:10" s="38" customFormat="1" ht="15">
      <c r="A14" s="34"/>
      <c r="B14" s="25"/>
      <c r="C14" s="38" t="s">
        <v>255</v>
      </c>
      <c r="D14" s="38" t="s">
        <v>255</v>
      </c>
      <c r="E14" s="38" t="s">
        <v>264</v>
      </c>
      <c r="F14" s="38" t="s">
        <v>264</v>
      </c>
      <c r="G14" s="38" t="s">
        <v>277</v>
      </c>
      <c r="H14" s="38" t="s">
        <v>311</v>
      </c>
      <c r="I14" s="38" t="s">
        <v>272</v>
      </c>
      <c r="J14" s="38" t="s">
        <v>272</v>
      </c>
    </row>
    <row r="15" spans="1:8" s="38" customFormat="1" ht="38.25">
      <c r="A15" s="34"/>
      <c r="B15" s="25"/>
      <c r="C15" s="38" t="s">
        <v>254</v>
      </c>
      <c r="D15" s="38" t="s">
        <v>254</v>
      </c>
      <c r="E15" s="44" t="s">
        <v>265</v>
      </c>
      <c r="F15" s="44" t="s">
        <v>265</v>
      </c>
      <c r="G15" s="44" t="s">
        <v>278</v>
      </c>
      <c r="H15" s="44" t="s">
        <v>310</v>
      </c>
    </row>
    <row r="16" spans="1:6" s="38" customFormat="1" ht="15">
      <c r="A16" s="34"/>
      <c r="B16" s="25"/>
      <c r="E16" s="38" t="s">
        <v>266</v>
      </c>
      <c r="F16" s="38" t="s">
        <v>266</v>
      </c>
    </row>
    <row r="17" spans="2:6" ht="15">
      <c r="B17" s="25"/>
      <c r="C17" s="38" t="s">
        <v>256</v>
      </c>
      <c r="D17" s="38" t="s">
        <v>256</v>
      </c>
      <c r="E17" s="38" t="s">
        <v>267</v>
      </c>
      <c r="F17" s="38" t="s">
        <v>267</v>
      </c>
    </row>
    <row r="18" spans="2:6" ht="15">
      <c r="B18" s="25"/>
      <c r="C18" s="38" t="s">
        <v>257</v>
      </c>
      <c r="D18" s="38" t="s">
        <v>257</v>
      </c>
      <c r="E18" s="38" t="s">
        <v>268</v>
      </c>
      <c r="F18" s="38" t="s">
        <v>268</v>
      </c>
    </row>
    <row r="19" spans="2:4" ht="25.5">
      <c r="B19" s="25"/>
      <c r="C19" s="44" t="s">
        <v>258</v>
      </c>
      <c r="D19" s="44" t="s">
        <v>308</v>
      </c>
    </row>
    <row r="20" spans="2:4" ht="25.5">
      <c r="B20" s="25"/>
      <c r="C20" s="44" t="s">
        <v>260</v>
      </c>
      <c r="D20" s="44" t="s">
        <v>307</v>
      </c>
    </row>
    <row r="21" ht="15">
      <c r="B21" s="25"/>
    </row>
    <row r="22" spans="2:4" ht="15">
      <c r="B22" s="25"/>
      <c r="C22" s="38" t="s">
        <v>259</v>
      </c>
      <c r="D22" s="38" t="s">
        <v>309</v>
      </c>
    </row>
    <row r="23" ht="15">
      <c r="B23" s="25"/>
    </row>
    <row r="24" ht="15">
      <c r="B24" s="25"/>
    </row>
    <row r="25" ht="15">
      <c r="B25" s="25"/>
    </row>
    <row r="26" ht="15">
      <c r="B26" s="25"/>
    </row>
    <row r="27" ht="15">
      <c r="B27" s="25"/>
    </row>
    <row r="28" ht="15">
      <c r="B28" s="25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pugy</dc:creator>
  <cp:keywords/>
  <dc:description/>
  <cp:lastModifiedBy>Jegyzo</cp:lastModifiedBy>
  <cp:lastPrinted>2015-03-07T15:47:00Z</cp:lastPrinted>
  <dcterms:created xsi:type="dcterms:W3CDTF">2013-02-08T06:30:04Z</dcterms:created>
  <dcterms:modified xsi:type="dcterms:W3CDTF">2015-03-10T07:37:51Z</dcterms:modified>
  <cp:category/>
  <cp:version/>
  <cp:contentType/>
  <cp:contentStatus/>
</cp:coreProperties>
</file>