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8\JjEGYZŐNŐNEK_2018éviktgvetések\Sármellék_2018\"/>
    </mc:Choice>
  </mc:AlternateContent>
  <bookViews>
    <workbookView xWindow="0" yWindow="0" windowWidth="20490" windowHeight="7455" activeTab="1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1a" sheetId="12" r:id="rId12"/>
    <sheet name="11b" sheetId="13" r:id="rId13"/>
    <sheet name="11c" sheetId="14" r:id="rId14"/>
    <sheet name="11d" sheetId="15" r:id="rId15"/>
    <sheet name="11e" sheetId="16" r:id="rId16"/>
    <sheet name="11f" sheetId="28" r:id="rId17"/>
    <sheet name="12" sheetId="17" r:id="rId18"/>
    <sheet name="13" sheetId="18" r:id="rId19"/>
    <sheet name="13a" sheetId="19" r:id="rId20"/>
    <sheet name="13b" sheetId="29" r:id="rId21"/>
    <sheet name="14" sheetId="20" r:id="rId22"/>
    <sheet name="15" sheetId="21" r:id="rId23"/>
    <sheet name="16" sheetId="22" r:id="rId24"/>
    <sheet name="16a" sheetId="23" r:id="rId25"/>
    <sheet name="16b" sheetId="24" r:id="rId26"/>
    <sheet name="16c" sheetId="27" r:id="rId27"/>
    <sheet name="16d" sheetId="26" r:id="rId28"/>
    <sheet name="17" sheetId="25" r:id="rId29"/>
    <sheet name="Munka1" sheetId="30" r:id="rId30"/>
  </sheets>
  <externalReferences>
    <externalReference r:id="rId31"/>
    <externalReference r:id="rId32"/>
    <externalReference r:id="rId33"/>
    <externalReference r:id="rId34"/>
    <externalReference r:id="rId3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4" l="1"/>
  <c r="F9" i="24"/>
  <c r="F8" i="24"/>
  <c r="F7" i="24"/>
  <c r="O28" i="22" l="1"/>
  <c r="E5" i="29" l="1"/>
  <c r="E8" i="29" s="1"/>
  <c r="E14" i="29" s="1"/>
  <c r="L25" i="28" l="1"/>
  <c r="L24" i="28"/>
  <c r="M21" i="28"/>
  <c r="L20" i="28"/>
  <c r="N20" i="28" s="1"/>
  <c r="L14" i="28"/>
  <c r="N14" i="28" s="1"/>
  <c r="N21" i="28" s="1"/>
  <c r="L28" i="28" l="1"/>
  <c r="L30" i="28" s="1"/>
  <c r="L21" i="28"/>
  <c r="N25" i="28"/>
  <c r="F20" i="25"/>
  <c r="E20" i="25"/>
  <c r="F77" i="25"/>
  <c r="F81" i="25" s="1"/>
  <c r="F69" i="25"/>
  <c r="F74" i="25" s="1"/>
  <c r="F64" i="25"/>
  <c r="F67" i="25" s="1"/>
  <c r="F75" i="25" s="1"/>
  <c r="F54" i="25"/>
  <c r="F58" i="25" s="1"/>
  <c r="F61" i="25" s="1"/>
  <c r="F51" i="25"/>
  <c r="E74" i="25"/>
  <c r="E69" i="25"/>
  <c r="E67" i="25"/>
  <c r="E75" i="25" s="1"/>
  <c r="E64" i="25"/>
  <c r="E54" i="25"/>
  <c r="E51" i="25"/>
  <c r="F48" i="25"/>
  <c r="F42" i="25"/>
  <c r="F40" i="25"/>
  <c r="F38" i="25"/>
  <c r="F34" i="25"/>
  <c r="F47" i="25" s="1"/>
  <c r="E48" i="25"/>
  <c r="E58" i="25" s="1"/>
  <c r="E61" i="25" s="1"/>
  <c r="E42" i="25"/>
  <c r="E40" i="25"/>
  <c r="E38" i="25" s="1"/>
  <c r="E34" i="25"/>
  <c r="F26" i="25"/>
  <c r="F14" i="25"/>
  <c r="E26" i="25"/>
  <c r="E14" i="25"/>
  <c r="E19" i="2"/>
  <c r="D19" i="2"/>
  <c r="H61" i="12"/>
  <c r="F86" i="12"/>
  <c r="H86" i="12"/>
  <c r="F23" i="21"/>
  <c r="I18" i="24"/>
  <c r="G20" i="24"/>
  <c r="H19" i="24"/>
  <c r="F18" i="24"/>
  <c r="H18" i="24" s="1"/>
  <c r="I14" i="24"/>
  <c r="G14" i="24"/>
  <c r="G15" i="24" s="1"/>
  <c r="F14" i="24"/>
  <c r="F10" i="24"/>
  <c r="H10" i="24" s="1"/>
  <c r="H9" i="24"/>
  <c r="I9" i="24" s="1"/>
  <c r="H8" i="24"/>
  <c r="I8" i="24" s="1"/>
  <c r="H7" i="24"/>
  <c r="I7" i="24" s="1"/>
  <c r="F6" i="24"/>
  <c r="F11" i="24" l="1"/>
  <c r="H11" i="24" s="1"/>
  <c r="I11" i="24" s="1"/>
  <c r="I15" i="24" s="1"/>
  <c r="E22" i="25"/>
  <c r="F22" i="25"/>
  <c r="F83" i="25"/>
  <c r="E77" i="25"/>
  <c r="E81" i="25" s="1"/>
  <c r="E83" i="25"/>
  <c r="E47" i="25"/>
  <c r="H6" i="24"/>
  <c r="I6" i="24" s="1"/>
  <c r="H12" i="24"/>
  <c r="H14" i="24" s="1"/>
  <c r="H15" i="24" s="1"/>
  <c r="D21" i="2"/>
  <c r="F15" i="24" l="1"/>
  <c r="D56" i="2"/>
  <c r="F16" i="24" l="1"/>
  <c r="F17" i="24"/>
  <c r="H17" i="24" s="1"/>
  <c r="I17" i="24" s="1"/>
  <c r="C45" i="4"/>
  <c r="D45" i="4"/>
  <c r="E45" i="4"/>
  <c r="B45" i="4"/>
  <c r="H16" i="24" l="1"/>
  <c r="I16" i="24" s="1"/>
  <c r="F20" i="24"/>
  <c r="H20" i="24" s="1"/>
  <c r="I20" i="24" s="1"/>
  <c r="D67" i="26"/>
  <c r="B67" i="26"/>
  <c r="B46" i="26"/>
  <c r="B41" i="26"/>
  <c r="B40" i="26"/>
  <c r="B36" i="26"/>
  <c r="D35" i="26"/>
  <c r="C34" i="26"/>
  <c r="D34" i="26" s="1"/>
  <c r="D33" i="26"/>
  <c r="D32" i="26"/>
  <c r="C28" i="26"/>
  <c r="C21" i="26"/>
  <c r="B21" i="26"/>
  <c r="D19" i="26"/>
  <c r="D18" i="26"/>
  <c r="D17" i="26"/>
  <c r="B14" i="26"/>
  <c r="D11" i="26"/>
  <c r="D10" i="26"/>
  <c r="C9" i="26"/>
  <c r="C14" i="26" s="1"/>
  <c r="D8" i="26"/>
  <c r="D7" i="26"/>
  <c r="D6" i="26"/>
  <c r="B29" i="27"/>
  <c r="B18" i="27"/>
  <c r="B22" i="27" s="1"/>
  <c r="B12" i="27"/>
  <c r="B11" i="27"/>
  <c r="B10" i="27"/>
  <c r="B9" i="27"/>
  <c r="B13" i="27" s="1"/>
  <c r="B7" i="27"/>
  <c r="G26" i="19"/>
  <c r="H26" i="19"/>
  <c r="I26" i="19"/>
  <c r="F26" i="19"/>
  <c r="G24" i="19"/>
  <c r="H24" i="19" s="1"/>
  <c r="D21" i="26" l="1"/>
  <c r="B39" i="26"/>
  <c r="B69" i="26"/>
  <c r="D36" i="26"/>
  <c r="C36" i="26"/>
  <c r="D25" i="26" s="1"/>
  <c r="D28" i="26" s="1"/>
  <c r="D30" i="26" s="1"/>
  <c r="B68" i="26"/>
  <c r="D9" i="26"/>
  <c r="D14" i="26" s="1"/>
  <c r="D22" i="26" l="1"/>
  <c r="D67" i="2" l="1"/>
  <c r="N17" i="22" l="1"/>
  <c r="B18" i="22"/>
  <c r="D133" i="7" l="1"/>
  <c r="F15" i="9"/>
  <c r="G15" i="9"/>
  <c r="H15" i="9"/>
  <c r="E15" i="9"/>
  <c r="I17" i="9"/>
  <c r="I18" i="9"/>
  <c r="I19" i="9"/>
  <c r="I20" i="9"/>
  <c r="D131" i="7"/>
  <c r="C131" i="7"/>
  <c r="B131" i="7"/>
  <c r="E131" i="7" s="1"/>
  <c r="E130" i="7"/>
  <c r="E129" i="7"/>
  <c r="D124" i="7"/>
  <c r="E124" i="7" s="1"/>
  <c r="C124" i="7"/>
  <c r="B124" i="7"/>
  <c r="E123" i="7"/>
  <c r="E122" i="7"/>
  <c r="E121" i="7"/>
  <c r="E120" i="7"/>
  <c r="E119" i="7"/>
  <c r="E118" i="7"/>
  <c r="D103" i="7"/>
  <c r="C103" i="7"/>
  <c r="B103" i="7"/>
  <c r="E103" i="7" s="1"/>
  <c r="E102" i="7"/>
  <c r="E100" i="7"/>
  <c r="D96" i="7"/>
  <c r="E96" i="7" s="1"/>
  <c r="C96" i="7"/>
  <c r="B96" i="7"/>
  <c r="E95" i="7"/>
  <c r="E94" i="7"/>
  <c r="E93" i="7"/>
  <c r="E92" i="7"/>
  <c r="E91" i="7"/>
  <c r="E90" i="7"/>
  <c r="D76" i="7"/>
  <c r="C76" i="7"/>
  <c r="B76" i="7"/>
  <c r="E75" i="7"/>
  <c r="E73" i="7"/>
  <c r="E72" i="7"/>
  <c r="D69" i="7"/>
  <c r="C69" i="7"/>
  <c r="B69" i="7"/>
  <c r="E68" i="7"/>
  <c r="E67" i="7"/>
  <c r="E66" i="7"/>
  <c r="E65" i="7"/>
  <c r="E64" i="7"/>
  <c r="E63" i="7"/>
  <c r="D47" i="7"/>
  <c r="C47" i="7"/>
  <c r="E47" i="7" s="1"/>
  <c r="B47" i="7"/>
  <c r="E46" i="7"/>
  <c r="E44" i="7"/>
  <c r="E40" i="7"/>
  <c r="D40" i="7"/>
  <c r="C40" i="7"/>
  <c r="B40" i="7"/>
  <c r="E39" i="7"/>
  <c r="E38" i="7"/>
  <c r="E37" i="7"/>
  <c r="E36" i="7"/>
  <c r="E35" i="7"/>
  <c r="E34" i="7"/>
  <c r="D24" i="7"/>
  <c r="C24" i="7"/>
  <c r="E24" i="7" s="1"/>
  <c r="B24" i="7"/>
  <c r="E23" i="7"/>
  <c r="E21" i="7"/>
  <c r="E20" i="7"/>
  <c r="D17" i="7"/>
  <c r="C17" i="7"/>
  <c r="B17" i="7"/>
  <c r="E16" i="7"/>
  <c r="E15" i="7"/>
  <c r="E14" i="7"/>
  <c r="E13" i="7"/>
  <c r="E12" i="7"/>
  <c r="E11" i="7"/>
  <c r="E76" i="7" l="1"/>
  <c r="E133" i="7" s="1"/>
  <c r="B133" i="7"/>
  <c r="E69" i="7"/>
  <c r="C133" i="7"/>
  <c r="E17" i="7"/>
  <c r="I15" i="9"/>
  <c r="C9" i="4" l="1"/>
  <c r="D9" i="4"/>
  <c r="C46" i="4"/>
  <c r="D46" i="4"/>
  <c r="C6" i="4"/>
  <c r="D6" i="4"/>
  <c r="E6" i="4"/>
  <c r="B6" i="4"/>
  <c r="E9" i="4"/>
  <c r="E46" i="4" s="1"/>
  <c r="F45" i="4"/>
  <c r="B9" i="4"/>
  <c r="B46" i="4" s="1"/>
  <c r="D69" i="25" l="1"/>
  <c r="D74" i="25" s="1"/>
  <c r="D67" i="25"/>
  <c r="D75" i="25" s="1"/>
  <c r="D64" i="25"/>
  <c r="D54" i="25"/>
  <c r="D51" i="25"/>
  <c r="D48" i="25"/>
  <c r="D42" i="25"/>
  <c r="D40" i="25"/>
  <c r="D38" i="25" s="1"/>
  <c r="D34" i="25"/>
  <c r="D26" i="25"/>
  <c r="D22" i="25"/>
  <c r="D30" i="25" s="1"/>
  <c r="F30" i="25"/>
  <c r="E30" i="25"/>
  <c r="D14" i="25"/>
  <c r="Q55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29" i="22" s="1"/>
  <c r="N26" i="22"/>
  <c r="N25" i="22"/>
  <c r="N24" i="22"/>
  <c r="N23" i="22"/>
  <c r="N22" i="22"/>
  <c r="N21" i="22"/>
  <c r="N20" i="22"/>
  <c r="O18" i="22"/>
  <c r="M18" i="22"/>
  <c r="L18" i="22"/>
  <c r="L29" i="22" s="1"/>
  <c r="K18" i="22"/>
  <c r="K29" i="22" s="1"/>
  <c r="J18" i="22"/>
  <c r="I18" i="22"/>
  <c r="I29" i="22" s="1"/>
  <c r="H18" i="22"/>
  <c r="H29" i="22" s="1"/>
  <c r="G18" i="22"/>
  <c r="G29" i="22" s="1"/>
  <c r="F18" i="22"/>
  <c r="E18" i="22"/>
  <c r="E29" i="22" s="1"/>
  <c r="D18" i="22"/>
  <c r="D29" i="22" s="1"/>
  <c r="C18" i="22"/>
  <c r="C29" i="22" s="1"/>
  <c r="N16" i="22"/>
  <c r="N15" i="22"/>
  <c r="N14" i="22"/>
  <c r="N13" i="22"/>
  <c r="N12" i="22"/>
  <c r="N11" i="22"/>
  <c r="N10" i="22"/>
  <c r="N9" i="22"/>
  <c r="N8" i="22"/>
  <c r="N7" i="22"/>
  <c r="F80" i="21"/>
  <c r="F79" i="21"/>
  <c r="F78" i="21"/>
  <c r="F82" i="21" s="1"/>
  <c r="E78" i="21"/>
  <c r="D78" i="21" s="1"/>
  <c r="F72" i="21"/>
  <c r="F71" i="21"/>
  <c r="D70" i="21"/>
  <c r="F70" i="21" s="1"/>
  <c r="F69" i="21"/>
  <c r="F68" i="21"/>
  <c r="D68" i="21"/>
  <c r="F65" i="21"/>
  <c r="E65" i="21"/>
  <c r="E68" i="21" s="1"/>
  <c r="E76" i="21" s="1"/>
  <c r="D65" i="21"/>
  <c r="G59" i="21"/>
  <c r="F58" i="21"/>
  <c r="F55" i="21"/>
  <c r="E55" i="21"/>
  <c r="E59" i="21" s="1"/>
  <c r="D55" i="21"/>
  <c r="F54" i="21"/>
  <c r="F53" i="21"/>
  <c r="E52" i="21"/>
  <c r="D52" i="21"/>
  <c r="F52" i="21" s="1"/>
  <c r="D49" i="21"/>
  <c r="E49" i="21"/>
  <c r="G48" i="21"/>
  <c r="G62" i="21" s="1"/>
  <c r="G84" i="21" s="1"/>
  <c r="G86" i="21" s="1"/>
  <c r="F47" i="21"/>
  <c r="F43" i="21"/>
  <c r="E43" i="21"/>
  <c r="D43" i="21"/>
  <c r="D41" i="21"/>
  <c r="D39" i="21" s="1"/>
  <c r="D48" i="21" s="1"/>
  <c r="F39" i="21"/>
  <c r="F48" i="21" s="1"/>
  <c r="E39" i="21"/>
  <c r="E48" i="21" s="1"/>
  <c r="F35" i="21"/>
  <c r="G31" i="21"/>
  <c r="G83" i="21" s="1"/>
  <c r="F30" i="21"/>
  <c r="F29" i="21"/>
  <c r="E27" i="21"/>
  <c r="D27" i="21"/>
  <c r="F31" i="21"/>
  <c r="D21" i="21"/>
  <c r="D17" i="21"/>
  <c r="D15" i="21"/>
  <c r="D14" i="21" s="1"/>
  <c r="D31" i="21" s="1"/>
  <c r="F14" i="21"/>
  <c r="E14" i="21"/>
  <c r="D13" i="21"/>
  <c r="M22" i="20"/>
  <c r="L22" i="20"/>
  <c r="K22" i="20"/>
  <c r="J22" i="20"/>
  <c r="I22" i="20"/>
  <c r="H22" i="20"/>
  <c r="G22" i="20"/>
  <c r="F22" i="20"/>
  <c r="E22" i="20"/>
  <c r="D22" i="20"/>
  <c r="C22" i="20"/>
  <c r="O21" i="20"/>
  <c r="N21" i="20"/>
  <c r="B20" i="20"/>
  <c r="N20" i="20" s="1"/>
  <c r="N19" i="20"/>
  <c r="O22" i="20"/>
  <c r="N18" i="20"/>
  <c r="B17" i="20"/>
  <c r="B22" i="20" s="1"/>
  <c r="N16" i="20"/>
  <c r="B16" i="20"/>
  <c r="M14" i="20"/>
  <c r="L14" i="20"/>
  <c r="K14" i="20"/>
  <c r="J14" i="20"/>
  <c r="I14" i="20"/>
  <c r="H14" i="20"/>
  <c r="G14" i="20"/>
  <c r="F14" i="20"/>
  <c r="E14" i="20"/>
  <c r="D14" i="20"/>
  <c r="C14" i="20"/>
  <c r="N12" i="20"/>
  <c r="B12" i="20"/>
  <c r="B11" i="20"/>
  <c r="N11" i="20" s="1"/>
  <c r="N10" i="20"/>
  <c r="N9" i="20"/>
  <c r="O8" i="20"/>
  <c r="N8" i="20"/>
  <c r="O7" i="20"/>
  <c r="N7" i="20"/>
  <c r="I42" i="19"/>
  <c r="F42" i="19"/>
  <c r="H41" i="19"/>
  <c r="I39" i="19"/>
  <c r="G39" i="19"/>
  <c r="F39" i="19"/>
  <c r="H38" i="19"/>
  <c r="H39" i="19" s="1"/>
  <c r="I36" i="19"/>
  <c r="F36" i="19"/>
  <c r="F37" i="19" s="1"/>
  <c r="H35" i="19"/>
  <c r="G34" i="19"/>
  <c r="H34" i="19" s="1"/>
  <c r="H36" i="19" s="1"/>
  <c r="H33" i="19"/>
  <c r="I33" i="19" s="1"/>
  <c r="I37" i="19" s="1"/>
  <c r="G32" i="19"/>
  <c r="H32" i="19" s="1"/>
  <c r="I31" i="19"/>
  <c r="G31" i="19"/>
  <c r="F31" i="19"/>
  <c r="G30" i="19"/>
  <c r="H30" i="19" s="1"/>
  <c r="H31" i="19" s="1"/>
  <c r="I28" i="19"/>
  <c r="I29" i="19" s="1"/>
  <c r="F28" i="19"/>
  <c r="F29" i="19" s="1"/>
  <c r="G27" i="19"/>
  <c r="G28" i="19" s="1"/>
  <c r="G25" i="19"/>
  <c r="H25" i="19" s="1"/>
  <c r="G23" i="19"/>
  <c r="H23" i="19" s="1"/>
  <c r="G22" i="19"/>
  <c r="H22" i="19" s="1"/>
  <c r="G21" i="19"/>
  <c r="H21" i="19" s="1"/>
  <c r="G20" i="19"/>
  <c r="H20" i="19" s="1"/>
  <c r="G19" i="19"/>
  <c r="I17" i="19"/>
  <c r="G17" i="19"/>
  <c r="G18" i="19" s="1"/>
  <c r="F17" i="19"/>
  <c r="F18" i="19" s="1"/>
  <c r="G16" i="19"/>
  <c r="H16" i="19" s="1"/>
  <c r="H15" i="19"/>
  <c r="H17" i="19" s="1"/>
  <c r="I14" i="19"/>
  <c r="I18" i="19" s="1"/>
  <c r="G14" i="19"/>
  <c r="F14" i="19"/>
  <c r="H13" i="19"/>
  <c r="H14" i="19" s="1"/>
  <c r="H18" i="19" s="1"/>
  <c r="G13" i="19"/>
  <c r="G12" i="19"/>
  <c r="F12" i="19"/>
  <c r="G11" i="19"/>
  <c r="F9" i="19"/>
  <c r="H9" i="19" s="1"/>
  <c r="F8" i="19"/>
  <c r="H8" i="19" s="1"/>
  <c r="F7" i="19"/>
  <c r="H7" i="19" s="1"/>
  <c r="F6" i="19"/>
  <c r="H6" i="19" s="1"/>
  <c r="F5" i="19"/>
  <c r="H5" i="19" s="1"/>
  <c r="D86" i="18"/>
  <c r="E80" i="18"/>
  <c r="F79" i="18"/>
  <c r="F78" i="18"/>
  <c r="F77" i="18"/>
  <c r="D76" i="18"/>
  <c r="D80" i="18" s="1"/>
  <c r="F80" i="18" s="1"/>
  <c r="F75" i="18"/>
  <c r="F70" i="18"/>
  <c r="F69" i="18"/>
  <c r="D68" i="18"/>
  <c r="F68" i="18" s="1"/>
  <c r="F67" i="18"/>
  <c r="F66" i="18"/>
  <c r="E66" i="18"/>
  <c r="E74" i="18" s="1"/>
  <c r="D66" i="18"/>
  <c r="E63" i="18"/>
  <c r="D63" i="18"/>
  <c r="G57" i="18"/>
  <c r="F56" i="18"/>
  <c r="F55" i="18"/>
  <c r="F53" i="18" s="1"/>
  <c r="E53" i="18"/>
  <c r="D53" i="18"/>
  <c r="F52" i="18"/>
  <c r="F51" i="18"/>
  <c r="E50" i="18"/>
  <c r="D50" i="18"/>
  <c r="F50" i="18" s="1"/>
  <c r="F48" i="18"/>
  <c r="F47" i="18"/>
  <c r="E47" i="18"/>
  <c r="E57" i="18" s="1"/>
  <c r="D47" i="18"/>
  <c r="D57" i="18" s="1"/>
  <c r="G46" i="18"/>
  <c r="G60" i="18" s="1"/>
  <c r="G82" i="18" s="1"/>
  <c r="F45" i="18"/>
  <c r="F44" i="18"/>
  <c r="F43" i="18"/>
  <c r="F41" i="18"/>
  <c r="E41" i="18"/>
  <c r="D41" i="18"/>
  <c r="F39" i="18"/>
  <c r="F37" i="18"/>
  <c r="D37" i="18"/>
  <c r="F33" i="18"/>
  <c r="F46" i="18" s="1"/>
  <c r="E33" i="18"/>
  <c r="E46" i="18" s="1"/>
  <c r="E60" i="18" s="1"/>
  <c r="E82" i="18" s="1"/>
  <c r="D33" i="18"/>
  <c r="D46" i="18" s="1"/>
  <c r="D60" i="18" s="1"/>
  <c r="G29" i="18"/>
  <c r="G81" i="18" s="1"/>
  <c r="F28" i="18"/>
  <c r="F27" i="18"/>
  <c r="F29" i="18" s="1"/>
  <c r="D25" i="18"/>
  <c r="E21" i="18"/>
  <c r="E29" i="18" s="1"/>
  <c r="D14" i="18"/>
  <c r="D21" i="18" s="1"/>
  <c r="D29" i="18" s="1"/>
  <c r="M22" i="17"/>
  <c r="L22" i="17"/>
  <c r="K22" i="17"/>
  <c r="J22" i="17"/>
  <c r="I22" i="17"/>
  <c r="H22" i="17"/>
  <c r="G22" i="17"/>
  <c r="F22" i="17"/>
  <c r="E22" i="17"/>
  <c r="D22" i="17"/>
  <c r="C22" i="17"/>
  <c r="B22" i="17"/>
  <c r="O21" i="17"/>
  <c r="N21" i="17"/>
  <c r="N20" i="17"/>
  <c r="N19" i="17"/>
  <c r="N18" i="17"/>
  <c r="N17" i="17"/>
  <c r="O16" i="17"/>
  <c r="N16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O12" i="17"/>
  <c r="N12" i="17"/>
  <c r="N11" i="17"/>
  <c r="N10" i="17"/>
  <c r="N9" i="17"/>
  <c r="O8" i="17"/>
  <c r="N8" i="17"/>
  <c r="O7" i="17"/>
  <c r="N7" i="17"/>
  <c r="N14" i="17" s="1"/>
  <c r="I60" i="16"/>
  <c r="F60" i="16"/>
  <c r="H59" i="16"/>
  <c r="G59" i="16"/>
  <c r="G58" i="16"/>
  <c r="H58" i="16" s="1"/>
  <c r="H57" i="16"/>
  <c r="G57" i="16"/>
  <c r="G56" i="16"/>
  <c r="H56" i="16" s="1"/>
  <c r="G55" i="16"/>
  <c r="H55" i="16" s="1"/>
  <c r="G54" i="16"/>
  <c r="F52" i="16"/>
  <c r="H51" i="16"/>
  <c r="H52" i="16" s="1"/>
  <c r="G49" i="16"/>
  <c r="F49" i="16"/>
  <c r="H48" i="16"/>
  <c r="I48" i="16" s="1"/>
  <c r="H47" i="16"/>
  <c r="I47" i="16" s="1"/>
  <c r="I49" i="16" s="1"/>
  <c r="F45" i="16"/>
  <c r="H43" i="16"/>
  <c r="H42" i="16"/>
  <c r="G41" i="16"/>
  <c r="H41" i="16" s="1"/>
  <c r="G40" i="16"/>
  <c r="H40" i="16" s="1"/>
  <c r="G39" i="16"/>
  <c r="H38" i="16"/>
  <c r="F37" i="16"/>
  <c r="G36" i="16"/>
  <c r="H36" i="16" s="1"/>
  <c r="I35" i="16"/>
  <c r="F35" i="16"/>
  <c r="H34" i="16"/>
  <c r="G34" i="16"/>
  <c r="G33" i="16"/>
  <c r="G32" i="16"/>
  <c r="H32" i="16" s="1"/>
  <c r="F30" i="16"/>
  <c r="F31" i="16" s="1"/>
  <c r="G29" i="16"/>
  <c r="H29" i="16" s="1"/>
  <c r="G28" i="16"/>
  <c r="H28" i="16" s="1"/>
  <c r="G27" i="16"/>
  <c r="G26" i="16"/>
  <c r="H26" i="16" s="1"/>
  <c r="F24" i="16"/>
  <c r="H23" i="16"/>
  <c r="I23" i="16" s="1"/>
  <c r="I25" i="16" s="1"/>
  <c r="G23" i="16"/>
  <c r="G24" i="16" s="1"/>
  <c r="I22" i="16"/>
  <c r="F22" i="16"/>
  <c r="F25" i="16" s="1"/>
  <c r="G21" i="16"/>
  <c r="H21" i="16" s="1"/>
  <c r="G20" i="16"/>
  <c r="H20" i="16" s="1"/>
  <c r="G19" i="16"/>
  <c r="H19" i="16" s="1"/>
  <c r="I18" i="16"/>
  <c r="G18" i="16"/>
  <c r="F18" i="16"/>
  <c r="H17" i="16"/>
  <c r="H18" i="16" s="1"/>
  <c r="G17" i="16"/>
  <c r="G16" i="16"/>
  <c r="F16" i="16"/>
  <c r="I14" i="16"/>
  <c r="G14" i="16"/>
  <c r="G15" i="16" s="1"/>
  <c r="F14" i="16"/>
  <c r="H13" i="16"/>
  <c r="H12" i="16"/>
  <c r="H11" i="16"/>
  <c r="H10" i="16"/>
  <c r="F8" i="16"/>
  <c r="H8" i="16" s="1"/>
  <c r="I8" i="16" s="1"/>
  <c r="F7" i="16"/>
  <c r="H7" i="16" s="1"/>
  <c r="I7" i="16" s="1"/>
  <c r="F6" i="16"/>
  <c r="H6" i="16" s="1"/>
  <c r="I6" i="16" s="1"/>
  <c r="F5" i="16"/>
  <c r="H5" i="16" s="1"/>
  <c r="I5" i="16" s="1"/>
  <c r="I63" i="15"/>
  <c r="H63" i="15"/>
  <c r="F63" i="15"/>
  <c r="I61" i="15"/>
  <c r="G60" i="15"/>
  <c r="H60" i="15" s="1"/>
  <c r="G59" i="15"/>
  <c r="H59" i="15" s="1"/>
  <c r="G58" i="15"/>
  <c r="H58" i="15" s="1"/>
  <c r="G57" i="15"/>
  <c r="H57" i="15" s="1"/>
  <c r="G56" i="15"/>
  <c r="H56" i="15" s="1"/>
  <c r="G55" i="15"/>
  <c r="H55" i="15" s="1"/>
  <c r="G54" i="15"/>
  <c r="H54" i="15" s="1"/>
  <c r="G53" i="15"/>
  <c r="H53" i="15" s="1"/>
  <c r="G52" i="15"/>
  <c r="H52" i="15" s="1"/>
  <c r="G51" i="15"/>
  <c r="H51" i="15" s="1"/>
  <c r="G50" i="15"/>
  <c r="H50" i="15" s="1"/>
  <c r="G49" i="15"/>
  <c r="H49" i="15" s="1"/>
  <c r="G48" i="15"/>
  <c r="H48" i="15" s="1"/>
  <c r="F47" i="15"/>
  <c r="H46" i="15"/>
  <c r="G46" i="15"/>
  <c r="G45" i="15"/>
  <c r="F44" i="15"/>
  <c r="F42" i="15"/>
  <c r="F43" i="15" s="1"/>
  <c r="G41" i="15"/>
  <c r="G43" i="15" s="1"/>
  <c r="G44" i="15" s="1"/>
  <c r="G40" i="15"/>
  <c r="F39" i="15"/>
  <c r="H39" i="15" s="1"/>
  <c r="F36" i="15"/>
  <c r="G36" i="15" s="1"/>
  <c r="I35" i="15"/>
  <c r="F34" i="15"/>
  <c r="F35" i="15" s="1"/>
  <c r="F33" i="15"/>
  <c r="G33" i="15" s="1"/>
  <c r="H33" i="15" s="1"/>
  <c r="I33" i="15" s="1"/>
  <c r="I32" i="15"/>
  <c r="F31" i="15"/>
  <c r="G31" i="15" s="1"/>
  <c r="F30" i="15"/>
  <c r="F29" i="15"/>
  <c r="F27" i="15"/>
  <c r="H26" i="15"/>
  <c r="I26" i="15" s="1"/>
  <c r="G26" i="15"/>
  <c r="G27" i="15" s="1"/>
  <c r="I25" i="15"/>
  <c r="F24" i="15"/>
  <c r="F25" i="15" s="1"/>
  <c r="F21" i="15"/>
  <c r="F20" i="15"/>
  <c r="G20" i="15" s="1"/>
  <c r="H20" i="15" s="1"/>
  <c r="F19" i="15"/>
  <c r="G19" i="15" s="1"/>
  <c r="H19" i="15" s="1"/>
  <c r="I19" i="15" s="1"/>
  <c r="F18" i="15"/>
  <c r="G18" i="15" s="1"/>
  <c r="I17" i="15"/>
  <c r="F16" i="15"/>
  <c r="G16" i="15" s="1"/>
  <c r="H15" i="15"/>
  <c r="G15" i="15"/>
  <c r="F15" i="15"/>
  <c r="G14" i="15"/>
  <c r="F14" i="15"/>
  <c r="I12" i="15"/>
  <c r="G12" i="15"/>
  <c r="G13" i="15" s="1"/>
  <c r="F11" i="15"/>
  <c r="F12" i="15" s="1"/>
  <c r="F9" i="15"/>
  <c r="H9" i="15" s="1"/>
  <c r="I9" i="15" s="1"/>
  <c r="F8" i="15"/>
  <c r="H8" i="15" s="1"/>
  <c r="I8" i="15" s="1"/>
  <c r="F7" i="15"/>
  <c r="H7" i="15" s="1"/>
  <c r="I7" i="15" s="1"/>
  <c r="F6" i="15"/>
  <c r="H6" i="15" s="1"/>
  <c r="I6" i="15" s="1"/>
  <c r="F5" i="15"/>
  <c r="H5" i="15" s="1"/>
  <c r="I5" i="15" s="1"/>
  <c r="I57" i="14"/>
  <c r="F57" i="14"/>
  <c r="G56" i="14"/>
  <c r="H56" i="14" s="1"/>
  <c r="G55" i="14"/>
  <c r="H55" i="14" s="1"/>
  <c r="G54" i="14"/>
  <c r="H54" i="14" s="1"/>
  <c r="G53" i="14"/>
  <c r="H53" i="14" s="1"/>
  <c r="G52" i="14"/>
  <c r="H52" i="14" s="1"/>
  <c r="G51" i="14"/>
  <c r="H51" i="14" s="1"/>
  <c r="G50" i="14"/>
  <c r="H50" i="14" s="1"/>
  <c r="G49" i="14"/>
  <c r="H49" i="14" s="1"/>
  <c r="G48" i="14"/>
  <c r="H48" i="14" s="1"/>
  <c r="G47" i="14"/>
  <c r="H47" i="14" s="1"/>
  <c r="G46" i="14"/>
  <c r="H46" i="14" s="1"/>
  <c r="G45" i="14"/>
  <c r="G57" i="14" s="1"/>
  <c r="F43" i="14"/>
  <c r="F44" i="14" s="1"/>
  <c r="H42" i="14"/>
  <c r="I42" i="14" s="1"/>
  <c r="I43" i="14" s="1"/>
  <c r="G40" i="14"/>
  <c r="F40" i="14"/>
  <c r="H39" i="14"/>
  <c r="I39" i="14" s="1"/>
  <c r="F37" i="14"/>
  <c r="G36" i="14"/>
  <c r="G37" i="14" s="1"/>
  <c r="I35" i="14"/>
  <c r="F35" i="14"/>
  <c r="G34" i="14"/>
  <c r="H34" i="14" s="1"/>
  <c r="H35" i="14" s="1"/>
  <c r="G33" i="14"/>
  <c r="H33" i="14" s="1"/>
  <c r="I33" i="14" s="1"/>
  <c r="I32" i="14"/>
  <c r="F32" i="14"/>
  <c r="F38" i="14" s="1"/>
  <c r="H31" i="14"/>
  <c r="G31" i="14"/>
  <c r="G30" i="14"/>
  <c r="H30" i="14" s="1"/>
  <c r="H29" i="14"/>
  <c r="H32" i="14" s="1"/>
  <c r="G29" i="14"/>
  <c r="G32" i="14" s="1"/>
  <c r="F27" i="14"/>
  <c r="F28" i="14" s="1"/>
  <c r="G26" i="14"/>
  <c r="G27" i="14" s="1"/>
  <c r="G28" i="14" s="1"/>
  <c r="I25" i="14"/>
  <c r="F25" i="14"/>
  <c r="F24" i="14"/>
  <c r="G24" i="14" s="1"/>
  <c r="G25" i="14" s="1"/>
  <c r="F22" i="14"/>
  <c r="F23" i="14" s="1"/>
  <c r="H21" i="14"/>
  <c r="G21" i="14"/>
  <c r="G20" i="14"/>
  <c r="H20" i="14" s="1"/>
  <c r="G19" i="14"/>
  <c r="H19" i="14" s="1"/>
  <c r="I19" i="14" s="1"/>
  <c r="H18" i="14"/>
  <c r="I18" i="14" s="1"/>
  <c r="I22" i="14" s="1"/>
  <c r="I23" i="14" s="1"/>
  <c r="G18" i="14"/>
  <c r="G22" i="14" s="1"/>
  <c r="G23" i="14" s="1"/>
  <c r="I17" i="14"/>
  <c r="G17" i="14"/>
  <c r="F17" i="14"/>
  <c r="G16" i="14"/>
  <c r="H16" i="14" s="1"/>
  <c r="H17" i="14" s="1"/>
  <c r="H15" i="14"/>
  <c r="G15" i="14"/>
  <c r="G14" i="14"/>
  <c r="F14" i="14"/>
  <c r="I12" i="14"/>
  <c r="G12" i="14"/>
  <c r="G13" i="14" s="1"/>
  <c r="F12" i="14"/>
  <c r="F11" i="14"/>
  <c r="H11" i="14" s="1"/>
  <c r="H12" i="14" s="1"/>
  <c r="F9" i="14"/>
  <c r="H9" i="14" s="1"/>
  <c r="I9" i="14" s="1"/>
  <c r="F8" i="14"/>
  <c r="H8" i="14" s="1"/>
  <c r="I8" i="14" s="1"/>
  <c r="F7" i="14"/>
  <c r="H7" i="14" s="1"/>
  <c r="I7" i="14" s="1"/>
  <c r="F6" i="14"/>
  <c r="H6" i="14" s="1"/>
  <c r="I6" i="14" s="1"/>
  <c r="F5" i="14"/>
  <c r="H5" i="14" s="1"/>
  <c r="I5" i="14" s="1"/>
  <c r="G48" i="13"/>
  <c r="G49" i="13" s="1"/>
  <c r="H49" i="13" s="1"/>
  <c r="F48" i="13"/>
  <c r="H48" i="13" s="1"/>
  <c r="G47" i="13"/>
  <c r="H47" i="13" s="1"/>
  <c r="H46" i="13"/>
  <c r="G46" i="13"/>
  <c r="G45" i="13"/>
  <c r="H45" i="13" s="1"/>
  <c r="H44" i="13"/>
  <c r="G44" i="13"/>
  <c r="G43" i="13"/>
  <c r="H43" i="13" s="1"/>
  <c r="F41" i="13"/>
  <c r="H40" i="13"/>
  <c r="I40" i="13" s="1"/>
  <c r="G38" i="13"/>
  <c r="F38" i="13"/>
  <c r="H37" i="13"/>
  <c r="I37" i="13" s="1"/>
  <c r="F35" i="13"/>
  <c r="I34" i="13"/>
  <c r="I35" i="13" s="1"/>
  <c r="H34" i="13"/>
  <c r="H35" i="13" s="1"/>
  <c r="G34" i="13"/>
  <c r="G35" i="13" s="1"/>
  <c r="I33" i="13"/>
  <c r="F33" i="13"/>
  <c r="G32" i="13"/>
  <c r="G33" i="13" s="1"/>
  <c r="G31" i="13"/>
  <c r="H31" i="13" s="1"/>
  <c r="I31" i="13" s="1"/>
  <c r="I30" i="13"/>
  <c r="F30" i="13"/>
  <c r="F36" i="13" s="1"/>
  <c r="H29" i="13"/>
  <c r="G29" i="13"/>
  <c r="G28" i="13"/>
  <c r="H28" i="13" s="1"/>
  <c r="H27" i="13"/>
  <c r="H30" i="13" s="1"/>
  <c r="G27" i="13"/>
  <c r="G30" i="13" s="1"/>
  <c r="G36" i="13" s="1"/>
  <c r="F26" i="13"/>
  <c r="F25" i="13"/>
  <c r="G24" i="13"/>
  <c r="G26" i="13" s="1"/>
  <c r="F22" i="13"/>
  <c r="F23" i="13" s="1"/>
  <c r="H21" i="13"/>
  <c r="G21" i="13"/>
  <c r="G20" i="13"/>
  <c r="H20" i="13" s="1"/>
  <c r="G19" i="13"/>
  <c r="H19" i="13" s="1"/>
  <c r="I19" i="13" s="1"/>
  <c r="I18" i="13"/>
  <c r="H18" i="13"/>
  <c r="G18" i="13"/>
  <c r="G22" i="13" s="1"/>
  <c r="G23" i="13" s="1"/>
  <c r="G39" i="13" s="1"/>
  <c r="I17" i="13"/>
  <c r="F17" i="13"/>
  <c r="F42" i="13" s="1"/>
  <c r="G16" i="13"/>
  <c r="G17" i="13" s="1"/>
  <c r="H15" i="13"/>
  <c r="G15" i="13"/>
  <c r="G14" i="13"/>
  <c r="F14" i="13"/>
  <c r="I12" i="13"/>
  <c r="H12" i="13"/>
  <c r="G12" i="13"/>
  <c r="G13" i="13" s="1"/>
  <c r="F12" i="13"/>
  <c r="H11" i="13"/>
  <c r="F9" i="13"/>
  <c r="H9" i="13" s="1"/>
  <c r="I9" i="13" s="1"/>
  <c r="F8" i="13"/>
  <c r="H8" i="13" s="1"/>
  <c r="I8" i="13" s="1"/>
  <c r="F7" i="13"/>
  <c r="H7" i="13" s="1"/>
  <c r="I7" i="13" s="1"/>
  <c r="F6" i="13"/>
  <c r="H6" i="13" s="1"/>
  <c r="I6" i="13" s="1"/>
  <c r="F5" i="13"/>
  <c r="H85" i="12"/>
  <c r="G83" i="12"/>
  <c r="H83" i="12" s="1"/>
  <c r="H82" i="12"/>
  <c r="G82" i="12"/>
  <c r="G81" i="12"/>
  <c r="H81" i="12" s="1"/>
  <c r="H80" i="12"/>
  <c r="G80" i="12"/>
  <c r="G79" i="12"/>
  <c r="H79" i="12" s="1"/>
  <c r="H78" i="12"/>
  <c r="G78" i="12"/>
  <c r="G77" i="12"/>
  <c r="H77" i="12" s="1"/>
  <c r="H76" i="12"/>
  <c r="G76" i="12"/>
  <c r="G75" i="12"/>
  <c r="H75" i="12" s="1"/>
  <c r="H74" i="12"/>
  <c r="G74" i="12"/>
  <c r="G73" i="12"/>
  <c r="H73" i="12" s="1"/>
  <c r="H72" i="12"/>
  <c r="G72" i="12"/>
  <c r="G71" i="12"/>
  <c r="H71" i="12" s="1"/>
  <c r="F70" i="12"/>
  <c r="F84" i="12" s="1"/>
  <c r="G69" i="12"/>
  <c r="H69" i="12" s="1"/>
  <c r="G68" i="12"/>
  <c r="H68" i="12" s="1"/>
  <c r="G67" i="12"/>
  <c r="H67" i="12" s="1"/>
  <c r="G66" i="12"/>
  <c r="H66" i="12" s="1"/>
  <c r="G65" i="12"/>
  <c r="H65" i="12" s="1"/>
  <c r="G64" i="12"/>
  <c r="H64" i="12" s="1"/>
  <c r="G63" i="12"/>
  <c r="H63" i="12" s="1"/>
  <c r="G62" i="12"/>
  <c r="H62" i="12" s="1"/>
  <c r="F60" i="12"/>
  <c r="H60" i="12" s="1"/>
  <c r="I60" i="12" s="1"/>
  <c r="F59" i="12"/>
  <c r="H59" i="12" s="1"/>
  <c r="I59" i="12" s="1"/>
  <c r="I57" i="12"/>
  <c r="F57" i="12"/>
  <c r="G55" i="12"/>
  <c r="H54" i="12"/>
  <c r="I54" i="12" s="1"/>
  <c r="F53" i="12"/>
  <c r="F55" i="12" s="1"/>
  <c r="H49" i="12"/>
  <c r="H48" i="12"/>
  <c r="G47" i="12"/>
  <c r="H47" i="12" s="1"/>
  <c r="G46" i="12"/>
  <c r="H46" i="12" s="1"/>
  <c r="G45" i="12"/>
  <c r="H45" i="12" s="1"/>
  <c r="H44" i="12"/>
  <c r="I44" i="12" s="1"/>
  <c r="F43" i="12"/>
  <c r="F51" i="12" s="1"/>
  <c r="F41" i="12"/>
  <c r="G41" i="12" s="1"/>
  <c r="F40" i="12"/>
  <c r="G40" i="12" s="1"/>
  <c r="I39" i="12"/>
  <c r="F38" i="12"/>
  <c r="G38" i="12" s="1"/>
  <c r="H38" i="12" s="1"/>
  <c r="F37" i="12"/>
  <c r="G37" i="12" s="1"/>
  <c r="H37" i="12" s="1"/>
  <c r="F36" i="12"/>
  <c r="F33" i="12"/>
  <c r="I32" i="12"/>
  <c r="F31" i="12"/>
  <c r="G31" i="12" s="1"/>
  <c r="G32" i="12" s="1"/>
  <c r="H30" i="12"/>
  <c r="G30" i="12"/>
  <c r="G29" i="12"/>
  <c r="H29" i="12" s="1"/>
  <c r="G26" i="12"/>
  <c r="H26" i="12" s="1"/>
  <c r="F25" i="12"/>
  <c r="G25" i="12" s="1"/>
  <c r="F24" i="12"/>
  <c r="G24" i="12" s="1"/>
  <c r="H24" i="12" s="1"/>
  <c r="F23" i="12"/>
  <c r="G23" i="12" s="1"/>
  <c r="H23" i="12" s="1"/>
  <c r="I23" i="12" s="1"/>
  <c r="F22" i="12"/>
  <c r="I21" i="12"/>
  <c r="F20" i="12"/>
  <c r="G20" i="12" s="1"/>
  <c r="H19" i="12"/>
  <c r="G19" i="12"/>
  <c r="F19" i="12"/>
  <c r="G18" i="12"/>
  <c r="F18" i="12"/>
  <c r="I16" i="12"/>
  <c r="G16" i="12"/>
  <c r="G17" i="12" s="1"/>
  <c r="H15" i="12"/>
  <c r="H14" i="12"/>
  <c r="H13" i="12"/>
  <c r="H12" i="12"/>
  <c r="F11" i="12"/>
  <c r="F16" i="12" s="1"/>
  <c r="F9" i="12"/>
  <c r="H9" i="12" s="1"/>
  <c r="I9" i="12" s="1"/>
  <c r="F8" i="12"/>
  <c r="H8" i="12" s="1"/>
  <c r="I8" i="12" s="1"/>
  <c r="F7" i="12"/>
  <c r="H7" i="12" s="1"/>
  <c r="I7" i="12" s="1"/>
  <c r="F6" i="12"/>
  <c r="H6" i="12" s="1"/>
  <c r="I6" i="12" s="1"/>
  <c r="F5" i="12"/>
  <c r="H5" i="12" s="1"/>
  <c r="I5" i="12" s="1"/>
  <c r="E89" i="11"/>
  <c r="D89" i="11"/>
  <c r="F88" i="11"/>
  <c r="G88" i="11" s="1"/>
  <c r="F87" i="11"/>
  <c r="F89" i="11" s="1"/>
  <c r="F90" i="11" s="1"/>
  <c r="F86" i="11"/>
  <c r="E80" i="11"/>
  <c r="D80" i="11"/>
  <c r="F80" i="11" s="1"/>
  <c r="F79" i="11"/>
  <c r="F78" i="11"/>
  <c r="F77" i="11"/>
  <c r="F76" i="11"/>
  <c r="D76" i="11"/>
  <c r="F75" i="11"/>
  <c r="F70" i="11"/>
  <c r="F69" i="11"/>
  <c r="D68" i="11"/>
  <c r="F68" i="11" s="1"/>
  <c r="F67" i="11"/>
  <c r="F66" i="11"/>
  <c r="D66" i="11"/>
  <c r="E63" i="11"/>
  <c r="E66" i="11" s="1"/>
  <c r="E74" i="11" s="1"/>
  <c r="G57" i="11"/>
  <c r="D57" i="11"/>
  <c r="F56" i="11"/>
  <c r="F55" i="11"/>
  <c r="F53" i="11"/>
  <c r="E53" i="11"/>
  <c r="E57" i="11" s="1"/>
  <c r="D53" i="11"/>
  <c r="F52" i="11"/>
  <c r="F51" i="11"/>
  <c r="F50" i="11"/>
  <c r="E50" i="11"/>
  <c r="D50" i="11"/>
  <c r="F48" i="11"/>
  <c r="F47" i="11"/>
  <c r="F57" i="11" s="1"/>
  <c r="E47" i="11"/>
  <c r="D47" i="11"/>
  <c r="G46" i="11"/>
  <c r="G60" i="11" s="1"/>
  <c r="G82" i="11" s="1"/>
  <c r="F45" i="11"/>
  <c r="F44" i="11"/>
  <c r="F41" i="11" s="1"/>
  <c r="F43" i="11"/>
  <c r="D42" i="11"/>
  <c r="E41" i="11"/>
  <c r="F39" i="11"/>
  <c r="F37" i="11"/>
  <c r="D37" i="11"/>
  <c r="F33" i="11"/>
  <c r="E33" i="11"/>
  <c r="E46" i="11" s="1"/>
  <c r="E60" i="11" s="1"/>
  <c r="D33" i="11"/>
  <c r="G29" i="11"/>
  <c r="G81" i="11" s="1"/>
  <c r="F28" i="11"/>
  <c r="F27" i="11"/>
  <c r="F25" i="11"/>
  <c r="D25" i="11"/>
  <c r="F21" i="11"/>
  <c r="F29" i="11" s="1"/>
  <c r="E21" i="11"/>
  <c r="E29" i="11" s="1"/>
  <c r="D14" i="11"/>
  <c r="D21" i="11" s="1"/>
  <c r="D29" i="11" s="1"/>
  <c r="Q14" i="10"/>
  <c r="J14" i="10"/>
  <c r="C14" i="10"/>
  <c r="C20" i="10" s="1"/>
  <c r="G26" i="9"/>
  <c r="I25" i="9"/>
  <c r="E24" i="9"/>
  <c r="D24" i="9"/>
  <c r="I23" i="9"/>
  <c r="H22" i="9"/>
  <c r="G22" i="9"/>
  <c r="I22" i="9" s="1"/>
  <c r="I16" i="9"/>
  <c r="D15" i="9"/>
  <c r="I14" i="9"/>
  <c r="I13" i="9"/>
  <c r="H12" i="9"/>
  <c r="H26" i="9" s="1"/>
  <c r="G12" i="9"/>
  <c r="F12" i="9"/>
  <c r="E12" i="9"/>
  <c r="D12" i="9"/>
  <c r="I11" i="9"/>
  <c r="I10" i="9"/>
  <c r="D9" i="9"/>
  <c r="C26" i="8"/>
  <c r="D26" i="8"/>
  <c r="U34" i="6"/>
  <c r="U33" i="6"/>
  <c r="U29" i="6"/>
  <c r="U30" i="6" s="1"/>
  <c r="U19" i="6"/>
  <c r="V15" i="5"/>
  <c r="V16" i="5" s="1"/>
  <c r="V18" i="5" s="1"/>
  <c r="V10" i="5"/>
  <c r="F46" i="4"/>
  <c r="E38" i="4"/>
  <c r="B38" i="4"/>
  <c r="E28" i="4"/>
  <c r="B28" i="4"/>
  <c r="E22" i="4"/>
  <c r="B22" i="4"/>
  <c r="D31" i="3"/>
  <c r="H25" i="3"/>
  <c r="D25" i="3"/>
  <c r="D20" i="3"/>
  <c r="H16" i="3"/>
  <c r="H13" i="3" s="1"/>
  <c r="H11" i="3"/>
  <c r="H10" i="3"/>
  <c r="E82" i="2"/>
  <c r="D82" i="2"/>
  <c r="F80" i="2"/>
  <c r="F79" i="2"/>
  <c r="F78" i="2"/>
  <c r="F77" i="2"/>
  <c r="F82" i="2" s="1"/>
  <c r="D77" i="2"/>
  <c r="F71" i="2"/>
  <c r="F70" i="2"/>
  <c r="D69" i="2"/>
  <c r="F69" i="2" s="1"/>
  <c r="F68" i="2"/>
  <c r="F65" i="2"/>
  <c r="F64" i="2" s="1"/>
  <c r="F67" i="2" s="1"/>
  <c r="E67" i="2"/>
  <c r="D64" i="2"/>
  <c r="F63" i="2"/>
  <c r="G58" i="2"/>
  <c r="G61" i="2" s="1"/>
  <c r="G84" i="2" s="1"/>
  <c r="F57" i="2"/>
  <c r="E57" i="2"/>
  <c r="E54" i="2" s="1"/>
  <c r="F56" i="2"/>
  <c r="F55" i="2"/>
  <c r="D54" i="2"/>
  <c r="F53" i="2"/>
  <c r="E53" i="2"/>
  <c r="F52" i="2"/>
  <c r="E52" i="2"/>
  <c r="D51" i="2"/>
  <c r="F51" i="2" s="1"/>
  <c r="F50" i="2"/>
  <c r="F49" i="2"/>
  <c r="D49" i="2" s="1"/>
  <c r="E48" i="2"/>
  <c r="G47" i="2"/>
  <c r="F46" i="2"/>
  <c r="E46" i="2"/>
  <c r="F45" i="2"/>
  <c r="D45" i="2" s="1"/>
  <c r="F44" i="2"/>
  <c r="E44" i="2"/>
  <c r="F43" i="2"/>
  <c r="F41" i="2"/>
  <c r="F40" i="2"/>
  <c r="E40" i="2"/>
  <c r="D40" i="2" s="1"/>
  <c r="F39" i="2"/>
  <c r="D39" i="2" s="1"/>
  <c r="F37" i="2"/>
  <c r="D37" i="2" s="1"/>
  <c r="F36" i="2"/>
  <c r="D36" i="2" s="1"/>
  <c r="F35" i="2"/>
  <c r="D35" i="2" s="1"/>
  <c r="E34" i="2"/>
  <c r="F33" i="2"/>
  <c r="G30" i="2"/>
  <c r="G83" i="2" s="1"/>
  <c r="F29" i="2"/>
  <c r="F28" i="2"/>
  <c r="E26" i="2"/>
  <c r="D26" i="2"/>
  <c r="F24" i="2"/>
  <c r="F23" i="2"/>
  <c r="F21" i="2"/>
  <c r="F19" i="2"/>
  <c r="D18" i="2"/>
  <c r="F17" i="2"/>
  <c r="E17" i="2"/>
  <c r="D16" i="2"/>
  <c r="F15" i="2"/>
  <c r="E15" i="2"/>
  <c r="F13" i="2"/>
  <c r="E13" i="2"/>
  <c r="F12" i="2"/>
  <c r="F11" i="2"/>
  <c r="E11" i="2"/>
  <c r="F10" i="2"/>
  <c r="E10" i="2"/>
  <c r="F26" i="2" l="1"/>
  <c r="O14" i="17"/>
  <c r="F82" i="25"/>
  <c r="F62" i="25"/>
  <c r="E62" i="25"/>
  <c r="E82" i="25"/>
  <c r="D47" i="25"/>
  <c r="J29" i="22"/>
  <c r="M29" i="22"/>
  <c r="N22" i="17"/>
  <c r="E82" i="11"/>
  <c r="E31" i="21"/>
  <c r="E63" i="21" s="1"/>
  <c r="E23" i="21"/>
  <c r="D83" i="21"/>
  <c r="H22" i="16"/>
  <c r="H25" i="16" s="1"/>
  <c r="G30" i="16"/>
  <c r="G31" i="16" s="1"/>
  <c r="F46" i="16"/>
  <c r="G60" i="16"/>
  <c r="G61" i="16" s="1"/>
  <c r="H61" i="16" s="1"/>
  <c r="G22" i="16"/>
  <c r="G25" i="16" s="1"/>
  <c r="H14" i="16"/>
  <c r="I51" i="16"/>
  <c r="I52" i="16" s="1"/>
  <c r="G35" i="16"/>
  <c r="G45" i="16"/>
  <c r="G21" i="12"/>
  <c r="E42" i="2"/>
  <c r="D10" i="2"/>
  <c r="E51" i="2"/>
  <c r="E58" i="2" s="1"/>
  <c r="D11" i="2"/>
  <c r="D15" i="2"/>
  <c r="H18" i="12"/>
  <c r="F10" i="13"/>
  <c r="F13" i="13" s="1"/>
  <c r="F50" i="13" s="1"/>
  <c r="H16" i="16"/>
  <c r="F21" i="12"/>
  <c r="O22" i="17"/>
  <c r="G17" i="15"/>
  <c r="D59" i="21"/>
  <c r="D62" i="21" s="1"/>
  <c r="N22" i="20"/>
  <c r="N14" i="20"/>
  <c r="I43" i="19"/>
  <c r="F43" i="19"/>
  <c r="F42" i="12"/>
  <c r="H44" i="15"/>
  <c r="D13" i="2"/>
  <c r="D17" i="2"/>
  <c r="E38" i="2"/>
  <c r="E47" i="2" s="1"/>
  <c r="H14" i="13"/>
  <c r="H14" i="14"/>
  <c r="H14" i="15"/>
  <c r="D48" i="2"/>
  <c r="D58" i="2" s="1"/>
  <c r="F17" i="15"/>
  <c r="F29" i="22"/>
  <c r="D58" i="25"/>
  <c r="N29" i="22"/>
  <c r="H12" i="19"/>
  <c r="N18" i="22"/>
  <c r="E62" i="21"/>
  <c r="F59" i="21"/>
  <c r="F62" i="21" s="1"/>
  <c r="F63" i="21" s="1"/>
  <c r="I12" i="9"/>
  <c r="D26" i="9"/>
  <c r="E26" i="9"/>
  <c r="F26" i="9"/>
  <c r="D26" i="3"/>
  <c r="F34" i="2"/>
  <c r="H11" i="12"/>
  <c r="H16" i="12" s="1"/>
  <c r="F27" i="12"/>
  <c r="F22" i="15"/>
  <c r="D34" i="2"/>
  <c r="F42" i="2"/>
  <c r="H20" i="3"/>
  <c r="H33" i="3" s="1"/>
  <c r="F32" i="15"/>
  <c r="O14" i="20"/>
  <c r="F54" i="2"/>
  <c r="G70" i="12"/>
  <c r="G84" i="12" s="1"/>
  <c r="H11" i="15"/>
  <c r="H12" i="15" s="1"/>
  <c r="F14" i="2"/>
  <c r="F22" i="2" s="1"/>
  <c r="D43" i="2"/>
  <c r="D42" i="2" s="1"/>
  <c r="F32" i="12"/>
  <c r="G34" i="15"/>
  <c r="G35" i="15" s="1"/>
  <c r="F40" i="15"/>
  <c r="H42" i="15"/>
  <c r="I42" i="15" s="1"/>
  <c r="I43" i="15" s="1"/>
  <c r="D77" i="25"/>
  <c r="D81" i="25" s="1"/>
  <c r="D82" i="25" s="1"/>
  <c r="F83" i="21"/>
  <c r="D23" i="21"/>
  <c r="G63" i="21"/>
  <c r="D75" i="21"/>
  <c r="B14" i="20"/>
  <c r="N17" i="20"/>
  <c r="G29" i="19"/>
  <c r="H37" i="19"/>
  <c r="G36" i="19"/>
  <c r="G37" i="19" s="1"/>
  <c r="F10" i="19"/>
  <c r="H27" i="19"/>
  <c r="H28" i="19" s="1"/>
  <c r="H19" i="19"/>
  <c r="E81" i="18"/>
  <c r="E84" i="18" s="1"/>
  <c r="E61" i="18"/>
  <c r="D82" i="18"/>
  <c r="G84" i="18"/>
  <c r="D74" i="18"/>
  <c r="F81" i="18"/>
  <c r="F57" i="18"/>
  <c r="F60" i="18" s="1"/>
  <c r="D81" i="18"/>
  <c r="D61" i="18"/>
  <c r="F76" i="18"/>
  <c r="D73" i="18"/>
  <c r="F73" i="18" s="1"/>
  <c r="F74" i="18" s="1"/>
  <c r="G61" i="18"/>
  <c r="H37" i="16"/>
  <c r="I36" i="16"/>
  <c r="I37" i="16" s="1"/>
  <c r="I46" i="16" s="1"/>
  <c r="F53" i="16"/>
  <c r="H24" i="16"/>
  <c r="I24" i="16" s="1"/>
  <c r="F9" i="16"/>
  <c r="H27" i="16"/>
  <c r="I27" i="16" s="1"/>
  <c r="I30" i="16" s="1"/>
  <c r="I31" i="16" s="1"/>
  <c r="G37" i="16"/>
  <c r="G50" i="16" s="1"/>
  <c r="G52" i="16" s="1"/>
  <c r="I38" i="16"/>
  <c r="I45" i="16" s="1"/>
  <c r="H39" i="16"/>
  <c r="H45" i="16" s="1"/>
  <c r="H49" i="16"/>
  <c r="H33" i="16"/>
  <c r="H35" i="16" s="1"/>
  <c r="H54" i="16"/>
  <c r="H60" i="16" s="1"/>
  <c r="H18" i="15"/>
  <c r="H40" i="15"/>
  <c r="I40" i="15" s="1"/>
  <c r="I39" i="15"/>
  <c r="F28" i="15"/>
  <c r="G37" i="15"/>
  <c r="H36" i="15"/>
  <c r="F10" i="15"/>
  <c r="H27" i="15"/>
  <c r="G24" i="15"/>
  <c r="G25" i="15" s="1"/>
  <c r="G28" i="15" s="1"/>
  <c r="G21" i="15"/>
  <c r="H21" i="15" s="1"/>
  <c r="H24" i="15"/>
  <c r="H25" i="15" s="1"/>
  <c r="G30" i="15"/>
  <c r="H30" i="15" s="1"/>
  <c r="H31" i="15"/>
  <c r="F37" i="15"/>
  <c r="H41" i="15"/>
  <c r="H45" i="15"/>
  <c r="G47" i="15"/>
  <c r="H47" i="15" s="1"/>
  <c r="F61" i="15"/>
  <c r="H16" i="15"/>
  <c r="H17" i="15" s="1"/>
  <c r="G29" i="15"/>
  <c r="G58" i="14"/>
  <c r="H57" i="14"/>
  <c r="F10" i="14"/>
  <c r="H22" i="14"/>
  <c r="H23" i="14" s="1"/>
  <c r="H24" i="14"/>
  <c r="H25" i="14" s="1"/>
  <c r="G35" i="14"/>
  <c r="G41" i="14" s="1"/>
  <c r="H36" i="14"/>
  <c r="H45" i="14"/>
  <c r="H26" i="14"/>
  <c r="H40" i="14"/>
  <c r="I40" i="14" s="1"/>
  <c r="H22" i="13"/>
  <c r="I36" i="13"/>
  <c r="H39" i="13"/>
  <c r="H41" i="13" s="1"/>
  <c r="G41" i="13"/>
  <c r="I22" i="13"/>
  <c r="I23" i="13" s="1"/>
  <c r="H36" i="13"/>
  <c r="G25" i="13"/>
  <c r="G42" i="13" s="1"/>
  <c r="H5" i="13"/>
  <c r="I5" i="13" s="1"/>
  <c r="H16" i="13"/>
  <c r="H17" i="13" s="1"/>
  <c r="H24" i="13"/>
  <c r="H32" i="13"/>
  <c r="H33" i="13" s="1"/>
  <c r="H38" i="13"/>
  <c r="I38" i="13" s="1"/>
  <c r="G42" i="12"/>
  <c r="F34" i="12"/>
  <c r="H20" i="12"/>
  <c r="H21" i="12" s="1"/>
  <c r="F39" i="12"/>
  <c r="G43" i="12"/>
  <c r="G51" i="12" s="1"/>
  <c r="G22" i="12"/>
  <c r="H25" i="12"/>
  <c r="H31" i="12"/>
  <c r="H32" i="12" s="1"/>
  <c r="H40" i="12"/>
  <c r="I40" i="12" s="1"/>
  <c r="I42" i="12" s="1"/>
  <c r="H41" i="12"/>
  <c r="H53" i="12"/>
  <c r="F10" i="12"/>
  <c r="G33" i="12"/>
  <c r="G34" i="12" s="1"/>
  <c r="G35" i="12" s="1"/>
  <c r="G36" i="12"/>
  <c r="G39" i="12" s="1"/>
  <c r="D41" i="11"/>
  <c r="D46" i="11" s="1"/>
  <c r="D60" i="11" s="1"/>
  <c r="F46" i="11"/>
  <c r="F60" i="11" s="1"/>
  <c r="F82" i="11" s="1"/>
  <c r="F84" i="11" s="1"/>
  <c r="F81" i="11"/>
  <c r="D81" i="11"/>
  <c r="E61" i="11"/>
  <c r="E81" i="11"/>
  <c r="E84" i="11" s="1"/>
  <c r="G84" i="11"/>
  <c r="D73" i="11"/>
  <c r="F73" i="11" s="1"/>
  <c r="F74" i="11" s="1"/>
  <c r="G61" i="11"/>
  <c r="I24" i="9"/>
  <c r="D33" i="3"/>
  <c r="G86" i="2"/>
  <c r="E75" i="2"/>
  <c r="E14" i="2"/>
  <c r="E22" i="2" s="1"/>
  <c r="E64" i="2"/>
  <c r="F38" i="2"/>
  <c r="F48" i="2"/>
  <c r="G62" i="2"/>
  <c r="D74" i="2"/>
  <c r="F74" i="2" s="1"/>
  <c r="F75" i="2" s="1"/>
  <c r="D61" i="25" l="1"/>
  <c r="D83" i="25" s="1"/>
  <c r="E83" i="21"/>
  <c r="H46" i="16"/>
  <c r="I53" i="16"/>
  <c r="H10" i="13"/>
  <c r="D38" i="2"/>
  <c r="D47" i="2" s="1"/>
  <c r="D61" i="2" s="1"/>
  <c r="H34" i="15"/>
  <c r="H35" i="15" s="1"/>
  <c r="F38" i="15"/>
  <c r="G61" i="15"/>
  <c r="G62" i="15" s="1"/>
  <c r="E61" i="2"/>
  <c r="E84" i="2" s="1"/>
  <c r="F58" i="2"/>
  <c r="F52" i="12"/>
  <c r="F28" i="12"/>
  <c r="H43" i="12"/>
  <c r="I43" i="12" s="1"/>
  <c r="I51" i="12" s="1"/>
  <c r="I52" i="12" s="1"/>
  <c r="F30" i="2"/>
  <c r="F83" i="2" s="1"/>
  <c r="D84" i="18"/>
  <c r="H42" i="12"/>
  <c r="F23" i="15"/>
  <c r="D21" i="3"/>
  <c r="F85" i="25"/>
  <c r="E85" i="25"/>
  <c r="I26" i="9"/>
  <c r="F35" i="12"/>
  <c r="H36" i="12"/>
  <c r="H39" i="12" s="1"/>
  <c r="H43" i="15"/>
  <c r="H70" i="12"/>
  <c r="H84" i="12" s="1"/>
  <c r="D85" i="25"/>
  <c r="F75" i="21"/>
  <c r="F76" i="21" s="1"/>
  <c r="F84" i="21" s="1"/>
  <c r="F86" i="21" s="1"/>
  <c r="D76" i="21"/>
  <c r="D63" i="21"/>
  <c r="G40" i="19"/>
  <c r="H29" i="19"/>
  <c r="H10" i="19"/>
  <c r="F11" i="19"/>
  <c r="F44" i="19" s="1"/>
  <c r="F82" i="18"/>
  <c r="F61" i="18"/>
  <c r="F84" i="18"/>
  <c r="H9" i="16"/>
  <c r="F15" i="16"/>
  <c r="F62" i="16" s="1"/>
  <c r="H62" i="16" s="1"/>
  <c r="H30" i="16"/>
  <c r="H31" i="16" s="1"/>
  <c r="H53" i="16" s="1"/>
  <c r="G46" i="16"/>
  <c r="G53" i="16" s="1"/>
  <c r="G32" i="15"/>
  <c r="G38" i="15" s="1"/>
  <c r="H29" i="15"/>
  <c r="H32" i="15" s="1"/>
  <c r="I36" i="15"/>
  <c r="I37" i="15" s="1"/>
  <c r="I38" i="15" s="1"/>
  <c r="H37" i="15"/>
  <c r="G22" i="15"/>
  <c r="G23" i="15" s="1"/>
  <c r="F13" i="15"/>
  <c r="H10" i="15"/>
  <c r="H62" i="15"/>
  <c r="G63" i="15"/>
  <c r="H61" i="15"/>
  <c r="I27" i="15"/>
  <c r="I28" i="15" s="1"/>
  <c r="H28" i="15"/>
  <c r="H22" i="15"/>
  <c r="H23" i="15" s="1"/>
  <c r="I18" i="15"/>
  <c r="I22" i="15" s="1"/>
  <c r="I23" i="15" s="1"/>
  <c r="H41" i="14"/>
  <c r="H43" i="14" s="1"/>
  <c r="G43" i="14"/>
  <c r="G44" i="14" s="1"/>
  <c r="H44" i="14" s="1"/>
  <c r="I26" i="14"/>
  <c r="H27" i="14"/>
  <c r="G59" i="14"/>
  <c r="H58" i="14"/>
  <c r="G38" i="14"/>
  <c r="I36" i="14"/>
  <c r="I37" i="14" s="1"/>
  <c r="I38" i="14" s="1"/>
  <c r="H37" i="14"/>
  <c r="H38" i="14" s="1"/>
  <c r="F13" i="14"/>
  <c r="F59" i="14" s="1"/>
  <c r="H10" i="14"/>
  <c r="H42" i="13"/>
  <c r="G50" i="13"/>
  <c r="H13" i="13"/>
  <c r="I10" i="13"/>
  <c r="I13" i="13" s="1"/>
  <c r="I50" i="13" s="1"/>
  <c r="H23" i="13"/>
  <c r="I24" i="13"/>
  <c r="I26" i="13" s="1"/>
  <c r="H26" i="13"/>
  <c r="H25" i="13"/>
  <c r="I25" i="13" s="1"/>
  <c r="F17" i="12"/>
  <c r="H10" i="12"/>
  <c r="G52" i="12"/>
  <c r="H55" i="12"/>
  <c r="I53" i="12"/>
  <c r="I55" i="12" s="1"/>
  <c r="H33" i="12"/>
  <c r="H22" i="12"/>
  <c r="G27" i="12"/>
  <c r="F58" i="12"/>
  <c r="D61" i="11"/>
  <c r="D74" i="11"/>
  <c r="D82" i="11" s="1"/>
  <c r="D84" i="11" s="1"/>
  <c r="F61" i="11"/>
  <c r="E30" i="2"/>
  <c r="D14" i="2"/>
  <c r="D75" i="2"/>
  <c r="F47" i="2"/>
  <c r="F61" i="2" l="1"/>
  <c r="F84" i="2" s="1"/>
  <c r="H51" i="12"/>
  <c r="H52" i="12" s="1"/>
  <c r="D62" i="25"/>
  <c r="E86" i="21"/>
  <c r="D84" i="2"/>
  <c r="E83" i="2"/>
  <c r="E86" i="2" s="1"/>
  <c r="E62" i="2"/>
  <c r="D86" i="21"/>
  <c r="F86" i="2"/>
  <c r="D22" i="2"/>
  <c r="D30" i="2" s="1"/>
  <c r="H11" i="19"/>
  <c r="I10" i="19"/>
  <c r="I11" i="19" s="1"/>
  <c r="I44" i="19" s="1"/>
  <c r="H40" i="19"/>
  <c r="H42" i="19" s="1"/>
  <c r="G42" i="19"/>
  <c r="G43" i="19" s="1"/>
  <c r="H15" i="16"/>
  <c r="I9" i="16"/>
  <c r="I15" i="16" s="1"/>
  <c r="I62" i="16" s="1"/>
  <c r="H38" i="15"/>
  <c r="H13" i="15"/>
  <c r="I10" i="15"/>
  <c r="I13" i="15" s="1"/>
  <c r="H13" i="14"/>
  <c r="H59" i="14" s="1"/>
  <c r="I10" i="14"/>
  <c r="I13" i="14" s="1"/>
  <c r="I27" i="14"/>
  <c r="I28" i="14" s="1"/>
  <c r="H28" i="14"/>
  <c r="H50" i="13"/>
  <c r="I22" i="12"/>
  <c r="I27" i="12" s="1"/>
  <c r="H27" i="12"/>
  <c r="H28" i="12" s="1"/>
  <c r="G28" i="12"/>
  <c r="G56" i="12" s="1"/>
  <c r="G58" i="12"/>
  <c r="H34" i="12"/>
  <c r="I33" i="12"/>
  <c r="I10" i="12"/>
  <c r="I17" i="12" s="1"/>
  <c r="H17" i="12"/>
  <c r="F62" i="2"/>
  <c r="D83" i="2" l="1"/>
  <c r="D85" i="2" s="1"/>
  <c r="D62" i="2"/>
  <c r="G44" i="19"/>
  <c r="H43" i="19"/>
  <c r="H44" i="19" s="1"/>
  <c r="H35" i="12"/>
  <c r="I34" i="12"/>
  <c r="I35" i="12" s="1"/>
  <c r="H58" i="12"/>
  <c r="G57" i="12"/>
  <c r="H56" i="12"/>
  <c r="H57" i="12" s="1"/>
  <c r="D86" i="2" l="1"/>
</calcChain>
</file>

<file path=xl/sharedStrings.xml><?xml version="1.0" encoding="utf-8"?>
<sst xmlns="http://schemas.openxmlformats.org/spreadsheetml/2006/main" count="1959" uniqueCount="740">
  <si>
    <t>CÍMREND</t>
  </si>
  <si>
    <t>I.</t>
  </si>
  <si>
    <t>Sármelléki Önkormányzat</t>
  </si>
  <si>
    <t xml:space="preserve">2018 ÉVI KÖLTSÉGVETÉS  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</si>
  <si>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</si>
  <si>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</si>
  <si>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</si>
  <si>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</si>
  <si>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</si>
  <si>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</si>
  <si>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</si>
  <si>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</si>
  <si>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</si>
  <si>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2018 évi eredeti előirányzat (Ft)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</si>
  <si>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</si>
  <si>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</si>
  <si>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</si>
  <si>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</si>
  <si>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</si>
  <si>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</si>
  <si>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</si>
  <si>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</si>
  <si>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</si>
  <si>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</si>
  <si>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</si>
  <si>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</si>
  <si>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</si>
  <si>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</si>
  <si>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</si>
  <si>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</si>
  <si>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</si>
  <si>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</si>
  <si>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</si>
  <si>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</si>
  <si>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</si>
  <si>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</si>
  <si>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</si>
  <si>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</si>
  <si>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</si>
  <si>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</si>
  <si>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</si>
  <si>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</si>
  <si>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</si>
  <si>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</si>
  <si>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</si>
  <si>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</si>
  <si>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</si>
  <si>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</si>
  <si>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</si>
  <si>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</si>
  <si>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</si>
  <si>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</si>
  <si>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</si>
  <si>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</si>
  <si>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</si>
  <si>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</si>
  <si>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</si>
  <si>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</si>
  <si>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</si>
  <si>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</si>
  <si>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</si>
  <si>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</si>
  <si>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</si>
  <si>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</si>
  <si>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</si>
  <si>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</si>
  <si>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</si>
  <si>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</si>
  <si>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</si>
  <si>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</si>
  <si>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</si>
  <si>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</si>
  <si>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</si>
  <si>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</si>
  <si>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</si>
  <si>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</si>
  <si>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</si>
  <si>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</si>
  <si>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</si>
  <si>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</si>
  <si>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</si>
  <si>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</si>
  <si>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</si>
  <si>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</si>
  <si>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</si>
  <si>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</si>
  <si>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</si>
  <si>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</si>
  <si>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</si>
  <si>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</si>
  <si>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</si>
  <si>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</si>
  <si>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</si>
  <si>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</si>
  <si>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</si>
  <si>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</si>
  <si>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</si>
  <si>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</si>
  <si>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</si>
  <si>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</si>
  <si>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</si>
  <si>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</si>
  <si>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</si>
  <si>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</si>
  <si>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</si>
  <si>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</si>
  <si>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</si>
  <si>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</si>
  <si>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</si>
  <si>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</si>
  <si>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</si>
  <si>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</si>
  <si>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</si>
  <si>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</si>
  <si>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</si>
  <si>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</si>
  <si>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</si>
  <si>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</si>
  <si>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</si>
  <si>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</si>
  <si>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</si>
  <si>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</si>
  <si>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</si>
  <si>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</si>
  <si>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</si>
  <si>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</si>
  <si>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</si>
  <si>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</si>
  <si>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 xml:space="preserve">2018. ÉVI KÖLTSÉGVETÉS  </t>
  </si>
  <si>
    <t xml:space="preserve"> működési és felhalmozási célú bevételi éskiadási előirányzatok bemutatása tájékoztató jelleggel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</si>
  <si>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</si>
  <si>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</si>
  <si>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</si>
  <si>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</si>
  <si>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</si>
  <si>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</si>
  <si>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</si>
  <si>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</si>
  <si>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</si>
  <si>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</si>
  <si>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</si>
  <si>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</si>
  <si>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</si>
  <si>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</si>
  <si>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</si>
  <si>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</si>
  <si>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</si>
  <si>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</si>
  <si>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</si>
  <si>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</si>
  <si>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</si>
  <si>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</si>
  <si>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2018. Évi költségvetés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</si>
  <si>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</si>
  <si>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</si>
  <si>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</si>
  <si>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</si>
  <si>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</si>
  <si>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</si>
  <si>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Felhasználás
2017.XII.31-ig</t>
  </si>
  <si>
    <t xml:space="preserve">2018. évi eredeti előirányzat </t>
  </si>
  <si>
    <t>2018. év utáni szükséglet
(6=2 - 4 - 5)</t>
  </si>
  <si>
    <t>Felújítási kiadások célonként</t>
  </si>
  <si>
    <t>Óvoda  felújítási pályázat</t>
  </si>
  <si>
    <t>BM pályázat:Kistelepülési önk. Alacsony fejlesztésű tám.</t>
  </si>
  <si>
    <t>Beruházási kiadások feladatonként</t>
  </si>
  <si>
    <t>Gyerek mesekönyvek (K64)</t>
  </si>
  <si>
    <t>Felnőtt öltözőszekrény (K64)</t>
  </si>
  <si>
    <t>Mágneses kapuzár (K64)</t>
  </si>
  <si>
    <t>Cipőtároló (K64)</t>
  </si>
  <si>
    <t>Tálalószekrény (K64)</t>
  </si>
  <si>
    <t>Vasalódeszka 1 db  (K64)</t>
  </si>
  <si>
    <t>Ruhaszárító 3 db  (K64)</t>
  </si>
  <si>
    <t>Kés, kenyérszeletelő 2 db  (K64)</t>
  </si>
  <si>
    <t>Szőnyeg 2 csoportszobába  (K64)</t>
  </si>
  <si>
    <t>Slag (K64)</t>
  </si>
  <si>
    <t>Tornaszoba ablakokra redőny+szúnyogháló (K64)</t>
  </si>
  <si>
    <t xml:space="preserve">Függönyök </t>
  </si>
  <si>
    <t>Óvoda összesen:</t>
  </si>
  <si>
    <t>Kerékpártároló (K64)</t>
  </si>
  <si>
    <t>Fogas, esernyőtartó (K64)</t>
  </si>
  <si>
    <t>pedagógus asztal (K64)</t>
  </si>
  <si>
    <t>Babaház (K64)</t>
  </si>
  <si>
    <t>Bölcsőde összesen:</t>
  </si>
  <si>
    <t>ÁMK aula világítás (K64)</t>
  </si>
  <si>
    <t>Kávéfőző (K64)</t>
  </si>
  <si>
    <t>létra (K64)</t>
  </si>
  <si>
    <t>Kéziszerszámok (K64)</t>
  </si>
  <si>
    <t>USB billentyűzet, 3 db, egér (K64)</t>
  </si>
  <si>
    <t>Ipari porszívó 1 db  (K64)</t>
  </si>
  <si>
    <t>Könyvtári, közművelődési tev. Összesen:</t>
  </si>
  <si>
    <t>TOP-1.2.1-15 ZA1-2016-00003 Zala Kétkeréken - Kerékpárút fejlesztés Sármellék és Zalaszentgrót településeken</t>
  </si>
  <si>
    <t>Hungarikum -2017 pályázat</t>
  </si>
  <si>
    <t xml:space="preserve">Beruházási kiadások összesen </t>
  </si>
  <si>
    <t>ÖSSZESEN:</t>
  </si>
  <si>
    <t>2018 ÉVI KÖLTSÉGVETÉS</t>
  </si>
  <si>
    <t>Önkormányzatok által folyósított ellátások részletezése</t>
  </si>
  <si>
    <t>5.melléklet</t>
  </si>
  <si>
    <t>ezer forintban</t>
  </si>
  <si>
    <t xml:space="preserve">Lakásfenntartási támogatás  </t>
  </si>
  <si>
    <t>K46</t>
  </si>
  <si>
    <t>Gyógyszer támogatás</t>
  </si>
  <si>
    <t>K48</t>
  </si>
  <si>
    <t>Iskolakezdési támogatás</t>
  </si>
  <si>
    <t>Települési támogatás</t>
  </si>
  <si>
    <t>Egyéb rendkívüli települési támogatás</t>
  </si>
  <si>
    <t>Idősek rendkívüli települési támogatás  5000/fő</t>
  </si>
  <si>
    <t>Gyerekek rendkívüli települési támogatás  5000/fő</t>
  </si>
  <si>
    <t>Babakötvény</t>
  </si>
  <si>
    <t>Rendkívüli települési támogatás</t>
  </si>
  <si>
    <t>Települési + rendkívüli települési támogatás</t>
  </si>
  <si>
    <t>Rendszeres gyerekvédelmi támogatás</t>
  </si>
  <si>
    <t>K42</t>
  </si>
  <si>
    <t>Mindösszesen</t>
  </si>
  <si>
    <t>2018. ÉVI KÖLTSÉGVETÉS</t>
  </si>
  <si>
    <t>Működési célú pénzeszköz-átadások részletezése</t>
  </si>
  <si>
    <t>6.melléklet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</si>
  <si>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</si>
  <si>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</si>
  <si>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</si>
  <si>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</si>
  <si>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</si>
  <si>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K506-04</t>
  </si>
  <si>
    <t>Keszthelyi és Környéke többcélú Kistérségi Társulás 2018 házi segítségnyújtás</t>
  </si>
  <si>
    <t>K506-08</t>
  </si>
  <si>
    <t>TÖOSZ 2018. évi tagdíj</t>
  </si>
  <si>
    <t>K506-09</t>
  </si>
  <si>
    <t>Sármellék - Zalavár Kármentesítő Társulás</t>
  </si>
  <si>
    <t>Keszthelyi és Környéke többcélú Kistérségi Társulás 2018 tagdíj</t>
  </si>
  <si>
    <t>Fogászati  2018 tagdíj</t>
  </si>
  <si>
    <t>Keszthelyi Kistérségi támogatás ( belső ellenőr)</t>
  </si>
  <si>
    <t>Működési célú pénzeszköz átadás ÁHT-n belül összesen</t>
  </si>
  <si>
    <t>Működési célú pénzeszköz átadás ÁHT-n kívül</t>
  </si>
  <si>
    <t>Sármelléki Polgárőrség</t>
  </si>
  <si>
    <t>Sármelléki Sportegyesület</t>
  </si>
  <si>
    <t>K512-03</t>
  </si>
  <si>
    <t>Sármellékért Közh. Nonpr. Kft</t>
  </si>
  <si>
    <t>K512-02</t>
  </si>
  <si>
    <t>Keszthelyi Mentőszolg.Alapítvány</t>
  </si>
  <si>
    <t>Erdős Bt (Iskola e.ü.) 7.300 Ft/hó</t>
  </si>
  <si>
    <t>K512-08</t>
  </si>
  <si>
    <t>Működési célú pénzeszköz átadás ÁHT-n kívül összesen</t>
  </si>
  <si>
    <t>Működési célú pénzeszköz átadás ÁHT-n belűl és kívül összesen</t>
  </si>
  <si>
    <t>K89-02</t>
  </si>
  <si>
    <t>K89-01</t>
  </si>
  <si>
    <t>Felhalmozási célúcélú pénzeszköz átadás  összesen</t>
  </si>
  <si>
    <t>Önként vállalt</t>
  </si>
  <si>
    <t>Európai Uniós támogatással megvalósuló projektek bevételei, kiadásai, hozzájárulások</t>
  </si>
  <si>
    <t>EU-s projekt azonosítója:</t>
  </si>
  <si>
    <t>TOP-1.2.1-15-ZA1-2016-00003 Zala Kétkeréken - Kerékpárút fejlesztés Sármellék és Zalaszentgrót településeken</t>
  </si>
  <si>
    <t>Források</t>
  </si>
  <si>
    <t>Összesen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</si>
  <si>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</si>
  <si>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</si>
  <si>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</si>
  <si>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</si>
  <si>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</si>
  <si>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</si>
  <si>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</si>
  <si>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</si>
  <si>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</si>
  <si>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</si>
  <si>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</si>
  <si>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</si>
  <si>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7.melléklet</t>
  </si>
  <si>
    <t xml:space="preserve"> 2018 évi költségevetés</t>
  </si>
  <si>
    <t xml:space="preserve">Adott, közvetett támogatások  </t>
  </si>
  <si>
    <t>8.melléklet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</si>
  <si>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</si>
  <si>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</si>
  <si>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</si>
  <si>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</si>
  <si>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</si>
  <si>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</si>
  <si>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</si>
  <si>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</si>
  <si>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</si>
  <si>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</si>
  <si>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</si>
  <si>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</si>
  <si>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</si>
  <si>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</si>
  <si>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</si>
  <si>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</si>
  <si>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</si>
  <si>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</si>
  <si>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</si>
  <si>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</si>
  <si>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</si>
  <si>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</si>
  <si>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</si>
  <si>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</si>
  <si>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</si>
  <si>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</si>
  <si>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</si>
  <si>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</si>
  <si>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Összesen:</t>
  </si>
  <si>
    <t xml:space="preserve">2018 év Költségvetés 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</si>
  <si>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</si>
  <si>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</si>
  <si>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</si>
  <si>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</si>
  <si>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</si>
  <si>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</si>
  <si>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2018. előtti kifizetés</t>
  </si>
  <si>
    <t>Kiadás vonzata évenként</t>
  </si>
  <si>
    <t>2018.</t>
  </si>
  <si>
    <t>2019.</t>
  </si>
  <si>
    <t>2020.</t>
  </si>
  <si>
    <t>2021. után</t>
  </si>
  <si>
    <t>9=(4+5+6+7+8)</t>
  </si>
  <si>
    <t>Működési célú hiteltörlesztés tőke</t>
  </si>
  <si>
    <t>Felhalmozási célú hiteltörlesztés (tőke+kamat)</t>
  </si>
  <si>
    <t>Beruházás feladatonként</t>
  </si>
  <si>
    <t>............................</t>
  </si>
  <si>
    <t xml:space="preserve">Egyéb </t>
  </si>
  <si>
    <t>Összesen (1+4+7+9+11)</t>
  </si>
  <si>
    <t>10. melléklet</t>
  </si>
  <si>
    <t>Sármelléki Óvoda Művelődési Központ</t>
  </si>
  <si>
    <t>Sármelléki Közös Önkormányzati Hivatal</t>
  </si>
  <si>
    <t>Éves létszám-előirányzat</t>
  </si>
  <si>
    <t>Szakfeladat száma</t>
  </si>
  <si>
    <t>Szakfeladat megnevezése</t>
  </si>
  <si>
    <t>Éves létszám-előirányzat  (fő)</t>
  </si>
  <si>
    <t>096015</t>
  </si>
  <si>
    <t>Iskiolai Intézményi étkeztetés</t>
  </si>
  <si>
    <t>011130</t>
  </si>
  <si>
    <t>Önkormányzatok igazgatási tevékenysége</t>
  </si>
  <si>
    <t>091110</t>
  </si>
  <si>
    <t>Óvodai nevelés szakmai feladatai</t>
  </si>
  <si>
    <t>066020</t>
  </si>
  <si>
    <t>Községgazdálkodás</t>
  </si>
  <si>
    <t>011131</t>
  </si>
  <si>
    <t>Önkományzati jogalkotás</t>
  </si>
  <si>
    <t>082092</t>
  </si>
  <si>
    <t>Közművelődés</t>
  </si>
  <si>
    <t>Önkormányzati jogalkotás</t>
  </si>
  <si>
    <t>011220</t>
  </si>
  <si>
    <t>Bölcsőde</t>
  </si>
  <si>
    <t>074031</t>
  </si>
  <si>
    <t>család és nővédelem</t>
  </si>
  <si>
    <t>Óvoda működtetés</t>
  </si>
  <si>
    <t>Közfoglalkoztatás éves létszám-előirányzata</t>
  </si>
  <si>
    <t>Éves létszám-előirányzat (fő)</t>
  </si>
  <si>
    <t>041233</t>
  </si>
  <si>
    <t>Közfoglalkoztatás</t>
  </si>
  <si>
    <t>Sármelléki Óvoda Általános Művelődési Központ</t>
  </si>
  <si>
    <t>11.melléklet</t>
  </si>
  <si>
    <t>ÁMK</t>
  </si>
  <si>
    <t>2018. évi eredeti előirányzat (eFt)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</si>
  <si>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</si>
  <si>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</si>
  <si>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</si>
  <si>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</si>
  <si>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</si>
  <si>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</si>
  <si>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</si>
  <si>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</si>
  <si>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költség</t>
  </si>
  <si>
    <t>állami támogatás</t>
  </si>
  <si>
    <t>önkormányzati támogatás</t>
  </si>
  <si>
    <t xml:space="preserve">Óvoda  </t>
  </si>
  <si>
    <t xml:space="preserve">Összesen </t>
  </si>
  <si>
    <t>11. a. melléklet</t>
  </si>
  <si>
    <t>összeg</t>
  </si>
  <si>
    <t>ÁFA</t>
  </si>
  <si>
    <t>Kerekítés</t>
  </si>
  <si>
    <t>Törvény szerinti illetmények, munkabérek (K1101)</t>
  </si>
  <si>
    <t>Céljuttatás, projektprémium (K1103)</t>
  </si>
  <si>
    <t>Béren kívüli juttatások (K1107)</t>
  </si>
  <si>
    <t>Ruházati költésgtérítés (K1108)</t>
  </si>
  <si>
    <t>Közlekedési költségtérítés (K1109)</t>
  </si>
  <si>
    <t>Foglalkoztatottak személyi juttatásai (K11)</t>
  </si>
  <si>
    <t>Karácsonyi csomag (1500 Ft*50 fő) (K123)</t>
  </si>
  <si>
    <t>Tiszteletdíj: Ferge Józsefné (K122)</t>
  </si>
  <si>
    <t>Tiszteletdíj: Balogh Anikó (K122)</t>
  </si>
  <si>
    <t>Tiszteletdíj: Bakos Sándor (K122)</t>
  </si>
  <si>
    <t>Bánát György ajándék könyvtári foglalkozás (K123)</t>
  </si>
  <si>
    <t>Külső személyi juttatások összesen (K12)</t>
  </si>
  <si>
    <t>SZEMÉLYI JUTTATÁSOK MINDÖSSZESEN (K1)</t>
  </si>
  <si>
    <t>MUNKAADÓKAT TERHELŐ JÁRULÉKOK ÉS SZOCIÁLIS HOZZÁJÁRULÁSI ADÓ (K2)</t>
  </si>
  <si>
    <t>Szakmai ismeretek, folyóirat előfizetése</t>
  </si>
  <si>
    <t>szakmai anyagok csoport foglalkozásokhoz</t>
  </si>
  <si>
    <t>szakmai anyagok beszerzése összesen (K311)</t>
  </si>
  <si>
    <t xml:space="preserve">papír, írószer, fénymásoló papír, nyomtatvány </t>
  </si>
  <si>
    <t>tintaparton, toner</t>
  </si>
  <si>
    <t>tisztítószer</t>
  </si>
  <si>
    <t>Konyharuha, viaszkos vászon, lábtörlő, öntözőkanna</t>
  </si>
  <si>
    <t>10 db 12 személyes asztalterítő</t>
  </si>
  <si>
    <t>Üzemeltetési anyagok beszerzése összesen  (K312)</t>
  </si>
  <si>
    <t>KÉSZLETBESZERZÉS (K31)</t>
  </si>
  <si>
    <t>szoftvertanácsadás: Infoker Szoftver Bt</t>
  </si>
  <si>
    <t>tárhelyszolgáltatás: Dataglobe Zrt.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</si>
  <si>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</si>
  <si>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</si>
  <si>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</si>
  <si>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</si>
  <si>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</si>
  <si>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 xml:space="preserve">villamosenergia </t>
  </si>
  <si>
    <t>gázenergia</t>
  </si>
  <si>
    <t>vízdíj</t>
  </si>
  <si>
    <t>Közüzemi  díjak (K331)</t>
  </si>
  <si>
    <t>Karbantartási, kisjavítási szolgáltatások (K334)</t>
  </si>
  <si>
    <t>szakmai tréning (K336)</t>
  </si>
  <si>
    <t>Szakmai tevékenységet segítő szolgáltatások (K336)</t>
  </si>
  <si>
    <t>rágcsálóírtás</t>
  </si>
  <si>
    <t>vagyonbiztosításn (K337)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</si>
  <si>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</si>
  <si>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</si>
  <si>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</si>
  <si>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</si>
  <si>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Üst Gyula heti 6 alkalom 4500 Ft/36 iskolai hét 6 óra (K337)</t>
  </si>
  <si>
    <t>Foglalkozás eü. Szolg.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</si>
  <si>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</si>
  <si>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</si>
  <si>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</si>
  <si>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</si>
  <si>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</si>
  <si>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</si>
  <si>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</si>
  <si>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</si>
  <si>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</si>
  <si>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Egyéb tárgyi eszközök összesen (K64)</t>
  </si>
  <si>
    <t>Beruházási célú előzetesen felszámított ÁFA (K67)</t>
  </si>
  <si>
    <t>KÖLTSÉGVETÉSI KIADÁSOK MINDÖSSZESEN</t>
  </si>
  <si>
    <t>11. b. melléklet</t>
  </si>
  <si>
    <t>Karácsonyi csomag (1500 Ft*12 fő) (K123)</t>
  </si>
  <si>
    <t>Bőlcsödei folyóirat előfizetése</t>
  </si>
  <si>
    <t>Kicsi kuka, virágosládák, öntözőkanna</t>
  </si>
  <si>
    <t>11.c. melléklet</t>
  </si>
  <si>
    <t>11.d. melléklet</t>
  </si>
  <si>
    <t>11.e. melléklet</t>
  </si>
  <si>
    <t xml:space="preserve">Szakmai ismeretek, folyóirat előfizetése:Kereplő újság </t>
  </si>
  <si>
    <t>papír, írószer, fénymásoló papír, nyomtatvány SHIP iroda</t>
  </si>
  <si>
    <t>tintaparton, toner SHIP iroda</t>
  </si>
  <si>
    <t>tisztítószer ÁMK</t>
  </si>
  <si>
    <t>2018. ÉVI ELŐIRÁNYZAT-FELHASZNÁLÁSI TERV</t>
  </si>
  <si>
    <t>12.melléklet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</si>
  <si>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</si>
  <si>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</si>
  <si>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</si>
  <si>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</si>
  <si>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</si>
  <si>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</si>
  <si>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</si>
  <si>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</si>
  <si>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</si>
  <si>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</si>
  <si>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</si>
  <si>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</si>
  <si>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</si>
  <si>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</si>
  <si>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</si>
  <si>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</si>
  <si>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</si>
  <si>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>Felhalmozási kiadások</t>
  </si>
  <si>
    <t xml:space="preserve">Kiadások összesen </t>
  </si>
  <si>
    <t>Intézményi müködési bevételek</t>
  </si>
  <si>
    <t>Intézményfinanszírozás</t>
  </si>
  <si>
    <t>Támogatásértékű bevételek, átvett pénzeszközök</t>
  </si>
  <si>
    <t xml:space="preserve">Bevételek összesen </t>
  </si>
  <si>
    <t>13.melléklet</t>
  </si>
  <si>
    <t>Közös Önk.Hiv.</t>
  </si>
  <si>
    <t>2017 évi eredeti előirányzat (eFt)</t>
  </si>
  <si>
    <t>Sármelléki Közös Hivatal 2018. évi kiadásai mindösszesen</t>
  </si>
  <si>
    <t>13.a. melléklet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</si>
  <si>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</si>
  <si>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</si>
  <si>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</si>
  <si>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</si>
  <si>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</si>
  <si>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>Kataszteri Vagyongazdálkodási rendszer:E-KATA</t>
  </si>
  <si>
    <t>Információs biztonsági referens éves díja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</si>
  <si>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</si>
  <si>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</si>
  <si>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</si>
  <si>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</si>
  <si>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</si>
  <si>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</si>
  <si>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>2018 ÉVI ELŐIRÁNYZAT-FELHASZNÁLÁSI TERV</t>
  </si>
  <si>
    <t>14.melléklet</t>
  </si>
  <si>
    <t>15.melléklet</t>
  </si>
  <si>
    <t>Sármellék Önkorm.</t>
  </si>
  <si>
    <t>2018  évi eredeti előirányzat e(Ft)</t>
  </si>
  <si>
    <t>Irányítószerv alá tartozó költségvetési szerveknek folyósított támogatás</t>
  </si>
  <si>
    <t>Sármellék Község Önkormányzat</t>
  </si>
  <si>
    <t>16.melléklet</t>
  </si>
  <si>
    <t>Előző évi állami visszafiz.</t>
  </si>
  <si>
    <t>Intézmény finanszírozás</t>
  </si>
  <si>
    <t>Hitelek</t>
  </si>
  <si>
    <t>16.a. melléklet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</si>
  <si>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</si>
  <si>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</si>
  <si>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</si>
  <si>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</si>
  <si>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</si>
  <si>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</si>
  <si>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</si>
  <si>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</si>
  <si>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</si>
  <si>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</si>
  <si>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</si>
  <si>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</si>
  <si>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</si>
  <si>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</si>
  <si>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</si>
  <si>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</si>
  <si>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</si>
  <si>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</si>
  <si>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</si>
  <si>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</si>
  <si>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</si>
  <si>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</si>
  <si>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</si>
  <si>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</si>
  <si>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</si>
  <si>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</si>
  <si>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</si>
  <si>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</si>
  <si>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</si>
  <si>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</si>
  <si>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</si>
  <si>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</si>
  <si>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</si>
  <si>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</si>
  <si>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</si>
  <si>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</si>
  <si>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</si>
  <si>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</si>
  <si>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</si>
  <si>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</si>
  <si>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</si>
  <si>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</si>
  <si>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</si>
  <si>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</si>
  <si>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</si>
  <si>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</si>
  <si>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</si>
  <si>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</si>
  <si>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</si>
  <si>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</si>
  <si>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</si>
  <si>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</si>
  <si>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</si>
  <si>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</si>
  <si>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</si>
  <si>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</si>
  <si>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</si>
  <si>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</si>
  <si>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</si>
  <si>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</si>
  <si>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</si>
  <si>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</si>
  <si>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</si>
  <si>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</si>
  <si>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</si>
  <si>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</si>
  <si>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</si>
  <si>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</si>
  <si>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</si>
  <si>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</si>
  <si>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</si>
  <si>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</si>
  <si>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</si>
  <si>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</si>
  <si>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</si>
  <si>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</si>
  <si>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</si>
  <si>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</si>
  <si>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</si>
  <si>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</si>
  <si>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</si>
  <si>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</si>
  <si>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</si>
  <si>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</si>
  <si>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</si>
  <si>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</si>
  <si>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</si>
  <si>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</si>
  <si>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</si>
  <si>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</si>
  <si>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</si>
  <si>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</si>
  <si>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</si>
  <si>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</si>
  <si>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</si>
  <si>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</si>
  <si>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</si>
  <si>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</si>
  <si>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</si>
  <si>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</si>
  <si>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16.b. melléklet</t>
  </si>
  <si>
    <t>Választott tisztségviselők juttatásai (K121)</t>
  </si>
  <si>
    <t>reprezentáció (K123)</t>
  </si>
  <si>
    <t>Külső személyi juttatások (K12)</t>
  </si>
  <si>
    <t>Szociális hozzájárulási adó 19,5%</t>
  </si>
  <si>
    <t xml:space="preserve">Szakképzési hozzájárulás 1,5% </t>
  </si>
  <si>
    <t>Egészségügyi szolgáltatási járulék 7320 Ft/hó</t>
  </si>
  <si>
    <t>Munkáltatót terhelő SZJA</t>
  </si>
  <si>
    <t>Kiadásainak és bevételeinek fő összesítője költségvetési évet követő három év</t>
  </si>
  <si>
    <t>17.melléklet</t>
  </si>
  <si>
    <t>(Ft)</t>
  </si>
  <si>
    <t>Általánostartalék</t>
  </si>
  <si>
    <t>kötött, - céltartalék</t>
  </si>
  <si>
    <t>1. sz. melléklet</t>
  </si>
  <si>
    <t>VPG-7-2-1 Külterületi utak fejlesztése Szentgyörgyvár - Sármellék</t>
  </si>
  <si>
    <t>EFOP-1.5.2-16-2017 Humán szolgáltatások fejlesztése Sármellék térségben</t>
  </si>
  <si>
    <t>EFOP-4.1.7-16 A közösségi művelődési intézmény- és szervezetrendszer tanulást segítő infrastrukturális fejlesztései Sármelléki Művelődséi Ház átalakítása és eszközbeszerzése</t>
  </si>
  <si>
    <t>EFOP-3.7.3.-16 Az egész életen át tartó tanuláshoz hozzáférés biztosítása Sármellék és Alsópáhok településeken</t>
  </si>
  <si>
    <t>EU-s  projekt azonosítója:</t>
  </si>
  <si>
    <t>2017. évi normatív támogatás visszafizetés</t>
  </si>
  <si>
    <t>2017. évi állami támogatás visszafizetése</t>
  </si>
  <si>
    <t>2017 évi állami visszafizetése</t>
  </si>
  <si>
    <t>Sármellék  öszesen</t>
  </si>
  <si>
    <t>Iktatóprogram díja 2018.04.01-ig:DMS One Zrt.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</si>
  <si>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</si>
  <si>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</si>
  <si>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</si>
  <si>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</si>
  <si>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</si>
  <si>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</si>
  <si>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</si>
  <si>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</si>
  <si>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</si>
  <si>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</si>
  <si>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</si>
  <si>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</si>
  <si>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 xml:space="preserve">Szociális ágazati </t>
  </si>
  <si>
    <t>Szociális ágazati és kiegészítő pótlék ÁMK</t>
  </si>
  <si>
    <t>Mezőőri támogatás</t>
  </si>
  <si>
    <t>B16-04</t>
  </si>
  <si>
    <t>Közfoglalkoztatottak</t>
  </si>
  <si>
    <t>B16-06</t>
  </si>
  <si>
    <t>Védőnői támogatás OEP támogatás (iskolaeü. 7300 Ft/hó, védőnő 392.000 Ft/hó)</t>
  </si>
  <si>
    <t>B16-05</t>
  </si>
  <si>
    <t>Rendkívüli gyermekvédelmi tám.</t>
  </si>
  <si>
    <t>B16-02</t>
  </si>
  <si>
    <t>EU-tól kapott támogatások</t>
  </si>
  <si>
    <t>EU Támogatások összesen:</t>
  </si>
  <si>
    <t>SÁRMELLÉK KÖZSÉG ÖNKORMÁNYZAT 2018. ÉVI ÁLLAMI TÁMOGATÁSA                                           16.c. melléklet</t>
  </si>
  <si>
    <t>Sármellék Község Önkormányzat 2018. évi intézményi, működési és felhalmozási bevételei                     16.d. melléklet</t>
  </si>
  <si>
    <t>Intézményi működési</t>
  </si>
  <si>
    <t>Nettó</t>
  </si>
  <si>
    <t>Bruttó</t>
  </si>
  <si>
    <t>Temető fenntartási ktg.</t>
  </si>
  <si>
    <t>nettó</t>
  </si>
  <si>
    <t>Garázsbérlet</t>
  </si>
  <si>
    <t>B402</t>
  </si>
  <si>
    <t>Lakbér</t>
  </si>
  <si>
    <t>Háziorvosi rezsi hozzájárulás</t>
  </si>
  <si>
    <t>B406</t>
  </si>
  <si>
    <t>Földbérleti díjak</t>
  </si>
  <si>
    <t>Közműfejlesztési hozzáj.</t>
  </si>
  <si>
    <t>Sírhely megváltás</t>
  </si>
  <si>
    <t xml:space="preserve">Helység bérleti díjak </t>
  </si>
  <si>
    <t>Óvodai étkeztetés</t>
  </si>
  <si>
    <t>B405</t>
  </si>
  <si>
    <t>Iskolai étkeztetés</t>
  </si>
  <si>
    <t>Szocétkeztetés</t>
  </si>
  <si>
    <t>Közműfejlesztési hj.</t>
  </si>
  <si>
    <t>Koncessziós díj Iv .név ÁFA</t>
  </si>
  <si>
    <t>levonható ÁFA  étkeztetés, tisztítószer csak iskola+óvoda</t>
  </si>
  <si>
    <t>Visszaigényelhető ÁFA</t>
  </si>
  <si>
    <t>B407</t>
  </si>
  <si>
    <t>Előző évi visszaigényelhető ÁFA</t>
  </si>
  <si>
    <t>összes visszaigényelhető ÁFA</t>
  </si>
  <si>
    <t>ZSA osztalék</t>
  </si>
  <si>
    <t>B404-05</t>
  </si>
  <si>
    <t xml:space="preserve">Hévíz </t>
  </si>
  <si>
    <t>B404-02</t>
  </si>
  <si>
    <t>Koncessziós díj</t>
  </si>
  <si>
    <t>Westel torony</t>
  </si>
  <si>
    <t>Felhalmozási és tőke jellegű bevétel összesen:</t>
  </si>
  <si>
    <t>pénzmaradvány igénybevétele:</t>
  </si>
  <si>
    <t>B8131</t>
  </si>
  <si>
    <t>pénztár</t>
  </si>
  <si>
    <t>elszámolási szlák összesen</t>
  </si>
  <si>
    <t>lakás bevétel</t>
  </si>
  <si>
    <t>B52</t>
  </si>
  <si>
    <t>Lakáseladás részletének bevétele</t>
  </si>
  <si>
    <t>Mándi Imréné</t>
  </si>
  <si>
    <t xml:space="preserve">Nagy Orsolya 570600/év </t>
  </si>
  <si>
    <t>Szabó László (utolsó év)</t>
  </si>
  <si>
    <t xml:space="preserve">Bittó Katalin </t>
  </si>
  <si>
    <t>2017 évi állami támogatás visszafizetése</t>
  </si>
  <si>
    <t>építmény</t>
  </si>
  <si>
    <t>B34-01</t>
  </si>
  <si>
    <t>magánszk.</t>
  </si>
  <si>
    <t>B34-03</t>
  </si>
  <si>
    <t>iparűzés</t>
  </si>
  <si>
    <t>B351-07</t>
  </si>
  <si>
    <t>talajtrh.</t>
  </si>
  <si>
    <t>B36-15</t>
  </si>
  <si>
    <t>gépjármű</t>
  </si>
  <si>
    <t>B354-01</t>
  </si>
  <si>
    <t>termőf. Bérbead.</t>
  </si>
  <si>
    <t>B311-03</t>
  </si>
  <si>
    <t>Jövedéki adó</t>
  </si>
  <si>
    <t>B36-12</t>
  </si>
  <si>
    <t>bírság, pótlék</t>
  </si>
  <si>
    <t>idegenforg.</t>
  </si>
  <si>
    <t>B355-08</t>
  </si>
  <si>
    <t>egyéb bev.:</t>
  </si>
  <si>
    <t>mezőőri jár.</t>
  </si>
  <si>
    <t>Önkormányzat sajátos működési bevételei összesen:</t>
  </si>
  <si>
    <t xml:space="preserve">Összesen: </t>
  </si>
  <si>
    <t xml:space="preserve">ÁMK 2018. évi KÖLTSÉGVETÉSE ÖSSZESEN </t>
  </si>
  <si>
    <t>BÖLCSŐDE 2018. évi KÖLTSÉGVETÉSI KIADÁSAI ÖSSZESEN</t>
  </si>
  <si>
    <t>ÓVODA 2018. évi KÖLTSÉGVETÉSI KIADÁSAI ÖSSZESEN</t>
  </si>
  <si>
    <t xml:space="preserve">BÖLCSŐDE ÉS ÓVODA 2018. évi KÖLTSÉGVETÉSE ÖSSZESEN </t>
  </si>
  <si>
    <t>Közművelődés 2018. évi KÖLTSÉGVETÉSI KIADÁSAI ÖSSZESEN</t>
  </si>
  <si>
    <t>Sármellék Község Önkormányzta 2018. évi személyi juttatásai és járulékai</t>
  </si>
  <si>
    <t>2018.évi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</si>
  <si>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</si>
  <si>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</si>
  <si>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</si>
  <si>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</si>
  <si>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</si>
  <si>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</si>
  <si>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</si>
  <si>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Kiadás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</si>
  <si>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</si>
  <si>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</si>
  <si>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</si>
  <si>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</si>
  <si>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</si>
  <si>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</si>
  <si>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</si>
  <si>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11.f.  melléklet</t>
  </si>
  <si>
    <t>13.b. melléklet</t>
  </si>
  <si>
    <t>Bevétel</t>
  </si>
  <si>
    <t>Önk.hiv. működési támogatás</t>
  </si>
  <si>
    <t>2017. december 31.-i pénzmaradvány</t>
  </si>
  <si>
    <t xml:space="preserve">pénztár: </t>
  </si>
  <si>
    <t>bankszámla</t>
  </si>
  <si>
    <t>KÖLTSÉGVETÉSI BEVÉTELEK  ÖSSZESEN:</t>
  </si>
  <si>
    <t>kiadások</t>
  </si>
  <si>
    <t>Különbözet</t>
  </si>
  <si>
    <t>B75</t>
  </si>
  <si>
    <t>B21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</si>
</sst>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\ _F_t"/>
    <numFmt numFmtId="165" formatCode="_-* #,##0.00\ _€_-;\-* #,##0.00\ _€_-;_-* &quot;-&quot;??\ _€_-;_-@_-"/>
    <numFmt numFmtId="166" formatCode="_-* #,##0\ _F_t_-;\-* #,##0\ _F_t_-;_-* &quot;-&quot;??\ _F_t_-;_-@_-"/>
    <numFmt numFmtId="167" formatCode="#,###"/>
    <numFmt numFmtId="168" formatCode="0__"/>
    <numFmt numFmtId="169" formatCode="#"/>
  </numFmts>
  <fonts count="7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b/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Arial CE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b/>
      <sz val="12"/>
      <color theme="0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2" fillId="0" borderId="0"/>
    <xf numFmtId="0" fontId="3" fillId="0" borderId="0"/>
  </cellStyleXfs>
  <cellXfs count="915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9" xfId="2" applyFont="1" applyBorder="1" applyAlignment="1">
      <alignment vertical="center"/>
    </xf>
    <xf numFmtId="0" fontId="11" fillId="0" borderId="10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164" fontId="5" fillId="0" borderId="14" xfId="2" applyNumberFormat="1" applyFont="1" applyBorder="1" applyAlignment="1">
      <alignment horizontal="center" vertical="center"/>
    </xf>
    <xf numFmtId="164" fontId="5" fillId="0" borderId="5" xfId="3" applyNumberFormat="1" applyFont="1" applyFill="1" applyBorder="1" applyAlignment="1">
      <alignment horizontal="center"/>
    </xf>
    <xf numFmtId="166" fontId="6" fillId="0" borderId="6" xfId="1" applyNumberFormat="1" applyFont="1" applyBorder="1" applyAlignment="1">
      <alignment vertical="center"/>
    </xf>
    <xf numFmtId="166" fontId="5" fillId="0" borderId="6" xfId="1" applyNumberFormat="1" applyFont="1" applyBorder="1" applyAlignment="1">
      <alignment horizontal="center" vertical="center"/>
    </xf>
    <xf numFmtId="166" fontId="6" fillId="0" borderId="15" xfId="1" applyNumberFormat="1" applyFont="1" applyBorder="1" applyAlignment="1">
      <alignment vertical="center"/>
    </xf>
    <xf numFmtId="164" fontId="5" fillId="0" borderId="16" xfId="2" applyNumberFormat="1" applyFont="1" applyBorder="1" applyAlignment="1">
      <alignment horizontal="center" vertical="center"/>
    </xf>
    <xf numFmtId="164" fontId="5" fillId="0" borderId="5" xfId="2" applyNumberFormat="1" applyFont="1" applyBorder="1" applyAlignment="1">
      <alignment horizontal="center" vertical="center"/>
    </xf>
    <xf numFmtId="164" fontId="5" fillId="0" borderId="15" xfId="2" applyNumberFormat="1" applyFont="1" applyBorder="1" applyAlignment="1">
      <alignment horizontal="center" vertical="center"/>
    </xf>
    <xf numFmtId="164" fontId="5" fillId="0" borderId="17" xfId="2" applyNumberFormat="1" applyFont="1" applyBorder="1" applyAlignment="1">
      <alignment horizontal="center" vertical="center"/>
    </xf>
    <xf numFmtId="164" fontId="5" fillId="0" borderId="5" xfId="3" applyNumberFormat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164" fontId="7" fillId="3" borderId="5" xfId="2" applyNumberFormat="1" applyFont="1" applyFill="1" applyBorder="1" applyAlignment="1">
      <alignment horizontal="center" vertical="center"/>
    </xf>
    <xf numFmtId="164" fontId="7" fillId="3" borderId="15" xfId="2" applyNumberFormat="1" applyFont="1" applyFill="1" applyBorder="1" applyAlignment="1">
      <alignment horizontal="center" vertical="center"/>
    </xf>
    <xf numFmtId="0" fontId="14" fillId="0" borderId="0" xfId="0" applyFont="1"/>
    <xf numFmtId="164" fontId="7" fillId="3" borderId="5" xfId="3" applyNumberFormat="1" applyFont="1" applyFill="1" applyBorder="1" applyAlignment="1">
      <alignment horizontal="center"/>
    </xf>
    <xf numFmtId="166" fontId="15" fillId="3" borderId="6" xfId="1" applyNumberFormat="1" applyFont="1" applyFill="1" applyBorder="1" applyAlignment="1">
      <alignment vertical="center"/>
    </xf>
    <xf numFmtId="164" fontId="5" fillId="0" borderId="14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164" fontId="7" fillId="0" borderId="14" xfId="3" applyNumberFormat="1" applyFont="1" applyBorder="1" applyAlignment="1">
      <alignment horizontal="center"/>
    </xf>
    <xf numFmtId="164" fontId="5" fillId="4" borderId="18" xfId="3" applyNumberFormat="1" applyFont="1" applyFill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164" fontId="4" fillId="5" borderId="16" xfId="3" applyNumberFormat="1" applyFont="1" applyFill="1" applyBorder="1" applyAlignment="1">
      <alignment horizontal="center"/>
    </xf>
    <xf numFmtId="164" fontId="4" fillId="5" borderId="5" xfId="3" applyNumberFormat="1" applyFont="1" applyFill="1" applyBorder="1" applyAlignment="1">
      <alignment horizontal="center"/>
    </xf>
    <xf numFmtId="164" fontId="4" fillId="5" borderId="15" xfId="3" applyNumberFormat="1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 vertical="center"/>
    </xf>
    <xf numFmtId="164" fontId="5" fillId="7" borderId="16" xfId="3" applyNumberFormat="1" applyFont="1" applyFill="1" applyBorder="1" applyAlignment="1">
      <alignment horizontal="center"/>
    </xf>
    <xf numFmtId="164" fontId="5" fillId="7" borderId="5" xfId="3" applyNumberFormat="1" applyFont="1" applyFill="1" applyBorder="1" applyAlignment="1">
      <alignment horizontal="center"/>
    </xf>
    <xf numFmtId="164" fontId="5" fillId="7" borderId="14" xfId="3" applyNumberFormat="1" applyFont="1" applyFill="1" applyBorder="1" applyAlignment="1">
      <alignment horizontal="center"/>
    </xf>
    <xf numFmtId="164" fontId="5" fillId="7" borderId="6" xfId="3" applyNumberFormat="1" applyFont="1" applyFill="1" applyBorder="1" applyAlignment="1">
      <alignment horizontal="center"/>
    </xf>
    <xf numFmtId="164" fontId="5" fillId="5" borderId="5" xfId="3" applyNumberFormat="1" applyFont="1" applyFill="1" applyBorder="1" applyAlignment="1">
      <alignment horizontal="center"/>
    </xf>
    <xf numFmtId="164" fontId="5" fillId="5" borderId="12" xfId="3" applyNumberFormat="1" applyFont="1" applyFill="1" applyBorder="1" applyAlignment="1">
      <alignment horizontal="center"/>
    </xf>
    <xf numFmtId="166" fontId="6" fillId="5" borderId="6" xfId="1" applyNumberFormat="1" applyFont="1" applyFill="1" applyBorder="1" applyAlignment="1">
      <alignment vertical="center"/>
    </xf>
    <xf numFmtId="3" fontId="5" fillId="0" borderId="5" xfId="2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/>
    </xf>
    <xf numFmtId="3" fontId="6" fillId="0" borderId="6" xfId="1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3" fontId="5" fillId="0" borderId="5" xfId="3" applyNumberFormat="1" applyFont="1" applyBorder="1" applyAlignment="1">
      <alignment horizontal="center"/>
    </xf>
    <xf numFmtId="3" fontId="5" fillId="0" borderId="5" xfId="3" applyNumberFormat="1" applyFont="1" applyFill="1" applyBorder="1" applyAlignment="1">
      <alignment horizontal="center"/>
    </xf>
    <xf numFmtId="49" fontId="5" fillId="0" borderId="5" xfId="2" applyNumberFormat="1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3" fontId="7" fillId="3" borderId="5" xfId="3" applyNumberFormat="1" applyFont="1" applyFill="1" applyBorder="1" applyAlignment="1">
      <alignment horizontal="center"/>
    </xf>
    <xf numFmtId="3" fontId="7" fillId="3" borderId="15" xfId="3" applyNumberFormat="1" applyFont="1" applyFill="1" applyBorder="1" applyAlignment="1">
      <alignment horizontal="center"/>
    </xf>
    <xf numFmtId="3" fontId="7" fillId="3" borderId="17" xfId="3" applyNumberFormat="1" applyFont="1" applyFill="1" applyBorder="1" applyAlignment="1">
      <alignment horizontal="center"/>
    </xf>
    <xf numFmtId="3" fontId="7" fillId="0" borderId="5" xfId="3" applyNumberFormat="1" applyFont="1" applyBorder="1" applyAlignment="1">
      <alignment horizontal="center"/>
    </xf>
    <xf numFmtId="3" fontId="7" fillId="0" borderId="17" xfId="3" applyNumberFormat="1" applyFont="1" applyBorder="1" applyAlignment="1">
      <alignment horizontal="center"/>
    </xf>
    <xf numFmtId="3" fontId="7" fillId="0" borderId="5" xfId="3" applyNumberFormat="1" applyFont="1" applyFill="1" applyBorder="1" applyAlignment="1">
      <alignment horizontal="center"/>
    </xf>
    <xf numFmtId="3" fontId="15" fillId="0" borderId="15" xfId="1" applyNumberFormat="1" applyFont="1" applyBorder="1" applyAlignment="1">
      <alignment vertical="center"/>
    </xf>
    <xf numFmtId="3" fontId="4" fillId="5" borderId="5" xfId="3" applyNumberFormat="1" applyFont="1" applyFill="1" applyBorder="1" applyAlignment="1">
      <alignment horizontal="center"/>
    </xf>
    <xf numFmtId="3" fontId="4" fillId="5" borderId="17" xfId="3" applyNumberFormat="1" applyFont="1" applyFill="1" applyBorder="1" applyAlignment="1">
      <alignment horizontal="center"/>
    </xf>
    <xf numFmtId="3" fontId="4" fillId="5" borderId="15" xfId="3" applyNumberFormat="1" applyFont="1" applyFill="1" applyBorder="1" applyAlignment="1">
      <alignment horizontal="center"/>
    </xf>
    <xf numFmtId="164" fontId="4" fillId="0" borderId="5" xfId="3" applyNumberFormat="1" applyFont="1" applyBorder="1" applyAlignment="1">
      <alignment horizontal="center"/>
    </xf>
    <xf numFmtId="164" fontId="4" fillId="0" borderId="15" xfId="3" applyNumberFormat="1" applyFont="1" applyBorder="1" applyAlignment="1">
      <alignment horizontal="center"/>
    </xf>
    <xf numFmtId="49" fontId="5" fillId="0" borderId="5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vertical="center"/>
    </xf>
    <xf numFmtId="164" fontId="5" fillId="0" borderId="17" xfId="3" applyNumberFormat="1" applyFont="1" applyBorder="1" applyAlignment="1">
      <alignment horizontal="center"/>
    </xf>
    <xf numFmtId="164" fontId="4" fillId="0" borderId="17" xfId="3" applyNumberFormat="1" applyFont="1" applyBorder="1" applyAlignment="1">
      <alignment horizontal="center"/>
    </xf>
    <xf numFmtId="164" fontId="4" fillId="0" borderId="14" xfId="3" applyNumberFormat="1" applyFont="1" applyBorder="1" applyAlignment="1">
      <alignment horizontal="center"/>
    </xf>
    <xf numFmtId="164" fontId="4" fillId="0" borderId="5" xfId="3" applyNumberFormat="1" applyFont="1" applyFill="1" applyBorder="1" applyAlignment="1">
      <alignment horizontal="center"/>
    </xf>
    <xf numFmtId="166" fontId="18" fillId="0" borderId="6" xfId="1" applyNumberFormat="1" applyFont="1" applyBorder="1" applyAlignment="1">
      <alignment vertical="center"/>
    </xf>
    <xf numFmtId="164" fontId="9" fillId="0" borderId="5" xfId="3" applyNumberFormat="1" applyFont="1" applyBorder="1" applyAlignment="1">
      <alignment horizontal="center"/>
    </xf>
    <xf numFmtId="164" fontId="9" fillId="0" borderId="14" xfId="3" applyNumberFormat="1" applyFont="1" applyBorder="1" applyAlignment="1">
      <alignment horizontal="center"/>
    </xf>
    <xf numFmtId="164" fontId="9" fillId="0" borderId="5" xfId="3" applyNumberFormat="1" applyFont="1" applyFill="1" applyBorder="1" applyAlignment="1">
      <alignment horizontal="center"/>
    </xf>
    <xf numFmtId="164" fontId="9" fillId="0" borderId="14" xfId="3" applyNumberFormat="1" applyFont="1" applyFill="1" applyBorder="1" applyAlignment="1">
      <alignment horizontal="center"/>
    </xf>
    <xf numFmtId="0" fontId="4" fillId="8" borderId="4" xfId="2" applyFont="1" applyFill="1" applyBorder="1" applyAlignment="1">
      <alignment horizontal="center" vertical="center"/>
    </xf>
    <xf numFmtId="164" fontId="4" fillId="8" borderId="5" xfId="2" applyNumberFormat="1" applyFont="1" applyFill="1" applyBorder="1" applyAlignment="1">
      <alignment horizontal="center"/>
    </xf>
    <xf numFmtId="164" fontId="4" fillId="8" borderId="15" xfId="2" applyNumberFormat="1" applyFont="1" applyFill="1" applyBorder="1" applyAlignment="1">
      <alignment horizontal="center"/>
    </xf>
    <xf numFmtId="0" fontId="4" fillId="8" borderId="7" xfId="2" applyFont="1" applyFill="1" applyBorder="1" applyAlignment="1">
      <alignment horizontal="center" vertical="center"/>
    </xf>
    <xf numFmtId="0" fontId="4" fillId="8" borderId="8" xfId="2" applyFont="1" applyFill="1" applyBorder="1" applyAlignment="1">
      <alignment vertical="center"/>
    </xf>
    <xf numFmtId="164" fontId="4" fillId="8" borderId="8" xfId="2" applyNumberFormat="1" applyFont="1" applyFill="1" applyBorder="1" applyAlignment="1">
      <alignment horizontal="center"/>
    </xf>
    <xf numFmtId="164" fontId="4" fillId="8" borderId="9" xfId="2" applyNumberFormat="1" applyFont="1" applyFill="1" applyBorder="1" applyAlignment="1">
      <alignment horizont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7" fillId="0" borderId="0" xfId="2" applyFont="1" applyBorder="1" applyAlignment="1">
      <alignment horizontal="right"/>
    </xf>
    <xf numFmtId="0" fontId="0" fillId="0" borderId="1" xfId="0" applyBorder="1"/>
    <xf numFmtId="0" fontId="11" fillId="0" borderId="2" xfId="2" applyFont="1" applyBorder="1" applyAlignment="1">
      <alignment horizontal="center" vertical="center" wrapText="1"/>
    </xf>
    <xf numFmtId="0" fontId="0" fillId="0" borderId="4" xfId="0" applyBorder="1"/>
    <xf numFmtId="0" fontId="11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0" fillId="6" borderId="4" xfId="0" applyFill="1" applyBorder="1"/>
    <xf numFmtId="164" fontId="5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4" fontId="5" fillId="6" borderId="22" xfId="3" applyNumberFormat="1" applyFont="1" applyFill="1" applyBorder="1" applyAlignment="1">
      <alignment horizontal="center"/>
    </xf>
    <xf numFmtId="0" fontId="5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5" fillId="6" borderId="20" xfId="2" applyFont="1" applyFill="1" applyBorder="1" applyAlignment="1">
      <alignment horizontal="left"/>
    </xf>
    <xf numFmtId="164" fontId="5" fillId="6" borderId="20" xfId="3" applyNumberFormat="1" applyFont="1" applyFill="1" applyBorder="1" applyAlignment="1">
      <alignment horizontal="center"/>
    </xf>
    <xf numFmtId="0" fontId="20" fillId="0" borderId="5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1" fillId="0" borderId="27" xfId="0" applyFont="1" applyBorder="1"/>
    <xf numFmtId="164" fontId="11" fillId="0" borderId="28" xfId="3" applyNumberFormat="1" applyFont="1" applyFill="1" applyBorder="1" applyAlignment="1">
      <alignment horizontal="center"/>
    </xf>
    <xf numFmtId="0" fontId="11" fillId="0" borderId="28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21" fillId="0" borderId="0" xfId="0" applyFont="1"/>
    <xf numFmtId="0" fontId="11" fillId="0" borderId="24" xfId="0" applyFont="1" applyBorder="1"/>
    <xf numFmtId="164" fontId="11" fillId="0" borderId="20" xfId="3" applyNumberFormat="1" applyFont="1" applyFill="1" applyBorder="1" applyAlignment="1">
      <alignment horizontal="center"/>
    </xf>
    <xf numFmtId="0" fontId="11" fillId="0" borderId="2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0" fillId="0" borderId="10" xfId="0" applyBorder="1"/>
    <xf numFmtId="164" fontId="5" fillId="0" borderId="11" xfId="3" applyNumberFormat="1" applyFont="1" applyFill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0" fillId="0" borderId="21" xfId="0" applyBorder="1"/>
    <xf numFmtId="164" fontId="5" fillId="0" borderId="22" xfId="3" applyNumberFormat="1" applyFont="1" applyFill="1" applyBorder="1" applyAlignment="1">
      <alignment horizontal="center"/>
    </xf>
    <xf numFmtId="0" fontId="11" fillId="0" borderId="20" xfId="2" applyFont="1" applyBorder="1" applyAlignment="1">
      <alignment horizontal="left" vertical="center" wrapText="1"/>
    </xf>
    <xf numFmtId="0" fontId="7" fillId="6" borderId="5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21" fillId="0" borderId="4" xfId="0" applyFont="1" applyBorder="1"/>
    <xf numFmtId="164" fontId="11" fillId="0" borderId="5" xfId="3" applyNumberFormat="1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164" fontId="5" fillId="6" borderId="6" xfId="3" applyNumberFormat="1" applyFont="1" applyFill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0" fillId="0" borderId="7" xfId="0" applyBorder="1"/>
    <xf numFmtId="164" fontId="4" fillId="0" borderId="8" xfId="2" applyNumberFormat="1" applyFont="1" applyBorder="1" applyAlignment="1">
      <alignment horizontal="center"/>
    </xf>
    <xf numFmtId="0" fontId="4" fillId="0" borderId="8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/>
    </xf>
    <xf numFmtId="164" fontId="5" fillId="0" borderId="0" xfId="2" applyNumberFormat="1" applyFont="1" applyBorder="1" applyAlignment="1">
      <alignment horizontal="center" vertical="center"/>
    </xf>
    <xf numFmtId="164" fontId="4" fillId="0" borderId="0" xfId="3" applyNumberFormat="1" applyFont="1" applyFill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Border="1" applyAlignment="1">
      <alignment horizontal="left"/>
    </xf>
    <xf numFmtId="167" fontId="22" fillId="0" borderId="0" xfId="4" applyNumberFormat="1" applyFill="1" applyAlignment="1">
      <alignment vertical="center" wrapText="1"/>
    </xf>
    <xf numFmtId="166" fontId="0" fillId="0" borderId="0" xfId="1" applyNumberFormat="1" applyFont="1"/>
    <xf numFmtId="167" fontId="3" fillId="0" borderId="0" xfId="4" applyNumberFormat="1" applyFont="1" applyFill="1" applyAlignment="1">
      <alignment horizontal="right" wrapText="1"/>
    </xf>
    <xf numFmtId="167" fontId="24" fillId="0" borderId="27" xfId="4" applyNumberFormat="1" applyFont="1" applyFill="1" applyBorder="1" applyAlignment="1">
      <alignment horizontal="center" vertical="center" wrapText="1"/>
    </xf>
    <xf numFmtId="167" fontId="24" fillId="0" borderId="28" xfId="4" applyNumberFormat="1" applyFont="1" applyFill="1" applyBorder="1" applyAlignment="1">
      <alignment horizontal="center" vertical="center" wrapText="1"/>
    </xf>
    <xf numFmtId="167" fontId="24" fillId="0" borderId="29" xfId="4" applyNumberFormat="1" applyFont="1" applyFill="1" applyBorder="1" applyAlignment="1" applyProtection="1">
      <alignment horizontal="center" vertical="center" wrapText="1"/>
    </xf>
    <xf numFmtId="167" fontId="25" fillId="0" borderId="32" xfId="4" applyNumberFormat="1" applyFont="1" applyFill="1" applyBorder="1" applyAlignment="1" applyProtection="1">
      <alignment horizontal="center" vertical="center" wrapText="1"/>
    </xf>
    <xf numFmtId="167" fontId="25" fillId="0" borderId="33" xfId="4" applyNumberFormat="1" applyFont="1" applyFill="1" applyBorder="1" applyAlignment="1" applyProtection="1">
      <alignment horizontal="center" vertical="center" wrapText="1"/>
    </xf>
    <xf numFmtId="167" fontId="25" fillId="0" borderId="34" xfId="4" applyNumberFormat="1" applyFont="1" applyFill="1" applyBorder="1" applyAlignment="1" applyProtection="1">
      <alignment horizontal="center" vertical="center" wrapText="1"/>
    </xf>
    <xf numFmtId="167" fontId="23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5" xfId="4" applyNumberFormat="1" applyFont="1" applyFill="1" applyBorder="1" applyAlignment="1" applyProtection="1">
      <alignment vertical="center" wrapText="1"/>
      <protection locked="0"/>
    </xf>
    <xf numFmtId="167" fontId="26" fillId="0" borderId="6" xfId="4" applyNumberFormat="1" applyFont="1" applyFill="1" applyBorder="1" applyAlignment="1" applyProtection="1">
      <alignment vertical="center" wrapText="1"/>
    </xf>
    <xf numFmtId="166" fontId="13" fillId="0" borderId="0" xfId="1" applyNumberFormat="1" applyFont="1"/>
    <xf numFmtId="0" fontId="27" fillId="0" borderId="0" xfId="0" applyFont="1"/>
    <xf numFmtId="167" fontId="3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8" fillId="0" borderId="5" xfId="4" applyNumberFormat="1" applyFont="1" applyFill="1" applyBorder="1" applyAlignment="1" applyProtection="1">
      <alignment vertical="center" wrapText="1"/>
      <protection locked="0"/>
    </xf>
    <xf numFmtId="1" fontId="28" fillId="0" borderId="5" xfId="4" applyNumberFormat="1" applyFont="1" applyFill="1" applyBorder="1" applyAlignment="1" applyProtection="1">
      <alignment vertical="center" wrapText="1"/>
      <protection locked="0"/>
    </xf>
    <xf numFmtId="167" fontId="29" fillId="0" borderId="6" xfId="4" applyNumberFormat="1" applyFont="1" applyFill="1" applyBorder="1" applyAlignment="1" applyProtection="1">
      <alignment vertical="center" wrapText="1"/>
    </xf>
    <xf numFmtId="166" fontId="0" fillId="0" borderId="0" xfId="0" applyNumberFormat="1"/>
    <xf numFmtId="167" fontId="3" fillId="0" borderId="21" xfId="4" applyNumberFormat="1" applyFont="1" applyFill="1" applyBorder="1" applyAlignment="1" applyProtection="1">
      <alignment horizontal="left" vertical="center" wrapText="1" indent="1"/>
      <protection locked="0"/>
    </xf>
    <xf numFmtId="167" fontId="28" fillId="0" borderId="22" xfId="4" applyNumberFormat="1" applyFont="1" applyFill="1" applyBorder="1" applyAlignment="1" applyProtection="1">
      <alignment vertical="center" wrapText="1"/>
      <protection locked="0"/>
    </xf>
    <xf numFmtId="1" fontId="28" fillId="0" borderId="22" xfId="4" applyNumberFormat="1" applyFont="1" applyFill="1" applyBorder="1" applyAlignment="1" applyProtection="1">
      <alignment vertical="center" wrapText="1"/>
      <protection locked="0"/>
    </xf>
    <xf numFmtId="167" fontId="29" fillId="0" borderId="23" xfId="4" applyNumberFormat="1" applyFont="1" applyFill="1" applyBorder="1" applyAlignment="1" applyProtection="1">
      <alignment vertical="center" wrapText="1"/>
    </xf>
    <xf numFmtId="167" fontId="2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27" xfId="4" applyNumberFormat="1" applyFont="1" applyFill="1" applyBorder="1" applyAlignment="1" applyProtection="1">
      <alignment vertical="center" wrapText="1"/>
      <protection locked="0"/>
    </xf>
    <xf numFmtId="167" fontId="29" fillId="0" borderId="29" xfId="4" applyNumberFormat="1" applyFont="1" applyFill="1" applyBorder="1" applyAlignment="1" applyProtection="1">
      <alignment vertical="center" wrapText="1"/>
    </xf>
    <xf numFmtId="166" fontId="30" fillId="0" borderId="0" xfId="1" applyNumberFormat="1" applyFont="1"/>
    <xf numFmtId="0" fontId="0" fillId="0" borderId="38" xfId="0" applyFont="1" applyBorder="1" applyAlignment="1"/>
    <xf numFmtId="3" fontId="0" fillId="0" borderId="39" xfId="0" applyNumberFormat="1" applyFont="1" applyBorder="1"/>
    <xf numFmtId="0" fontId="0" fillId="0" borderId="40" xfId="0" applyFont="1" applyBorder="1" applyAlignment="1"/>
    <xf numFmtId="0" fontId="0" fillId="0" borderId="33" xfId="0" applyFont="1" applyBorder="1" applyAlignment="1"/>
    <xf numFmtId="167" fontId="29" fillId="0" borderId="13" xfId="4" applyNumberFormat="1" applyFont="1" applyFill="1" applyBorder="1" applyAlignment="1" applyProtection="1">
      <alignment vertical="center" wrapText="1"/>
    </xf>
    <xf numFmtId="3" fontId="0" fillId="0" borderId="35" xfId="0" applyNumberFormat="1" applyFont="1" applyBorder="1"/>
    <xf numFmtId="0" fontId="0" fillId="0" borderId="36" xfId="0" applyFont="1" applyBorder="1" applyAlignment="1"/>
    <xf numFmtId="0" fontId="0" fillId="0" borderId="28" xfId="0" applyFont="1" applyBorder="1" applyAlignment="1"/>
    <xf numFmtId="0" fontId="0" fillId="0" borderId="41" xfId="0" applyFont="1" applyBorder="1" applyAlignment="1"/>
    <xf numFmtId="3" fontId="0" fillId="0" borderId="42" xfId="0" applyNumberFormat="1" applyFont="1" applyBorder="1"/>
    <xf numFmtId="0" fontId="0" fillId="0" borderId="43" xfId="0" applyFont="1" applyBorder="1" applyAlignment="1"/>
    <xf numFmtId="0" fontId="0" fillId="0" borderId="19" xfId="0" applyFont="1" applyBorder="1" applyAlignment="1"/>
    <xf numFmtId="167" fontId="23" fillId="0" borderId="38" xfId="4" applyNumberFormat="1" applyFont="1" applyFill="1" applyBorder="1" applyAlignment="1" applyProtection="1">
      <alignment horizontal="left" vertical="center" wrapText="1" indent="1"/>
      <protection locked="0"/>
    </xf>
    <xf numFmtId="166" fontId="18" fillId="0" borderId="35" xfId="1" applyNumberFormat="1" applyFont="1" applyFill="1" applyBorder="1" applyAlignment="1" applyProtection="1">
      <alignment vertical="center" wrapText="1"/>
      <protection locked="0"/>
    </xf>
    <xf numFmtId="1" fontId="31" fillId="0" borderId="36" xfId="4" applyNumberFormat="1" applyFont="1" applyFill="1" applyBorder="1" applyAlignment="1" applyProtection="1">
      <alignment vertical="center" wrapText="1"/>
      <protection locked="0"/>
    </xf>
    <xf numFmtId="167" fontId="31" fillId="0" borderId="35" xfId="4" applyNumberFormat="1" applyFont="1" applyFill="1" applyBorder="1" applyAlignment="1" applyProtection="1">
      <alignment vertical="center" wrapText="1"/>
      <protection locked="0"/>
    </xf>
    <xf numFmtId="166" fontId="18" fillId="0" borderId="37" xfId="1" applyNumberFormat="1" applyFont="1" applyFill="1" applyBorder="1" applyAlignment="1" applyProtection="1">
      <alignment vertical="center" wrapText="1"/>
      <protection locked="0"/>
    </xf>
    <xf numFmtId="0" fontId="0" fillId="0" borderId="44" xfId="0" applyFont="1" applyBorder="1" applyAlignment="1"/>
    <xf numFmtId="0" fontId="0" fillId="0" borderId="39" xfId="0" applyFont="1" applyBorder="1" applyAlignment="1"/>
    <xf numFmtId="0" fontId="0" fillId="0" borderId="45" xfId="0" applyFont="1" applyBorder="1" applyAlignment="1"/>
    <xf numFmtId="0" fontId="0" fillId="0" borderId="35" xfId="0" applyFont="1" applyBorder="1" applyAlignment="1"/>
    <xf numFmtId="0" fontId="0" fillId="0" borderId="46" xfId="0" applyFont="1" applyBorder="1" applyAlignment="1"/>
    <xf numFmtId="0" fontId="0" fillId="0" borderId="42" xfId="0" applyFont="1" applyBorder="1" applyAlignment="1"/>
    <xf numFmtId="0" fontId="0" fillId="0" borderId="47" xfId="0" applyFont="1" applyBorder="1" applyAlignment="1"/>
    <xf numFmtId="43" fontId="0" fillId="0" borderId="0" xfId="1" applyNumberFormat="1" applyFont="1"/>
    <xf numFmtId="167" fontId="23" fillId="0" borderId="48" xfId="4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5" xfId="1" applyNumberFormat="1" applyFont="1" applyBorder="1"/>
    <xf numFmtId="1" fontId="31" fillId="0" borderId="14" xfId="4" applyNumberFormat="1" applyFont="1" applyFill="1" applyBorder="1" applyAlignment="1" applyProtection="1">
      <alignment vertical="center" wrapText="1"/>
      <protection locked="0"/>
    </xf>
    <xf numFmtId="167" fontId="31" fillId="0" borderId="16" xfId="4" applyNumberFormat="1" applyFont="1" applyFill="1" applyBorder="1" applyAlignment="1" applyProtection="1">
      <alignment vertical="center" wrapText="1"/>
      <protection locked="0"/>
    </xf>
    <xf numFmtId="167" fontId="32" fillId="0" borderId="48" xfId="4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11" xfId="1" applyNumberFormat="1" applyFont="1" applyFill="1" applyBorder="1" applyAlignment="1" applyProtection="1">
      <alignment vertical="center" wrapText="1"/>
      <protection locked="0"/>
    </xf>
    <xf numFmtId="1" fontId="28" fillId="0" borderId="14" xfId="4" applyNumberFormat="1" applyFont="1" applyFill="1" applyBorder="1" applyAlignment="1" applyProtection="1">
      <alignment horizontal="right" vertical="center" wrapText="1"/>
      <protection locked="0"/>
    </xf>
    <xf numFmtId="166" fontId="28" fillId="0" borderId="49" xfId="1" applyNumberFormat="1" applyFont="1" applyFill="1" applyBorder="1" applyAlignment="1" applyProtection="1">
      <alignment vertical="center" wrapText="1"/>
      <protection locked="0"/>
    </xf>
    <xf numFmtId="167" fontId="29" fillId="0" borderId="5" xfId="4" applyNumberFormat="1" applyFont="1" applyFill="1" applyBorder="1" applyAlignment="1" applyProtection="1">
      <alignment vertical="center" wrapText="1"/>
    </xf>
    <xf numFmtId="167" fontId="34" fillId="0" borderId="38" xfId="4" applyNumberFormat="1" applyFont="1" applyFill="1" applyBorder="1" applyAlignment="1" applyProtection="1">
      <alignment horizontal="left" vertical="center" wrapText="1" indent="1"/>
      <protection locked="0"/>
    </xf>
    <xf numFmtId="166" fontId="30" fillId="0" borderId="28" xfId="1" applyNumberFormat="1" applyFont="1" applyBorder="1"/>
    <xf numFmtId="166" fontId="35" fillId="0" borderId="0" xfId="1" applyNumberFormat="1" applyFont="1"/>
    <xf numFmtId="0" fontId="35" fillId="0" borderId="0" xfId="0" applyFont="1"/>
    <xf numFmtId="166" fontId="35" fillId="0" borderId="0" xfId="0" applyNumberFormat="1" applyFont="1"/>
    <xf numFmtId="167" fontId="36" fillId="0" borderId="38" xfId="4" applyNumberFormat="1" applyFont="1" applyFill="1" applyBorder="1" applyAlignment="1">
      <alignment horizontal="left" vertical="center" wrapText="1"/>
    </xf>
    <xf numFmtId="167" fontId="37" fillId="0" borderId="28" xfId="4" applyNumberFormat="1" applyFont="1" applyFill="1" applyBorder="1" applyAlignment="1">
      <alignment vertical="center" wrapText="1"/>
    </xf>
    <xf numFmtId="166" fontId="38" fillId="0" borderId="0" xfId="1" applyNumberFormat="1" applyFont="1"/>
    <xf numFmtId="0" fontId="38" fillId="0" borderId="0" xfId="0" applyFont="1"/>
    <xf numFmtId="166" fontId="38" fillId="0" borderId="0" xfId="0" applyNumberFormat="1" applyFont="1"/>
    <xf numFmtId="167" fontId="22" fillId="0" borderId="0" xfId="4" applyNumberFormat="1" applyFill="1" applyAlignment="1">
      <alignment horizontal="center" vertical="center" wrapText="1"/>
    </xf>
    <xf numFmtId="167" fontId="22" fillId="0" borderId="0" xfId="4" applyNumberFormat="1" applyFont="1" applyFill="1" applyAlignment="1">
      <alignment vertical="center" wrapText="1"/>
    </xf>
    <xf numFmtId="167" fontId="3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22" fillId="0" borderId="0" xfId="4" applyNumberFormat="1" applyFont="1" applyFill="1" applyBorder="1" applyAlignment="1">
      <alignment vertical="center" wrapText="1"/>
    </xf>
    <xf numFmtId="0" fontId="22" fillId="0" borderId="0" xfId="4" applyNumberFormat="1" applyFont="1" applyFill="1" applyBorder="1" applyAlignment="1">
      <alignment horizontal="center" vertical="center" wrapText="1"/>
    </xf>
    <xf numFmtId="0" fontId="22" fillId="0" borderId="0" xfId="4" applyNumberFormat="1" applyFill="1" applyAlignment="1">
      <alignment horizontal="center" vertical="center" wrapText="1"/>
    </xf>
    <xf numFmtId="167" fontId="22" fillId="0" borderId="0" xfId="4" applyNumberFormat="1" applyFill="1" applyBorder="1" applyAlignment="1">
      <alignment vertical="center" wrapText="1"/>
    </xf>
    <xf numFmtId="0" fontId="22" fillId="0" borderId="0" xfId="4" applyNumberFormat="1" applyFill="1" applyBorder="1" applyAlignment="1">
      <alignment horizontal="center" vertical="center" wrapText="1"/>
    </xf>
    <xf numFmtId="167" fontId="33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22" fillId="0" borderId="0" xfId="4" applyNumberFormat="1" applyFill="1" applyBorder="1" applyAlignment="1">
      <alignment horizontal="center" vertical="center" wrapText="1"/>
    </xf>
    <xf numFmtId="0" fontId="22" fillId="0" borderId="0" xfId="4" applyNumberFormat="1" applyFill="1" applyBorder="1" applyAlignment="1">
      <alignment vertical="center" wrapText="1"/>
    </xf>
    <xf numFmtId="0" fontId="40" fillId="0" borderId="0" xfId="0" applyFont="1" applyAlignment="1"/>
    <xf numFmtId="0" fontId="39" fillId="0" borderId="0" xfId="0" applyFont="1" applyAlignment="1">
      <alignment horizontal="center"/>
    </xf>
    <xf numFmtId="166" fontId="39" fillId="0" borderId="0" xfId="1" applyNumberFormat="1" applyFont="1" applyAlignment="1">
      <alignment horizontal="center"/>
    </xf>
    <xf numFmtId="0" fontId="40" fillId="0" borderId="0" xfId="0" applyFont="1"/>
    <xf numFmtId="0" fontId="39" fillId="0" borderId="0" xfId="0" applyFont="1" applyAlignment="1">
      <alignment horizontal="center" vertical="center"/>
    </xf>
    <xf numFmtId="166" fontId="39" fillId="0" borderId="0" xfId="1" applyNumberFormat="1" applyFont="1" applyAlignment="1">
      <alignment horizontal="center" vertical="center"/>
    </xf>
    <xf numFmtId="166" fontId="40" fillId="0" borderId="0" xfId="1" applyNumberFormat="1" applyFont="1"/>
    <xf numFmtId="0" fontId="40" fillId="0" borderId="0" xfId="0" applyFont="1" applyAlignment="1">
      <alignment horizontal="left"/>
    </xf>
    <xf numFmtId="166" fontId="40" fillId="0" borderId="2" xfId="1" quotePrefix="1" applyNumberFormat="1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/>
    </xf>
    <xf numFmtId="166" fontId="40" fillId="0" borderId="5" xfId="1" quotePrefix="1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/>
    </xf>
    <xf numFmtId="166" fontId="41" fillId="0" borderId="5" xfId="1" quotePrefix="1" applyNumberFormat="1" applyFont="1" applyFill="1" applyBorder="1" applyAlignment="1">
      <alignment horizontal="center" vertical="center"/>
    </xf>
    <xf numFmtId="166" fontId="41" fillId="0" borderId="22" xfId="1" quotePrefix="1" applyNumberFormat="1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/>
    </xf>
    <xf numFmtId="166" fontId="39" fillId="0" borderId="33" xfId="1" quotePrefix="1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/>
    </xf>
    <xf numFmtId="0" fontId="39" fillId="0" borderId="0" xfId="0" applyFont="1"/>
    <xf numFmtId="168" fontId="40" fillId="0" borderId="0" xfId="0" applyNumberFormat="1" applyFont="1"/>
    <xf numFmtId="0" fontId="40" fillId="0" borderId="5" xfId="0" applyFont="1" applyBorder="1" applyAlignment="1">
      <alignment horizontal="centerContinuous"/>
    </xf>
    <xf numFmtId="0" fontId="40" fillId="0" borderId="5" xfId="0" applyFont="1" applyBorder="1"/>
    <xf numFmtId="0" fontId="40" fillId="0" borderId="5" xfId="0" applyFont="1" applyBorder="1" applyAlignment="1">
      <alignment horizontal="center"/>
    </xf>
    <xf numFmtId="164" fontId="40" fillId="0" borderId="0" xfId="0" applyNumberFormat="1" applyFont="1"/>
    <xf numFmtId="0" fontId="40" fillId="0" borderId="17" xfId="0" applyFont="1" applyBorder="1"/>
    <xf numFmtId="0" fontId="40" fillId="0" borderId="14" xfId="0" applyFont="1" applyBorder="1"/>
    <xf numFmtId="0" fontId="20" fillId="0" borderId="0" xfId="0" applyFont="1"/>
    <xf numFmtId="0" fontId="5" fillId="0" borderId="0" xfId="0" applyFont="1" applyBorder="1"/>
    <xf numFmtId="166" fontId="5" fillId="0" borderId="0" xfId="1" applyNumberFormat="1" applyFont="1" applyBorder="1"/>
    <xf numFmtId="166" fontId="20" fillId="0" borderId="0" xfId="1" applyNumberFormat="1" applyFont="1"/>
    <xf numFmtId="0" fontId="5" fillId="0" borderId="0" xfId="0" applyFont="1" applyAlignment="1">
      <alignment horizontal="left" vertical="center" wrapText="1"/>
    </xf>
    <xf numFmtId="0" fontId="5" fillId="0" borderId="27" xfId="0" applyFont="1" applyBorder="1"/>
    <xf numFmtId="166" fontId="5" fillId="0" borderId="28" xfId="1" applyNumberFormat="1" applyFont="1" applyBorder="1" applyAlignment="1">
      <alignment horizontal="center"/>
    </xf>
    <xf numFmtId="166" fontId="5" fillId="0" borderId="29" xfId="1" applyNumberFormat="1" applyFont="1" applyBorder="1" applyAlignment="1">
      <alignment horizontal="center"/>
    </xf>
    <xf numFmtId="0" fontId="5" fillId="0" borderId="10" xfId="0" applyFont="1" applyBorder="1"/>
    <xf numFmtId="166" fontId="5" fillId="0" borderId="11" xfId="1" applyNumberFormat="1" applyFont="1" applyBorder="1"/>
    <xf numFmtId="166" fontId="5" fillId="0" borderId="13" xfId="1" applyNumberFormat="1" applyFont="1" applyBorder="1"/>
    <xf numFmtId="0" fontId="43" fillId="0" borderId="4" xfId="0" applyFont="1" applyBorder="1" applyAlignment="1">
      <alignment horizontal="right"/>
    </xf>
    <xf numFmtId="166" fontId="5" fillId="0" borderId="5" xfId="1" applyNumberFormat="1" applyFont="1" applyBorder="1"/>
    <xf numFmtId="0" fontId="5" fillId="0" borderId="4" xfId="0" applyFont="1" applyBorder="1"/>
    <xf numFmtId="0" fontId="5" fillId="0" borderId="21" xfId="0" applyFont="1" applyBorder="1"/>
    <xf numFmtId="166" fontId="5" fillId="0" borderId="22" xfId="1" applyNumberFormat="1" applyFont="1" applyBorder="1"/>
    <xf numFmtId="166" fontId="5" fillId="0" borderId="26" xfId="1" applyNumberFormat="1" applyFont="1" applyBorder="1"/>
    <xf numFmtId="166" fontId="5" fillId="0" borderId="28" xfId="1" applyNumberFormat="1" applyFont="1" applyBorder="1"/>
    <xf numFmtId="166" fontId="5" fillId="0" borderId="29" xfId="1" applyNumberFormat="1" applyFont="1" applyBorder="1"/>
    <xf numFmtId="0" fontId="5" fillId="0" borderId="0" xfId="0" applyFont="1"/>
    <xf numFmtId="166" fontId="5" fillId="0" borderId="0" xfId="1" applyNumberFormat="1" applyFont="1"/>
    <xf numFmtId="0" fontId="22" fillId="0" borderId="0" xfId="4" applyFill="1" applyAlignment="1">
      <alignment horizontal="center" vertical="center" wrapText="1"/>
    </xf>
    <xf numFmtId="0" fontId="22" fillId="0" borderId="0" xfId="4" applyFill="1" applyAlignment="1">
      <alignment vertical="center" wrapText="1"/>
    </xf>
    <xf numFmtId="167" fontId="44" fillId="0" borderId="0" xfId="4" applyNumberFormat="1" applyFont="1" applyFill="1" applyAlignment="1">
      <alignment horizontal="center" vertical="center" wrapText="1"/>
    </xf>
    <xf numFmtId="167" fontId="44" fillId="0" borderId="0" xfId="4" applyNumberFormat="1" applyFont="1" applyFill="1" applyAlignment="1">
      <alignment vertical="center" wrapText="1"/>
    </xf>
    <xf numFmtId="167" fontId="22" fillId="0" borderId="0" xfId="4" applyNumberFormat="1" applyFont="1" applyFill="1" applyAlignment="1">
      <alignment horizontal="right" vertical="center"/>
    </xf>
    <xf numFmtId="0" fontId="24" fillId="0" borderId="27" xfId="4" applyFont="1" applyFill="1" applyBorder="1" applyAlignment="1">
      <alignment horizontal="center" vertical="center" wrapText="1"/>
    </xf>
    <xf numFmtId="0" fontId="24" fillId="0" borderId="28" xfId="4" applyFont="1" applyFill="1" applyBorder="1" applyAlignment="1">
      <alignment horizontal="center" vertical="center" wrapText="1"/>
    </xf>
    <xf numFmtId="0" fontId="24" fillId="0" borderId="29" xfId="4" applyFont="1" applyFill="1" applyBorder="1" applyAlignment="1">
      <alignment horizontal="center" vertical="center" wrapText="1"/>
    </xf>
    <xf numFmtId="0" fontId="45" fillId="0" borderId="0" xfId="4" applyFont="1" applyFill="1" applyAlignment="1">
      <alignment horizontal="center" vertical="center" wrapText="1"/>
    </xf>
    <xf numFmtId="0" fontId="25" fillId="0" borderId="27" xfId="4" applyFont="1" applyFill="1" applyBorder="1" applyAlignment="1">
      <alignment horizontal="center" vertical="center" wrapText="1"/>
    </xf>
    <xf numFmtId="0" fontId="25" fillId="0" borderId="28" xfId="4" applyFont="1" applyFill="1" applyBorder="1" applyAlignment="1">
      <alignment horizontal="center" vertical="center" wrapText="1"/>
    </xf>
    <xf numFmtId="0" fontId="25" fillId="0" borderId="29" xfId="4" applyFont="1" applyFill="1" applyBorder="1" applyAlignment="1">
      <alignment horizontal="center" vertical="center" wrapText="1"/>
    </xf>
    <xf numFmtId="0" fontId="46" fillId="0" borderId="1" xfId="4" applyFont="1" applyFill="1" applyBorder="1" applyAlignment="1">
      <alignment horizontal="center" vertical="center" wrapText="1"/>
    </xf>
    <xf numFmtId="0" fontId="47" fillId="0" borderId="12" xfId="4" applyFont="1" applyFill="1" applyBorder="1" applyAlignment="1" applyProtection="1">
      <alignment horizontal="left" vertical="center" wrapText="1" indent="1"/>
      <protection locked="0"/>
    </xf>
    <xf numFmtId="167" fontId="46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7" fontId="46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4" xfId="4" applyFont="1" applyFill="1" applyBorder="1" applyAlignment="1">
      <alignment horizontal="center" vertical="center" wrapText="1"/>
    </xf>
    <xf numFmtId="0" fontId="47" fillId="0" borderId="14" xfId="4" applyFont="1" applyFill="1" applyBorder="1" applyAlignment="1" applyProtection="1">
      <alignment horizontal="left" vertical="center" wrapText="1" indent="1"/>
      <protection locked="0"/>
    </xf>
    <xf numFmtId="167" fontId="4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7" fontId="46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14" xfId="4" applyFont="1" applyFill="1" applyBorder="1" applyAlignment="1" applyProtection="1">
      <alignment horizontal="left" vertical="center" wrapText="1" indent="8"/>
      <protection locked="0"/>
    </xf>
    <xf numFmtId="0" fontId="46" fillId="0" borderId="11" xfId="4" applyFont="1" applyFill="1" applyBorder="1" applyAlignment="1" applyProtection="1">
      <alignment vertical="center" wrapText="1"/>
      <protection locked="0"/>
    </xf>
    <xf numFmtId="167" fontId="46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27" xfId="4" applyFont="1" applyFill="1" applyBorder="1" applyAlignment="1">
      <alignment horizontal="center" vertical="center" wrapText="1"/>
    </xf>
    <xf numFmtId="0" fontId="49" fillId="0" borderId="33" xfId="4" applyFont="1" applyFill="1" applyBorder="1" applyAlignment="1">
      <alignment vertical="center" wrapText="1"/>
    </xf>
    <xf numFmtId="167" fontId="48" fillId="0" borderId="33" xfId="4" applyNumberFormat="1" applyFont="1" applyFill="1" applyBorder="1" applyAlignment="1">
      <alignment vertical="center" wrapText="1"/>
    </xf>
    <xf numFmtId="167" fontId="48" fillId="0" borderId="34" xfId="4" applyNumberFormat="1" applyFont="1" applyFill="1" applyBorder="1" applyAlignment="1">
      <alignment vertical="center" wrapText="1"/>
    </xf>
    <xf numFmtId="0" fontId="22" fillId="0" borderId="0" xfId="4" applyFill="1" applyAlignment="1">
      <alignment horizontal="right" vertical="center" wrapText="1"/>
    </xf>
    <xf numFmtId="167" fontId="51" fillId="0" borderId="0" xfId="4" applyNumberFormat="1" applyFont="1" applyFill="1" applyAlignment="1">
      <alignment horizontal="right"/>
    </xf>
    <xf numFmtId="167" fontId="24" fillId="0" borderId="44" xfId="4" applyNumberFormat="1" applyFont="1" applyFill="1" applyBorder="1" applyAlignment="1">
      <alignment horizontal="center" vertical="center"/>
    </xf>
    <xf numFmtId="167" fontId="24" fillId="0" borderId="9" xfId="4" applyNumberFormat="1" applyFont="1" applyFill="1" applyBorder="1" applyAlignment="1">
      <alignment horizontal="center" vertical="center" wrapText="1"/>
    </xf>
    <xf numFmtId="167" fontId="25" fillId="0" borderId="38" xfId="4" applyNumberFormat="1" applyFont="1" applyFill="1" applyBorder="1" applyAlignment="1">
      <alignment horizontal="center" vertical="center" wrapText="1"/>
    </xf>
    <xf numFmtId="167" fontId="25" fillId="0" borderId="35" xfId="4" applyNumberFormat="1" applyFont="1" applyFill="1" applyBorder="1" applyAlignment="1">
      <alignment horizontal="center" vertical="center" wrapText="1"/>
    </xf>
    <xf numFmtId="167" fontId="25" fillId="0" borderId="56" xfId="4" applyNumberFormat="1" applyFont="1" applyFill="1" applyBorder="1" applyAlignment="1">
      <alignment horizontal="center" vertical="center" wrapText="1"/>
    </xf>
    <xf numFmtId="167" fontId="25" fillId="0" borderId="29" xfId="4" applyNumberFormat="1" applyFont="1" applyFill="1" applyBorder="1" applyAlignment="1">
      <alignment horizontal="center" vertical="center" wrapText="1"/>
    </xf>
    <xf numFmtId="167" fontId="25" fillId="0" borderId="57" xfId="4" applyNumberFormat="1" applyFont="1" applyFill="1" applyBorder="1" applyAlignment="1">
      <alignment horizontal="center" vertical="center" wrapText="1"/>
    </xf>
    <xf numFmtId="167" fontId="25" fillId="0" borderId="27" xfId="4" applyNumberFormat="1" applyFont="1" applyFill="1" applyBorder="1" applyAlignment="1">
      <alignment horizontal="center" vertical="center" wrapText="1"/>
    </xf>
    <xf numFmtId="167" fontId="25" fillId="0" borderId="35" xfId="4" applyNumberFormat="1" applyFont="1" applyFill="1" applyBorder="1" applyAlignment="1">
      <alignment horizontal="left" vertical="center" wrapText="1" indent="1"/>
    </xf>
    <xf numFmtId="167" fontId="52" fillId="0" borderId="28" xfId="4" applyNumberFormat="1" applyFont="1" applyFill="1" applyBorder="1" applyAlignment="1" applyProtection="1">
      <alignment horizontal="left" vertical="center" wrapText="1" indent="2"/>
    </xf>
    <xf numFmtId="167" fontId="52" fillId="0" borderId="35" xfId="4" applyNumberFormat="1" applyFont="1" applyFill="1" applyBorder="1" applyAlignment="1" applyProtection="1">
      <alignment vertical="center" wrapText="1"/>
    </xf>
    <xf numFmtId="167" fontId="52" fillId="0" borderId="27" xfId="4" applyNumberFormat="1" applyFont="1" applyFill="1" applyBorder="1" applyAlignment="1" applyProtection="1">
      <alignment vertical="center" wrapText="1"/>
    </xf>
    <xf numFmtId="167" fontId="52" fillId="0" borderId="28" xfId="4" applyNumberFormat="1" applyFont="1" applyFill="1" applyBorder="1" applyAlignment="1" applyProtection="1">
      <alignment vertical="center" wrapText="1"/>
    </xf>
    <xf numFmtId="167" fontId="52" fillId="0" borderId="29" xfId="4" applyNumberFormat="1" applyFont="1" applyFill="1" applyBorder="1" applyAlignment="1" applyProtection="1">
      <alignment vertical="center" wrapText="1"/>
    </xf>
    <xf numFmtId="167" fontId="52" fillId="0" borderId="35" xfId="4" applyNumberFormat="1" applyFont="1" applyFill="1" applyBorder="1" applyAlignment="1">
      <alignment vertical="center" wrapText="1"/>
    </xf>
    <xf numFmtId="167" fontId="25" fillId="0" borderId="4" xfId="4" applyNumberFormat="1" applyFont="1" applyFill="1" applyBorder="1" applyAlignment="1">
      <alignment horizontal="center" vertical="center" wrapText="1"/>
    </xf>
    <xf numFmtId="167" fontId="52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9" fontId="28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52" fillId="0" borderId="58" xfId="4" applyNumberFormat="1" applyFont="1" applyFill="1" applyBorder="1" applyAlignment="1" applyProtection="1">
      <alignment vertical="center" wrapText="1"/>
      <protection locked="0"/>
    </xf>
    <xf numFmtId="167" fontId="52" fillId="0" borderId="4" xfId="4" applyNumberFormat="1" applyFont="1" applyFill="1" applyBorder="1" applyAlignment="1" applyProtection="1">
      <alignment vertical="center" wrapText="1"/>
      <protection locked="0"/>
    </xf>
    <xf numFmtId="167" fontId="52" fillId="0" borderId="5" xfId="4" applyNumberFormat="1" applyFont="1" applyFill="1" applyBorder="1" applyAlignment="1" applyProtection="1">
      <alignment vertical="center" wrapText="1"/>
      <protection locked="0"/>
    </xf>
    <xf numFmtId="167" fontId="52" fillId="0" borderId="6" xfId="4" applyNumberFormat="1" applyFont="1" applyFill="1" applyBorder="1" applyAlignment="1" applyProtection="1">
      <alignment vertical="center" wrapText="1"/>
      <protection locked="0"/>
    </xf>
    <xf numFmtId="167" fontId="52" fillId="0" borderId="58" xfId="4" applyNumberFormat="1" applyFont="1" applyFill="1" applyBorder="1" applyAlignment="1">
      <alignment vertical="center" wrapText="1"/>
    </xf>
    <xf numFmtId="167" fontId="25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28" fillId="0" borderId="28" xfId="4" applyNumberFormat="1" applyFont="1" applyFill="1" applyBorder="1" applyAlignment="1" applyProtection="1">
      <alignment horizontal="left" vertical="center" wrapText="1" indent="2"/>
    </xf>
    <xf numFmtId="14" fontId="28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53" fillId="0" borderId="27" xfId="4" applyNumberFormat="1" applyFont="1" applyFill="1" applyBorder="1" applyAlignment="1">
      <alignment horizontal="center" vertical="center" wrapText="1"/>
    </xf>
    <xf numFmtId="167" fontId="53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53" fillId="0" borderId="28" xfId="4" applyNumberFormat="1" applyFont="1" applyFill="1" applyBorder="1" applyAlignment="1" applyProtection="1">
      <alignment horizontal="left" vertical="center" wrapText="1" indent="2"/>
    </xf>
    <xf numFmtId="167" fontId="53" fillId="0" borderId="35" xfId="4" applyNumberFormat="1" applyFont="1" applyFill="1" applyBorder="1" applyAlignment="1" applyProtection="1">
      <alignment vertical="center" wrapText="1"/>
    </xf>
    <xf numFmtId="167" fontId="53" fillId="0" borderId="27" xfId="4" applyNumberFormat="1" applyFont="1" applyFill="1" applyBorder="1" applyAlignment="1" applyProtection="1">
      <alignment vertical="center" wrapText="1"/>
    </xf>
    <xf numFmtId="167" fontId="53" fillId="0" borderId="0" xfId="4" applyNumberFormat="1" applyFont="1" applyFill="1" applyAlignment="1">
      <alignment vertical="center" wrapText="1"/>
    </xf>
    <xf numFmtId="167" fontId="25" fillId="0" borderId="10" xfId="4" applyNumberFormat="1" applyFont="1" applyFill="1" applyBorder="1" applyAlignment="1">
      <alignment horizontal="center" vertical="center" wrapText="1"/>
    </xf>
    <xf numFmtId="166" fontId="20" fillId="0" borderId="11" xfId="1" applyNumberFormat="1" applyFont="1" applyBorder="1" applyAlignment="1">
      <alignment vertical="distributed" wrapText="1"/>
    </xf>
    <xf numFmtId="167" fontId="28" fillId="0" borderId="13" xfId="4" applyNumberFormat="1" applyFont="1" applyFill="1" applyBorder="1" applyAlignment="1" applyProtection="1">
      <alignment vertical="center" wrapText="1"/>
    </xf>
    <xf numFmtId="167" fontId="28" fillId="0" borderId="11" xfId="4" applyNumberFormat="1" applyFont="1" applyFill="1" applyBorder="1" applyAlignment="1" applyProtection="1">
      <alignment vertical="center" wrapText="1"/>
      <protection locked="0"/>
    </xf>
    <xf numFmtId="167" fontId="28" fillId="0" borderId="13" xfId="4" applyNumberFormat="1" applyFont="1" applyFill="1" applyBorder="1" applyAlignment="1" applyProtection="1">
      <alignment vertical="center" wrapText="1"/>
      <protection locked="0"/>
    </xf>
    <xf numFmtId="167" fontId="28" fillId="0" borderId="59" xfId="4" applyNumberFormat="1" applyFont="1" applyFill="1" applyBorder="1" applyAlignment="1">
      <alignment vertical="center" wrapText="1"/>
    </xf>
    <xf numFmtId="166" fontId="5" fillId="0" borderId="49" xfId="1" applyNumberFormat="1" applyFont="1" applyBorder="1" applyAlignment="1">
      <alignment vertical="distributed" wrapText="1"/>
    </xf>
    <xf numFmtId="166" fontId="5" fillId="0" borderId="5" xfId="1" applyNumberFormat="1" applyFont="1" applyBorder="1" applyAlignment="1">
      <alignment vertical="distributed" wrapText="1"/>
    </xf>
    <xf numFmtId="166" fontId="5" fillId="0" borderId="52" xfId="1" applyNumberFormat="1" applyFont="1" applyBorder="1" applyAlignment="1">
      <alignment vertical="distributed" wrapText="1"/>
    </xf>
    <xf numFmtId="167" fontId="52" fillId="0" borderId="60" xfId="4" applyNumberFormat="1" applyFont="1" applyFill="1" applyBorder="1" applyAlignment="1" applyProtection="1">
      <alignment horizontal="left" vertical="center" wrapText="1" indent="1"/>
      <protection locked="0"/>
    </xf>
    <xf numFmtId="169" fontId="28" fillId="0" borderId="22" xfId="4" applyNumberFormat="1" applyFont="1" applyFill="1" applyBorder="1" applyAlignment="1" applyProtection="1">
      <alignment horizontal="left" vertical="center" wrapText="1" indent="2"/>
      <protection locked="0"/>
    </xf>
    <xf numFmtId="167" fontId="52" fillId="0" borderId="60" xfId="4" applyNumberFormat="1" applyFont="1" applyFill="1" applyBorder="1" applyAlignment="1" applyProtection="1">
      <alignment vertical="center" wrapText="1"/>
      <protection locked="0"/>
    </xf>
    <xf numFmtId="167" fontId="52" fillId="0" borderId="21" xfId="4" applyNumberFormat="1" applyFont="1" applyFill="1" applyBorder="1" applyAlignment="1" applyProtection="1">
      <alignment vertical="center" wrapText="1"/>
      <protection locked="0"/>
    </xf>
    <xf numFmtId="167" fontId="52" fillId="0" borderId="22" xfId="4" applyNumberFormat="1" applyFont="1" applyFill="1" applyBorder="1" applyAlignment="1" applyProtection="1">
      <alignment vertical="center" wrapText="1"/>
      <protection locked="0"/>
    </xf>
    <xf numFmtId="167" fontId="52" fillId="0" borderId="23" xfId="4" applyNumberFormat="1" applyFont="1" applyFill="1" applyBorder="1" applyAlignment="1" applyProtection="1">
      <alignment vertical="center" wrapText="1"/>
      <protection locked="0"/>
    </xf>
    <xf numFmtId="167" fontId="52" fillId="0" borderId="60" xfId="4" applyNumberFormat="1" applyFont="1" applyFill="1" applyBorder="1" applyAlignment="1">
      <alignment vertical="center" wrapText="1"/>
    </xf>
    <xf numFmtId="167" fontId="48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35" xfId="4" applyNumberFormat="1" applyFont="1" applyFill="1" applyBorder="1" applyAlignment="1" applyProtection="1">
      <alignment vertical="center" wrapText="1"/>
      <protection locked="0"/>
    </xf>
    <xf numFmtId="167" fontId="52" fillId="0" borderId="27" xfId="4" applyNumberFormat="1" applyFont="1" applyFill="1" applyBorder="1" applyAlignment="1" applyProtection="1">
      <alignment vertical="center" wrapText="1"/>
      <protection locked="0"/>
    </xf>
    <xf numFmtId="167" fontId="52" fillId="0" borderId="28" xfId="4" applyNumberFormat="1" applyFont="1" applyFill="1" applyBorder="1" applyAlignment="1" applyProtection="1">
      <alignment vertical="center" wrapText="1"/>
      <protection locked="0"/>
    </xf>
    <xf numFmtId="167" fontId="52" fillId="0" borderId="29" xfId="4" applyNumberFormat="1" applyFont="1" applyFill="1" applyBorder="1" applyAlignment="1" applyProtection="1">
      <alignment vertical="center" wrapText="1"/>
      <protection locked="0"/>
    </xf>
    <xf numFmtId="167" fontId="52" fillId="0" borderId="59" xfId="4" applyNumberFormat="1" applyFont="1" applyFill="1" applyBorder="1" applyAlignment="1" applyProtection="1">
      <alignment horizontal="left" vertical="center" wrapText="1" indent="1"/>
      <protection locked="0"/>
    </xf>
    <xf numFmtId="169" fontId="28" fillId="0" borderId="61" xfId="4" applyNumberFormat="1" applyFont="1" applyFill="1" applyBorder="1" applyAlignment="1" applyProtection="1">
      <alignment horizontal="left" vertical="center" wrapText="1" indent="2"/>
      <protection locked="0"/>
    </xf>
    <xf numFmtId="167" fontId="52" fillId="0" borderId="57" xfId="4" applyNumberFormat="1" applyFont="1" applyFill="1" applyBorder="1" applyAlignment="1" applyProtection="1">
      <alignment vertical="center" wrapText="1"/>
      <protection locked="0"/>
    </xf>
    <xf numFmtId="167" fontId="52" fillId="0" borderId="24" xfId="4" applyNumberFormat="1" applyFont="1" applyFill="1" applyBorder="1" applyAlignment="1" applyProtection="1">
      <alignment vertical="center" wrapText="1"/>
      <protection locked="0"/>
    </xf>
    <xf numFmtId="167" fontId="52" fillId="0" borderId="20" xfId="4" applyNumberFormat="1" applyFont="1" applyFill="1" applyBorder="1" applyAlignment="1" applyProtection="1">
      <alignment vertical="center" wrapText="1"/>
      <protection locked="0"/>
    </xf>
    <xf numFmtId="167" fontId="52" fillId="0" borderId="26" xfId="4" applyNumberFormat="1" applyFont="1" applyFill="1" applyBorder="1" applyAlignment="1" applyProtection="1">
      <alignment vertical="center" wrapText="1"/>
      <protection locked="0"/>
    </xf>
    <xf numFmtId="167" fontId="52" fillId="0" borderId="57" xfId="4" applyNumberFormat="1" applyFont="1" applyFill="1" applyBorder="1" applyAlignment="1">
      <alignment vertical="center" wrapText="1"/>
    </xf>
    <xf numFmtId="167" fontId="34" fillId="6" borderId="56" xfId="4" applyNumberFormat="1" applyFont="1" applyFill="1" applyBorder="1" applyAlignment="1" applyProtection="1">
      <alignment horizontal="left" vertical="center" wrapText="1" indent="2"/>
    </xf>
    <xf numFmtId="167" fontId="34" fillId="0" borderId="35" xfId="4" applyNumberFormat="1" applyFont="1" applyFill="1" applyBorder="1" applyAlignment="1" applyProtection="1">
      <alignment vertical="center" wrapText="1"/>
    </xf>
    <xf numFmtId="167" fontId="34" fillId="0" borderId="27" xfId="4" applyNumberFormat="1" applyFont="1" applyFill="1" applyBorder="1" applyAlignment="1" applyProtection="1">
      <alignment vertical="center" wrapText="1"/>
    </xf>
    <xf numFmtId="167" fontId="34" fillId="0" borderId="28" xfId="4" applyNumberFormat="1" applyFont="1" applyFill="1" applyBorder="1" applyAlignment="1" applyProtection="1">
      <alignment vertical="center" wrapText="1"/>
    </xf>
    <xf numFmtId="167" fontId="34" fillId="0" borderId="29" xfId="4" applyNumberFormat="1" applyFont="1" applyFill="1" applyBorder="1" applyAlignment="1" applyProtection="1">
      <alignment vertical="center" wrapText="1"/>
    </xf>
    <xf numFmtId="167" fontId="34" fillId="0" borderId="35" xfId="4" applyNumberFormat="1" applyFont="1" applyFill="1" applyBorder="1" applyAlignment="1">
      <alignment vertical="center" wrapText="1"/>
    </xf>
    <xf numFmtId="167" fontId="34" fillId="0" borderId="0" xfId="4" applyNumberFormat="1" applyFont="1" applyFill="1" applyAlignment="1">
      <alignment vertical="center" wrapText="1"/>
    </xf>
    <xf numFmtId="167" fontId="22" fillId="0" borderId="0" xfId="4" applyNumberFormat="1" applyFont="1" applyFill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" fontId="20" fillId="0" borderId="0" xfId="0" applyNumberFormat="1" applyFont="1"/>
    <xf numFmtId="0" fontId="6" fillId="0" borderId="6" xfId="2" applyFont="1" applyBorder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2" fillId="6" borderId="14" xfId="2" applyFont="1" applyFill="1" applyBorder="1" applyAlignment="1">
      <alignment horizontal="center" vertical="center" wrapText="1"/>
    </xf>
    <xf numFmtId="0" fontId="12" fillId="6" borderId="5" xfId="2" applyFont="1" applyFill="1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/>
    </xf>
    <xf numFmtId="164" fontId="5" fillId="0" borderId="6" xfId="3" applyNumberFormat="1" applyFont="1" applyBorder="1" applyAlignment="1">
      <alignment horizontal="center"/>
    </xf>
    <xf numFmtId="164" fontId="5" fillId="0" borderId="18" xfId="3" applyNumberFormat="1" applyFont="1" applyFill="1" applyBorder="1" applyAlignment="1">
      <alignment horizontal="center"/>
    </xf>
    <xf numFmtId="166" fontId="6" fillId="0" borderId="17" xfId="1" applyNumberFormat="1" applyFont="1" applyBorder="1" applyAlignment="1">
      <alignment vertical="center"/>
    </xf>
    <xf numFmtId="0" fontId="0" fillId="0" borderId="5" xfId="0" applyBorder="1"/>
    <xf numFmtId="164" fontId="7" fillId="0" borderId="6" xfId="3" applyNumberFormat="1" applyFont="1" applyBorder="1" applyAlignment="1">
      <alignment horizontal="center"/>
    </xf>
    <xf numFmtId="164" fontId="5" fillId="4" borderId="14" xfId="3" applyNumberFormat="1" applyFont="1" applyFill="1" applyBorder="1" applyAlignment="1">
      <alignment horizontal="center"/>
    </xf>
    <xf numFmtId="164" fontId="4" fillId="0" borderId="6" xfId="3" applyNumberFormat="1" applyFont="1" applyBorder="1" applyAlignment="1">
      <alignment horizontal="center"/>
    </xf>
    <xf numFmtId="164" fontId="4" fillId="0" borderId="16" xfId="3" applyNumberFormat="1" applyFont="1" applyBorder="1" applyAlignment="1">
      <alignment horizontal="center"/>
    </xf>
    <xf numFmtId="164" fontId="5" fillId="6" borderId="14" xfId="3" applyNumberFormat="1" applyFont="1" applyFill="1" applyBorder="1" applyAlignment="1">
      <alignment horizontal="center"/>
    </xf>
    <xf numFmtId="164" fontId="7" fillId="0" borderId="16" xfId="3" applyNumberFormat="1" applyFont="1" applyBorder="1" applyAlignment="1">
      <alignment horizontal="center"/>
    </xf>
    <xf numFmtId="164" fontId="7" fillId="0" borderId="15" xfId="3" applyNumberFormat="1" applyFont="1" applyBorder="1" applyAlignment="1">
      <alignment horizontal="center"/>
    </xf>
    <xf numFmtId="164" fontId="7" fillId="0" borderId="5" xfId="3" applyNumberFormat="1" applyFont="1" applyFill="1" applyBorder="1" applyAlignment="1">
      <alignment horizontal="center"/>
    </xf>
    <xf numFmtId="166" fontId="15" fillId="0" borderId="6" xfId="1" applyNumberFormat="1" applyFont="1" applyBorder="1" applyAlignment="1">
      <alignment vertical="center"/>
    </xf>
    <xf numFmtId="164" fontId="9" fillId="0" borderId="6" xfId="3" applyNumberFormat="1" applyFont="1" applyBorder="1" applyAlignment="1">
      <alignment horizontal="center"/>
    </xf>
    <xf numFmtId="164" fontId="4" fillId="0" borderId="6" xfId="2" applyNumberFormat="1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64" fontId="4" fillId="0" borderId="9" xfId="2" applyNumberFormat="1" applyFont="1" applyBorder="1" applyAlignment="1">
      <alignment horizontal="center"/>
    </xf>
    <xf numFmtId="0" fontId="5" fillId="0" borderId="0" xfId="2" applyFont="1" applyAlignment="1">
      <alignment horizontal="right" vertical="center" wrapText="1"/>
    </xf>
    <xf numFmtId="166" fontId="5" fillId="0" borderId="0" xfId="1" applyNumberFormat="1" applyFont="1" applyAlignment="1">
      <alignment horizontal="center" vertical="center" wrapText="1"/>
    </xf>
    <xf numFmtId="166" fontId="6" fillId="0" borderId="0" xfId="2" applyNumberFormat="1" applyFont="1" applyAlignment="1">
      <alignment vertical="center"/>
    </xf>
    <xf numFmtId="166" fontId="5" fillId="0" borderId="0" xfId="2" applyNumberFormat="1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3" fontId="2" fillId="0" borderId="35" xfId="0" applyNumberFormat="1" applyFont="1" applyBorder="1" applyAlignment="1">
      <alignment horizontal="center"/>
    </xf>
    <xf numFmtId="3" fontId="2" fillId="0" borderId="35" xfId="0" applyNumberFormat="1" applyFont="1" applyBorder="1" applyAlignment="1"/>
    <xf numFmtId="3" fontId="2" fillId="0" borderId="35" xfId="0" applyNumberFormat="1" applyFont="1" applyBorder="1"/>
    <xf numFmtId="0" fontId="0" fillId="0" borderId="0" xfId="0" applyFont="1"/>
    <xf numFmtId="3" fontId="0" fillId="0" borderId="35" xfId="0" applyNumberFormat="1" applyBorder="1"/>
    <xf numFmtId="3" fontId="56" fillId="0" borderId="35" xfId="0" applyNumberFormat="1" applyFont="1" applyBorder="1"/>
    <xf numFmtId="0" fontId="56" fillId="0" borderId="0" xfId="0" applyFont="1"/>
    <xf numFmtId="3" fontId="55" fillId="0" borderId="35" xfId="0" applyNumberFormat="1" applyFont="1" applyBorder="1"/>
    <xf numFmtId="0" fontId="55" fillId="0" borderId="0" xfId="0" applyFont="1"/>
    <xf numFmtId="0" fontId="7" fillId="0" borderId="0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20" fillId="0" borderId="5" xfId="5" applyFont="1" applyBorder="1" applyAlignment="1">
      <alignment horizontal="center" vertical="center"/>
    </xf>
    <xf numFmtId="0" fontId="20" fillId="0" borderId="5" xfId="5" applyFont="1" applyBorder="1" applyAlignment="1">
      <alignment vertical="center"/>
    </xf>
    <xf numFmtId="3" fontId="20" fillId="0" borderId="5" xfId="5" applyNumberFormat="1" applyFont="1" applyBorder="1" applyAlignment="1">
      <alignment vertical="center"/>
    </xf>
    <xf numFmtId="164" fontId="20" fillId="0" borderId="5" xfId="5" applyNumberFormat="1" applyFont="1" applyBorder="1" applyAlignment="1">
      <alignment vertical="center"/>
    </xf>
    <xf numFmtId="164" fontId="12" fillId="0" borderId="5" xfId="5" applyNumberFormat="1" applyFont="1" applyBorder="1" applyAlignment="1">
      <alignment horizontal="center" vertical="center"/>
    </xf>
    <xf numFmtId="0" fontId="57" fillId="0" borderId="0" xfId="1" applyNumberFormat="1" applyFont="1" applyAlignment="1">
      <alignment vertical="center"/>
    </xf>
    <xf numFmtId="0" fontId="20" fillId="0" borderId="61" xfId="1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5" xfId="5" applyFont="1" applyBorder="1" applyAlignment="1">
      <alignment vertical="center"/>
    </xf>
    <xf numFmtId="164" fontId="58" fillId="0" borderId="0" xfId="0" applyNumberFormat="1" applyFont="1"/>
    <xf numFmtId="0" fontId="59" fillId="6" borderId="5" xfId="5" applyFont="1" applyFill="1" applyBorder="1" applyAlignment="1">
      <alignment vertical="center"/>
    </xf>
    <xf numFmtId="164" fontId="20" fillId="6" borderId="5" xfId="5" applyNumberFormat="1" applyFont="1" applyFill="1" applyBorder="1" applyAlignment="1">
      <alignment vertical="center"/>
    </xf>
    <xf numFmtId="164" fontId="12" fillId="6" borderId="5" xfId="5" applyNumberFormat="1" applyFont="1" applyFill="1" applyBorder="1" applyAlignment="1">
      <alignment horizontal="center" vertical="center"/>
    </xf>
    <xf numFmtId="0" fontId="20" fillId="0" borderId="5" xfId="5" applyFont="1" applyBorder="1" applyAlignment="1">
      <alignment horizontal="left" vertical="center"/>
    </xf>
    <xf numFmtId="0" fontId="57" fillId="0" borderId="0" xfId="0" applyFont="1"/>
    <xf numFmtId="0" fontId="11" fillId="0" borderId="5" xfId="5" applyFont="1" applyBorder="1" applyAlignment="1">
      <alignment vertical="center"/>
    </xf>
    <xf numFmtId="164" fontId="12" fillId="0" borderId="5" xfId="5" applyNumberFormat="1" applyFont="1" applyBorder="1" applyAlignment="1">
      <alignment vertical="center"/>
    </xf>
    <xf numFmtId="164" fontId="5" fillId="0" borderId="14" xfId="3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6" fontId="3" fillId="0" borderId="0" xfId="1" applyNumberFormat="1" applyFont="1" applyBorder="1"/>
    <xf numFmtId="166" fontId="3" fillId="0" borderId="0" xfId="1" quotePrefix="1" applyNumberFormat="1" applyFont="1" applyBorder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3" fontId="14" fillId="0" borderId="0" xfId="0" applyNumberFormat="1" applyFont="1"/>
    <xf numFmtId="164" fontId="12" fillId="0" borderId="20" xfId="5" applyNumberFormat="1" applyFont="1" applyFill="1" applyBorder="1" applyAlignment="1">
      <alignment vertical="center"/>
    </xf>
    <xf numFmtId="164" fontId="20" fillId="0" borderId="5" xfId="5" applyNumberFormat="1" applyFont="1" applyBorder="1" applyAlignment="1">
      <alignment horizontal="center" vertical="center"/>
    </xf>
    <xf numFmtId="164" fontId="5" fillId="6" borderId="16" xfId="3" applyNumberFormat="1" applyFont="1" applyFill="1" applyBorder="1" applyAlignment="1">
      <alignment horizontal="center"/>
    </xf>
    <xf numFmtId="164" fontId="5" fillId="0" borderId="12" xfId="3" applyNumberFormat="1" applyFont="1" applyBorder="1" applyAlignment="1">
      <alignment horizontal="center"/>
    </xf>
    <xf numFmtId="3" fontId="60" fillId="0" borderId="5" xfId="3" applyNumberFormat="1" applyFont="1" applyFill="1" applyBorder="1" applyAlignment="1">
      <alignment horizontal="center"/>
    </xf>
    <xf numFmtId="3" fontId="60" fillId="0" borderId="14" xfId="3" applyNumberFormat="1" applyFont="1" applyBorder="1" applyAlignment="1">
      <alignment horizontal="center"/>
    </xf>
    <xf numFmtId="3" fontId="5" fillId="0" borderId="14" xfId="3" applyNumberFormat="1" applyFont="1" applyFill="1" applyBorder="1" applyAlignment="1">
      <alignment horizontal="center"/>
    </xf>
    <xf numFmtId="3" fontId="5" fillId="0" borderId="15" xfId="3" applyNumberFormat="1" applyFont="1" applyBorder="1" applyAlignment="1">
      <alignment horizontal="center"/>
    </xf>
    <xf numFmtId="0" fontId="15" fillId="0" borderId="0" xfId="2" applyFont="1" applyAlignment="1">
      <alignment vertical="center"/>
    </xf>
    <xf numFmtId="3" fontId="5" fillId="0" borderId="17" xfId="3" applyNumberFormat="1" applyFont="1" applyBorder="1" applyAlignment="1">
      <alignment horizontal="center"/>
    </xf>
    <xf numFmtId="3" fontId="7" fillId="0" borderId="15" xfId="3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3" fontId="4" fillId="0" borderId="17" xfId="3" applyNumberFormat="1" applyFont="1" applyBorder="1" applyAlignment="1">
      <alignment horizontal="center"/>
    </xf>
    <xf numFmtId="3" fontId="4" fillId="0" borderId="15" xfId="3" applyNumberFormat="1" applyFont="1" applyBorder="1" applyAlignment="1">
      <alignment horizontal="center"/>
    </xf>
    <xf numFmtId="0" fontId="18" fillId="0" borderId="0" xfId="2" applyFont="1" applyAlignment="1">
      <alignment vertical="center"/>
    </xf>
    <xf numFmtId="164" fontId="9" fillId="0" borderId="17" xfId="3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3" fontId="61" fillId="0" borderId="0" xfId="5" applyNumberFormat="1" applyFont="1" applyAlignment="1">
      <alignment vertical="center"/>
    </xf>
    <xf numFmtId="0" fontId="61" fillId="0" borderId="0" xfId="5" applyFont="1" applyAlignment="1">
      <alignment vertical="center"/>
    </xf>
    <xf numFmtId="3" fontId="61" fillId="0" borderId="0" xfId="1" applyNumberFormat="1" applyFont="1" applyAlignment="1">
      <alignment vertical="center"/>
    </xf>
    <xf numFmtId="0" fontId="20" fillId="0" borderId="16" xfId="2" applyFont="1" applyBorder="1" applyAlignment="1">
      <alignment horizontal="left"/>
    </xf>
    <xf numFmtId="3" fontId="12" fillId="0" borderId="5" xfId="5" applyNumberFormat="1" applyFont="1" applyBorder="1" applyAlignment="1">
      <alignment horizontal="center" vertical="center"/>
    </xf>
    <xf numFmtId="164" fontId="61" fillId="0" borderId="0" xfId="5" applyNumberFormat="1" applyFont="1" applyAlignment="1">
      <alignment vertical="center"/>
    </xf>
    <xf numFmtId="0" fontId="11" fillId="0" borderId="0" xfId="5" applyFont="1" applyBorder="1" applyAlignment="1">
      <alignment vertical="center"/>
    </xf>
    <xf numFmtId="164" fontId="12" fillId="0" borderId="0" xfId="5" applyNumberFormat="1" applyFont="1" applyBorder="1" applyAlignment="1">
      <alignment vertical="center"/>
    </xf>
    <xf numFmtId="164" fontId="12" fillId="0" borderId="0" xfId="5" applyNumberFormat="1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5" applyFont="1" applyAlignment="1">
      <alignment horizontal="right" vertical="center"/>
    </xf>
    <xf numFmtId="3" fontId="5" fillId="0" borderId="0" xfId="5" applyNumberFormat="1" applyFont="1" applyAlignment="1">
      <alignment vertical="center"/>
    </xf>
    <xf numFmtId="0" fontId="62" fillId="0" borderId="0" xfId="0" applyFont="1" applyFill="1" applyAlignment="1">
      <alignment horizontal="left"/>
    </xf>
    <xf numFmtId="0" fontId="62" fillId="0" borderId="0" xfId="0" applyFont="1" applyFill="1"/>
    <xf numFmtId="0" fontId="64" fillId="0" borderId="0" xfId="0" applyFont="1" applyFill="1" applyAlignment="1">
      <alignment horizontal="left" vertical="top"/>
    </xf>
    <xf numFmtId="0" fontId="64" fillId="0" borderId="0" xfId="0" applyFont="1" applyFill="1" applyAlignment="1">
      <alignment horizontal="center" vertical="top"/>
    </xf>
    <xf numFmtId="0" fontId="6" fillId="0" borderId="53" xfId="0" applyFont="1" applyBorder="1" applyAlignment="1">
      <alignment horizontal="center" vertical="center" wrapText="1"/>
    </xf>
    <xf numFmtId="0" fontId="0" fillId="0" borderId="48" xfId="0" applyBorder="1"/>
    <xf numFmtId="49" fontId="65" fillId="0" borderId="48" xfId="0" applyNumberFormat="1" applyFont="1" applyBorder="1" applyAlignment="1">
      <alignment horizontal="center"/>
    </xf>
    <xf numFmtId="49" fontId="65" fillId="0" borderId="48" xfId="1" applyNumberFormat="1" applyFont="1" applyBorder="1" applyAlignment="1">
      <alignment horizontal="center"/>
    </xf>
    <xf numFmtId="49" fontId="65" fillId="0" borderId="48" xfId="1" applyNumberFormat="1" applyFont="1" applyFill="1" applyBorder="1" applyAlignment="1">
      <alignment horizontal="center"/>
    </xf>
    <xf numFmtId="49" fontId="66" fillId="0" borderId="48" xfId="1" applyNumberFormat="1" applyFont="1" applyBorder="1" applyAlignment="1">
      <alignment horizontal="center"/>
    </xf>
    <xf numFmtId="3" fontId="67" fillId="0" borderId="35" xfId="0" applyNumberFormat="1" applyFont="1" applyBorder="1"/>
    <xf numFmtId="0" fontId="12" fillId="6" borderId="15" xfId="2" applyFont="1" applyFill="1" applyBorder="1" applyAlignment="1">
      <alignment horizontal="center" vertical="center" wrapText="1"/>
    </xf>
    <xf numFmtId="0" fontId="21" fillId="0" borderId="56" xfId="0" applyFont="1" applyBorder="1"/>
    <xf numFmtId="0" fontId="21" fillId="0" borderId="61" xfId="0" applyFont="1" applyBorder="1"/>
    <xf numFmtId="0" fontId="11" fillId="0" borderId="61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6" borderId="58" xfId="2" applyFont="1" applyFill="1" applyBorder="1" applyAlignment="1">
      <alignment horizontal="center" vertical="center" wrapText="1"/>
    </xf>
    <xf numFmtId="164" fontId="5" fillId="0" borderId="58" xfId="2" applyNumberFormat="1" applyFont="1" applyBorder="1" applyAlignment="1">
      <alignment horizontal="center" vertical="center"/>
    </xf>
    <xf numFmtId="164" fontId="5" fillId="0" borderId="58" xfId="3" applyNumberFormat="1" applyFont="1" applyFill="1" applyBorder="1" applyAlignment="1">
      <alignment horizontal="center"/>
    </xf>
    <xf numFmtId="164" fontId="5" fillId="0" borderId="60" xfId="3" applyNumberFormat="1" applyFont="1" applyFill="1" applyBorder="1" applyAlignment="1">
      <alignment horizontal="center"/>
    </xf>
    <xf numFmtId="164" fontId="5" fillId="0" borderId="57" xfId="3" applyNumberFormat="1" applyFont="1" applyFill="1" applyBorder="1" applyAlignment="1">
      <alignment horizontal="center"/>
    </xf>
    <xf numFmtId="164" fontId="11" fillId="0" borderId="35" xfId="3" applyNumberFormat="1" applyFont="1" applyFill="1" applyBorder="1" applyAlignment="1">
      <alignment horizontal="center"/>
    </xf>
    <xf numFmtId="164" fontId="11" fillId="0" borderId="57" xfId="3" applyNumberFormat="1" applyFont="1" applyFill="1" applyBorder="1" applyAlignment="1">
      <alignment horizontal="center"/>
    </xf>
    <xf numFmtId="164" fontId="5" fillId="0" borderId="59" xfId="3" applyNumberFormat="1" applyFont="1" applyFill="1" applyBorder="1" applyAlignment="1">
      <alignment horizontal="center"/>
    </xf>
    <xf numFmtId="164" fontId="11" fillId="0" borderId="35" xfId="3" applyNumberFormat="1" applyFont="1" applyBorder="1" applyAlignment="1">
      <alignment horizontal="center"/>
    </xf>
    <xf numFmtId="164" fontId="11" fillId="0" borderId="57" xfId="3" applyNumberFormat="1" applyFont="1" applyBorder="1" applyAlignment="1">
      <alignment horizontal="center"/>
    </xf>
    <xf numFmtId="164" fontId="7" fillId="6" borderId="58" xfId="3" applyNumberFormat="1" applyFont="1" applyFill="1" applyBorder="1" applyAlignment="1">
      <alignment horizontal="center"/>
    </xf>
    <xf numFmtId="164" fontId="7" fillId="0" borderId="58" xfId="3" applyNumberFormat="1" applyFont="1" applyFill="1" applyBorder="1" applyAlignment="1">
      <alignment horizontal="center"/>
    </xf>
    <xf numFmtId="164" fontId="5" fillId="6" borderId="58" xfId="3" applyNumberFormat="1" applyFont="1" applyFill="1" applyBorder="1" applyAlignment="1">
      <alignment horizontal="center"/>
    </xf>
    <xf numFmtId="164" fontId="4" fillId="0" borderId="58" xfId="3" applyNumberFormat="1" applyFont="1" applyFill="1" applyBorder="1" applyAlignment="1">
      <alignment horizontal="center"/>
    </xf>
    <xf numFmtId="164" fontId="4" fillId="0" borderId="65" xfId="3" applyNumberFormat="1" applyFont="1" applyFill="1" applyBorder="1" applyAlignment="1">
      <alignment horizontal="center"/>
    </xf>
    <xf numFmtId="167" fontId="33" fillId="0" borderId="48" xfId="4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5" xfId="1" applyNumberFormat="1" applyFont="1" applyFill="1" applyBorder="1" applyAlignment="1" applyProtection="1">
      <alignment vertical="center" wrapText="1"/>
      <protection locked="0"/>
    </xf>
    <xf numFmtId="1" fontId="28" fillId="0" borderId="14" xfId="4" applyNumberFormat="1" applyFont="1" applyFill="1" applyBorder="1" applyAlignment="1" applyProtection="1">
      <alignment vertical="center" wrapText="1"/>
      <protection locked="0"/>
    </xf>
    <xf numFmtId="166" fontId="5" fillId="0" borderId="17" xfId="1" applyNumberFormat="1" applyFont="1" applyBorder="1" applyAlignment="1"/>
    <xf numFmtId="166" fontId="5" fillId="0" borderId="16" xfId="1" applyNumberFormat="1" applyFont="1" applyBorder="1" applyAlignment="1">
      <alignment horizontal="center"/>
    </xf>
    <xf numFmtId="166" fontId="5" fillId="0" borderId="5" xfId="1" applyNumberFormat="1" applyFont="1" applyBorder="1" applyAlignment="1"/>
    <xf numFmtId="166" fontId="5" fillId="0" borderId="19" xfId="1" applyNumberFormat="1" applyFont="1" applyBorder="1"/>
    <xf numFmtId="166" fontId="5" fillId="0" borderId="16" xfId="1" applyNumberFormat="1" applyFont="1" applyBorder="1" applyAlignment="1">
      <alignment vertical="distributed" wrapText="1"/>
    </xf>
    <xf numFmtId="166" fontId="5" fillId="0" borderId="17" xfId="1" applyNumberFormat="1" applyFont="1" applyBorder="1" applyAlignment="1">
      <alignment vertical="distributed" wrapText="1"/>
    </xf>
    <xf numFmtId="166" fontId="30" fillId="0" borderId="5" xfId="1" applyNumberFormat="1" applyFont="1" applyBorder="1"/>
    <xf numFmtId="166" fontId="13" fillId="0" borderId="38" xfId="1" applyNumberFormat="1" applyFont="1" applyBorder="1"/>
    <xf numFmtId="166" fontId="28" fillId="0" borderId="16" xfId="1" applyNumberFormat="1" applyFont="1" applyFill="1" applyBorder="1" applyAlignment="1" applyProtection="1">
      <alignment vertical="center" wrapText="1"/>
      <protection locked="0"/>
    </xf>
    <xf numFmtId="167" fontId="37" fillId="0" borderId="56" xfId="4" applyNumberFormat="1" applyFont="1" applyFill="1" applyBorder="1" applyAlignment="1">
      <alignment vertical="center" wrapText="1"/>
    </xf>
    <xf numFmtId="167" fontId="29" fillId="0" borderId="22" xfId="4" applyNumberFormat="1" applyFont="1" applyFill="1" applyBorder="1" applyAlignment="1" applyProtection="1">
      <alignment vertical="center" wrapText="1"/>
    </xf>
    <xf numFmtId="167" fontId="36" fillId="0" borderId="11" xfId="4" applyNumberFormat="1" applyFont="1" applyFill="1" applyBorder="1" applyAlignment="1" applyProtection="1">
      <alignment vertical="center" wrapText="1"/>
    </xf>
    <xf numFmtId="166" fontId="20" fillId="0" borderId="49" xfId="1" applyNumberFormat="1" applyFont="1" applyBorder="1" applyAlignment="1">
      <alignment vertical="distributed" wrapText="1"/>
    </xf>
    <xf numFmtId="166" fontId="20" fillId="0" borderId="52" xfId="1" applyNumberFormat="1" applyFont="1" applyBorder="1" applyAlignment="1">
      <alignment vertical="distributed" wrapText="1"/>
    </xf>
    <xf numFmtId="167" fontId="28" fillId="0" borderId="20" xfId="4" applyNumberFormat="1" applyFont="1" applyFill="1" applyBorder="1" applyAlignment="1" applyProtection="1">
      <alignment vertical="center" wrapText="1"/>
      <protection locked="0"/>
    </xf>
    <xf numFmtId="167" fontId="28" fillId="0" borderId="16" xfId="4" applyNumberFormat="1" applyFont="1" applyFill="1" applyBorder="1" applyAlignment="1" applyProtection="1">
      <alignment vertical="center" wrapText="1"/>
    </xf>
    <xf numFmtId="167" fontId="28" fillId="0" borderId="6" xfId="4" applyNumberFormat="1" applyFont="1" applyFill="1" applyBorder="1" applyAlignment="1" applyProtection="1">
      <alignment vertical="center" wrapText="1"/>
      <protection locked="0"/>
    </xf>
    <xf numFmtId="167" fontId="28" fillId="0" borderId="58" xfId="4" applyNumberFormat="1" applyFont="1" applyFill="1" applyBorder="1" applyAlignment="1">
      <alignment vertical="center" wrapText="1"/>
    </xf>
    <xf numFmtId="166" fontId="5" fillId="0" borderId="16" xfId="1" applyNumberFormat="1" applyFont="1" applyBorder="1" applyAlignment="1">
      <alignment horizontal="distributed" vertical="justify" wrapText="1"/>
    </xf>
    <xf numFmtId="166" fontId="5" fillId="0" borderId="16" xfId="1" applyNumberFormat="1" applyFont="1" applyBorder="1" applyAlignment="1">
      <alignment horizontal="distributed" wrapText="1"/>
    </xf>
    <xf numFmtId="0" fontId="68" fillId="0" borderId="0" xfId="0" applyFont="1"/>
    <xf numFmtId="0" fontId="0" fillId="0" borderId="0" xfId="0" applyAlignment="1">
      <alignment horizont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 wrapText="1"/>
    </xf>
    <xf numFmtId="0" fontId="0" fillId="0" borderId="57" xfId="0" applyFill="1" applyBorder="1" applyAlignment="1">
      <alignment wrapText="1"/>
    </xf>
    <xf numFmtId="0" fontId="0" fillId="0" borderId="42" xfId="0" applyBorder="1"/>
    <xf numFmtId="3" fontId="3" fillId="0" borderId="42" xfId="0" applyNumberFormat="1" applyFont="1" applyFill="1" applyBorder="1" applyAlignment="1">
      <alignment horizontal="center" vertical="center" wrapText="1"/>
    </xf>
    <xf numFmtId="3" fontId="0" fillId="0" borderId="57" xfId="0" applyNumberFormat="1" applyBorder="1"/>
    <xf numFmtId="49" fontId="0" fillId="0" borderId="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0" fillId="10" borderId="0" xfId="0" applyFont="1" applyFill="1" applyAlignment="1">
      <alignment horizontal="center"/>
    </xf>
    <xf numFmtId="166" fontId="0" fillId="10" borderId="0" xfId="1" applyNumberFormat="1" applyFont="1" applyFill="1"/>
    <xf numFmtId="0" fontId="0" fillId="10" borderId="0" xfId="0" applyFont="1" applyFill="1"/>
    <xf numFmtId="0" fontId="0" fillId="11" borderId="0" xfId="0" applyFill="1"/>
    <xf numFmtId="166" fontId="30" fillId="0" borderId="0" xfId="1" applyNumberFormat="1" applyFont="1" applyFill="1"/>
    <xf numFmtId="166" fontId="70" fillId="0" borderId="0" xfId="1" applyNumberFormat="1" applyFont="1"/>
    <xf numFmtId="166" fontId="69" fillId="0" borderId="0" xfId="1" applyNumberFormat="1" applyFont="1"/>
    <xf numFmtId="0" fontId="69" fillId="0" borderId="0" xfId="0" applyFont="1"/>
    <xf numFmtId="0" fontId="70" fillId="0" borderId="0" xfId="0" applyFont="1"/>
    <xf numFmtId="166" fontId="14" fillId="0" borderId="0" xfId="0" applyNumberFormat="1" applyFont="1"/>
    <xf numFmtId="166" fontId="14" fillId="0" borderId="0" xfId="1" applyNumberFormat="1" applyFont="1"/>
    <xf numFmtId="166" fontId="20" fillId="0" borderId="16" xfId="1" applyNumberFormat="1" applyFont="1" applyBorder="1" applyAlignment="1">
      <alignment horizontal="left" vertical="justify" wrapText="1"/>
    </xf>
    <xf numFmtId="166" fontId="20" fillId="0" borderId="16" xfId="1" applyNumberFormat="1" applyFont="1" applyBorder="1" applyAlignment="1">
      <alignment horizontal="left" wrapText="1"/>
    </xf>
    <xf numFmtId="166" fontId="20" fillId="0" borderId="16" xfId="1" applyNumberFormat="1" applyFont="1" applyBorder="1" applyAlignment="1">
      <alignment vertical="distributed" wrapText="1"/>
    </xf>
    <xf numFmtId="0" fontId="30" fillId="0" borderId="0" xfId="0" applyFont="1"/>
    <xf numFmtId="0" fontId="0" fillId="12" borderId="0" xfId="0" applyFill="1"/>
    <xf numFmtId="166" fontId="30" fillId="13" borderId="0" xfId="1" applyNumberFormat="1" applyFont="1" applyFill="1"/>
    <xf numFmtId="166" fontId="20" fillId="0" borderId="22" xfId="1" applyNumberFormat="1" applyFont="1" applyBorder="1" applyAlignment="1">
      <alignment vertical="distributed" wrapText="1"/>
    </xf>
    <xf numFmtId="0" fontId="30" fillId="0" borderId="16" xfId="0" applyFont="1" applyBorder="1"/>
    <xf numFmtId="166" fontId="13" fillId="0" borderId="59" xfId="1" applyNumberFormat="1" applyFont="1" applyBorder="1"/>
    <xf numFmtId="166" fontId="30" fillId="13" borderId="35" xfId="1" applyNumberFormat="1" applyFont="1" applyFill="1" applyBorder="1"/>
    <xf numFmtId="166" fontId="69" fillId="0" borderId="0" xfId="1" applyNumberFormat="1" applyFont="1" applyBorder="1"/>
    <xf numFmtId="166" fontId="71" fillId="0" borderId="0" xfId="1" applyNumberFormat="1" applyFont="1"/>
    <xf numFmtId="166" fontId="69" fillId="10" borderId="0" xfId="1" applyNumberFormat="1" applyFont="1" applyFill="1" applyBorder="1"/>
    <xf numFmtId="166" fontId="30" fillId="14" borderId="0" xfId="1" applyNumberFormat="1" applyFont="1" applyFill="1"/>
    <xf numFmtId="166" fontId="21" fillId="0" borderId="0" xfId="1" applyNumberFormat="1" applyFont="1"/>
    <xf numFmtId="166" fontId="72" fillId="0" borderId="0" xfId="1" applyNumberFormat="1" applyFont="1" applyFill="1"/>
    <xf numFmtId="43" fontId="0" fillId="0" borderId="0" xfId="1" applyFont="1"/>
    <xf numFmtId="0" fontId="14" fillId="14" borderId="5" xfId="0" applyFont="1" applyFill="1" applyBorder="1"/>
    <xf numFmtId="166" fontId="14" fillId="10" borderId="5" xfId="1" applyNumberFormat="1" applyFont="1" applyFill="1" applyBorder="1"/>
    <xf numFmtId="166" fontId="14" fillId="10" borderId="0" xfId="1" applyNumberFormat="1" applyFont="1" applyFill="1"/>
    <xf numFmtId="166" fontId="21" fillId="14" borderId="5" xfId="1" applyNumberFormat="1" applyFont="1" applyFill="1" applyBorder="1"/>
    <xf numFmtId="0" fontId="73" fillId="10" borderId="5" xfId="0" applyFont="1" applyFill="1" applyBorder="1"/>
    <xf numFmtId="166" fontId="30" fillId="10" borderId="5" xfId="1" applyNumberFormat="1" applyFont="1" applyFill="1" applyBorder="1"/>
    <xf numFmtId="0" fontId="0" fillId="14" borderId="0" xfId="0" applyFill="1"/>
    <xf numFmtId="166" fontId="14" fillId="0" borderId="42" xfId="1" applyNumberFormat="1" applyFont="1" applyBorder="1"/>
    <xf numFmtId="166" fontId="0" fillId="0" borderId="0" xfId="1" applyNumberFormat="1" applyFont="1" applyAlignment="1">
      <alignment horizontal="center"/>
    </xf>
    <xf numFmtId="166" fontId="0" fillId="10" borderId="5" xfId="1" applyNumberFormat="1" applyFont="1" applyFill="1" applyBorder="1"/>
    <xf numFmtId="166" fontId="69" fillId="10" borderId="5" xfId="1" applyNumberFormat="1" applyFont="1" applyFill="1" applyBorder="1"/>
    <xf numFmtId="0" fontId="0" fillId="13" borderId="0" xfId="0" applyFill="1"/>
    <xf numFmtId="166" fontId="0" fillId="13" borderId="0" xfId="1" applyNumberFormat="1" applyFont="1" applyFill="1"/>
    <xf numFmtId="0" fontId="0" fillId="10" borderId="0" xfId="0" applyFill="1"/>
    <xf numFmtId="166" fontId="30" fillId="10" borderId="35" xfId="1" applyNumberFormat="1" applyFont="1" applyFill="1" applyBorder="1"/>
    <xf numFmtId="166" fontId="14" fillId="10" borderId="0" xfId="1" applyNumberFormat="1" applyFont="1" applyFill="1" applyBorder="1"/>
    <xf numFmtId="0" fontId="74" fillId="0" borderId="0" xfId="0" applyFont="1"/>
    <xf numFmtId="0" fontId="67" fillId="0" borderId="0" xfId="0" applyFont="1"/>
    <xf numFmtId="0" fontId="75" fillId="0" borderId="0" xfId="0" applyFont="1"/>
    <xf numFmtId="3" fontId="2" fillId="0" borderId="0" xfId="0" applyNumberFormat="1" applyFont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8" xfId="0" applyFont="1" applyBorder="1"/>
    <xf numFmtId="0" fontId="2" fillId="0" borderId="35" xfId="0" applyFont="1" applyBorder="1"/>
    <xf numFmtId="3" fontId="55" fillId="0" borderId="38" xfId="0" applyNumberFormat="1" applyFont="1" applyBorder="1"/>
    <xf numFmtId="3" fontId="2" fillId="0" borderId="38" xfId="0" applyNumberFormat="1" applyFont="1" applyBorder="1"/>
    <xf numFmtId="3" fontId="76" fillId="0" borderId="35" xfId="0" applyNumberFormat="1" applyFont="1" applyBorder="1"/>
    <xf numFmtId="3" fontId="76" fillId="0" borderId="38" xfId="0" applyNumberFormat="1" applyFont="1" applyBorder="1"/>
    <xf numFmtId="0" fontId="76" fillId="0" borderId="0" xfId="0" applyFont="1"/>
    <xf numFmtId="166" fontId="1" fillId="0" borderId="35" xfId="1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166" fontId="77" fillId="10" borderId="61" xfId="1" applyNumberFormat="1" applyFont="1" applyFill="1" applyBorder="1" applyAlignment="1">
      <alignment horizontal="right"/>
    </xf>
    <xf numFmtId="0" fontId="0" fillId="0" borderId="39" xfId="0" applyBorder="1"/>
    <xf numFmtId="3" fontId="0" fillId="0" borderId="35" xfId="0" applyNumberFormat="1" applyBorder="1" applyAlignment="1">
      <alignment horizontal="center"/>
    </xf>
    <xf numFmtId="3" fontId="0" fillId="0" borderId="39" xfId="0" applyNumberFormat="1" applyBorder="1"/>
    <xf numFmtId="0" fontId="0" fillId="0" borderId="0" xfId="0" applyAlignment="1"/>
    <xf numFmtId="3" fontId="2" fillId="0" borderId="57" xfId="0" applyNumberFormat="1" applyFont="1" applyFill="1" applyBorder="1"/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5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5" xfId="2" applyFont="1" applyBorder="1" applyAlignment="1">
      <alignment horizontal="left"/>
    </xf>
    <xf numFmtId="0" fontId="4" fillId="8" borderId="5" xfId="2" applyFont="1" applyFill="1" applyBorder="1" applyAlignment="1">
      <alignment horizontal="left"/>
    </xf>
    <xf numFmtId="0" fontId="5" fillId="0" borderId="1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19" fillId="0" borderId="5" xfId="2" applyFont="1" applyBorder="1" applyAlignment="1">
      <alignment horizontal="left" wrapText="1"/>
    </xf>
    <xf numFmtId="0" fontId="4" fillId="0" borderId="5" xfId="2" applyFont="1" applyBorder="1" applyAlignment="1">
      <alignment horizontal="left" wrapText="1"/>
    </xf>
    <xf numFmtId="0" fontId="4" fillId="3" borderId="5" xfId="2" applyFont="1" applyFill="1" applyBorder="1" applyAlignment="1">
      <alignment horizontal="left"/>
    </xf>
    <xf numFmtId="0" fontId="7" fillId="0" borderId="5" xfId="2" applyFont="1" applyBorder="1" applyAlignment="1">
      <alignment horizontal="left"/>
    </xf>
    <xf numFmtId="0" fontId="16" fillId="5" borderId="5" xfId="2" applyFont="1" applyFill="1" applyBorder="1" applyAlignment="1">
      <alignment horizontal="left"/>
    </xf>
    <xf numFmtId="0" fontId="5" fillId="0" borderId="5" xfId="2" applyFont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5" fillId="0" borderId="5" xfId="2" applyFont="1" applyBorder="1" applyAlignment="1">
      <alignment horizontal="left" wrapText="1"/>
    </xf>
    <xf numFmtId="0" fontId="16" fillId="5" borderId="5" xfId="2" applyFont="1" applyFill="1" applyBorder="1" applyAlignment="1">
      <alignment horizontal="left" wrapText="1"/>
    </xf>
    <xf numFmtId="0" fontId="5" fillId="7" borderId="5" xfId="2" applyFont="1" applyFill="1" applyBorder="1" applyAlignment="1">
      <alignment horizontal="center"/>
    </xf>
    <xf numFmtId="0" fontId="7" fillId="5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 vertical="center"/>
    </xf>
    <xf numFmtId="0" fontId="5" fillId="0" borderId="5" xfId="2" applyFont="1" applyBorder="1" applyAlignment="1">
      <alignment horizontal="right" vertical="center"/>
    </xf>
    <xf numFmtId="0" fontId="5" fillId="0" borderId="16" xfId="2" applyFont="1" applyBorder="1" applyAlignment="1">
      <alignment horizontal="right" wrapText="1"/>
    </xf>
    <xf numFmtId="0" fontId="5" fillId="0" borderId="14" xfId="2" applyFont="1" applyBorder="1" applyAlignment="1">
      <alignment horizontal="right" wrapText="1"/>
    </xf>
    <xf numFmtId="0" fontId="5" fillId="0" borderId="5" xfId="2" applyFont="1" applyBorder="1" applyAlignment="1">
      <alignment horizontal="right" vertical="center" wrapText="1"/>
    </xf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4" fillId="3" borderId="16" xfId="2" applyFont="1" applyFill="1" applyBorder="1" applyAlignment="1">
      <alignment horizontal="left" vertical="center"/>
    </xf>
    <xf numFmtId="0" fontId="13" fillId="3" borderId="14" xfId="0" applyFont="1" applyFill="1" applyBorder="1" applyAlignment="1"/>
    <xf numFmtId="0" fontId="6" fillId="0" borderId="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Border="1" applyAlignment="1">
      <alignment horizontal="right"/>
    </xf>
    <xf numFmtId="0" fontId="11" fillId="0" borderId="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4" fillId="0" borderId="16" xfId="2" applyFont="1" applyBorder="1" applyAlignment="1">
      <alignment horizontal="left" wrapText="1"/>
    </xf>
    <xf numFmtId="0" fontId="4" fillId="0" borderId="8" xfId="2" applyFont="1" applyBorder="1" applyAlignment="1">
      <alignment horizontal="left"/>
    </xf>
    <xf numFmtId="0" fontId="4" fillId="0" borderId="8" xfId="2" applyFont="1" applyBorder="1" applyAlignment="1">
      <alignment horizontal="left" wrapText="1"/>
    </xf>
    <xf numFmtId="0" fontId="4" fillId="0" borderId="25" xfId="2" applyFont="1" applyBorder="1" applyAlignment="1">
      <alignment horizontal="left" wrapText="1"/>
    </xf>
    <xf numFmtId="0" fontId="7" fillId="6" borderId="16" xfId="2" applyFont="1" applyFill="1" applyBorder="1" applyAlignment="1">
      <alignment horizontal="left" wrapText="1"/>
    </xf>
    <xf numFmtId="0" fontId="7" fillId="6" borderId="17" xfId="2" applyFont="1" applyFill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0" fontId="7" fillId="0" borderId="16" xfId="2" applyFont="1" applyBorder="1" applyAlignment="1">
      <alignment horizontal="left" wrapText="1"/>
    </xf>
    <xf numFmtId="0" fontId="7" fillId="0" borderId="17" xfId="2" applyFont="1" applyBorder="1" applyAlignment="1">
      <alignment horizontal="left" wrapText="1"/>
    </xf>
    <xf numFmtId="0" fontId="5" fillId="6" borderId="5" xfId="2" applyFont="1" applyFill="1" applyBorder="1" applyAlignment="1">
      <alignment horizontal="center"/>
    </xf>
    <xf numFmtId="0" fontId="5" fillId="6" borderId="16" xfId="2" applyFont="1" applyFill="1" applyBorder="1" applyAlignment="1">
      <alignment horizontal="center"/>
    </xf>
    <xf numFmtId="0" fontId="7" fillId="6" borderId="5" xfId="2" applyFont="1" applyFill="1" applyBorder="1" applyAlignment="1">
      <alignment horizontal="left" wrapText="1"/>
    </xf>
    <xf numFmtId="0" fontId="5" fillId="0" borderId="16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/>
    </xf>
    <xf numFmtId="0" fontId="5" fillId="0" borderId="22" xfId="2" applyFont="1" applyBorder="1" applyAlignment="1">
      <alignment horizontal="left" vertical="center" wrapText="1"/>
    </xf>
    <xf numFmtId="0" fontId="5" fillId="0" borderId="50" xfId="2" applyFont="1" applyBorder="1" applyAlignment="1">
      <alignment horizontal="left" vertical="center" wrapText="1"/>
    </xf>
    <xf numFmtId="0" fontId="11" fillId="0" borderId="28" xfId="2" applyFont="1" applyBorder="1" applyAlignment="1">
      <alignment horizontal="left"/>
    </xf>
    <xf numFmtId="0" fontId="11" fillId="0" borderId="28" xfId="2" applyFont="1" applyBorder="1" applyAlignment="1">
      <alignment horizontal="left" vertical="center" wrapText="1"/>
    </xf>
    <xf numFmtId="0" fontId="11" fillId="0" borderId="56" xfId="2" applyFont="1" applyBorder="1" applyAlignment="1">
      <alignment horizontal="left" vertical="center" wrapText="1"/>
    </xf>
    <xf numFmtId="0" fontId="11" fillId="0" borderId="30" xfId="2" applyFont="1" applyBorder="1" applyAlignment="1">
      <alignment horizontal="left"/>
    </xf>
    <xf numFmtId="0" fontId="11" fillId="0" borderId="31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6" borderId="5" xfId="2" applyFont="1" applyFill="1" applyBorder="1" applyAlignment="1">
      <alignment horizontal="left" wrapText="1"/>
    </xf>
    <xf numFmtId="0" fontId="5" fillId="6" borderId="16" xfId="2" applyFont="1" applyFill="1" applyBorder="1" applyAlignment="1">
      <alignment horizontal="left" wrapText="1"/>
    </xf>
    <xf numFmtId="0" fontId="5" fillId="0" borderId="16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64" xfId="2" applyFont="1" applyBorder="1" applyAlignment="1">
      <alignment horizontal="right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49" xfId="2" applyFont="1" applyBorder="1" applyAlignment="1">
      <alignment horizontal="left" vertical="center" wrapText="1"/>
    </xf>
    <xf numFmtId="0" fontId="5" fillId="6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5" fillId="6" borderId="22" xfId="2" applyFont="1" applyFill="1" applyBorder="1" applyAlignment="1">
      <alignment horizontal="left"/>
    </xf>
    <xf numFmtId="0" fontId="20" fillId="0" borderId="16" xfId="2" applyFont="1" applyBorder="1" applyAlignment="1">
      <alignment horizontal="right" wrapText="1"/>
    </xf>
    <xf numFmtId="0" fontId="20" fillId="0" borderId="17" xfId="2" applyFont="1" applyBorder="1" applyAlignment="1">
      <alignment horizontal="right" wrapText="1"/>
    </xf>
    <xf numFmtId="0" fontId="0" fillId="0" borderId="16" xfId="0" applyBorder="1" applyAlignment="1">
      <alignment horizontal="left" vertical="center"/>
    </xf>
    <xf numFmtId="0" fontId="7" fillId="0" borderId="5" xfId="2" applyFont="1" applyBorder="1" applyAlignment="1">
      <alignment horizontal="center"/>
    </xf>
    <xf numFmtId="0" fontId="7" fillId="0" borderId="1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 wrapText="1"/>
    </xf>
    <xf numFmtId="0" fontId="12" fillId="0" borderId="58" xfId="2" applyFont="1" applyBorder="1" applyAlignment="1">
      <alignment horizontal="center" vertical="center" wrapText="1"/>
    </xf>
    <xf numFmtId="167" fontId="23" fillId="0" borderId="0" xfId="4" applyNumberFormat="1" applyFont="1" applyFill="1" applyAlignment="1">
      <alignment horizontal="center" vertical="center" wrapText="1"/>
    </xf>
    <xf numFmtId="167" fontId="23" fillId="0" borderId="0" xfId="4" applyNumberFormat="1" applyFont="1" applyFill="1" applyAlignment="1">
      <alignment vertical="center" wrapText="1"/>
    </xf>
    <xf numFmtId="0" fontId="39" fillId="0" borderId="32" xfId="0" applyFont="1" applyFill="1" applyBorder="1" applyAlignment="1">
      <alignment horizontal="left" vertical="center" wrapText="1"/>
    </xf>
    <xf numFmtId="0" fontId="39" fillId="0" borderId="33" xfId="0" applyFont="1" applyFill="1" applyBorder="1" applyAlignment="1">
      <alignment horizontal="left" vertical="center" wrapText="1"/>
    </xf>
    <xf numFmtId="0" fontId="39" fillId="0" borderId="8" xfId="0" quotePrefix="1" applyFont="1" applyFill="1" applyBorder="1" applyAlignment="1">
      <alignment horizontal="center" vertical="center"/>
    </xf>
    <xf numFmtId="164" fontId="39" fillId="0" borderId="33" xfId="0" applyNumberFormat="1" applyFont="1" applyFill="1" applyBorder="1" applyAlignment="1">
      <alignment horizontal="center"/>
    </xf>
    <xf numFmtId="164" fontId="39" fillId="0" borderId="34" xfId="0" applyNumberFormat="1" applyFont="1" applyFill="1" applyBorder="1" applyAlignment="1">
      <alignment horizontal="center"/>
    </xf>
    <xf numFmtId="0" fontId="39" fillId="0" borderId="12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0" fontId="41" fillId="0" borderId="21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0" fillId="0" borderId="5" xfId="0" quotePrefix="1" applyFont="1" applyFill="1" applyBorder="1" applyAlignment="1">
      <alignment horizontal="center" vertical="center"/>
    </xf>
    <xf numFmtId="164" fontId="40" fillId="0" borderId="22" xfId="0" applyNumberFormat="1" applyFont="1" applyFill="1" applyBorder="1" applyAlignment="1">
      <alignment horizontal="center"/>
    </xf>
    <xf numFmtId="164" fontId="40" fillId="0" borderId="23" xfId="0" applyNumberFormat="1" applyFont="1" applyFill="1" applyBorder="1" applyAlignment="1">
      <alignment horizontal="center"/>
    </xf>
    <xf numFmtId="0" fontId="40" fillId="0" borderId="18" xfId="0" applyFont="1" applyFill="1" applyBorder="1" applyAlignment="1">
      <alignment horizontal="center"/>
    </xf>
    <xf numFmtId="0" fontId="40" fillId="0" borderId="22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164" fontId="40" fillId="0" borderId="5" xfId="0" applyNumberFormat="1" applyFont="1" applyFill="1" applyBorder="1" applyAlignment="1">
      <alignment horizontal="center"/>
    </xf>
    <xf numFmtId="164" fontId="40" fillId="0" borderId="6" xfId="0" applyNumberFormat="1" applyFont="1" applyFill="1" applyBorder="1" applyAlignment="1">
      <alignment horizontal="center"/>
    </xf>
    <xf numFmtId="0" fontId="41" fillId="0" borderId="4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41" fillId="0" borderId="4" xfId="0" applyFont="1" applyFill="1" applyBorder="1" applyAlignment="1">
      <alignment horizontal="left" vertical="top" wrapText="1"/>
    </xf>
    <xf numFmtId="0" fontId="41" fillId="0" borderId="5" xfId="0" applyFont="1" applyFill="1" applyBorder="1" applyAlignment="1">
      <alignment horizontal="left" vertical="top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quotePrefix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41" fillId="0" borderId="16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164" fontId="41" fillId="0" borderId="16" xfId="0" applyNumberFormat="1" applyFont="1" applyBorder="1" applyAlignment="1">
      <alignment horizontal="center"/>
    </xf>
    <xf numFmtId="164" fontId="41" fillId="0" borderId="17" xfId="0" applyNumberFormat="1" applyFont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64" fontId="40" fillId="9" borderId="16" xfId="0" applyNumberFormat="1" applyFont="1" applyFill="1" applyBorder="1" applyAlignment="1">
      <alignment horizontal="center"/>
    </xf>
    <xf numFmtId="164" fontId="40" fillId="9" borderId="17" xfId="0" applyNumberFormat="1" applyFont="1" applyFill="1" applyBorder="1" applyAlignment="1">
      <alignment horizontal="center"/>
    </xf>
    <xf numFmtId="164" fontId="40" fillId="9" borderId="14" xfId="0" applyNumberFormat="1" applyFont="1" applyFill="1" applyBorder="1" applyAlignment="1">
      <alignment horizontal="center"/>
    </xf>
    <xf numFmtId="0" fontId="40" fillId="0" borderId="16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164" fontId="40" fillId="0" borderId="16" xfId="0" applyNumberFormat="1" applyFont="1" applyBorder="1" applyAlignment="1">
      <alignment horizontal="center"/>
    </xf>
    <xf numFmtId="164" fontId="40" fillId="0" borderId="17" xfId="0" applyNumberFormat="1" applyFont="1" applyBorder="1" applyAlignment="1">
      <alignment horizontal="center"/>
    </xf>
    <xf numFmtId="164" fontId="40" fillId="0" borderId="14" xfId="0" applyNumberFormat="1" applyFont="1" applyBorder="1" applyAlignment="1">
      <alignment horizontal="center"/>
    </xf>
    <xf numFmtId="0" fontId="40" fillId="0" borderId="16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40" fillId="0" borderId="16" xfId="0" applyFont="1" applyFill="1" applyBorder="1" applyAlignment="1">
      <alignment horizontal="left" vertical="center" wrapText="1"/>
    </xf>
    <xf numFmtId="0" fontId="40" fillId="0" borderId="17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164" fontId="40" fillId="0" borderId="16" xfId="0" applyNumberFormat="1" applyFont="1" applyFill="1" applyBorder="1" applyAlignment="1">
      <alignment horizontal="center"/>
    </xf>
    <xf numFmtId="164" fontId="40" fillId="0" borderId="17" xfId="0" applyNumberFormat="1" applyFont="1" applyFill="1" applyBorder="1" applyAlignment="1">
      <alignment horizontal="center"/>
    </xf>
    <xf numFmtId="164" fontId="40" fillId="0" borderId="14" xfId="0" applyNumberFormat="1" applyFont="1" applyFill="1" applyBorder="1" applyAlignment="1">
      <alignment horizontal="center"/>
    </xf>
    <xf numFmtId="0" fontId="40" fillId="6" borderId="16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0" fontId="40" fillId="6" borderId="14" xfId="0" applyFont="1" applyFill="1" applyBorder="1" applyAlignment="1">
      <alignment horizontal="left" vertical="center" wrapText="1"/>
    </xf>
    <xf numFmtId="164" fontId="40" fillId="6" borderId="16" xfId="0" applyNumberFormat="1" applyFont="1" applyFill="1" applyBorder="1" applyAlignment="1">
      <alignment horizontal="center"/>
    </xf>
    <xf numFmtId="164" fontId="40" fillId="6" borderId="17" xfId="0" applyNumberFormat="1" applyFont="1" applyFill="1" applyBorder="1" applyAlignment="1">
      <alignment horizontal="center"/>
    </xf>
    <xf numFmtId="164" fontId="40" fillId="6" borderId="14" xfId="0" applyNumberFormat="1" applyFont="1" applyFill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6" fontId="5" fillId="0" borderId="0" xfId="1" applyNumberFormat="1" applyFont="1" applyAlignment="1">
      <alignment horizontal="center" vertical="center" wrapText="1"/>
    </xf>
    <xf numFmtId="166" fontId="5" fillId="0" borderId="16" xfId="1" applyNumberFormat="1" applyFont="1" applyBorder="1" applyAlignment="1">
      <alignment horizontal="justify" vertical="distributed" wrapText="1"/>
    </xf>
    <xf numFmtId="166" fontId="5" fillId="0" borderId="17" xfId="1" applyNumberFormat="1" applyFont="1" applyBorder="1" applyAlignment="1">
      <alignment horizontal="justify" vertical="distributed" wrapText="1"/>
    </xf>
    <xf numFmtId="166" fontId="5" fillId="0" borderId="14" xfId="1" applyNumberFormat="1" applyFont="1" applyBorder="1" applyAlignment="1">
      <alignment horizontal="justify" vertical="distributed" wrapText="1"/>
    </xf>
    <xf numFmtId="166" fontId="5" fillId="0" borderId="16" xfId="1" applyNumberFormat="1" applyFont="1" applyBorder="1" applyAlignment="1">
      <alignment horizontal="center"/>
    </xf>
    <xf numFmtId="166" fontId="5" fillId="0" borderId="17" xfId="1" applyNumberFormat="1" applyFont="1" applyBorder="1" applyAlignment="1">
      <alignment horizontal="center"/>
    </xf>
    <xf numFmtId="166" fontId="5" fillId="0" borderId="14" xfId="1" applyNumberFormat="1" applyFont="1" applyBorder="1" applyAlignment="1">
      <alignment horizontal="center"/>
    </xf>
    <xf numFmtId="0" fontId="23" fillId="0" borderId="0" xfId="4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6" fillId="0" borderId="43" xfId="4" applyFont="1" applyFill="1" applyBorder="1" applyAlignment="1">
      <alignment horizontal="justify" vertical="center" wrapText="1"/>
    </xf>
    <xf numFmtId="167" fontId="24" fillId="0" borderId="42" xfId="4" applyNumberFormat="1" applyFont="1" applyFill="1" applyBorder="1" applyAlignment="1">
      <alignment horizontal="center" vertical="center"/>
    </xf>
    <xf numFmtId="167" fontId="24" fillId="0" borderId="39" xfId="4" applyNumberFormat="1" applyFont="1" applyFill="1" applyBorder="1" applyAlignment="1">
      <alignment horizontal="center" vertical="center"/>
    </xf>
    <xf numFmtId="167" fontId="34" fillId="0" borderId="38" xfId="4" applyNumberFormat="1" applyFont="1" applyFill="1" applyBorder="1" applyAlignment="1">
      <alignment horizontal="left" vertical="center" wrapText="1" indent="2"/>
    </xf>
    <xf numFmtId="167" fontId="34" fillId="0" borderId="46" xfId="4" applyNumberFormat="1" applyFont="1" applyFill="1" applyBorder="1" applyAlignment="1">
      <alignment horizontal="left" vertical="center" wrapText="1" indent="2"/>
    </xf>
    <xf numFmtId="167" fontId="50" fillId="0" borderId="0" xfId="4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7" fontId="24" fillId="0" borderId="42" xfId="4" applyNumberFormat="1" applyFont="1" applyFill="1" applyBorder="1" applyAlignment="1">
      <alignment horizontal="center" vertical="center" wrapText="1"/>
    </xf>
    <xf numFmtId="167" fontId="24" fillId="0" borderId="39" xfId="4" applyNumberFormat="1" applyFont="1" applyFill="1" applyBorder="1" applyAlignment="1">
      <alignment horizontal="center" vertical="center" wrapText="1"/>
    </xf>
    <xf numFmtId="167" fontId="24" fillId="0" borderId="53" xfId="4" applyNumberFormat="1" applyFont="1" applyFill="1" applyBorder="1" applyAlignment="1">
      <alignment horizontal="center" vertical="center"/>
    </xf>
    <xf numFmtId="167" fontId="24" fillId="0" borderId="54" xfId="4" applyNumberFormat="1" applyFont="1" applyFill="1" applyBorder="1" applyAlignment="1">
      <alignment horizontal="center" vertical="center"/>
    </xf>
    <xf numFmtId="167" fontId="24" fillId="0" borderId="55" xfId="4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5" xfId="0" applyBorder="1" applyAlignment="1">
      <alignment horizontal="right" vertical="center" wrapText="1"/>
    </xf>
    <xf numFmtId="0" fontId="12" fillId="0" borderId="2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right" wrapText="1"/>
    </xf>
    <xf numFmtId="0" fontId="11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/>
    </xf>
    <xf numFmtId="0" fontId="55" fillId="0" borderId="38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0" fontId="56" fillId="0" borderId="41" xfId="0" applyFont="1" applyBorder="1" applyAlignment="1">
      <alignment horizontal="center"/>
    </xf>
    <xf numFmtId="0" fontId="56" fillId="0" borderId="43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1" xfId="0" applyFont="1" applyBorder="1" applyAlignment="1">
      <alignment horizontal="justify" vertical="distributed" wrapText="1"/>
    </xf>
    <xf numFmtId="0" fontId="56" fillId="0" borderId="43" xfId="0" applyFont="1" applyBorder="1" applyAlignment="1">
      <alignment horizontal="justify" vertical="distributed" wrapText="1"/>
    </xf>
    <xf numFmtId="0" fontId="56" fillId="0" borderId="47" xfId="0" applyFont="1" applyBorder="1" applyAlignment="1">
      <alignment horizontal="justify" vertical="distributed" wrapText="1"/>
    </xf>
    <xf numFmtId="0" fontId="0" fillId="0" borderId="41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6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77" fillId="10" borderId="38" xfId="0" applyFont="1" applyFill="1" applyBorder="1" applyAlignment="1">
      <alignment horizontal="center"/>
    </xf>
    <xf numFmtId="0" fontId="77" fillId="10" borderId="36" xfId="0" applyFont="1" applyFill="1" applyBorder="1" applyAlignment="1">
      <alignment horizontal="center"/>
    </xf>
    <xf numFmtId="0" fontId="77" fillId="10" borderId="46" xfId="0" applyFont="1" applyFill="1" applyBorder="1" applyAlignment="1">
      <alignment horizontal="center"/>
    </xf>
    <xf numFmtId="0" fontId="76" fillId="0" borderId="38" xfId="0" applyFont="1" applyBorder="1" applyAlignment="1">
      <alignment horizontal="center"/>
    </xf>
    <xf numFmtId="0" fontId="76" fillId="0" borderId="36" xfId="0" applyFont="1" applyBorder="1" applyAlignment="1">
      <alignment horizontal="center"/>
    </xf>
    <xf numFmtId="0" fontId="76" fillId="0" borderId="46" xfId="0" applyFont="1" applyBorder="1" applyAlignment="1">
      <alignment horizontal="center"/>
    </xf>
    <xf numFmtId="0" fontId="56" fillId="0" borderId="38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56" fillId="0" borderId="46" xfId="0" applyFont="1" applyBorder="1" applyAlignment="1">
      <alignment horizontal="center"/>
    </xf>
    <xf numFmtId="0" fontId="7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right" vertic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39" fillId="0" borderId="16" xfId="0" applyFont="1" applyFill="1" applyBorder="1" applyAlignment="1">
      <alignment horizontal="left" vertical="center" wrapText="1"/>
    </xf>
    <xf numFmtId="0" fontId="39" fillId="0" borderId="17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62" fillId="0" borderId="16" xfId="0" quotePrefix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2" fillId="0" borderId="16" xfId="0" applyFont="1" applyFill="1" applyBorder="1" applyAlignment="1">
      <alignment horizontal="right" vertical="center" wrapText="1"/>
    </xf>
    <xf numFmtId="0" fontId="62" fillId="0" borderId="17" xfId="0" applyFont="1" applyFill="1" applyBorder="1" applyAlignment="1">
      <alignment horizontal="right" vertical="center" wrapText="1"/>
    </xf>
    <xf numFmtId="0" fontId="62" fillId="0" borderId="14" xfId="0" applyFont="1" applyFill="1" applyBorder="1" applyAlignment="1">
      <alignment horizontal="right" vertical="center" wrapText="1"/>
    </xf>
    <xf numFmtId="0" fontId="62" fillId="0" borderId="16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2" fillId="0" borderId="14" xfId="0" applyFont="1" applyFill="1" applyBorder="1" applyAlignment="1">
      <alignment horizontal="left" vertical="center" wrapText="1"/>
    </xf>
    <xf numFmtId="0" fontId="62" fillId="0" borderId="16" xfId="0" applyFont="1" applyFill="1" applyBorder="1" applyAlignment="1">
      <alignment horizontal="left" vertical="center"/>
    </xf>
    <xf numFmtId="0" fontId="62" fillId="0" borderId="17" xfId="0" applyFont="1" applyFill="1" applyBorder="1" applyAlignment="1">
      <alignment horizontal="left" vertical="center"/>
    </xf>
    <xf numFmtId="0" fontId="62" fillId="0" borderId="14" xfId="0" applyFont="1" applyFill="1" applyBorder="1" applyAlignment="1">
      <alignment horizontal="left" vertical="center"/>
    </xf>
    <xf numFmtId="0" fontId="40" fillId="0" borderId="16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2" fillId="0" borderId="50" xfId="0" applyFont="1" applyFill="1" applyBorder="1" applyAlignment="1">
      <alignment horizontal="center" vertical="center"/>
    </xf>
    <xf numFmtId="0" fontId="62" fillId="0" borderId="51" xfId="0" applyFont="1" applyFill="1" applyBorder="1" applyAlignment="1">
      <alignment horizontal="center" vertical="center"/>
    </xf>
    <xf numFmtId="0" fontId="62" fillId="0" borderId="18" xfId="0" applyFont="1" applyFill="1" applyBorder="1" applyAlignment="1">
      <alignment horizontal="center" vertical="center"/>
    </xf>
    <xf numFmtId="0" fontId="62" fillId="0" borderId="49" xfId="0" applyFont="1" applyFill="1" applyBorder="1" applyAlignment="1">
      <alignment horizontal="center" vertical="center"/>
    </xf>
    <xf numFmtId="0" fontId="62" fillId="0" borderId="5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62" fillId="0" borderId="50" xfId="0" applyFont="1" applyFill="1" applyBorder="1" applyAlignment="1">
      <alignment horizontal="center" vertical="center" wrapText="1"/>
    </xf>
    <xf numFmtId="0" fontId="62" fillId="0" borderId="51" xfId="0" applyFont="1" applyFill="1" applyBorder="1" applyAlignment="1">
      <alignment horizontal="center" vertical="center" wrapText="1"/>
    </xf>
    <xf numFmtId="0" fontId="62" fillId="0" borderId="49" xfId="0" applyFont="1" applyFill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7" fillId="0" borderId="38" xfId="0" applyFont="1" applyBorder="1" applyAlignment="1">
      <alignment horizontal="center"/>
    </xf>
    <xf numFmtId="0" fontId="67" fillId="0" borderId="36" xfId="0" applyFont="1" applyBorder="1" applyAlignment="1">
      <alignment horizontal="center"/>
    </xf>
    <xf numFmtId="0" fontId="67" fillId="0" borderId="46" xfId="0" applyFont="1" applyBorder="1" applyAlignment="1">
      <alignment horizontal="center"/>
    </xf>
    <xf numFmtId="0" fontId="56" fillId="0" borderId="38" xfId="0" applyFont="1" applyBorder="1" applyAlignment="1">
      <alignment horizontal="justify" vertical="distributed" wrapText="1"/>
    </xf>
    <xf numFmtId="0" fontId="56" fillId="0" borderId="36" xfId="0" applyFont="1" applyBorder="1" applyAlignment="1">
      <alignment horizontal="justify" vertical="distributed" wrapText="1"/>
    </xf>
    <xf numFmtId="0" fontId="56" fillId="0" borderId="46" xfId="0" applyFont="1" applyBorder="1" applyAlignment="1">
      <alignment horizontal="justify" vertical="distributed" wrapText="1"/>
    </xf>
    <xf numFmtId="0" fontId="5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</cellXfs>
  <cellStyles count="6">
    <cellStyle name="Ezres" xfId="1" builtinId="3"/>
    <cellStyle name="Ezres_Ktgvetési rendelet mellékletek_2008_Eszteregnye" xfId="3"/>
    <cellStyle name="Normál" xfId="0" builtinId="0"/>
    <cellStyle name="Normál_Ktgvetési rendelet mellékletek_2008_Eszteregnye" xfId="2"/>
    <cellStyle name="Normál_KVIREND" xfId="4"/>
    <cellStyle name="Normál_likviditási terv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S&#225;rmell&#233;k/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b&#233;rek/S&#225;rmell&#233;k/&#193;MK_b&#233;re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k&#246;z&#246;s_hivatal/Edit_K&#246;z&#246;s_Hivatal_K&#246;lts&#233;gvet&#233;s_1_fordu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S&#225;rmell&#233;k/SM%20&#246;nkorm&#225;nyzat%20b&#233;rek2018_201802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b&#233;rek/Szentgy&#246;rgyv&#225;r/Szentgy&#246;rgyv&#225;r_&#246;nk_ki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D19">
            <v>0</v>
          </cell>
          <cell r="F19">
            <v>0</v>
          </cell>
        </row>
        <row r="22">
          <cell r="F22">
            <v>0</v>
          </cell>
        </row>
        <row r="24">
          <cell r="F24">
            <v>0</v>
          </cell>
        </row>
        <row r="25">
          <cell r="F25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40">
          <cell r="F40">
            <v>0</v>
          </cell>
        </row>
        <row r="41">
          <cell r="E41">
            <v>0</v>
          </cell>
          <cell r="F41">
            <v>0</v>
          </cell>
        </row>
        <row r="42">
          <cell r="F42">
            <v>0</v>
          </cell>
        </row>
        <row r="44">
          <cell r="F44">
            <v>0</v>
          </cell>
        </row>
        <row r="45">
          <cell r="E45">
            <v>0</v>
          </cell>
          <cell r="F45">
            <v>0</v>
          </cell>
        </row>
        <row r="46">
          <cell r="F46">
            <v>0</v>
          </cell>
        </row>
        <row r="47">
          <cell r="E47">
            <v>0</v>
          </cell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E53">
            <v>0</v>
          </cell>
          <cell r="F53">
            <v>0</v>
          </cell>
        </row>
        <row r="54">
          <cell r="E54">
            <v>0</v>
          </cell>
          <cell r="F54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E58">
            <v>0</v>
          </cell>
          <cell r="F58">
            <v>0</v>
          </cell>
        </row>
        <row r="66">
          <cell r="F6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D10">
            <v>28825</v>
          </cell>
          <cell r="F10">
            <v>0</v>
          </cell>
        </row>
        <row r="11">
          <cell r="D11">
            <v>7267</v>
          </cell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F44">
            <v>0</v>
          </cell>
        </row>
        <row r="45">
          <cell r="E45">
            <v>0</v>
          </cell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E51">
            <v>0</v>
          </cell>
          <cell r="F51">
            <v>0</v>
          </cell>
        </row>
        <row r="52">
          <cell r="E52">
            <v>0</v>
          </cell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E56">
            <v>0</v>
          </cell>
          <cell r="F56">
            <v>0</v>
          </cell>
        </row>
        <row r="62">
          <cell r="F62">
            <v>0</v>
          </cell>
        </row>
        <row r="64">
          <cell r="D64">
            <v>576</v>
          </cell>
          <cell r="F64">
            <v>0</v>
          </cell>
        </row>
      </sheetData>
      <sheetData sheetId="14"/>
      <sheetData sheetId="15"/>
      <sheetData sheetId="16">
        <row r="10">
          <cell r="D10">
            <v>34215</v>
          </cell>
          <cell r="F10">
            <v>0</v>
          </cell>
        </row>
        <row r="11">
          <cell r="D11">
            <v>8457</v>
          </cell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25">
          <cell r="D25">
            <v>1618</v>
          </cell>
        </row>
        <row r="32">
          <cell r="D32">
            <v>1300</v>
          </cell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E39">
            <v>0</v>
          </cell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F44">
            <v>0</v>
          </cell>
        </row>
        <row r="45">
          <cell r="E45">
            <v>0</v>
          </cell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E51">
            <v>0</v>
          </cell>
          <cell r="F51">
            <v>0</v>
          </cell>
        </row>
        <row r="52">
          <cell r="E52">
            <v>0</v>
          </cell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E56">
            <v>0</v>
          </cell>
          <cell r="F56">
            <v>0</v>
          </cell>
        </row>
        <row r="62">
          <cell r="F62">
            <v>0</v>
          </cell>
        </row>
        <row r="63">
          <cell r="D63">
            <v>137</v>
          </cell>
        </row>
        <row r="64">
          <cell r="F6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"/>
      <sheetName val="bölcsöde"/>
      <sheetName val="óvoda"/>
      <sheetName val="bőlcsöde+óvoda"/>
      <sheetName val="Munka1"/>
      <sheetName val="bevételek"/>
      <sheetName val="közműv_bér"/>
      <sheetName val="közművelődés_kiadás"/>
      <sheetName val="bevétel_közműv"/>
      <sheetName val="kiadások_Mindösszesen_ÁMK"/>
      <sheetName val="ÖSSZES_bEVÉTEL"/>
    </sheetNames>
    <sheetDataSet>
      <sheetData sheetId="0">
        <row r="15">
          <cell r="B15">
            <v>6498000</v>
          </cell>
          <cell r="F15">
            <v>20007660</v>
          </cell>
        </row>
        <row r="16">
          <cell r="B16">
            <v>216600</v>
          </cell>
          <cell r="F16">
            <v>433200</v>
          </cell>
        </row>
        <row r="17">
          <cell r="B17">
            <v>111980</v>
          </cell>
          <cell r="F17">
            <v>1425060</v>
          </cell>
        </row>
        <row r="18">
          <cell r="B18">
            <v>288000</v>
          </cell>
          <cell r="F18">
            <v>576000</v>
          </cell>
        </row>
        <row r="19">
          <cell r="B19">
            <v>300000</v>
          </cell>
          <cell r="F19">
            <v>600000</v>
          </cell>
        </row>
        <row r="20">
          <cell r="B20">
            <v>90000</v>
          </cell>
          <cell r="F20">
            <v>120000</v>
          </cell>
        </row>
        <row r="21">
          <cell r="B21">
            <v>90720</v>
          </cell>
          <cell r="F21">
            <v>170100</v>
          </cell>
        </row>
        <row r="28">
          <cell r="B28">
            <v>1939122.6</v>
          </cell>
          <cell r="F28">
            <v>5704324.2000000002</v>
          </cell>
        </row>
      </sheetData>
      <sheetData sheetId="1">
        <row r="5">
          <cell r="F5">
            <v>6826580</v>
          </cell>
        </row>
        <row r="6">
          <cell r="F6">
            <v>300000</v>
          </cell>
        </row>
        <row r="7">
          <cell r="F7">
            <v>288000</v>
          </cell>
        </row>
        <row r="8">
          <cell r="F8">
            <v>90000</v>
          </cell>
        </row>
        <row r="9">
          <cell r="F9">
            <v>90720</v>
          </cell>
        </row>
        <row r="11">
          <cell r="F11">
            <v>18000</v>
          </cell>
        </row>
        <row r="14">
          <cell r="F14">
            <v>1949122.6</v>
          </cell>
        </row>
        <row r="15">
          <cell r="F15">
            <v>23000</v>
          </cell>
          <cell r="G15">
            <v>1150</v>
          </cell>
          <cell r="H15">
            <v>24150</v>
          </cell>
        </row>
        <row r="16">
          <cell r="F16">
            <v>393700</v>
          </cell>
        </row>
        <row r="18">
          <cell r="F18">
            <v>50000</v>
          </cell>
        </row>
        <row r="19">
          <cell r="F19">
            <v>30000</v>
          </cell>
        </row>
        <row r="20">
          <cell r="F20">
            <v>60000</v>
          </cell>
        </row>
        <row r="21">
          <cell r="F21">
            <v>30000</v>
          </cell>
        </row>
        <row r="27">
          <cell r="F27">
            <v>40000</v>
          </cell>
        </row>
        <row r="28">
          <cell r="F28">
            <v>220000</v>
          </cell>
        </row>
        <row r="29">
          <cell r="F29">
            <v>130000</v>
          </cell>
        </row>
        <row r="31">
          <cell r="F31">
            <v>60000</v>
          </cell>
        </row>
        <row r="32">
          <cell r="F32">
            <v>20000</v>
          </cell>
        </row>
        <row r="34">
          <cell r="F34">
            <v>5000</v>
          </cell>
        </row>
        <row r="37">
          <cell r="F37">
            <v>50000</v>
          </cell>
        </row>
        <row r="39">
          <cell r="G39">
            <v>301784.2</v>
          </cell>
        </row>
        <row r="40">
          <cell r="F40">
            <v>5000</v>
          </cell>
        </row>
        <row r="41">
          <cell r="F41">
            <v>5000</v>
          </cell>
        </row>
        <row r="42">
          <cell r="F42">
            <v>1191460</v>
          </cell>
        </row>
        <row r="45">
          <cell r="F45">
            <v>12000</v>
          </cell>
        </row>
        <row r="50">
          <cell r="F50">
            <v>10965882.6</v>
          </cell>
          <cell r="H50">
            <v>11324906.800000001</v>
          </cell>
          <cell r="I50">
            <v>11324910</v>
          </cell>
        </row>
      </sheetData>
      <sheetData sheetId="2">
        <row r="5">
          <cell r="F5">
            <v>21865920</v>
          </cell>
        </row>
        <row r="6">
          <cell r="F6">
            <v>600000</v>
          </cell>
        </row>
        <row r="7">
          <cell r="F7">
            <v>576000</v>
          </cell>
        </row>
        <row r="8">
          <cell r="F8">
            <v>120000</v>
          </cell>
        </row>
        <row r="9">
          <cell r="F9">
            <v>170100</v>
          </cell>
        </row>
        <row r="11">
          <cell r="F11">
            <v>75000</v>
          </cell>
        </row>
        <row r="14">
          <cell r="F14">
            <v>5704324.2000000002</v>
          </cell>
        </row>
        <row r="15">
          <cell r="F15">
            <v>94000</v>
          </cell>
          <cell r="G15">
            <v>4700</v>
          </cell>
          <cell r="H15">
            <v>98700</v>
          </cell>
        </row>
        <row r="16">
          <cell r="F16">
            <v>500000</v>
          </cell>
        </row>
        <row r="18">
          <cell r="F18">
            <v>50000</v>
          </cell>
        </row>
        <row r="19">
          <cell r="F19">
            <v>50000</v>
          </cell>
        </row>
        <row r="20">
          <cell r="F20">
            <v>150000</v>
          </cell>
        </row>
        <row r="21">
          <cell r="F21">
            <v>100000</v>
          </cell>
        </row>
        <row r="29">
          <cell r="F29">
            <v>150000</v>
          </cell>
        </row>
        <row r="30">
          <cell r="F30">
            <v>880000</v>
          </cell>
        </row>
        <row r="31">
          <cell r="F31">
            <v>510000</v>
          </cell>
        </row>
        <row r="33">
          <cell r="F33">
            <v>200000</v>
          </cell>
        </row>
        <row r="34">
          <cell r="F34">
            <v>40000</v>
          </cell>
        </row>
        <row r="36">
          <cell r="F36">
            <v>15000</v>
          </cell>
        </row>
        <row r="39">
          <cell r="F39">
            <v>70000</v>
          </cell>
        </row>
        <row r="41">
          <cell r="G41">
            <v>817229</v>
          </cell>
        </row>
        <row r="42">
          <cell r="F42">
            <v>20000</v>
          </cell>
        </row>
        <row r="43">
          <cell r="F43">
            <v>20000</v>
          </cell>
        </row>
        <row r="44">
          <cell r="F44">
            <v>3247780</v>
          </cell>
        </row>
        <row r="47">
          <cell r="F47">
            <v>12000</v>
          </cell>
        </row>
        <row r="59">
          <cell r="F59">
            <v>32971124.199999999</v>
          </cell>
          <cell r="H59">
            <v>33942593.200000003</v>
          </cell>
          <cell r="I59">
            <v>33942595</v>
          </cell>
        </row>
      </sheetData>
      <sheetData sheetId="3">
        <row r="63">
          <cell r="F63">
            <v>43937006.799999997</v>
          </cell>
        </row>
      </sheetData>
      <sheetData sheetId="4"/>
      <sheetData sheetId="5"/>
      <sheetData sheetId="6">
        <row r="8">
          <cell r="B8">
            <v>2166000</v>
          </cell>
        </row>
        <row r="9">
          <cell r="B9">
            <v>300000</v>
          </cell>
        </row>
        <row r="10">
          <cell r="B10">
            <v>96000</v>
          </cell>
        </row>
        <row r="11">
          <cell r="B11">
            <v>100000</v>
          </cell>
        </row>
        <row r="12">
          <cell r="B12">
            <v>302400</v>
          </cell>
        </row>
        <row r="19">
          <cell r="B19">
            <v>761324</v>
          </cell>
        </row>
      </sheetData>
      <sheetData sheetId="7">
        <row r="5">
          <cell r="F5">
            <v>2466000</v>
          </cell>
        </row>
        <row r="6">
          <cell r="F6">
            <v>100000</v>
          </cell>
        </row>
        <row r="7">
          <cell r="F7">
            <v>96000</v>
          </cell>
        </row>
        <row r="8">
          <cell r="F8">
            <v>302400</v>
          </cell>
        </row>
        <row r="16">
          <cell r="F16">
            <v>803324</v>
          </cell>
        </row>
        <row r="17">
          <cell r="F17">
            <v>170000</v>
          </cell>
          <cell r="G17">
            <v>8500</v>
          </cell>
          <cell r="H17">
            <v>178500</v>
          </cell>
        </row>
        <row r="21">
          <cell r="F21">
            <v>80000</v>
          </cell>
          <cell r="G21">
            <v>4000</v>
          </cell>
        </row>
        <row r="23">
          <cell r="F23">
            <v>145000</v>
          </cell>
        </row>
        <row r="26">
          <cell r="F26">
            <v>78740</v>
          </cell>
        </row>
        <row r="27">
          <cell r="F27">
            <v>20000</v>
          </cell>
        </row>
        <row r="28">
          <cell r="F28">
            <v>100000</v>
          </cell>
        </row>
        <row r="32">
          <cell r="F32">
            <v>200000</v>
          </cell>
        </row>
        <row r="33">
          <cell r="F33">
            <v>700000</v>
          </cell>
        </row>
        <row r="34">
          <cell r="F34">
            <v>600000</v>
          </cell>
        </row>
        <row r="36">
          <cell r="F36">
            <v>200000</v>
          </cell>
        </row>
        <row r="47">
          <cell r="F47">
            <v>70000</v>
          </cell>
        </row>
        <row r="51">
          <cell r="F51">
            <v>20000</v>
          </cell>
        </row>
        <row r="52">
          <cell r="F52">
            <v>20000</v>
          </cell>
        </row>
        <row r="60">
          <cell r="F60">
            <v>458591</v>
          </cell>
          <cell r="G60">
            <v>123818.57</v>
          </cell>
          <cell r="H60">
            <v>582409.57000000007</v>
          </cell>
        </row>
        <row r="62">
          <cell r="F62">
            <v>8881655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ulék"/>
      <sheetName val="dologi_kiadások"/>
      <sheetName val="Költségvetési_kiadások_mindössz"/>
      <sheetName val="Bevétel"/>
    </sheetNames>
    <sheetDataSet>
      <sheetData sheetId="0">
        <row r="30">
          <cell r="D30">
            <v>26512455</v>
          </cell>
        </row>
        <row r="31">
          <cell r="D31">
            <v>800000</v>
          </cell>
        </row>
        <row r="32">
          <cell r="D32">
            <v>274080</v>
          </cell>
        </row>
        <row r="33">
          <cell r="D33">
            <v>1088000</v>
          </cell>
        </row>
        <row r="34">
          <cell r="D34">
            <v>150000</v>
          </cell>
        </row>
        <row r="42">
          <cell r="D42">
            <v>7267872.3500000006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"/>
      <sheetName val="bér+járulékok"/>
      <sheetName val="dologi és egyéb folyó kiadás"/>
    </sheetNames>
    <sheetDataSet>
      <sheetData sheetId="0">
        <row r="18">
          <cell r="C18">
            <v>4891800</v>
          </cell>
          <cell r="E18">
            <v>12492000</v>
          </cell>
          <cell r="J18">
            <v>5983200</v>
          </cell>
          <cell r="M18">
            <v>3642120</v>
          </cell>
          <cell r="Q18">
            <v>4332000</v>
          </cell>
        </row>
        <row r="19">
          <cell r="E19">
            <v>240000</v>
          </cell>
          <cell r="J19">
            <v>200000</v>
          </cell>
          <cell r="M19">
            <v>396000</v>
          </cell>
        </row>
        <row r="20">
          <cell r="E20">
            <v>600000</v>
          </cell>
          <cell r="J20">
            <v>100000</v>
          </cell>
          <cell r="M20">
            <v>185400</v>
          </cell>
        </row>
        <row r="21">
          <cell r="J21">
            <v>897480</v>
          </cell>
          <cell r="M21">
            <v>100000</v>
          </cell>
          <cell r="Q21">
            <v>200000</v>
          </cell>
        </row>
        <row r="22">
          <cell r="M22">
            <v>668794</v>
          </cell>
        </row>
        <row r="23">
          <cell r="E23">
            <v>50000</v>
          </cell>
          <cell r="J23">
            <v>3265020</v>
          </cell>
          <cell r="M23">
            <v>96000</v>
          </cell>
          <cell r="Q23">
            <v>192000</v>
          </cell>
        </row>
        <row r="24">
          <cell r="M24">
            <v>20000</v>
          </cell>
        </row>
        <row r="29">
          <cell r="C29">
            <v>439200</v>
          </cell>
          <cell r="E29">
            <v>527040</v>
          </cell>
          <cell r="J29">
            <v>87840</v>
          </cell>
          <cell r="M29">
            <v>87840</v>
          </cell>
          <cell r="Q29">
            <v>175680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"/>
      <sheetName val="dologi_kiadások"/>
      <sheetName val="kiadások_mindössz"/>
      <sheetName val="bérek_és_járulékok"/>
      <sheetName val="Munka1"/>
    </sheetNames>
    <sheetDataSet>
      <sheetData sheetId="0">
        <row r="5">
          <cell r="F5">
            <v>3589812</v>
          </cell>
        </row>
        <row r="23">
          <cell r="D23">
            <v>127595</v>
          </cell>
        </row>
        <row r="28">
          <cell r="D28">
            <v>15000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" sqref="G1"/>
    </sheetView>
  </sheetViews>
  <sheetFormatPr defaultColWidth="9.140625" defaultRowHeight="15.75" x14ac:dyDescent="0.25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18.75" x14ac:dyDescent="0.25">
      <c r="A1" s="602"/>
      <c r="B1" s="602"/>
      <c r="C1" s="602"/>
      <c r="D1" s="1"/>
      <c r="E1" s="1"/>
      <c r="F1" s="1"/>
    </row>
    <row r="2" spans="1:10" x14ac:dyDescent="0.25">
      <c r="A2" s="603"/>
      <c r="B2" s="603"/>
      <c r="C2" s="603"/>
      <c r="D2" s="4"/>
      <c r="E2" s="4"/>
      <c r="F2" s="4"/>
      <c r="G2" s="4"/>
    </row>
    <row r="3" spans="1:10" x14ac:dyDescent="0.25">
      <c r="B3" s="5"/>
      <c r="C3" s="5" t="s">
        <v>604</v>
      </c>
      <c r="D3" s="5"/>
      <c r="E3" s="4"/>
      <c r="F3" s="4"/>
      <c r="G3" s="4"/>
    </row>
    <row r="4" spans="1:10" x14ac:dyDescent="0.25">
      <c r="B4" s="6"/>
      <c r="C4" s="5"/>
      <c r="D4" s="5"/>
      <c r="E4" s="5"/>
      <c r="F4" s="5"/>
      <c r="G4" s="4"/>
    </row>
    <row r="5" spans="1:10" ht="19.5" thickBot="1" x14ac:dyDescent="0.3">
      <c r="B5" s="7"/>
      <c r="C5" s="8"/>
    </row>
    <row r="6" spans="1:10" ht="18.75" x14ac:dyDescent="0.25">
      <c r="A6" s="604" t="s">
        <v>0</v>
      </c>
      <c r="B6" s="605"/>
      <c r="C6" s="606"/>
    </row>
    <row r="7" spans="1:10" ht="18.75" x14ac:dyDescent="0.25">
      <c r="A7" s="9" t="s">
        <v>1</v>
      </c>
      <c r="B7" s="607" t="s">
        <v>2</v>
      </c>
      <c r="C7" s="608"/>
    </row>
    <row r="8" spans="1:10" s="10" customFormat="1" ht="18.75" x14ac:dyDescent="0.25">
      <c r="A8" s="9"/>
      <c r="B8" s="607"/>
      <c r="C8" s="608"/>
      <c r="D8" s="2"/>
      <c r="E8" s="2"/>
      <c r="F8" s="2"/>
      <c r="G8" s="2"/>
      <c r="H8" s="2"/>
      <c r="I8" s="2"/>
      <c r="J8" s="2"/>
    </row>
    <row r="9" spans="1:10" x14ac:dyDescent="0.25">
      <c r="B9" s="5"/>
    </row>
  </sheetData>
  <mergeCells count="5">
    <mergeCell ref="A1:C1"/>
    <mergeCell ref="A2:C2"/>
    <mergeCell ref="A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7" workbookViewId="0">
      <selection activeCell="O4" sqref="O4:T4"/>
    </sheetView>
  </sheetViews>
  <sheetFormatPr defaultRowHeight="15" x14ac:dyDescent="0.25"/>
  <cols>
    <col min="1" max="1" width="14.85546875" style="249" customWidth="1"/>
    <col min="2" max="2" width="31.5703125" style="249" customWidth="1"/>
    <col min="3" max="3" width="5" style="249" customWidth="1"/>
    <col min="4" max="4" width="7" style="249" customWidth="1"/>
    <col min="5" max="5" width="4.5703125" style="249" customWidth="1"/>
    <col min="6" max="6" width="9.7109375" style="249" customWidth="1"/>
    <col min="8" max="8" width="10.28515625" bestFit="1" customWidth="1"/>
    <col min="9" max="9" width="21.7109375" bestFit="1" customWidth="1"/>
    <col min="16" max="16" width="15.7109375" bestFit="1" customWidth="1"/>
    <col min="21" max="21" width="9.85546875" bestFit="1" customWidth="1"/>
  </cols>
  <sheetData>
    <row r="1" spans="1:22" x14ac:dyDescent="0.25">
      <c r="H1" s="249"/>
      <c r="I1" s="249"/>
      <c r="J1" s="249"/>
      <c r="K1" s="249"/>
      <c r="L1" s="249"/>
      <c r="M1" s="249"/>
      <c r="O1" s="249"/>
      <c r="P1" s="249"/>
      <c r="Q1" s="249"/>
      <c r="R1" s="249"/>
      <c r="S1" s="249"/>
      <c r="T1" s="249"/>
    </row>
    <row r="2" spans="1:22" ht="18.75" x14ac:dyDescent="0.3">
      <c r="A2" s="785" t="s">
        <v>214</v>
      </c>
      <c r="B2" s="785"/>
      <c r="C2" s="785"/>
      <c r="D2" s="785"/>
      <c r="E2" s="785"/>
      <c r="F2" s="785"/>
      <c r="H2" s="785" t="s">
        <v>214</v>
      </c>
      <c r="I2" s="785"/>
      <c r="J2" s="785"/>
      <c r="K2" s="785"/>
      <c r="L2" s="785"/>
      <c r="M2" s="785"/>
      <c r="O2" s="785" t="s">
        <v>214</v>
      </c>
      <c r="P2" s="785"/>
      <c r="Q2" s="785"/>
      <c r="R2" s="785"/>
      <c r="S2" s="785"/>
      <c r="T2" s="785"/>
      <c r="U2" s="582" t="s">
        <v>317</v>
      </c>
      <c r="V2" s="526"/>
    </row>
    <row r="3" spans="1:22" ht="18.75" x14ac:dyDescent="0.3">
      <c r="A3" s="785"/>
      <c r="B3" s="785"/>
      <c r="C3" s="785"/>
      <c r="D3" s="785"/>
      <c r="E3" s="785"/>
      <c r="F3" s="785"/>
      <c r="H3" s="785"/>
      <c r="I3" s="785"/>
      <c r="J3" s="785"/>
      <c r="K3" s="785"/>
      <c r="L3" s="785"/>
      <c r="M3" s="785"/>
      <c r="O3" s="785" t="s">
        <v>318</v>
      </c>
      <c r="P3" s="785"/>
      <c r="Q3" s="785"/>
      <c r="R3" s="785"/>
      <c r="S3" s="785"/>
      <c r="T3" s="785"/>
    </row>
    <row r="4" spans="1:22" ht="20.25" x14ac:dyDescent="0.3">
      <c r="A4" s="785" t="s">
        <v>4</v>
      </c>
      <c r="B4" s="785"/>
      <c r="C4" s="785"/>
      <c r="D4" s="785"/>
      <c r="E4" s="785"/>
      <c r="F4" s="785"/>
      <c r="H4" s="827" t="s">
        <v>319</v>
      </c>
      <c r="I4" s="827"/>
      <c r="J4" s="827"/>
      <c r="K4" s="827"/>
      <c r="L4" s="827"/>
      <c r="M4" s="827"/>
      <c r="O4" s="828"/>
      <c r="P4" s="828"/>
      <c r="Q4" s="828"/>
      <c r="R4" s="828"/>
      <c r="S4" s="828"/>
      <c r="T4" s="828"/>
    </row>
    <row r="5" spans="1:22" ht="18.75" x14ac:dyDescent="0.3">
      <c r="A5" s="785" t="s">
        <v>320</v>
      </c>
      <c r="B5" s="785"/>
      <c r="C5" s="785"/>
      <c r="D5" s="785"/>
      <c r="E5" s="785"/>
      <c r="F5" s="785"/>
      <c r="H5" s="785" t="s">
        <v>320</v>
      </c>
      <c r="I5" s="785"/>
      <c r="J5" s="785"/>
      <c r="K5" s="785"/>
      <c r="L5" s="785"/>
      <c r="M5" s="785"/>
      <c r="O5" s="785" t="s">
        <v>320</v>
      </c>
      <c r="P5" s="785"/>
      <c r="Q5" s="785"/>
      <c r="R5" s="785"/>
      <c r="S5" s="785"/>
      <c r="T5" s="785"/>
    </row>
    <row r="6" spans="1:22" x14ac:dyDescent="0.25">
      <c r="H6" s="249"/>
      <c r="I6" s="249"/>
      <c r="J6" s="249"/>
      <c r="K6" s="249"/>
      <c r="L6" s="249"/>
      <c r="M6" s="249"/>
      <c r="O6" s="249"/>
      <c r="P6" s="249"/>
      <c r="Q6" s="249"/>
      <c r="R6" s="249"/>
      <c r="S6" s="249"/>
      <c r="T6" s="249"/>
    </row>
    <row r="7" spans="1:22" ht="47.25" x14ac:dyDescent="0.25">
      <c r="A7" s="367" t="s">
        <v>321</v>
      </c>
      <c r="B7" s="367" t="s">
        <v>322</v>
      </c>
      <c r="C7" s="808" t="s">
        <v>323</v>
      </c>
      <c r="D7" s="808"/>
      <c r="E7" s="808"/>
      <c r="F7" s="808"/>
      <c r="H7" s="367" t="s">
        <v>321</v>
      </c>
      <c r="I7" s="367" t="s">
        <v>322</v>
      </c>
      <c r="J7" s="808" t="s">
        <v>323</v>
      </c>
      <c r="K7" s="808"/>
      <c r="L7" s="808"/>
      <c r="M7" s="808"/>
      <c r="O7" s="367" t="s">
        <v>321</v>
      </c>
      <c r="P7" s="367" t="s">
        <v>322</v>
      </c>
      <c r="Q7" s="808" t="s">
        <v>323</v>
      </c>
      <c r="R7" s="808"/>
      <c r="S7" s="808"/>
      <c r="T7" s="808"/>
    </row>
    <row r="8" spans="1:22" ht="31.5" x14ac:dyDescent="0.25">
      <c r="A8" s="368" t="s">
        <v>324</v>
      </c>
      <c r="B8" s="369" t="s">
        <v>325</v>
      </c>
      <c r="C8" s="825">
        <v>2</v>
      </c>
      <c r="D8" s="825"/>
      <c r="E8" s="825"/>
      <c r="F8" s="825"/>
      <c r="H8" s="368" t="s">
        <v>326</v>
      </c>
      <c r="I8" s="369" t="s">
        <v>327</v>
      </c>
      <c r="J8" s="826">
        <v>6</v>
      </c>
      <c r="K8" s="826"/>
      <c r="L8" s="826"/>
      <c r="M8" s="826"/>
      <c r="O8" s="368" t="s">
        <v>328</v>
      </c>
      <c r="P8" s="369" t="s">
        <v>329</v>
      </c>
      <c r="Q8" s="825">
        <v>4</v>
      </c>
      <c r="R8" s="825"/>
      <c r="S8" s="825"/>
      <c r="T8" s="825"/>
    </row>
    <row r="9" spans="1:22" ht="31.5" x14ac:dyDescent="0.25">
      <c r="A9" s="368" t="s">
        <v>330</v>
      </c>
      <c r="B9" s="369" t="s">
        <v>331</v>
      </c>
      <c r="C9" s="820">
        <v>5</v>
      </c>
      <c r="D9" s="821"/>
      <c r="E9" s="821"/>
      <c r="F9" s="822"/>
      <c r="H9" s="368" t="s">
        <v>332</v>
      </c>
      <c r="I9" s="369" t="s">
        <v>333</v>
      </c>
      <c r="J9" s="813">
        <v>1</v>
      </c>
      <c r="K9" s="823"/>
      <c r="L9" s="823"/>
      <c r="M9" s="824"/>
      <c r="O9" s="368" t="s">
        <v>334</v>
      </c>
      <c r="P9" s="369" t="s">
        <v>335</v>
      </c>
      <c r="Q9" s="820">
        <v>1</v>
      </c>
      <c r="R9" s="821"/>
      <c r="S9" s="821"/>
      <c r="T9" s="822"/>
    </row>
    <row r="10" spans="1:22" ht="15.75" x14ac:dyDescent="0.25">
      <c r="A10" s="368" t="s">
        <v>326</v>
      </c>
      <c r="B10" s="370" t="s">
        <v>336</v>
      </c>
      <c r="C10" s="813">
        <v>1</v>
      </c>
      <c r="D10" s="823"/>
      <c r="E10" s="823"/>
      <c r="F10" s="824"/>
      <c r="H10" s="368" t="s">
        <v>337</v>
      </c>
      <c r="I10" s="369" t="s">
        <v>50</v>
      </c>
      <c r="J10" s="813">
        <v>1</v>
      </c>
      <c r="K10" s="823"/>
      <c r="L10" s="823"/>
      <c r="M10" s="824"/>
      <c r="O10" s="371">
        <v>104030</v>
      </c>
      <c r="P10" s="369" t="s">
        <v>338</v>
      </c>
      <c r="Q10" s="813">
        <v>3</v>
      </c>
      <c r="R10" s="823"/>
      <c r="S10" s="823"/>
      <c r="T10" s="824"/>
    </row>
    <row r="11" spans="1:22" ht="31.5" x14ac:dyDescent="0.25">
      <c r="A11" s="368" t="s">
        <v>339</v>
      </c>
      <c r="B11" s="369" t="s">
        <v>340</v>
      </c>
      <c r="C11" s="816">
        <v>1</v>
      </c>
      <c r="D11" s="817"/>
      <c r="E11" s="817"/>
      <c r="F11" s="818"/>
      <c r="H11" s="371"/>
      <c r="I11" s="369"/>
      <c r="J11" s="816"/>
      <c r="K11" s="817"/>
      <c r="L11" s="817"/>
      <c r="M11" s="818"/>
      <c r="O11" s="371">
        <v>91140</v>
      </c>
      <c r="P11" s="369" t="s">
        <v>341</v>
      </c>
      <c r="Q11" s="816">
        <v>2</v>
      </c>
      <c r="R11" s="817"/>
      <c r="S11" s="817"/>
      <c r="T11" s="818"/>
    </row>
    <row r="12" spans="1:22" ht="15.75" x14ac:dyDescent="0.25">
      <c r="A12" s="371"/>
      <c r="B12" s="369"/>
      <c r="C12" s="819"/>
      <c r="D12" s="819"/>
      <c r="E12" s="819"/>
      <c r="F12" s="819"/>
      <c r="H12" s="371"/>
      <c r="I12" s="369"/>
      <c r="J12" s="819"/>
      <c r="K12" s="819"/>
      <c r="L12" s="819"/>
      <c r="M12" s="819"/>
      <c r="O12" s="371"/>
      <c r="P12" s="369"/>
      <c r="Q12" s="819"/>
      <c r="R12" s="819"/>
      <c r="S12" s="819"/>
      <c r="T12" s="819"/>
    </row>
    <row r="13" spans="1:22" ht="15.75" x14ac:dyDescent="0.25">
      <c r="A13" s="371"/>
      <c r="B13" s="369"/>
      <c r="C13" s="813"/>
      <c r="D13" s="814"/>
      <c r="E13" s="814"/>
      <c r="F13" s="815"/>
      <c r="H13" s="371"/>
      <c r="I13" s="369"/>
      <c r="J13" s="813"/>
      <c r="K13" s="814"/>
      <c r="L13" s="814"/>
      <c r="M13" s="815"/>
      <c r="O13" s="371"/>
      <c r="P13" s="369"/>
      <c r="Q13" s="813"/>
      <c r="R13" s="814"/>
      <c r="S13" s="814"/>
      <c r="T13" s="815"/>
    </row>
    <row r="14" spans="1:22" ht="15.75" x14ac:dyDescent="0.25">
      <c r="A14" s="808" t="s">
        <v>131</v>
      </c>
      <c r="B14" s="808"/>
      <c r="C14" s="812">
        <f>SUM(C8:F13)</f>
        <v>9</v>
      </c>
      <c r="D14" s="812"/>
      <c r="E14" s="812"/>
      <c r="F14" s="812"/>
      <c r="H14" s="808" t="s">
        <v>131</v>
      </c>
      <c r="I14" s="808"/>
      <c r="J14" s="812">
        <f>SUM(J8:M13)</f>
        <v>8</v>
      </c>
      <c r="K14" s="812"/>
      <c r="L14" s="812"/>
      <c r="M14" s="812"/>
      <c r="O14" s="808" t="s">
        <v>131</v>
      </c>
      <c r="P14" s="808"/>
      <c r="Q14" s="812">
        <f>SUM(Q8:T13)</f>
        <v>10</v>
      </c>
      <c r="R14" s="812"/>
      <c r="S14" s="812"/>
      <c r="T14" s="812"/>
    </row>
    <row r="15" spans="1:22" x14ac:dyDescent="0.25">
      <c r="A15" s="372"/>
      <c r="B15" s="372"/>
    </row>
    <row r="16" spans="1:22" ht="18.75" x14ac:dyDescent="0.3">
      <c r="A16" s="785" t="s">
        <v>342</v>
      </c>
      <c r="B16" s="785"/>
      <c r="C16" s="785"/>
      <c r="D16" s="785"/>
      <c r="E16" s="785"/>
      <c r="F16" s="785"/>
    </row>
    <row r="18" spans="1:6" ht="31.5" x14ac:dyDescent="0.25">
      <c r="A18" s="367" t="s">
        <v>321</v>
      </c>
      <c r="B18" s="367" t="s">
        <v>322</v>
      </c>
      <c r="C18" s="808" t="s">
        <v>343</v>
      </c>
      <c r="D18" s="808"/>
      <c r="E18" s="808"/>
      <c r="F18" s="808"/>
    </row>
    <row r="19" spans="1:6" ht="15.75" x14ac:dyDescent="0.25">
      <c r="A19" s="368" t="s">
        <v>344</v>
      </c>
      <c r="B19" s="369" t="s">
        <v>345</v>
      </c>
      <c r="C19" s="809">
        <v>5</v>
      </c>
      <c r="D19" s="810"/>
      <c r="E19" s="810"/>
      <c r="F19" s="811"/>
    </row>
    <row r="20" spans="1:6" ht="15.75" x14ac:dyDescent="0.25">
      <c r="A20" s="808" t="s">
        <v>131</v>
      </c>
      <c r="B20" s="808"/>
      <c r="C20" s="812">
        <f>SUM(C14:F19)</f>
        <v>14</v>
      </c>
      <c r="D20" s="812"/>
      <c r="E20" s="812"/>
      <c r="F20" s="812"/>
    </row>
    <row r="24" spans="1:6" x14ac:dyDescent="0.25">
      <c r="D24" s="373"/>
    </row>
  </sheetData>
  <mergeCells count="44">
    <mergeCell ref="A2:F2"/>
    <mergeCell ref="H2:M2"/>
    <mergeCell ref="O2:T2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C7:F7"/>
    <mergeCell ref="J7:M7"/>
    <mergeCell ref="Q7:T7"/>
    <mergeCell ref="C8:F8"/>
    <mergeCell ref="J8:M8"/>
    <mergeCell ref="Q8:T8"/>
    <mergeCell ref="C9:F9"/>
    <mergeCell ref="J9:M9"/>
    <mergeCell ref="Q9:T9"/>
    <mergeCell ref="C10:F10"/>
    <mergeCell ref="J10:M10"/>
    <mergeCell ref="Q10:T10"/>
    <mergeCell ref="C11:F11"/>
    <mergeCell ref="J11:M11"/>
    <mergeCell ref="Q11:T11"/>
    <mergeCell ref="C12:F12"/>
    <mergeCell ref="J12:M12"/>
    <mergeCell ref="Q12:T12"/>
    <mergeCell ref="C13:F13"/>
    <mergeCell ref="J13:M13"/>
    <mergeCell ref="Q13:T13"/>
    <mergeCell ref="A14:B14"/>
    <mergeCell ref="C14:F14"/>
    <mergeCell ref="H14:I14"/>
    <mergeCell ref="J14:M14"/>
    <mergeCell ref="O14:P14"/>
    <mergeCell ref="Q14:T14"/>
    <mergeCell ref="A16:F16"/>
    <mergeCell ref="C18:F18"/>
    <mergeCell ref="C19:F19"/>
    <mergeCell ref="A20:B20"/>
    <mergeCell ref="C20:F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61" workbookViewId="0">
      <selection activeCell="E13" sqref="E13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5" width="16.28515625" style="2" customWidth="1"/>
    <col min="6" max="6" width="16.7109375" style="2" customWidth="1"/>
    <col min="7" max="7" width="16" style="11" bestFit="1" customWidth="1"/>
  </cols>
  <sheetData>
    <row r="1" spans="1:7" ht="18.75" x14ac:dyDescent="0.3">
      <c r="A1" s="639" t="s">
        <v>3</v>
      </c>
      <c r="B1" s="640"/>
      <c r="C1" s="640"/>
      <c r="D1" s="640"/>
      <c r="E1" s="640"/>
      <c r="F1" s="640"/>
    </row>
    <row r="2" spans="1:7" x14ac:dyDescent="0.25">
      <c r="A2" s="603"/>
      <c r="B2" s="603"/>
      <c r="C2" s="603"/>
      <c r="D2" s="603"/>
      <c r="E2" s="603"/>
      <c r="F2" s="603"/>
    </row>
    <row r="3" spans="1:7" x14ac:dyDescent="0.25">
      <c r="A3" s="641" t="s">
        <v>346</v>
      </c>
      <c r="B3" s="641"/>
      <c r="C3" s="641"/>
      <c r="D3" s="641"/>
      <c r="E3" s="641"/>
      <c r="F3" s="641"/>
      <c r="G3" s="641"/>
    </row>
    <row r="4" spans="1:7" x14ac:dyDescent="0.25">
      <c r="A4" s="603" t="s">
        <v>5</v>
      </c>
      <c r="B4" s="603"/>
      <c r="C4" s="603"/>
      <c r="D4" s="603"/>
      <c r="E4" s="603"/>
      <c r="F4" s="603"/>
    </row>
    <row r="5" spans="1:7" ht="16.5" thickBot="1" x14ac:dyDescent="0.3">
      <c r="A5" s="642" t="s">
        <v>347</v>
      </c>
      <c r="B5" s="642"/>
      <c r="C5" s="642"/>
      <c r="D5" s="642"/>
      <c r="E5" s="642"/>
      <c r="F5" s="642"/>
    </row>
    <row r="6" spans="1:7" ht="15" x14ac:dyDescent="0.25">
      <c r="A6" s="643" t="s">
        <v>7</v>
      </c>
      <c r="B6" s="646" t="s">
        <v>8</v>
      </c>
      <c r="C6" s="646"/>
      <c r="D6" s="649" t="s">
        <v>348</v>
      </c>
      <c r="E6" s="651" t="s">
        <v>10</v>
      </c>
      <c r="F6" s="651" t="s">
        <v>11</v>
      </c>
      <c r="G6" s="635" t="s">
        <v>12</v>
      </c>
    </row>
    <row r="7" spans="1:7" ht="15" x14ac:dyDescent="0.25">
      <c r="A7" s="644"/>
      <c r="B7" s="647"/>
      <c r="C7" s="647"/>
      <c r="D7" s="650"/>
      <c r="E7" s="652"/>
      <c r="F7" s="652"/>
      <c r="G7" s="636"/>
    </row>
    <row r="8" spans="1:7" thickBot="1" x14ac:dyDescent="0.3">
      <c r="A8" s="832"/>
      <c r="B8" s="833"/>
      <c r="C8" s="833"/>
      <c r="D8" s="830" t="s">
        <v>349</v>
      </c>
      <c r="E8" s="650"/>
      <c r="F8" s="650"/>
      <c r="G8" s="374"/>
    </row>
    <row r="9" spans="1:7" x14ac:dyDescent="0.25">
      <c r="A9" s="375"/>
      <c r="B9" s="646" t="s">
        <v>14</v>
      </c>
      <c r="C9" s="646"/>
      <c r="D9" s="376"/>
      <c r="E9" s="377"/>
      <c r="F9" s="378"/>
      <c r="G9" s="378"/>
    </row>
    <row r="10" spans="1:7" x14ac:dyDescent="0.25">
      <c r="A10" s="9">
        <v>1</v>
      </c>
      <c r="B10" s="620" t="s">
        <v>15</v>
      </c>
      <c r="C10" s="620"/>
      <c r="D10" s="17">
        <v>34215</v>
      </c>
      <c r="E10" s="17">
        <v>34215</v>
      </c>
      <c r="F10" s="18"/>
      <c r="G10" s="19"/>
    </row>
    <row r="11" spans="1:7" x14ac:dyDescent="0.25">
      <c r="A11" s="9">
        <v>2</v>
      </c>
      <c r="B11" s="620" t="s">
        <v>16</v>
      </c>
      <c r="C11" s="620"/>
      <c r="D11" s="17">
        <v>8457</v>
      </c>
      <c r="E11" s="17">
        <v>8457</v>
      </c>
      <c r="F11" s="18"/>
      <c r="G11" s="19"/>
    </row>
    <row r="12" spans="1:7" x14ac:dyDescent="0.25">
      <c r="A12" s="9">
        <v>3</v>
      </c>
      <c r="B12" s="620" t="s">
        <v>17</v>
      </c>
      <c r="C12" s="620"/>
      <c r="D12" s="17">
        <v>10669</v>
      </c>
      <c r="E12" s="17">
        <v>10669</v>
      </c>
      <c r="F12" s="18"/>
      <c r="G12" s="20"/>
    </row>
    <row r="13" spans="1:7" x14ac:dyDescent="0.25">
      <c r="A13" s="9" t="s">
        <v>18</v>
      </c>
      <c r="B13" s="620" t="s">
        <v>19</v>
      </c>
      <c r="C13" s="620"/>
      <c r="D13" s="379"/>
      <c r="E13" s="17"/>
      <c r="F13" s="18"/>
      <c r="G13" s="19"/>
    </row>
    <row r="14" spans="1:7" x14ac:dyDescent="0.25">
      <c r="A14" s="9" t="s">
        <v>20</v>
      </c>
      <c r="B14" s="626" t="s">
        <v>21</v>
      </c>
      <c r="C14" s="626"/>
      <c r="D14" s="379">
        <f>+D15+D16+D17+D18+D19</f>
        <v>0</v>
      </c>
      <c r="E14" s="17"/>
      <c r="F14" s="23"/>
      <c r="G14" s="23"/>
    </row>
    <row r="15" spans="1:7" x14ac:dyDescent="0.25">
      <c r="A15" s="9" t="s">
        <v>22</v>
      </c>
      <c r="B15" s="627" t="s">
        <v>133</v>
      </c>
      <c r="C15" s="627"/>
      <c r="D15" s="379"/>
      <c r="E15" s="17"/>
      <c r="F15" s="18"/>
      <c r="G15" s="19"/>
    </row>
    <row r="16" spans="1:7" x14ac:dyDescent="0.25">
      <c r="A16" s="9" t="s">
        <v>23</v>
      </c>
      <c r="B16" s="627" t="s">
        <v>24</v>
      </c>
      <c r="C16" s="627"/>
      <c r="D16" s="379"/>
      <c r="E16" s="17"/>
      <c r="F16" s="18"/>
      <c r="G16" s="19"/>
    </row>
    <row r="17" spans="1:7" x14ac:dyDescent="0.25">
      <c r="A17" s="9"/>
      <c r="B17" s="831" t="s">
        <v>136</v>
      </c>
      <c r="C17" s="831"/>
      <c r="D17" s="379"/>
      <c r="E17" s="17"/>
      <c r="F17" s="18"/>
      <c r="G17" s="19"/>
    </row>
    <row r="18" spans="1:7" x14ac:dyDescent="0.25">
      <c r="A18" s="9" t="s">
        <v>25</v>
      </c>
      <c r="B18" s="630" t="s">
        <v>26</v>
      </c>
      <c r="C18" s="630"/>
      <c r="D18" s="379"/>
      <c r="E18" s="17"/>
      <c r="F18" s="18"/>
      <c r="G18" s="19"/>
    </row>
    <row r="19" spans="1:7" x14ac:dyDescent="0.25">
      <c r="A19" s="9" t="s">
        <v>27</v>
      </c>
      <c r="B19" s="630" t="s">
        <v>350</v>
      </c>
      <c r="C19" s="829"/>
      <c r="D19" s="379"/>
      <c r="E19" s="17"/>
      <c r="F19" s="18"/>
      <c r="G19" s="19"/>
    </row>
    <row r="20" spans="1:7" x14ac:dyDescent="0.25">
      <c r="A20" s="9"/>
      <c r="B20" s="620" t="s">
        <v>28</v>
      </c>
      <c r="C20" s="620"/>
      <c r="D20" s="380"/>
      <c r="E20" s="33"/>
      <c r="F20" s="381"/>
      <c r="G20" s="382"/>
    </row>
    <row r="21" spans="1:7" x14ac:dyDescent="0.25">
      <c r="A21" s="9" t="s">
        <v>1</v>
      </c>
      <c r="B21" s="140" t="s">
        <v>30</v>
      </c>
      <c r="C21" s="383"/>
      <c r="D21" s="379">
        <f>+D10+D11+D12+D13+D14+D20</f>
        <v>53341</v>
      </c>
      <c r="E21" s="22">
        <f>+E10+E11+E12+E13+E14+E20</f>
        <v>53341</v>
      </c>
      <c r="F21" s="23">
        <f>+F10+F11+F12+F13+F14+F20</f>
        <v>0</v>
      </c>
      <c r="G21" s="17"/>
    </row>
    <row r="22" spans="1:7" x14ac:dyDescent="0.25">
      <c r="A22" s="9" t="s">
        <v>31</v>
      </c>
      <c r="B22" s="620" t="s">
        <v>32</v>
      </c>
      <c r="C22" s="620"/>
      <c r="D22" s="380">
        <v>1618</v>
      </c>
      <c r="E22" s="33">
        <v>1618</v>
      </c>
      <c r="F22" s="119"/>
      <c r="G22" s="19"/>
    </row>
    <row r="23" spans="1:7" x14ac:dyDescent="0.25">
      <c r="A23" s="9" t="s">
        <v>33</v>
      </c>
      <c r="B23" s="620" t="s">
        <v>34</v>
      </c>
      <c r="C23" s="620"/>
      <c r="D23" s="380"/>
      <c r="E23" s="33"/>
      <c r="F23" s="18"/>
      <c r="G23" s="19"/>
    </row>
    <row r="24" spans="1:7" x14ac:dyDescent="0.25">
      <c r="A24" s="9" t="s">
        <v>35</v>
      </c>
      <c r="B24" s="620" t="s">
        <v>140</v>
      </c>
      <c r="C24" s="620"/>
      <c r="D24" s="380"/>
      <c r="E24" s="33"/>
      <c r="F24" s="18"/>
      <c r="G24" s="19"/>
    </row>
    <row r="25" spans="1:7" x14ac:dyDescent="0.25">
      <c r="A25" s="9" t="s">
        <v>37</v>
      </c>
      <c r="B25" s="620" t="s">
        <v>38</v>
      </c>
      <c r="C25" s="620"/>
      <c r="D25" s="380">
        <f>+D22+D23+D24</f>
        <v>1618</v>
      </c>
      <c r="E25" s="33">
        <v>1618</v>
      </c>
      <c r="F25" s="18">
        <f>SUM(F22:F24)</f>
        <v>0</v>
      </c>
      <c r="G25" s="19"/>
    </row>
    <row r="26" spans="1:7" x14ac:dyDescent="0.25">
      <c r="A26" s="9" t="s">
        <v>39</v>
      </c>
      <c r="B26" s="620"/>
      <c r="C26" s="620"/>
      <c r="D26" s="380"/>
      <c r="E26" s="33"/>
      <c r="F26" s="18"/>
      <c r="G26" s="19"/>
    </row>
    <row r="27" spans="1:7" x14ac:dyDescent="0.25">
      <c r="A27" s="9" t="s">
        <v>40</v>
      </c>
      <c r="B27" s="622"/>
      <c r="C27" s="622"/>
      <c r="D27" s="384"/>
      <c r="E27" s="35"/>
      <c r="F27" s="18">
        <f>+D27+E27</f>
        <v>0</v>
      </c>
      <c r="G27" s="19"/>
    </row>
    <row r="28" spans="1:7" x14ac:dyDescent="0.25">
      <c r="A28" s="9" t="s">
        <v>41</v>
      </c>
      <c r="B28" s="622"/>
      <c r="C28" s="622"/>
      <c r="D28" s="384"/>
      <c r="E28" s="385"/>
      <c r="F28" s="18">
        <f>+D28+E28</f>
        <v>0</v>
      </c>
      <c r="G28" s="19"/>
    </row>
    <row r="29" spans="1:7" ht="19.5" x14ac:dyDescent="0.3">
      <c r="A29" s="37" t="s">
        <v>42</v>
      </c>
      <c r="B29" s="616" t="s">
        <v>351</v>
      </c>
      <c r="C29" s="616"/>
      <c r="D29" s="386">
        <f>+D21+D25+D26+D27+D28</f>
        <v>54959</v>
      </c>
      <c r="E29" s="387">
        <f>+E21+E25+E26+E27+E28</f>
        <v>54959</v>
      </c>
      <c r="F29" s="69">
        <f>+F21+F25+F26+F27+F28</f>
        <v>0</v>
      </c>
      <c r="G29" s="70">
        <f>+G21+G25+G26+G27+G28</f>
        <v>0</v>
      </c>
    </row>
    <row r="30" spans="1:7" x14ac:dyDescent="0.25">
      <c r="A30" s="41"/>
      <c r="B30" s="664"/>
      <c r="C30" s="664"/>
      <c r="D30" s="129"/>
      <c r="E30" s="388"/>
      <c r="F30" s="100"/>
      <c r="G30" s="100"/>
    </row>
    <row r="31" spans="1:7" x14ac:dyDescent="0.25">
      <c r="A31" s="9"/>
      <c r="B31" s="691" t="s">
        <v>44</v>
      </c>
      <c r="C31" s="691"/>
      <c r="D31" s="380"/>
      <c r="E31" s="33"/>
      <c r="F31" s="18"/>
      <c r="G31" s="19"/>
    </row>
    <row r="32" spans="1:7" x14ac:dyDescent="0.25">
      <c r="A32" s="9" t="s">
        <v>45</v>
      </c>
      <c r="B32" s="614" t="s">
        <v>46</v>
      </c>
      <c r="C32" s="614"/>
      <c r="D32" s="380">
        <v>1300</v>
      </c>
      <c r="E32" s="33">
        <v>1300</v>
      </c>
      <c r="F32" s="18"/>
      <c r="G32" s="19">
        <v>0</v>
      </c>
    </row>
    <row r="33" spans="1:7" x14ac:dyDescent="0.25">
      <c r="A33" s="9" t="s">
        <v>47</v>
      </c>
      <c r="B33" s="614" t="s">
        <v>48</v>
      </c>
      <c r="C33" s="614"/>
      <c r="D33" s="380">
        <f>SUM(D34:D36)</f>
        <v>0</v>
      </c>
      <c r="E33" s="33">
        <f>SUM(E34:E36)</f>
        <v>0</v>
      </c>
      <c r="F33" s="33">
        <f>SUM(F34:F36)</f>
        <v>0</v>
      </c>
      <c r="G33" s="19"/>
    </row>
    <row r="34" spans="1:7" x14ac:dyDescent="0.25">
      <c r="A34" s="9"/>
      <c r="B34" s="52" t="s">
        <v>49</v>
      </c>
      <c r="C34" s="53" t="s">
        <v>50</v>
      </c>
      <c r="D34" s="380"/>
      <c r="E34" s="33"/>
      <c r="F34" s="18"/>
      <c r="G34" s="19"/>
    </row>
    <row r="35" spans="1:7" x14ac:dyDescent="0.25">
      <c r="A35" s="9"/>
      <c r="B35" s="52" t="s">
        <v>51</v>
      </c>
      <c r="C35" s="53" t="s">
        <v>52</v>
      </c>
      <c r="D35" s="380"/>
      <c r="E35" s="33"/>
      <c r="F35" s="18"/>
      <c r="G35" s="19"/>
    </row>
    <row r="36" spans="1:7" x14ac:dyDescent="0.25">
      <c r="A36" s="9"/>
      <c r="B36" s="52" t="s">
        <v>53</v>
      </c>
      <c r="C36" s="53" t="s">
        <v>54</v>
      </c>
      <c r="D36" s="380"/>
      <c r="E36" s="33"/>
      <c r="F36" s="18"/>
      <c r="G36" s="19"/>
    </row>
    <row r="37" spans="1:7" x14ac:dyDescent="0.25">
      <c r="A37" s="9" t="s">
        <v>55</v>
      </c>
      <c r="B37" s="614" t="s">
        <v>56</v>
      </c>
      <c r="C37" s="614"/>
      <c r="D37" s="380">
        <f>SUM(D38:D40)</f>
        <v>0</v>
      </c>
      <c r="E37" s="33"/>
      <c r="F37" s="18">
        <f>SUM(F38:F40)</f>
        <v>0</v>
      </c>
      <c r="G37" s="19"/>
    </row>
    <row r="38" spans="1:7" x14ac:dyDescent="0.25">
      <c r="A38" s="9"/>
      <c r="B38" s="56" t="s">
        <v>57</v>
      </c>
      <c r="C38" s="57" t="s">
        <v>58</v>
      </c>
      <c r="D38" s="380"/>
      <c r="E38" s="33"/>
      <c r="F38" s="18"/>
      <c r="G38" s="19"/>
    </row>
    <row r="39" spans="1:7" x14ac:dyDescent="0.25">
      <c r="A39" s="9"/>
      <c r="B39" s="56" t="s">
        <v>59</v>
      </c>
      <c r="C39" s="57" t="s">
        <v>60</v>
      </c>
      <c r="D39" s="380"/>
      <c r="E39" s="33"/>
      <c r="F39" s="18">
        <f t="shared" ref="F39:F45" si="0">SUM(D39:D39)</f>
        <v>0</v>
      </c>
      <c r="G39" s="19"/>
    </row>
    <row r="40" spans="1:7" x14ac:dyDescent="0.25">
      <c r="A40" s="9"/>
      <c r="B40" s="56" t="s">
        <v>61</v>
      </c>
      <c r="C40" s="57" t="s">
        <v>62</v>
      </c>
      <c r="D40" s="380"/>
      <c r="E40" s="33"/>
      <c r="F40" s="18"/>
      <c r="G40" s="19"/>
    </row>
    <row r="41" spans="1:7" x14ac:dyDescent="0.25">
      <c r="A41" s="9" t="s">
        <v>18</v>
      </c>
      <c r="B41" s="614" t="s">
        <v>63</v>
      </c>
      <c r="C41" s="614"/>
      <c r="D41" s="380">
        <f>+F41</f>
        <v>0</v>
      </c>
      <c r="E41" s="33">
        <f>SUM(E42:E45)</f>
        <v>0</v>
      </c>
      <c r="F41" s="33">
        <f>SUM(F42:F45)</f>
        <v>0</v>
      </c>
      <c r="G41" s="19"/>
    </row>
    <row r="42" spans="1:7" x14ac:dyDescent="0.25">
      <c r="A42" s="9"/>
      <c r="B42" s="56" t="s">
        <v>64</v>
      </c>
      <c r="C42" s="57" t="s">
        <v>65</v>
      </c>
      <c r="D42" s="380">
        <f>+F42</f>
        <v>0</v>
      </c>
      <c r="E42" s="33"/>
      <c r="F42" s="18"/>
      <c r="G42" s="19"/>
    </row>
    <row r="43" spans="1:7" x14ac:dyDescent="0.25">
      <c r="A43" s="9"/>
      <c r="B43" s="56" t="s">
        <v>66</v>
      </c>
      <c r="C43" s="57" t="s">
        <v>67</v>
      </c>
      <c r="D43" s="380"/>
      <c r="E43" s="33"/>
      <c r="F43" s="18">
        <f t="shared" si="0"/>
        <v>0</v>
      </c>
      <c r="G43" s="19"/>
    </row>
    <row r="44" spans="1:7" x14ac:dyDescent="0.25">
      <c r="A44" s="9"/>
      <c r="B44" s="56" t="s">
        <v>68</v>
      </c>
      <c r="C44" s="57" t="s">
        <v>352</v>
      </c>
      <c r="D44" s="380"/>
      <c r="E44" s="33"/>
      <c r="F44" s="18">
        <f t="shared" si="0"/>
        <v>0</v>
      </c>
      <c r="G44" s="19"/>
    </row>
    <row r="45" spans="1:7" x14ac:dyDescent="0.25">
      <c r="A45" s="9"/>
      <c r="B45" s="56" t="s">
        <v>70</v>
      </c>
      <c r="C45" s="57" t="s">
        <v>71</v>
      </c>
      <c r="D45" s="380"/>
      <c r="E45" s="33"/>
      <c r="F45" s="18">
        <f t="shared" si="0"/>
        <v>0</v>
      </c>
      <c r="G45" s="19"/>
    </row>
    <row r="46" spans="1:7" x14ac:dyDescent="0.25">
      <c r="A46" s="27" t="s">
        <v>1</v>
      </c>
      <c r="B46" s="618" t="s">
        <v>72</v>
      </c>
      <c r="C46" s="618"/>
      <c r="D46" s="380">
        <f>+D32+D33+D37+D41</f>
        <v>1300</v>
      </c>
      <c r="E46" s="33">
        <f>+E32+E33+E37+E41</f>
        <v>1300</v>
      </c>
      <c r="F46" s="380">
        <f>+F32+F33+F37+F41</f>
        <v>0</v>
      </c>
      <c r="G46" s="380">
        <f>+G32+G33+G37+G41</f>
        <v>0</v>
      </c>
    </row>
    <row r="47" spans="1:7" x14ac:dyDescent="0.25">
      <c r="A47" s="9" t="s">
        <v>20</v>
      </c>
      <c r="B47" s="614" t="s">
        <v>73</v>
      </c>
      <c r="C47" s="614"/>
      <c r="D47" s="380">
        <f>SUM(D48:D49)</f>
        <v>0</v>
      </c>
      <c r="E47" s="33">
        <f>SUM(E48:E49)</f>
        <v>0</v>
      </c>
      <c r="F47" s="33">
        <f>SUM(F48:F49)</f>
        <v>0</v>
      </c>
      <c r="G47" s="19"/>
    </row>
    <row r="48" spans="1:7" x14ac:dyDescent="0.25">
      <c r="A48" s="9"/>
      <c r="B48" s="56" t="s">
        <v>74</v>
      </c>
      <c r="C48" s="57" t="s">
        <v>75</v>
      </c>
      <c r="D48" s="380"/>
      <c r="E48" s="33"/>
      <c r="F48" s="18">
        <f t="shared" ref="F48:F56" si="1">SUM(D48:D48)</f>
        <v>0</v>
      </c>
      <c r="G48" s="19"/>
    </row>
    <row r="49" spans="1:7" x14ac:dyDescent="0.25">
      <c r="A49" s="9"/>
      <c r="B49" s="56" t="s">
        <v>76</v>
      </c>
      <c r="C49" s="57" t="s">
        <v>77</v>
      </c>
      <c r="D49" s="380"/>
      <c r="E49" s="33"/>
      <c r="F49" s="18"/>
      <c r="G49" s="19"/>
    </row>
    <row r="50" spans="1:7" x14ac:dyDescent="0.25">
      <c r="A50" s="9" t="s">
        <v>31</v>
      </c>
      <c r="B50" s="614" t="s">
        <v>78</v>
      </c>
      <c r="C50" s="614"/>
      <c r="D50" s="380">
        <f>SUM(D51:D52)</f>
        <v>0</v>
      </c>
      <c r="E50" s="33">
        <f>SUM(E51:E52)</f>
        <v>0</v>
      </c>
      <c r="F50" s="18">
        <f t="shared" si="1"/>
        <v>0</v>
      </c>
      <c r="G50" s="19"/>
    </row>
    <row r="51" spans="1:7" x14ac:dyDescent="0.25">
      <c r="A51" s="9"/>
      <c r="B51" s="56" t="s">
        <v>79</v>
      </c>
      <c r="C51" s="57" t="s">
        <v>80</v>
      </c>
      <c r="D51" s="380"/>
      <c r="E51" s="33"/>
      <c r="F51" s="18">
        <f t="shared" si="1"/>
        <v>0</v>
      </c>
      <c r="G51" s="19"/>
    </row>
    <row r="52" spans="1:7" x14ac:dyDescent="0.25">
      <c r="A52" s="9"/>
      <c r="B52" s="56" t="s">
        <v>81</v>
      </c>
      <c r="C52" s="57" t="s">
        <v>82</v>
      </c>
      <c r="D52" s="380">
        <v>0</v>
      </c>
      <c r="E52" s="33"/>
      <c r="F52" s="18">
        <f t="shared" si="1"/>
        <v>0</v>
      </c>
      <c r="G52" s="19"/>
    </row>
    <row r="53" spans="1:7" x14ac:dyDescent="0.25">
      <c r="A53" s="9" t="s">
        <v>33</v>
      </c>
      <c r="B53" s="614" t="s">
        <v>83</v>
      </c>
      <c r="C53" s="614"/>
      <c r="D53" s="380">
        <f>SUM(D54:D56)</f>
        <v>0</v>
      </c>
      <c r="E53" s="33">
        <f>SUM(E54:E56)</f>
        <v>0</v>
      </c>
      <c r="F53" s="18">
        <f>SUM(F54:F56)</f>
        <v>0</v>
      </c>
      <c r="G53" s="19"/>
    </row>
    <row r="54" spans="1:7" x14ac:dyDescent="0.25">
      <c r="A54" s="9"/>
      <c r="B54" s="56" t="s">
        <v>84</v>
      </c>
      <c r="C54" s="57" t="s">
        <v>85</v>
      </c>
      <c r="D54" s="380"/>
      <c r="E54" s="33"/>
      <c r="F54" s="18"/>
      <c r="G54" s="19"/>
    </row>
    <row r="55" spans="1:7" x14ac:dyDescent="0.25">
      <c r="A55" s="9"/>
      <c r="B55" s="56" t="s">
        <v>86</v>
      </c>
      <c r="C55" s="57" t="s">
        <v>87</v>
      </c>
      <c r="D55" s="380"/>
      <c r="E55" s="33"/>
      <c r="F55" s="18">
        <f t="shared" si="1"/>
        <v>0</v>
      </c>
      <c r="G55" s="19"/>
    </row>
    <row r="56" spans="1:7" x14ac:dyDescent="0.25">
      <c r="A56" s="9"/>
      <c r="B56" s="56" t="s">
        <v>88</v>
      </c>
      <c r="C56" s="57" t="s">
        <v>89</v>
      </c>
      <c r="D56" s="380"/>
      <c r="E56" s="33"/>
      <c r="F56" s="18">
        <f t="shared" si="1"/>
        <v>0</v>
      </c>
      <c r="G56" s="19"/>
    </row>
    <row r="57" spans="1:7" x14ac:dyDescent="0.25">
      <c r="A57" s="27" t="s">
        <v>37</v>
      </c>
      <c r="B57" s="618" t="s">
        <v>90</v>
      </c>
      <c r="C57" s="618"/>
      <c r="D57" s="384">
        <f>+D47+D50+D53</f>
        <v>0</v>
      </c>
      <c r="E57" s="389">
        <f>+E47+E50+E53</f>
        <v>0</v>
      </c>
      <c r="F57" s="34">
        <f>+F47+F50+F53</f>
        <v>0</v>
      </c>
      <c r="G57" s="390">
        <f>+G47+G50+G53</f>
        <v>0</v>
      </c>
    </row>
    <row r="58" spans="1:7" x14ac:dyDescent="0.25">
      <c r="A58" s="27" t="s">
        <v>39</v>
      </c>
      <c r="B58" s="618" t="s">
        <v>91</v>
      </c>
      <c r="C58" s="618"/>
      <c r="D58" s="384"/>
      <c r="E58" s="35"/>
      <c r="F58" s="391"/>
      <c r="G58" s="392"/>
    </row>
    <row r="59" spans="1:7" x14ac:dyDescent="0.25">
      <c r="A59" s="27" t="s">
        <v>40</v>
      </c>
      <c r="B59" s="618" t="s">
        <v>92</v>
      </c>
      <c r="C59" s="618"/>
      <c r="D59" s="384"/>
      <c r="E59" s="35"/>
      <c r="F59" s="391"/>
      <c r="G59" s="392"/>
    </row>
    <row r="60" spans="1:7" ht="18.75" x14ac:dyDescent="0.3">
      <c r="A60" s="37" t="s">
        <v>93</v>
      </c>
      <c r="B60" s="611" t="s">
        <v>94</v>
      </c>
      <c r="C60" s="611"/>
      <c r="D60" s="386">
        <f>+D46+D57+D58+D59</f>
        <v>1300</v>
      </c>
      <c r="E60" s="387">
        <f>+E46+E57+E58+E59</f>
        <v>1300</v>
      </c>
      <c r="F60" s="69">
        <f>+F46+F57+F58+F59</f>
        <v>0</v>
      </c>
      <c r="G60" s="70">
        <f>+G46+G57+G58+G59</f>
        <v>0</v>
      </c>
    </row>
    <row r="61" spans="1:7" ht="18.75" x14ac:dyDescent="0.3">
      <c r="A61" s="37"/>
      <c r="B61" s="611" t="s">
        <v>95</v>
      </c>
      <c r="C61" s="611"/>
      <c r="D61" s="386">
        <f>+D29-D60</f>
        <v>53659</v>
      </c>
      <c r="E61" s="387">
        <f>+E29-E60</f>
        <v>53659</v>
      </c>
      <c r="F61" s="69">
        <f>+F29-F60</f>
        <v>0</v>
      </c>
      <c r="G61" s="70">
        <f>+G29-G60</f>
        <v>0</v>
      </c>
    </row>
    <row r="62" spans="1:7" ht="18.75" x14ac:dyDescent="0.3">
      <c r="A62" s="37"/>
      <c r="B62" s="618" t="s">
        <v>96</v>
      </c>
      <c r="C62" s="618"/>
      <c r="D62" s="386">
        <v>53522</v>
      </c>
      <c r="E62" s="74">
        <v>53522</v>
      </c>
      <c r="F62" s="69"/>
      <c r="G62" s="70"/>
    </row>
    <row r="63" spans="1:7" x14ac:dyDescent="0.25">
      <c r="A63" s="27" t="s">
        <v>41</v>
      </c>
      <c r="B63" s="618" t="s">
        <v>97</v>
      </c>
      <c r="C63" s="618"/>
      <c r="D63" s="380">
        <v>137</v>
      </c>
      <c r="E63" s="73">
        <f>SUM(E64:E65)</f>
        <v>137</v>
      </c>
      <c r="F63" s="18"/>
      <c r="G63" s="21"/>
    </row>
    <row r="64" spans="1:7" ht="18.75" x14ac:dyDescent="0.3">
      <c r="A64" s="37"/>
      <c r="B64" s="71" t="s">
        <v>45</v>
      </c>
      <c r="C64" s="57" t="s">
        <v>98</v>
      </c>
      <c r="D64" s="380">
        <v>137</v>
      </c>
      <c r="E64" s="73">
        <v>137</v>
      </c>
      <c r="F64" s="80"/>
      <c r="G64" s="72"/>
    </row>
    <row r="65" spans="1:7" ht="18.75" x14ac:dyDescent="0.3">
      <c r="A65" s="37"/>
      <c r="B65" s="71" t="s">
        <v>47</v>
      </c>
      <c r="C65" s="57" t="s">
        <v>99</v>
      </c>
      <c r="D65" s="393"/>
      <c r="E65" s="74"/>
      <c r="F65" s="18"/>
      <c r="G65" s="72"/>
    </row>
    <row r="66" spans="1:7" ht="18.75" x14ac:dyDescent="0.3">
      <c r="A66" s="37" t="s">
        <v>100</v>
      </c>
      <c r="B66" s="616" t="s">
        <v>101</v>
      </c>
      <c r="C66" s="616"/>
      <c r="D66" s="386">
        <f>+D63</f>
        <v>137</v>
      </c>
      <c r="E66" s="74">
        <f>+E63</f>
        <v>137</v>
      </c>
      <c r="F66" s="69">
        <f>+F63</f>
        <v>0</v>
      </c>
      <c r="G66" s="72"/>
    </row>
    <row r="67" spans="1:7" ht="18.75" x14ac:dyDescent="0.3">
      <c r="A67" s="9" t="s">
        <v>102</v>
      </c>
      <c r="B67" s="614" t="s">
        <v>103</v>
      </c>
      <c r="C67" s="614"/>
      <c r="D67" s="386"/>
      <c r="E67" s="75"/>
      <c r="F67" s="76">
        <f t="shared" ref="F67:F80" si="2">SUM(D67:E67)</f>
        <v>0</v>
      </c>
      <c r="G67" s="77"/>
    </row>
    <row r="68" spans="1:7" ht="18.75" x14ac:dyDescent="0.3">
      <c r="A68" s="9" t="s">
        <v>104</v>
      </c>
      <c r="B68" s="614" t="s">
        <v>105</v>
      </c>
      <c r="C68" s="614"/>
      <c r="D68" s="386">
        <f>SUM(D69:D72)</f>
        <v>0</v>
      </c>
      <c r="E68" s="75"/>
      <c r="F68" s="76">
        <f t="shared" si="2"/>
        <v>0</v>
      </c>
      <c r="G68" s="77"/>
    </row>
    <row r="69" spans="1:7" ht="18.75" x14ac:dyDescent="0.3">
      <c r="A69" s="9"/>
      <c r="B69" s="56" t="s">
        <v>45</v>
      </c>
      <c r="C69" s="57" t="s">
        <v>353</v>
      </c>
      <c r="D69" s="393"/>
      <c r="E69" s="79"/>
      <c r="F69" s="80">
        <f t="shared" si="2"/>
        <v>0</v>
      </c>
      <c r="G69" s="77"/>
    </row>
    <row r="70" spans="1:7" ht="18.75" x14ac:dyDescent="0.3">
      <c r="A70" s="9"/>
      <c r="B70" s="56" t="s">
        <v>47</v>
      </c>
      <c r="C70" s="57" t="s">
        <v>107</v>
      </c>
      <c r="D70" s="386"/>
      <c r="E70" s="75"/>
      <c r="F70" s="76">
        <f t="shared" si="2"/>
        <v>0</v>
      </c>
      <c r="G70" s="77"/>
    </row>
    <row r="71" spans="1:7" ht="18.75" x14ac:dyDescent="0.3">
      <c r="A71" s="9"/>
      <c r="B71" s="56" t="s">
        <v>55</v>
      </c>
      <c r="C71" s="57" t="s">
        <v>108</v>
      </c>
      <c r="D71" s="393"/>
      <c r="E71" s="75"/>
      <c r="F71" s="76"/>
      <c r="G71" s="77"/>
    </row>
    <row r="72" spans="1:7" ht="18.75" x14ac:dyDescent="0.3">
      <c r="A72" s="9"/>
      <c r="B72" s="56" t="s">
        <v>18</v>
      </c>
      <c r="C72" s="57" t="s">
        <v>109</v>
      </c>
      <c r="D72" s="393"/>
      <c r="E72" s="75"/>
      <c r="F72" s="76"/>
      <c r="G72" s="77"/>
    </row>
    <row r="73" spans="1:7" ht="19.5" x14ac:dyDescent="0.3">
      <c r="A73" s="37" t="s">
        <v>110</v>
      </c>
      <c r="B73" s="615" t="s">
        <v>111</v>
      </c>
      <c r="C73" s="615"/>
      <c r="D73" s="386">
        <f>+D67+D68</f>
        <v>0</v>
      </c>
      <c r="E73" s="75"/>
      <c r="F73" s="76">
        <f t="shared" si="2"/>
        <v>0</v>
      </c>
      <c r="G73" s="77"/>
    </row>
    <row r="74" spans="1:7" ht="18.75" x14ac:dyDescent="0.3">
      <c r="A74" s="37" t="s">
        <v>112</v>
      </c>
      <c r="B74" s="611" t="s">
        <v>113</v>
      </c>
      <c r="C74" s="611"/>
      <c r="D74" s="75">
        <f>+D66+D73+D62</f>
        <v>53659</v>
      </c>
      <c r="E74" s="75">
        <f>+E66+E73+E62</f>
        <v>53659</v>
      </c>
      <c r="F74" s="75">
        <f>+F66+F73+F62</f>
        <v>0</v>
      </c>
      <c r="G74" s="77"/>
    </row>
    <row r="75" spans="1:7" ht="18.75" x14ac:dyDescent="0.3">
      <c r="A75" s="9" t="s">
        <v>114</v>
      </c>
      <c r="B75" s="614" t="s">
        <v>354</v>
      </c>
      <c r="C75" s="614"/>
      <c r="D75" s="386"/>
      <c r="E75" s="75"/>
      <c r="F75" s="76">
        <f t="shared" si="2"/>
        <v>0</v>
      </c>
      <c r="G75" s="77"/>
    </row>
    <row r="76" spans="1:7" ht="18.75" x14ac:dyDescent="0.3">
      <c r="A76" s="9" t="s">
        <v>116</v>
      </c>
      <c r="B76" s="614" t="s">
        <v>117</v>
      </c>
      <c r="C76" s="614"/>
      <c r="D76" s="393">
        <f>SUM(D77:D79)</f>
        <v>0</v>
      </c>
      <c r="E76" s="79"/>
      <c r="F76" s="80">
        <f t="shared" si="2"/>
        <v>0</v>
      </c>
      <c r="G76" s="77"/>
    </row>
    <row r="77" spans="1:7" ht="18.75" x14ac:dyDescent="0.3">
      <c r="A77" s="9"/>
      <c r="B77" s="56" t="s">
        <v>45</v>
      </c>
      <c r="C77" s="57" t="s">
        <v>355</v>
      </c>
      <c r="D77" s="393"/>
      <c r="E77" s="79"/>
      <c r="F77" s="80">
        <f t="shared" si="2"/>
        <v>0</v>
      </c>
      <c r="G77" s="77"/>
    </row>
    <row r="78" spans="1:7" ht="18.75" x14ac:dyDescent="0.3">
      <c r="A78" s="9"/>
      <c r="B78" s="56" t="s">
        <v>47</v>
      </c>
      <c r="C78" s="57" t="s">
        <v>356</v>
      </c>
      <c r="D78" s="393"/>
      <c r="E78" s="79"/>
      <c r="F78" s="80">
        <f t="shared" si="2"/>
        <v>0</v>
      </c>
      <c r="G78" s="77"/>
    </row>
    <row r="79" spans="1:7" ht="18.75" x14ac:dyDescent="0.3">
      <c r="A79" s="9"/>
      <c r="B79" s="56" t="s">
        <v>55</v>
      </c>
      <c r="C79" s="57" t="s">
        <v>120</v>
      </c>
      <c r="D79" s="393"/>
      <c r="E79" s="79"/>
      <c r="F79" s="80">
        <f t="shared" si="2"/>
        <v>0</v>
      </c>
      <c r="G79" s="77"/>
    </row>
    <row r="80" spans="1:7" ht="18.75" x14ac:dyDescent="0.3">
      <c r="A80" s="37" t="s">
        <v>122</v>
      </c>
      <c r="B80" s="611" t="s">
        <v>357</v>
      </c>
      <c r="C80" s="611"/>
      <c r="D80" s="386">
        <f>+D75+D76</f>
        <v>0</v>
      </c>
      <c r="E80" s="75">
        <f>+E75+E76</f>
        <v>0</v>
      </c>
      <c r="F80" s="76">
        <f t="shared" si="2"/>
        <v>0</v>
      </c>
      <c r="G80" s="77"/>
    </row>
    <row r="81" spans="1:7" ht="18.75" x14ac:dyDescent="0.3">
      <c r="A81" s="37" t="s">
        <v>124</v>
      </c>
      <c r="B81" s="611" t="s">
        <v>125</v>
      </c>
      <c r="C81" s="611"/>
      <c r="D81" s="394">
        <f>+D29+D80</f>
        <v>54959</v>
      </c>
      <c r="E81" s="394">
        <f>+E29+E80</f>
        <v>54959</v>
      </c>
      <c r="F81" s="394">
        <f>+F29+F80</f>
        <v>0</v>
      </c>
      <c r="G81" s="394">
        <f>+G29+G80</f>
        <v>0</v>
      </c>
    </row>
    <row r="82" spans="1:7" ht="19.5" thickBot="1" x14ac:dyDescent="0.35">
      <c r="A82" s="395" t="s">
        <v>126</v>
      </c>
      <c r="B82" s="396" t="s">
        <v>127</v>
      </c>
      <c r="C82" s="396"/>
      <c r="D82" s="397">
        <f>+D60+D74</f>
        <v>54959</v>
      </c>
      <c r="E82" s="397">
        <f>+E60+E74</f>
        <v>54959</v>
      </c>
      <c r="F82" s="397">
        <f>+F60+F74</f>
        <v>0</v>
      </c>
      <c r="G82" s="397">
        <f>+G60+G74</f>
        <v>0</v>
      </c>
    </row>
    <row r="83" spans="1:7" x14ac:dyDescent="0.25">
      <c r="B83" s="89"/>
      <c r="C83" s="89"/>
      <c r="D83" s="90"/>
      <c r="E83" s="90"/>
      <c r="F83" s="90"/>
    </row>
    <row r="84" spans="1:7" hidden="1" x14ac:dyDescent="0.25">
      <c r="B84" s="89"/>
      <c r="C84" s="89"/>
      <c r="D84" s="91">
        <f>+D82-D81</f>
        <v>0</v>
      </c>
      <c r="E84" s="91">
        <f>+E82-E81</f>
        <v>0</v>
      </c>
      <c r="F84" s="91">
        <f>+F82-F81</f>
        <v>0</v>
      </c>
      <c r="G84" s="91">
        <f>+G82-G81</f>
        <v>0</v>
      </c>
    </row>
    <row r="85" spans="1:7" ht="31.5" hidden="1" x14ac:dyDescent="0.25">
      <c r="B85" s="89"/>
      <c r="C85" s="89"/>
      <c r="D85" s="90" t="s">
        <v>358</v>
      </c>
      <c r="E85" s="90" t="s">
        <v>359</v>
      </c>
      <c r="F85" s="90" t="s">
        <v>360</v>
      </c>
    </row>
    <row r="86" spans="1:7" hidden="1" x14ac:dyDescent="0.25">
      <c r="B86" s="89"/>
      <c r="C86" s="398" t="s">
        <v>361</v>
      </c>
      <c r="D86" s="399">
        <v>33942595</v>
      </c>
      <c r="E86" s="399">
        <v>27443451</v>
      </c>
      <c r="F86" s="399">
        <f>E86-D86</f>
        <v>-6499144</v>
      </c>
    </row>
    <row r="87" spans="1:7" hidden="1" x14ac:dyDescent="0.25">
      <c r="B87" s="89"/>
      <c r="C87" s="398" t="s">
        <v>338</v>
      </c>
      <c r="D87" s="399">
        <v>11324910</v>
      </c>
      <c r="E87" s="399">
        <v>13978000</v>
      </c>
      <c r="F87" s="399">
        <f t="shared" ref="F87:F88" si="3">E87-D87</f>
        <v>2653090</v>
      </c>
    </row>
    <row r="88" spans="1:7" hidden="1" x14ac:dyDescent="0.25">
      <c r="B88" s="89"/>
      <c r="C88" s="398" t="s">
        <v>335</v>
      </c>
      <c r="D88" s="399">
        <v>9691825</v>
      </c>
      <c r="E88" s="399">
        <v>2488174</v>
      </c>
      <c r="F88" s="399">
        <f t="shared" si="3"/>
        <v>-7203651</v>
      </c>
      <c r="G88" s="400">
        <f>F88+1300000+136653</f>
        <v>-5766998</v>
      </c>
    </row>
    <row r="89" spans="1:7" hidden="1" x14ac:dyDescent="0.25">
      <c r="B89" s="89"/>
      <c r="C89" s="398" t="s">
        <v>362</v>
      </c>
      <c r="D89" s="401">
        <f>D86+D87+D88</f>
        <v>54959330</v>
      </c>
      <c r="E89" s="401">
        <f t="shared" ref="E89:F89" si="4">E86+E87+E88</f>
        <v>43909625</v>
      </c>
      <c r="F89" s="401">
        <f t="shared" si="4"/>
        <v>-11049705</v>
      </c>
    </row>
    <row r="90" spans="1:7" hidden="1" x14ac:dyDescent="0.25">
      <c r="B90" s="89"/>
      <c r="C90" s="89"/>
      <c r="D90" s="90"/>
      <c r="E90" s="90"/>
      <c r="F90" s="401">
        <f>F89+1300000+136653</f>
        <v>-9613052</v>
      </c>
    </row>
    <row r="91" spans="1:7" hidden="1" x14ac:dyDescent="0.25">
      <c r="B91" s="89"/>
      <c r="C91" s="89"/>
      <c r="D91" s="401"/>
      <c r="E91" s="90"/>
      <c r="F91" s="90"/>
    </row>
    <row r="92" spans="1:7" x14ac:dyDescent="0.25">
      <c r="B92" s="89"/>
      <c r="C92" s="89"/>
      <c r="D92" s="90"/>
      <c r="E92" s="90"/>
      <c r="F92" s="90"/>
    </row>
    <row r="93" spans="1:7" x14ac:dyDescent="0.25">
      <c r="B93" s="89"/>
      <c r="C93" s="89"/>
      <c r="D93" s="90"/>
      <c r="E93" s="90"/>
      <c r="F93" s="90"/>
    </row>
    <row r="94" spans="1:7" x14ac:dyDescent="0.25">
      <c r="B94" s="89"/>
      <c r="C94" s="89"/>
      <c r="D94" s="90"/>
      <c r="E94" s="90"/>
      <c r="F94" s="90"/>
    </row>
    <row r="95" spans="1:7" x14ac:dyDescent="0.25">
      <c r="B95" s="89"/>
      <c r="C95" s="89"/>
      <c r="D95" s="90"/>
      <c r="E95" s="90"/>
      <c r="F95" s="90"/>
    </row>
    <row r="96" spans="1:7" x14ac:dyDescent="0.25">
      <c r="B96" s="89"/>
      <c r="C96" s="89"/>
      <c r="D96" s="90"/>
      <c r="E96" s="90"/>
      <c r="F96" s="90"/>
    </row>
    <row r="97" spans="2:6" x14ac:dyDescent="0.25">
      <c r="B97" s="89"/>
      <c r="C97" s="89"/>
      <c r="D97" s="90"/>
      <c r="E97" s="90"/>
      <c r="F97" s="90"/>
    </row>
    <row r="98" spans="2:6" x14ac:dyDescent="0.25">
      <c r="B98" s="89"/>
      <c r="C98" s="89"/>
      <c r="D98" s="90"/>
      <c r="E98" s="90"/>
      <c r="F98" s="90"/>
    </row>
    <row r="99" spans="2:6" x14ac:dyDescent="0.25">
      <c r="B99" s="89"/>
      <c r="C99" s="89"/>
      <c r="D99" s="90"/>
      <c r="E99" s="90"/>
      <c r="F99" s="90"/>
    </row>
    <row r="100" spans="2:6" x14ac:dyDescent="0.25">
      <c r="B100" s="89"/>
      <c r="C100" s="89"/>
      <c r="D100" s="90"/>
      <c r="E100" s="90"/>
      <c r="F100" s="90"/>
    </row>
    <row r="101" spans="2:6" x14ac:dyDescent="0.25">
      <c r="B101" s="89"/>
      <c r="C101" s="89"/>
      <c r="D101" s="90"/>
      <c r="E101" s="90"/>
      <c r="F101" s="90"/>
    </row>
    <row r="102" spans="2:6" x14ac:dyDescent="0.25">
      <c r="B102" s="89"/>
      <c r="C102" s="89"/>
      <c r="D102" s="90"/>
      <c r="E102" s="90"/>
      <c r="F102" s="90"/>
    </row>
    <row r="103" spans="2:6" x14ac:dyDescent="0.25">
      <c r="B103" s="89"/>
      <c r="C103" s="89"/>
      <c r="D103" s="90"/>
      <c r="E103" s="90"/>
      <c r="F103" s="90"/>
    </row>
    <row r="104" spans="2:6" x14ac:dyDescent="0.25">
      <c r="B104" s="89"/>
      <c r="C104" s="89"/>
      <c r="D104" s="90"/>
      <c r="E104" s="90"/>
      <c r="F104" s="90"/>
    </row>
    <row r="105" spans="2:6" x14ac:dyDescent="0.25">
      <c r="B105" s="89"/>
      <c r="C105" s="89"/>
      <c r="D105" s="90"/>
      <c r="E105" s="90"/>
      <c r="F105" s="90"/>
    </row>
  </sheetData>
  <mergeCells count="58">
    <mergeCell ref="A6:A8"/>
    <mergeCell ref="B6:C8"/>
    <mergeCell ref="D6:D7"/>
    <mergeCell ref="E6:E7"/>
    <mergeCell ref="F6:F7"/>
    <mergeCell ref="A1:F1"/>
    <mergeCell ref="A2:F2"/>
    <mergeCell ref="A3:G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F86" sqref="F86:G86"/>
    </sheetView>
  </sheetViews>
  <sheetFormatPr defaultRowHeight="15" x14ac:dyDescent="0.25"/>
  <cols>
    <col min="5" max="5" width="13" customWidth="1"/>
    <col min="6" max="6" width="14.42578125" style="402" customWidth="1"/>
    <col min="7" max="7" width="12.42578125" style="402" bestFit="1" customWidth="1"/>
    <col min="8" max="8" width="15.85546875" bestFit="1" customWidth="1"/>
    <col min="9" max="9" width="14" style="402" bestFit="1" customWidth="1"/>
    <col min="261" max="261" width="13" customWidth="1"/>
    <col min="262" max="262" width="14.42578125" customWidth="1"/>
    <col min="263" max="263" width="12.42578125" bestFit="1" customWidth="1"/>
    <col min="264" max="264" width="15.85546875" bestFit="1" customWidth="1"/>
    <col min="265" max="265" width="14" bestFit="1" customWidth="1"/>
    <col min="517" max="517" width="13" customWidth="1"/>
    <col min="518" max="518" width="14.42578125" customWidth="1"/>
    <col min="519" max="519" width="12.42578125" bestFit="1" customWidth="1"/>
    <col min="520" max="520" width="15.85546875" bestFit="1" customWidth="1"/>
    <col min="521" max="521" width="14" bestFit="1" customWidth="1"/>
    <col min="773" max="773" width="13" customWidth="1"/>
    <col min="774" max="774" width="14.42578125" customWidth="1"/>
    <col min="775" max="775" width="12.42578125" bestFit="1" customWidth="1"/>
    <col min="776" max="776" width="15.85546875" bestFit="1" customWidth="1"/>
    <col min="777" max="777" width="14" bestFit="1" customWidth="1"/>
    <col min="1029" max="1029" width="13" customWidth="1"/>
    <col min="1030" max="1030" width="14.42578125" customWidth="1"/>
    <col min="1031" max="1031" width="12.42578125" bestFit="1" customWidth="1"/>
    <col min="1032" max="1032" width="15.85546875" bestFit="1" customWidth="1"/>
    <col min="1033" max="1033" width="14" bestFit="1" customWidth="1"/>
    <col min="1285" max="1285" width="13" customWidth="1"/>
    <col min="1286" max="1286" width="14.42578125" customWidth="1"/>
    <col min="1287" max="1287" width="12.42578125" bestFit="1" customWidth="1"/>
    <col min="1288" max="1288" width="15.85546875" bestFit="1" customWidth="1"/>
    <col min="1289" max="1289" width="14" bestFit="1" customWidth="1"/>
    <col min="1541" max="1541" width="13" customWidth="1"/>
    <col min="1542" max="1542" width="14.42578125" customWidth="1"/>
    <col min="1543" max="1543" width="12.42578125" bestFit="1" customWidth="1"/>
    <col min="1544" max="1544" width="15.85546875" bestFit="1" customWidth="1"/>
    <col min="1545" max="1545" width="14" bestFit="1" customWidth="1"/>
    <col min="1797" max="1797" width="13" customWidth="1"/>
    <col min="1798" max="1798" width="14.42578125" customWidth="1"/>
    <col min="1799" max="1799" width="12.42578125" bestFit="1" customWidth="1"/>
    <col min="1800" max="1800" width="15.85546875" bestFit="1" customWidth="1"/>
    <col min="1801" max="1801" width="14" bestFit="1" customWidth="1"/>
    <col min="2053" max="2053" width="13" customWidth="1"/>
    <col min="2054" max="2054" width="14.42578125" customWidth="1"/>
    <col min="2055" max="2055" width="12.42578125" bestFit="1" customWidth="1"/>
    <col min="2056" max="2056" width="15.85546875" bestFit="1" customWidth="1"/>
    <col min="2057" max="2057" width="14" bestFit="1" customWidth="1"/>
    <col min="2309" max="2309" width="13" customWidth="1"/>
    <col min="2310" max="2310" width="14.42578125" customWidth="1"/>
    <col min="2311" max="2311" width="12.42578125" bestFit="1" customWidth="1"/>
    <col min="2312" max="2312" width="15.85546875" bestFit="1" customWidth="1"/>
    <col min="2313" max="2313" width="14" bestFit="1" customWidth="1"/>
    <col min="2565" max="2565" width="13" customWidth="1"/>
    <col min="2566" max="2566" width="14.42578125" customWidth="1"/>
    <col min="2567" max="2567" width="12.42578125" bestFit="1" customWidth="1"/>
    <col min="2568" max="2568" width="15.85546875" bestFit="1" customWidth="1"/>
    <col min="2569" max="2569" width="14" bestFit="1" customWidth="1"/>
    <col min="2821" max="2821" width="13" customWidth="1"/>
    <col min="2822" max="2822" width="14.42578125" customWidth="1"/>
    <col min="2823" max="2823" width="12.42578125" bestFit="1" customWidth="1"/>
    <col min="2824" max="2824" width="15.85546875" bestFit="1" customWidth="1"/>
    <col min="2825" max="2825" width="14" bestFit="1" customWidth="1"/>
    <col min="3077" max="3077" width="13" customWidth="1"/>
    <col min="3078" max="3078" width="14.42578125" customWidth="1"/>
    <col min="3079" max="3079" width="12.42578125" bestFit="1" customWidth="1"/>
    <col min="3080" max="3080" width="15.85546875" bestFit="1" customWidth="1"/>
    <col min="3081" max="3081" width="14" bestFit="1" customWidth="1"/>
    <col min="3333" max="3333" width="13" customWidth="1"/>
    <col min="3334" max="3334" width="14.42578125" customWidth="1"/>
    <col min="3335" max="3335" width="12.42578125" bestFit="1" customWidth="1"/>
    <col min="3336" max="3336" width="15.85546875" bestFit="1" customWidth="1"/>
    <col min="3337" max="3337" width="14" bestFit="1" customWidth="1"/>
    <col min="3589" max="3589" width="13" customWidth="1"/>
    <col min="3590" max="3590" width="14.42578125" customWidth="1"/>
    <col min="3591" max="3591" width="12.42578125" bestFit="1" customWidth="1"/>
    <col min="3592" max="3592" width="15.85546875" bestFit="1" customWidth="1"/>
    <col min="3593" max="3593" width="14" bestFit="1" customWidth="1"/>
    <col min="3845" max="3845" width="13" customWidth="1"/>
    <col min="3846" max="3846" width="14.42578125" customWidth="1"/>
    <col min="3847" max="3847" width="12.42578125" bestFit="1" customWidth="1"/>
    <col min="3848" max="3848" width="15.85546875" bestFit="1" customWidth="1"/>
    <col min="3849" max="3849" width="14" bestFit="1" customWidth="1"/>
    <col min="4101" max="4101" width="13" customWidth="1"/>
    <col min="4102" max="4102" width="14.42578125" customWidth="1"/>
    <col min="4103" max="4103" width="12.42578125" bestFit="1" customWidth="1"/>
    <col min="4104" max="4104" width="15.85546875" bestFit="1" customWidth="1"/>
    <col min="4105" max="4105" width="14" bestFit="1" customWidth="1"/>
    <col min="4357" max="4357" width="13" customWidth="1"/>
    <col min="4358" max="4358" width="14.42578125" customWidth="1"/>
    <col min="4359" max="4359" width="12.42578125" bestFit="1" customWidth="1"/>
    <col min="4360" max="4360" width="15.85546875" bestFit="1" customWidth="1"/>
    <col min="4361" max="4361" width="14" bestFit="1" customWidth="1"/>
    <col min="4613" max="4613" width="13" customWidth="1"/>
    <col min="4614" max="4614" width="14.42578125" customWidth="1"/>
    <col min="4615" max="4615" width="12.42578125" bestFit="1" customWidth="1"/>
    <col min="4616" max="4616" width="15.85546875" bestFit="1" customWidth="1"/>
    <col min="4617" max="4617" width="14" bestFit="1" customWidth="1"/>
    <col min="4869" max="4869" width="13" customWidth="1"/>
    <col min="4870" max="4870" width="14.42578125" customWidth="1"/>
    <col min="4871" max="4871" width="12.42578125" bestFit="1" customWidth="1"/>
    <col min="4872" max="4872" width="15.85546875" bestFit="1" customWidth="1"/>
    <col min="4873" max="4873" width="14" bestFit="1" customWidth="1"/>
    <col min="5125" max="5125" width="13" customWidth="1"/>
    <col min="5126" max="5126" width="14.42578125" customWidth="1"/>
    <col min="5127" max="5127" width="12.42578125" bestFit="1" customWidth="1"/>
    <col min="5128" max="5128" width="15.85546875" bestFit="1" customWidth="1"/>
    <col min="5129" max="5129" width="14" bestFit="1" customWidth="1"/>
    <col min="5381" max="5381" width="13" customWidth="1"/>
    <col min="5382" max="5382" width="14.42578125" customWidth="1"/>
    <col min="5383" max="5383" width="12.42578125" bestFit="1" customWidth="1"/>
    <col min="5384" max="5384" width="15.85546875" bestFit="1" customWidth="1"/>
    <col min="5385" max="5385" width="14" bestFit="1" customWidth="1"/>
    <col min="5637" max="5637" width="13" customWidth="1"/>
    <col min="5638" max="5638" width="14.42578125" customWidth="1"/>
    <col min="5639" max="5639" width="12.42578125" bestFit="1" customWidth="1"/>
    <col min="5640" max="5640" width="15.85546875" bestFit="1" customWidth="1"/>
    <col min="5641" max="5641" width="14" bestFit="1" customWidth="1"/>
    <col min="5893" max="5893" width="13" customWidth="1"/>
    <col min="5894" max="5894" width="14.42578125" customWidth="1"/>
    <col min="5895" max="5895" width="12.42578125" bestFit="1" customWidth="1"/>
    <col min="5896" max="5896" width="15.85546875" bestFit="1" customWidth="1"/>
    <col min="5897" max="5897" width="14" bestFit="1" customWidth="1"/>
    <col min="6149" max="6149" width="13" customWidth="1"/>
    <col min="6150" max="6150" width="14.42578125" customWidth="1"/>
    <col min="6151" max="6151" width="12.42578125" bestFit="1" customWidth="1"/>
    <col min="6152" max="6152" width="15.85546875" bestFit="1" customWidth="1"/>
    <col min="6153" max="6153" width="14" bestFit="1" customWidth="1"/>
    <col min="6405" max="6405" width="13" customWidth="1"/>
    <col min="6406" max="6406" width="14.42578125" customWidth="1"/>
    <col min="6407" max="6407" width="12.42578125" bestFit="1" customWidth="1"/>
    <col min="6408" max="6408" width="15.85546875" bestFit="1" customWidth="1"/>
    <col min="6409" max="6409" width="14" bestFit="1" customWidth="1"/>
    <col min="6661" max="6661" width="13" customWidth="1"/>
    <col min="6662" max="6662" width="14.42578125" customWidth="1"/>
    <col min="6663" max="6663" width="12.42578125" bestFit="1" customWidth="1"/>
    <col min="6664" max="6664" width="15.85546875" bestFit="1" customWidth="1"/>
    <col min="6665" max="6665" width="14" bestFit="1" customWidth="1"/>
    <col min="6917" max="6917" width="13" customWidth="1"/>
    <col min="6918" max="6918" width="14.42578125" customWidth="1"/>
    <col min="6919" max="6919" width="12.42578125" bestFit="1" customWidth="1"/>
    <col min="6920" max="6920" width="15.85546875" bestFit="1" customWidth="1"/>
    <col min="6921" max="6921" width="14" bestFit="1" customWidth="1"/>
    <col min="7173" max="7173" width="13" customWidth="1"/>
    <col min="7174" max="7174" width="14.42578125" customWidth="1"/>
    <col min="7175" max="7175" width="12.42578125" bestFit="1" customWidth="1"/>
    <col min="7176" max="7176" width="15.85546875" bestFit="1" customWidth="1"/>
    <col min="7177" max="7177" width="14" bestFit="1" customWidth="1"/>
    <col min="7429" max="7429" width="13" customWidth="1"/>
    <col min="7430" max="7430" width="14.42578125" customWidth="1"/>
    <col min="7431" max="7431" width="12.42578125" bestFit="1" customWidth="1"/>
    <col min="7432" max="7432" width="15.85546875" bestFit="1" customWidth="1"/>
    <col min="7433" max="7433" width="14" bestFit="1" customWidth="1"/>
    <col min="7685" max="7685" width="13" customWidth="1"/>
    <col min="7686" max="7686" width="14.42578125" customWidth="1"/>
    <col min="7687" max="7687" width="12.42578125" bestFit="1" customWidth="1"/>
    <col min="7688" max="7688" width="15.85546875" bestFit="1" customWidth="1"/>
    <col min="7689" max="7689" width="14" bestFit="1" customWidth="1"/>
    <col min="7941" max="7941" width="13" customWidth="1"/>
    <col min="7942" max="7942" width="14.42578125" customWidth="1"/>
    <col min="7943" max="7943" width="12.42578125" bestFit="1" customWidth="1"/>
    <col min="7944" max="7944" width="15.85546875" bestFit="1" customWidth="1"/>
    <col min="7945" max="7945" width="14" bestFit="1" customWidth="1"/>
    <col min="8197" max="8197" width="13" customWidth="1"/>
    <col min="8198" max="8198" width="14.42578125" customWidth="1"/>
    <col min="8199" max="8199" width="12.42578125" bestFit="1" customWidth="1"/>
    <col min="8200" max="8200" width="15.85546875" bestFit="1" customWidth="1"/>
    <col min="8201" max="8201" width="14" bestFit="1" customWidth="1"/>
    <col min="8453" max="8453" width="13" customWidth="1"/>
    <col min="8454" max="8454" width="14.42578125" customWidth="1"/>
    <col min="8455" max="8455" width="12.42578125" bestFit="1" customWidth="1"/>
    <col min="8456" max="8456" width="15.85546875" bestFit="1" customWidth="1"/>
    <col min="8457" max="8457" width="14" bestFit="1" customWidth="1"/>
    <col min="8709" max="8709" width="13" customWidth="1"/>
    <col min="8710" max="8710" width="14.42578125" customWidth="1"/>
    <col min="8711" max="8711" width="12.42578125" bestFit="1" customWidth="1"/>
    <col min="8712" max="8712" width="15.85546875" bestFit="1" customWidth="1"/>
    <col min="8713" max="8713" width="14" bestFit="1" customWidth="1"/>
    <col min="8965" max="8965" width="13" customWidth="1"/>
    <col min="8966" max="8966" width="14.42578125" customWidth="1"/>
    <col min="8967" max="8967" width="12.42578125" bestFit="1" customWidth="1"/>
    <col min="8968" max="8968" width="15.85546875" bestFit="1" customWidth="1"/>
    <col min="8969" max="8969" width="14" bestFit="1" customWidth="1"/>
    <col min="9221" max="9221" width="13" customWidth="1"/>
    <col min="9222" max="9222" width="14.42578125" customWidth="1"/>
    <col min="9223" max="9223" width="12.42578125" bestFit="1" customWidth="1"/>
    <col min="9224" max="9224" width="15.85546875" bestFit="1" customWidth="1"/>
    <col min="9225" max="9225" width="14" bestFit="1" customWidth="1"/>
    <col min="9477" max="9477" width="13" customWidth="1"/>
    <col min="9478" max="9478" width="14.42578125" customWidth="1"/>
    <col min="9479" max="9479" width="12.42578125" bestFit="1" customWidth="1"/>
    <col min="9480" max="9480" width="15.85546875" bestFit="1" customWidth="1"/>
    <col min="9481" max="9481" width="14" bestFit="1" customWidth="1"/>
    <col min="9733" max="9733" width="13" customWidth="1"/>
    <col min="9734" max="9734" width="14.42578125" customWidth="1"/>
    <col min="9735" max="9735" width="12.42578125" bestFit="1" customWidth="1"/>
    <col min="9736" max="9736" width="15.85546875" bestFit="1" customWidth="1"/>
    <col min="9737" max="9737" width="14" bestFit="1" customWidth="1"/>
    <col min="9989" max="9989" width="13" customWidth="1"/>
    <col min="9990" max="9990" width="14.42578125" customWidth="1"/>
    <col min="9991" max="9991" width="12.42578125" bestFit="1" customWidth="1"/>
    <col min="9992" max="9992" width="15.85546875" bestFit="1" customWidth="1"/>
    <col min="9993" max="9993" width="14" bestFit="1" customWidth="1"/>
    <col min="10245" max="10245" width="13" customWidth="1"/>
    <col min="10246" max="10246" width="14.42578125" customWidth="1"/>
    <col min="10247" max="10247" width="12.42578125" bestFit="1" customWidth="1"/>
    <col min="10248" max="10248" width="15.85546875" bestFit="1" customWidth="1"/>
    <col min="10249" max="10249" width="14" bestFit="1" customWidth="1"/>
    <col min="10501" max="10501" width="13" customWidth="1"/>
    <col min="10502" max="10502" width="14.42578125" customWidth="1"/>
    <col min="10503" max="10503" width="12.42578125" bestFit="1" customWidth="1"/>
    <col min="10504" max="10504" width="15.85546875" bestFit="1" customWidth="1"/>
    <col min="10505" max="10505" width="14" bestFit="1" customWidth="1"/>
    <col min="10757" max="10757" width="13" customWidth="1"/>
    <col min="10758" max="10758" width="14.42578125" customWidth="1"/>
    <col min="10759" max="10759" width="12.42578125" bestFit="1" customWidth="1"/>
    <col min="10760" max="10760" width="15.85546875" bestFit="1" customWidth="1"/>
    <col min="10761" max="10761" width="14" bestFit="1" customWidth="1"/>
    <col min="11013" max="11013" width="13" customWidth="1"/>
    <col min="11014" max="11014" width="14.42578125" customWidth="1"/>
    <col min="11015" max="11015" width="12.42578125" bestFit="1" customWidth="1"/>
    <col min="11016" max="11016" width="15.85546875" bestFit="1" customWidth="1"/>
    <col min="11017" max="11017" width="14" bestFit="1" customWidth="1"/>
    <col min="11269" max="11269" width="13" customWidth="1"/>
    <col min="11270" max="11270" width="14.42578125" customWidth="1"/>
    <col min="11271" max="11271" width="12.42578125" bestFit="1" customWidth="1"/>
    <col min="11272" max="11272" width="15.85546875" bestFit="1" customWidth="1"/>
    <col min="11273" max="11273" width="14" bestFit="1" customWidth="1"/>
    <col min="11525" max="11525" width="13" customWidth="1"/>
    <col min="11526" max="11526" width="14.42578125" customWidth="1"/>
    <col min="11527" max="11527" width="12.42578125" bestFit="1" customWidth="1"/>
    <col min="11528" max="11528" width="15.85546875" bestFit="1" customWidth="1"/>
    <col min="11529" max="11529" width="14" bestFit="1" customWidth="1"/>
    <col min="11781" max="11781" width="13" customWidth="1"/>
    <col min="11782" max="11782" width="14.42578125" customWidth="1"/>
    <col min="11783" max="11783" width="12.42578125" bestFit="1" customWidth="1"/>
    <col min="11784" max="11784" width="15.85546875" bestFit="1" customWidth="1"/>
    <col min="11785" max="11785" width="14" bestFit="1" customWidth="1"/>
    <col min="12037" max="12037" width="13" customWidth="1"/>
    <col min="12038" max="12038" width="14.42578125" customWidth="1"/>
    <col min="12039" max="12039" width="12.42578125" bestFit="1" customWidth="1"/>
    <col min="12040" max="12040" width="15.85546875" bestFit="1" customWidth="1"/>
    <col min="12041" max="12041" width="14" bestFit="1" customWidth="1"/>
    <col min="12293" max="12293" width="13" customWidth="1"/>
    <col min="12294" max="12294" width="14.42578125" customWidth="1"/>
    <col min="12295" max="12295" width="12.42578125" bestFit="1" customWidth="1"/>
    <col min="12296" max="12296" width="15.85546875" bestFit="1" customWidth="1"/>
    <col min="12297" max="12297" width="14" bestFit="1" customWidth="1"/>
    <col min="12549" max="12549" width="13" customWidth="1"/>
    <col min="12550" max="12550" width="14.42578125" customWidth="1"/>
    <col min="12551" max="12551" width="12.42578125" bestFit="1" customWidth="1"/>
    <col min="12552" max="12552" width="15.85546875" bestFit="1" customWidth="1"/>
    <col min="12553" max="12553" width="14" bestFit="1" customWidth="1"/>
    <col min="12805" max="12805" width="13" customWidth="1"/>
    <col min="12806" max="12806" width="14.42578125" customWidth="1"/>
    <col min="12807" max="12807" width="12.42578125" bestFit="1" customWidth="1"/>
    <col min="12808" max="12808" width="15.85546875" bestFit="1" customWidth="1"/>
    <col min="12809" max="12809" width="14" bestFit="1" customWidth="1"/>
    <col min="13061" max="13061" width="13" customWidth="1"/>
    <col min="13062" max="13062" width="14.42578125" customWidth="1"/>
    <col min="13063" max="13063" width="12.42578125" bestFit="1" customWidth="1"/>
    <col min="13064" max="13064" width="15.85546875" bestFit="1" customWidth="1"/>
    <col min="13065" max="13065" width="14" bestFit="1" customWidth="1"/>
    <col min="13317" max="13317" width="13" customWidth="1"/>
    <col min="13318" max="13318" width="14.42578125" customWidth="1"/>
    <col min="13319" max="13319" width="12.42578125" bestFit="1" customWidth="1"/>
    <col min="13320" max="13320" width="15.85546875" bestFit="1" customWidth="1"/>
    <col min="13321" max="13321" width="14" bestFit="1" customWidth="1"/>
    <col min="13573" max="13573" width="13" customWidth="1"/>
    <col min="13574" max="13574" width="14.42578125" customWidth="1"/>
    <col min="13575" max="13575" width="12.42578125" bestFit="1" customWidth="1"/>
    <col min="13576" max="13576" width="15.85546875" bestFit="1" customWidth="1"/>
    <col min="13577" max="13577" width="14" bestFit="1" customWidth="1"/>
    <col min="13829" max="13829" width="13" customWidth="1"/>
    <col min="13830" max="13830" width="14.42578125" customWidth="1"/>
    <col min="13831" max="13831" width="12.42578125" bestFit="1" customWidth="1"/>
    <col min="13832" max="13832" width="15.85546875" bestFit="1" customWidth="1"/>
    <col min="13833" max="13833" width="14" bestFit="1" customWidth="1"/>
    <col min="14085" max="14085" width="13" customWidth="1"/>
    <col min="14086" max="14086" width="14.42578125" customWidth="1"/>
    <col min="14087" max="14087" width="12.42578125" bestFit="1" customWidth="1"/>
    <col min="14088" max="14088" width="15.85546875" bestFit="1" customWidth="1"/>
    <col min="14089" max="14089" width="14" bestFit="1" customWidth="1"/>
    <col min="14341" max="14341" width="13" customWidth="1"/>
    <col min="14342" max="14342" width="14.42578125" customWidth="1"/>
    <col min="14343" max="14343" width="12.42578125" bestFit="1" customWidth="1"/>
    <col min="14344" max="14344" width="15.85546875" bestFit="1" customWidth="1"/>
    <col min="14345" max="14345" width="14" bestFit="1" customWidth="1"/>
    <col min="14597" max="14597" width="13" customWidth="1"/>
    <col min="14598" max="14598" width="14.42578125" customWidth="1"/>
    <col min="14599" max="14599" width="12.42578125" bestFit="1" customWidth="1"/>
    <col min="14600" max="14600" width="15.85546875" bestFit="1" customWidth="1"/>
    <col min="14601" max="14601" width="14" bestFit="1" customWidth="1"/>
    <col min="14853" max="14853" width="13" customWidth="1"/>
    <col min="14854" max="14854" width="14.42578125" customWidth="1"/>
    <col min="14855" max="14855" width="12.42578125" bestFit="1" customWidth="1"/>
    <col min="14856" max="14856" width="15.85546875" bestFit="1" customWidth="1"/>
    <col min="14857" max="14857" width="14" bestFit="1" customWidth="1"/>
    <col min="15109" max="15109" width="13" customWidth="1"/>
    <col min="15110" max="15110" width="14.42578125" customWidth="1"/>
    <col min="15111" max="15111" width="12.42578125" bestFit="1" customWidth="1"/>
    <col min="15112" max="15112" width="15.85546875" bestFit="1" customWidth="1"/>
    <col min="15113" max="15113" width="14" bestFit="1" customWidth="1"/>
    <col min="15365" max="15365" width="13" customWidth="1"/>
    <col min="15366" max="15366" width="14.42578125" customWidth="1"/>
    <col min="15367" max="15367" width="12.42578125" bestFit="1" customWidth="1"/>
    <col min="15368" max="15368" width="15.85546875" bestFit="1" customWidth="1"/>
    <col min="15369" max="15369" width="14" bestFit="1" customWidth="1"/>
    <col min="15621" max="15621" width="13" customWidth="1"/>
    <col min="15622" max="15622" width="14.42578125" customWidth="1"/>
    <col min="15623" max="15623" width="12.42578125" bestFit="1" customWidth="1"/>
    <col min="15624" max="15624" width="15.85546875" bestFit="1" customWidth="1"/>
    <col min="15625" max="15625" width="14" bestFit="1" customWidth="1"/>
    <col min="15877" max="15877" width="13" customWidth="1"/>
    <col min="15878" max="15878" width="14.42578125" customWidth="1"/>
    <col min="15879" max="15879" width="12.42578125" bestFit="1" customWidth="1"/>
    <col min="15880" max="15880" width="15.85546875" bestFit="1" customWidth="1"/>
    <col min="15881" max="15881" width="14" bestFit="1" customWidth="1"/>
    <col min="16133" max="16133" width="13" customWidth="1"/>
    <col min="16134" max="16134" width="14.42578125" customWidth="1"/>
    <col min="16135" max="16135" width="12.42578125" bestFit="1" customWidth="1"/>
    <col min="16136" max="16136" width="15.85546875" bestFit="1" customWidth="1"/>
    <col min="16137" max="16137" width="14" bestFit="1" customWidth="1"/>
  </cols>
  <sheetData>
    <row r="1" spans="1:9" ht="15.75" thickBot="1" x14ac:dyDescent="0.3">
      <c r="I1" s="402" t="s">
        <v>363</v>
      </c>
    </row>
    <row r="2" spans="1:9" s="403" customFormat="1" ht="19.5" thickBot="1" x14ac:dyDescent="0.35">
      <c r="C2" s="834" t="s">
        <v>706</v>
      </c>
      <c r="D2" s="835"/>
      <c r="E2" s="835"/>
      <c r="F2" s="835"/>
      <c r="G2" s="835"/>
      <c r="H2" s="836"/>
      <c r="I2" s="404"/>
    </row>
    <row r="3" spans="1:9" ht="15.75" thickBot="1" x14ac:dyDescent="0.3"/>
    <row r="4" spans="1:9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9" ht="15.75" thickBot="1" x14ac:dyDescent="0.3">
      <c r="A5" s="858" t="s">
        <v>367</v>
      </c>
      <c r="B5" s="859"/>
      <c r="C5" s="859"/>
      <c r="D5" s="859"/>
      <c r="E5" s="860"/>
      <c r="F5" s="174">
        <f>[2]bölcsöde!F5+[2]óvoda!F5+[2]közművelődés_kiadás!F5</f>
        <v>31158500</v>
      </c>
      <c r="G5" s="174">
        <v>0</v>
      </c>
      <c r="H5" s="174">
        <f>G5+F5</f>
        <v>31158500</v>
      </c>
      <c r="I5" s="174">
        <f t="shared" ref="I5:I10" si="0">H5</f>
        <v>31158500</v>
      </c>
    </row>
    <row r="6" spans="1:9" ht="15.75" thickBot="1" x14ac:dyDescent="0.3">
      <c r="A6" s="858" t="s">
        <v>368</v>
      </c>
      <c r="B6" s="859"/>
      <c r="C6" s="859"/>
      <c r="D6" s="859"/>
      <c r="E6" s="860"/>
      <c r="F6" s="174">
        <f>[2]bölcsöde!F6+[2]óvoda!F6+[2]közművelődés_kiadás!F6</f>
        <v>1000000</v>
      </c>
      <c r="G6" s="174">
        <v>0</v>
      </c>
      <c r="H6" s="174">
        <f>G6+F6</f>
        <v>1000000</v>
      </c>
      <c r="I6" s="174">
        <f t="shared" si="0"/>
        <v>1000000</v>
      </c>
    </row>
    <row r="7" spans="1:9" ht="15.75" thickBot="1" x14ac:dyDescent="0.3">
      <c r="A7" s="858" t="s">
        <v>369</v>
      </c>
      <c r="B7" s="859"/>
      <c r="C7" s="859"/>
      <c r="D7" s="859"/>
      <c r="E7" s="860"/>
      <c r="F7" s="174">
        <f>[2]bölcsöde!F7+[2]óvoda!F7+[2]közművelődés_kiadás!F7</f>
        <v>960000</v>
      </c>
      <c r="G7" s="174">
        <v>0</v>
      </c>
      <c r="H7" s="174">
        <f>G7+F7</f>
        <v>960000</v>
      </c>
      <c r="I7" s="174">
        <f t="shared" si="0"/>
        <v>960000</v>
      </c>
    </row>
    <row r="8" spans="1:9" ht="15.75" thickBot="1" x14ac:dyDescent="0.3">
      <c r="A8" s="837" t="s">
        <v>370</v>
      </c>
      <c r="B8" s="838"/>
      <c r="C8" s="838"/>
      <c r="D8" s="838"/>
      <c r="E8" s="839"/>
      <c r="F8" s="174">
        <f>[2]bölcsöde!F8+[2]óvoda!F8</f>
        <v>210000</v>
      </c>
      <c r="G8" s="174"/>
      <c r="H8" s="174">
        <f>G8+F8</f>
        <v>210000</v>
      </c>
      <c r="I8" s="174">
        <f t="shared" si="0"/>
        <v>210000</v>
      </c>
    </row>
    <row r="9" spans="1:9" ht="15.75" thickBot="1" x14ac:dyDescent="0.3">
      <c r="A9" s="858" t="s">
        <v>371</v>
      </c>
      <c r="B9" s="859"/>
      <c r="C9" s="859"/>
      <c r="D9" s="859"/>
      <c r="E9" s="860"/>
      <c r="F9" s="174">
        <f>[2]bölcsöde!F9+[2]óvoda!F9+[2]közművelődés_kiadás!F8</f>
        <v>563220</v>
      </c>
      <c r="G9" s="174">
        <v>0</v>
      </c>
      <c r="H9" s="174">
        <f>G9+F9</f>
        <v>563220</v>
      </c>
      <c r="I9" s="174">
        <f t="shared" si="0"/>
        <v>563220</v>
      </c>
    </row>
    <row r="10" spans="1:9" s="403" customFormat="1" ht="15.75" thickBot="1" x14ac:dyDescent="0.3">
      <c r="A10" s="846" t="s">
        <v>372</v>
      </c>
      <c r="B10" s="847"/>
      <c r="C10" s="847"/>
      <c r="D10" s="847"/>
      <c r="E10" s="848"/>
      <c r="F10" s="407">
        <f>F5+F6+F7+F8+F9</f>
        <v>33891720</v>
      </c>
      <c r="G10" s="407">
        <v>0</v>
      </c>
      <c r="H10" s="407">
        <f t="shared" ref="H10:H15" si="1">F10+G10</f>
        <v>33891720</v>
      </c>
      <c r="I10" s="407">
        <f t="shared" si="0"/>
        <v>33891720</v>
      </c>
    </row>
    <row r="11" spans="1:9" s="408" customFormat="1" ht="15.75" thickBot="1" x14ac:dyDescent="0.3">
      <c r="A11" s="837" t="s">
        <v>373</v>
      </c>
      <c r="B11" s="838"/>
      <c r="C11" s="838"/>
      <c r="D11" s="838"/>
      <c r="E11" s="839"/>
      <c r="F11" s="174">
        <f>[2]bölcsöde!F11+[2]óvoda!F11</f>
        <v>93000</v>
      </c>
      <c r="G11" s="174">
        <v>0</v>
      </c>
      <c r="H11" s="174">
        <f t="shared" si="1"/>
        <v>93000</v>
      </c>
      <c r="I11" s="174">
        <v>93000</v>
      </c>
    </row>
    <row r="12" spans="1:9" s="408" customFormat="1" ht="15.75" thickBot="1" x14ac:dyDescent="0.3">
      <c r="A12" s="837" t="s">
        <v>374</v>
      </c>
      <c r="B12" s="838"/>
      <c r="C12" s="838"/>
      <c r="D12" s="838"/>
      <c r="E12" s="839"/>
      <c r="F12" s="174">
        <v>80000</v>
      </c>
      <c r="G12" s="174">
        <v>0</v>
      </c>
      <c r="H12" s="174">
        <f t="shared" si="1"/>
        <v>80000</v>
      </c>
      <c r="I12" s="174">
        <v>80000</v>
      </c>
    </row>
    <row r="13" spans="1:9" s="408" customFormat="1" ht="15.75" thickBot="1" x14ac:dyDescent="0.3">
      <c r="A13" s="837" t="s">
        <v>375</v>
      </c>
      <c r="B13" s="838"/>
      <c r="C13" s="838"/>
      <c r="D13" s="838"/>
      <c r="E13" s="839"/>
      <c r="F13" s="409">
        <v>60000</v>
      </c>
      <c r="G13" s="409">
        <v>0</v>
      </c>
      <c r="H13" s="174">
        <f t="shared" si="1"/>
        <v>60000</v>
      </c>
      <c r="I13" s="409">
        <v>60000</v>
      </c>
    </row>
    <row r="14" spans="1:9" s="408" customFormat="1" ht="15.75" thickBot="1" x14ac:dyDescent="0.3">
      <c r="A14" s="837" t="s">
        <v>376</v>
      </c>
      <c r="B14" s="838"/>
      <c r="C14" s="838"/>
      <c r="D14" s="838"/>
      <c r="E14" s="839"/>
      <c r="F14" s="174">
        <v>60000</v>
      </c>
      <c r="G14" s="174">
        <v>0</v>
      </c>
      <c r="H14" s="174">
        <f t="shared" si="1"/>
        <v>60000</v>
      </c>
      <c r="I14" s="174">
        <v>60000</v>
      </c>
    </row>
    <row r="15" spans="1:9" s="408" customFormat="1" ht="15.75" thickBot="1" x14ac:dyDescent="0.3">
      <c r="A15" s="837" t="s">
        <v>377</v>
      </c>
      <c r="B15" s="838"/>
      <c r="C15" s="838"/>
      <c r="D15" s="838"/>
      <c r="E15" s="839"/>
      <c r="F15" s="174">
        <v>30000</v>
      </c>
      <c r="G15" s="174">
        <v>0</v>
      </c>
      <c r="H15" s="174">
        <f t="shared" si="1"/>
        <v>30000</v>
      </c>
      <c r="I15" s="174">
        <v>30000</v>
      </c>
    </row>
    <row r="16" spans="1:9" s="403" customFormat="1" ht="15.75" thickBot="1" x14ac:dyDescent="0.3">
      <c r="A16" s="840" t="s">
        <v>378</v>
      </c>
      <c r="B16" s="841"/>
      <c r="C16" s="841"/>
      <c r="D16" s="841"/>
      <c r="E16" s="842"/>
      <c r="F16" s="407">
        <f>F11+F12+F13+F14+F15</f>
        <v>323000</v>
      </c>
      <c r="G16" s="407">
        <f>G11+G12+G13+G14+G15</f>
        <v>0</v>
      </c>
      <c r="H16" s="407">
        <f>H11+H12+H13+H14+H15</f>
        <v>323000</v>
      </c>
      <c r="I16" s="407">
        <f>I11+I12+I13+I14+I15</f>
        <v>323000</v>
      </c>
    </row>
    <row r="17" spans="1:9" s="411" customFormat="1" ht="16.5" thickBot="1" x14ac:dyDescent="0.3">
      <c r="A17" s="852" t="s">
        <v>379</v>
      </c>
      <c r="B17" s="853"/>
      <c r="C17" s="853"/>
      <c r="D17" s="853"/>
      <c r="E17" s="854"/>
      <c r="F17" s="410">
        <f>F10+F16</f>
        <v>34214720</v>
      </c>
      <c r="G17" s="410">
        <f>G10+G16</f>
        <v>0</v>
      </c>
      <c r="H17" s="410">
        <f>H10+H16</f>
        <v>34214720</v>
      </c>
      <c r="I17" s="410">
        <f>I10+I16</f>
        <v>34214720</v>
      </c>
    </row>
    <row r="18" spans="1:9" s="411" customFormat="1" ht="16.5" thickBot="1" x14ac:dyDescent="0.3">
      <c r="A18" s="855" t="s">
        <v>380</v>
      </c>
      <c r="B18" s="856"/>
      <c r="C18" s="856"/>
      <c r="D18" s="856"/>
      <c r="E18" s="857"/>
      <c r="F18" s="410">
        <f>[2]bölcsöde!F14+[2]óvoda!F14+[2]közművelődés_kiadás!F16</f>
        <v>8456770.8000000007</v>
      </c>
      <c r="G18" s="410">
        <f>'[3]bér+járulék'!E42</f>
        <v>0</v>
      </c>
      <c r="H18" s="410">
        <f>F18+G18</f>
        <v>8456770.8000000007</v>
      </c>
      <c r="I18" s="410">
        <v>8456772</v>
      </c>
    </row>
    <row r="19" spans="1:9" ht="15.75" thickBot="1" x14ac:dyDescent="0.3">
      <c r="A19" s="858" t="s">
        <v>381</v>
      </c>
      <c r="B19" s="859"/>
      <c r="C19" s="859"/>
      <c r="D19" s="859"/>
      <c r="E19" s="860"/>
      <c r="F19" s="174">
        <f>[2]bölcsöde!F15+[2]óvoda!F15+[2]közművelődés_kiadás!F17</f>
        <v>287000</v>
      </c>
      <c r="G19" s="174">
        <f>[2]bölcsöde!G15+[2]óvoda!G15+[2]közművelődés_kiadás!G17</f>
        <v>14350</v>
      </c>
      <c r="H19" s="174">
        <f>[2]bölcsöde!H15+[2]óvoda!H15+[2]közművelődés_kiadás!H17</f>
        <v>301350</v>
      </c>
      <c r="I19" s="174">
        <v>301350</v>
      </c>
    </row>
    <row r="20" spans="1:9" ht="15.75" thickBot="1" x14ac:dyDescent="0.3">
      <c r="A20" s="837" t="s">
        <v>382</v>
      </c>
      <c r="B20" s="838"/>
      <c r="C20" s="838"/>
      <c r="D20" s="838"/>
      <c r="E20" s="839"/>
      <c r="F20" s="174">
        <f>[2]bölcsöde!F16+[2]óvoda!F16</f>
        <v>893700</v>
      </c>
      <c r="G20" s="174">
        <f>F20*27%</f>
        <v>241299.00000000003</v>
      </c>
      <c r="H20" s="174">
        <f>F20+G20</f>
        <v>1134999</v>
      </c>
      <c r="I20" s="174">
        <v>1135000</v>
      </c>
    </row>
    <row r="21" spans="1:9" ht="15.75" thickBot="1" x14ac:dyDescent="0.3">
      <c r="A21" s="846" t="s">
        <v>383</v>
      </c>
      <c r="B21" s="847"/>
      <c r="C21" s="847"/>
      <c r="D21" s="847"/>
      <c r="E21" s="848"/>
      <c r="F21" s="407">
        <f>F20+F19</f>
        <v>1180700</v>
      </c>
      <c r="G21" s="407">
        <f>G20+G19</f>
        <v>255649.00000000003</v>
      </c>
      <c r="H21" s="407">
        <f>H20+H19</f>
        <v>1436349</v>
      </c>
      <c r="I21" s="407">
        <f>I20+I19</f>
        <v>1436350</v>
      </c>
    </row>
    <row r="22" spans="1:9" ht="15.75" thickBot="1" x14ac:dyDescent="0.3">
      <c r="A22" s="849" t="s">
        <v>384</v>
      </c>
      <c r="B22" s="850"/>
      <c r="C22" s="850"/>
      <c r="D22" s="850"/>
      <c r="E22" s="851"/>
      <c r="F22" s="409">
        <f>[2]bölcsöde!F18+[2]óvoda!F18+[2]közművelődés_kiadás!F26</f>
        <v>178740</v>
      </c>
      <c r="G22" s="409">
        <f>F22*27%</f>
        <v>48259.8</v>
      </c>
      <c r="H22" s="409">
        <f>F22+G22</f>
        <v>226999.8</v>
      </c>
      <c r="I22" s="174">
        <f>H22</f>
        <v>226999.8</v>
      </c>
    </row>
    <row r="23" spans="1:9" ht="15.75" thickBot="1" x14ac:dyDescent="0.3">
      <c r="A23" s="849" t="s">
        <v>385</v>
      </c>
      <c r="B23" s="850"/>
      <c r="C23" s="850"/>
      <c r="D23" s="850"/>
      <c r="E23" s="851"/>
      <c r="F23" s="409">
        <f>[2]bölcsöde!F19+[2]óvoda!F19+[2]közművelődés_kiadás!F27</f>
        <v>100000</v>
      </c>
      <c r="G23" s="409">
        <f>F23*27%</f>
        <v>27000</v>
      </c>
      <c r="H23" s="409">
        <f>F23+G23</f>
        <v>127000</v>
      </c>
      <c r="I23" s="174">
        <f>H23</f>
        <v>127000</v>
      </c>
    </row>
    <row r="24" spans="1:9" ht="15.75" thickBot="1" x14ac:dyDescent="0.3">
      <c r="A24" s="843" t="s">
        <v>386</v>
      </c>
      <c r="B24" s="844"/>
      <c r="C24" s="844"/>
      <c r="D24" s="844"/>
      <c r="E24" s="845"/>
      <c r="F24" s="409">
        <f>[2]bölcsöde!F20+[2]óvoda!F20+[2]közművelődés_kiadás!F28</f>
        <v>310000</v>
      </c>
      <c r="G24" s="409">
        <f>F24*27%</f>
        <v>83700</v>
      </c>
      <c r="H24" s="409">
        <f>F24+G24</f>
        <v>393700</v>
      </c>
      <c r="I24" s="174">
        <v>393700</v>
      </c>
    </row>
    <row r="25" spans="1:9" ht="15.75" thickBot="1" x14ac:dyDescent="0.3">
      <c r="A25" s="843" t="s">
        <v>387</v>
      </c>
      <c r="B25" s="844"/>
      <c r="C25" s="844"/>
      <c r="D25" s="844"/>
      <c r="E25" s="845"/>
      <c r="F25" s="409">
        <f>[2]bölcsöde!F21+[2]óvoda!F21</f>
        <v>130000</v>
      </c>
      <c r="G25" s="409">
        <f>F25*27%</f>
        <v>35100</v>
      </c>
      <c r="H25" s="409">
        <f>F25+G25</f>
        <v>165100</v>
      </c>
      <c r="I25" s="174">
        <v>165100</v>
      </c>
    </row>
    <row r="26" spans="1:9" ht="15.75" thickBot="1" x14ac:dyDescent="0.3">
      <c r="A26" s="843" t="s">
        <v>388</v>
      </c>
      <c r="B26" s="844"/>
      <c r="C26" s="844"/>
      <c r="D26" s="844"/>
      <c r="E26" s="845"/>
      <c r="F26" s="409">
        <v>50000</v>
      </c>
      <c r="G26" s="409">
        <f>F26*27%</f>
        <v>13500</v>
      </c>
      <c r="H26" s="409">
        <f>F26+G26</f>
        <v>63500</v>
      </c>
      <c r="I26" s="174">
        <v>63500</v>
      </c>
    </row>
    <row r="27" spans="1:9" s="403" customFormat="1" ht="15.75" thickBot="1" x14ac:dyDescent="0.3">
      <c r="A27" s="846" t="s">
        <v>389</v>
      </c>
      <c r="B27" s="847"/>
      <c r="C27" s="847"/>
      <c r="D27" s="847"/>
      <c r="E27" s="848"/>
      <c r="F27" s="407">
        <f>F22+F23+F24+F25+F26</f>
        <v>768740</v>
      </c>
      <c r="G27" s="407">
        <f>G22+G23+G24+G25+G26</f>
        <v>207559.8</v>
      </c>
      <c r="H27" s="407">
        <f>H22+H23+H24+H25+H26</f>
        <v>976299.8</v>
      </c>
      <c r="I27" s="407">
        <f>I22+I23+I24+I25+I26</f>
        <v>976299.8</v>
      </c>
    </row>
    <row r="28" spans="1:9" s="403" customFormat="1" ht="15.75" thickBot="1" x14ac:dyDescent="0.3">
      <c r="A28" s="846" t="s">
        <v>390</v>
      </c>
      <c r="B28" s="847"/>
      <c r="C28" s="847"/>
      <c r="D28" s="847"/>
      <c r="E28" s="848"/>
      <c r="F28" s="407">
        <f>F27+F21</f>
        <v>1949440</v>
      </c>
      <c r="G28" s="407">
        <f>G27+G21</f>
        <v>463208.80000000005</v>
      </c>
      <c r="H28" s="407">
        <f>H27+H21</f>
        <v>2412648.7999999998</v>
      </c>
      <c r="I28" s="407">
        <v>2412650</v>
      </c>
    </row>
    <row r="29" spans="1:9" s="403" customFormat="1" ht="15.75" thickBot="1" x14ac:dyDescent="0.3">
      <c r="A29" s="849" t="s">
        <v>391</v>
      </c>
      <c r="B29" s="850"/>
      <c r="C29" s="850"/>
      <c r="D29" s="850"/>
      <c r="E29" s="851"/>
      <c r="F29" s="409">
        <v>42000</v>
      </c>
      <c r="G29" s="409">
        <f>F29*27%</f>
        <v>11340</v>
      </c>
      <c r="H29" s="409">
        <f>F29+G29</f>
        <v>53340</v>
      </c>
      <c r="I29" s="409">
        <v>53340</v>
      </c>
    </row>
    <row r="30" spans="1:9" s="403" customFormat="1" ht="15.75" thickBot="1" x14ac:dyDescent="0.3">
      <c r="A30" s="837" t="s">
        <v>392</v>
      </c>
      <c r="B30" s="838"/>
      <c r="C30" s="838"/>
      <c r="D30" s="838"/>
      <c r="E30" s="839"/>
      <c r="F30" s="174">
        <v>60000</v>
      </c>
      <c r="G30" s="409">
        <f>F30*27%</f>
        <v>16200.000000000002</v>
      </c>
      <c r="H30" s="409">
        <f>F30+G30</f>
        <v>76200</v>
      </c>
      <c r="I30" s="174">
        <v>76200</v>
      </c>
    </row>
    <row r="31" spans="1:9" s="403" customFormat="1" ht="15.75" thickBot="1" x14ac:dyDescent="0.3">
      <c r="A31" s="849" t="s">
        <v>393</v>
      </c>
      <c r="B31" s="850"/>
      <c r="C31" s="850"/>
      <c r="D31" s="850"/>
      <c r="E31" s="851"/>
      <c r="F31" s="409">
        <f>5565*12+[2]közművelődés_kiadás!F21</f>
        <v>146780</v>
      </c>
      <c r="G31" s="409">
        <f>F31*5%+[2]közművelődés_kiadás!G21</f>
        <v>11339</v>
      </c>
      <c r="H31" s="409">
        <f>F31+G31</f>
        <v>158119</v>
      </c>
      <c r="I31" s="409">
        <v>158119</v>
      </c>
    </row>
    <row r="32" spans="1:9" s="403" customFormat="1" ht="15.75" thickBot="1" x14ac:dyDescent="0.3">
      <c r="A32" s="846" t="s">
        <v>394</v>
      </c>
      <c r="B32" s="847"/>
      <c r="C32" s="847"/>
      <c r="D32" s="847"/>
      <c r="E32" s="848"/>
      <c r="F32" s="407">
        <f>F31+F30+F29</f>
        <v>248780</v>
      </c>
      <c r="G32" s="407">
        <f>G31+G30+G29</f>
        <v>38879</v>
      </c>
      <c r="H32" s="407">
        <f>H31+H30+H29</f>
        <v>287659</v>
      </c>
      <c r="I32" s="407">
        <f>I31+I30+I29</f>
        <v>287659</v>
      </c>
    </row>
    <row r="33" spans="1:9" ht="15.75" thickBot="1" x14ac:dyDescent="0.3">
      <c r="A33" s="849" t="s">
        <v>395</v>
      </c>
      <c r="B33" s="850"/>
      <c r="C33" s="850"/>
      <c r="D33" s="850"/>
      <c r="E33" s="851"/>
      <c r="F33" s="409">
        <f>352000+[2]közművelődés_kiadás!F23</f>
        <v>497000</v>
      </c>
      <c r="G33" s="409">
        <f>F33*27%</f>
        <v>134190</v>
      </c>
      <c r="H33" s="409">
        <f>F33+G33</f>
        <v>631190</v>
      </c>
      <c r="I33" s="407">
        <f>H33</f>
        <v>631190</v>
      </c>
    </row>
    <row r="34" spans="1:9" s="403" customFormat="1" ht="15.75" thickBot="1" x14ac:dyDescent="0.3">
      <c r="A34" s="846" t="s">
        <v>396</v>
      </c>
      <c r="B34" s="847"/>
      <c r="C34" s="847"/>
      <c r="D34" s="847"/>
      <c r="E34" s="848"/>
      <c r="F34" s="407">
        <f>F33</f>
        <v>497000</v>
      </c>
      <c r="G34" s="407">
        <f>G33</f>
        <v>134190</v>
      </c>
      <c r="H34" s="407">
        <f>H33</f>
        <v>631190</v>
      </c>
      <c r="I34" s="407">
        <f>H34</f>
        <v>631190</v>
      </c>
    </row>
    <row r="35" spans="1:9" s="403" customFormat="1" ht="15.75" thickBot="1" x14ac:dyDescent="0.3">
      <c r="A35" s="846" t="s">
        <v>397</v>
      </c>
      <c r="B35" s="847"/>
      <c r="C35" s="847"/>
      <c r="D35" s="847"/>
      <c r="E35" s="848"/>
      <c r="F35" s="407">
        <f>F34+F32</f>
        <v>745780</v>
      </c>
      <c r="G35" s="407">
        <f>G34+G32</f>
        <v>173069</v>
      </c>
      <c r="H35" s="407">
        <f>H34+H32</f>
        <v>918849</v>
      </c>
      <c r="I35" s="407">
        <f>I34+I32</f>
        <v>918849</v>
      </c>
    </row>
    <row r="36" spans="1:9" s="408" customFormat="1" ht="15.75" thickBot="1" x14ac:dyDescent="0.3">
      <c r="A36" s="837" t="s">
        <v>398</v>
      </c>
      <c r="B36" s="838"/>
      <c r="C36" s="838"/>
      <c r="D36" s="838"/>
      <c r="E36" s="839"/>
      <c r="F36" s="174">
        <f>[2]bölcsöde!F27+[2]óvoda!F29+[2]közművelődés_kiadás!F32</f>
        <v>390000</v>
      </c>
      <c r="G36" s="174">
        <f>F36*27%</f>
        <v>105300</v>
      </c>
      <c r="H36" s="174">
        <f>F36+G36</f>
        <v>495300</v>
      </c>
      <c r="I36" s="174">
        <v>495300</v>
      </c>
    </row>
    <row r="37" spans="1:9" s="408" customFormat="1" ht="15.75" thickBot="1" x14ac:dyDescent="0.3">
      <c r="A37" s="837" t="s">
        <v>399</v>
      </c>
      <c r="B37" s="838"/>
      <c r="C37" s="838"/>
      <c r="D37" s="838"/>
      <c r="E37" s="839"/>
      <c r="F37" s="174">
        <f>[2]bölcsöde!F28+[2]óvoda!F30+[2]közművelődés_kiadás!F33</f>
        <v>1800000</v>
      </c>
      <c r="G37" s="174">
        <f>F37*27%</f>
        <v>486000.00000000006</v>
      </c>
      <c r="H37" s="174">
        <f>F37+G37</f>
        <v>2286000</v>
      </c>
      <c r="I37" s="174">
        <v>2286000</v>
      </c>
    </row>
    <row r="38" spans="1:9" s="408" customFormat="1" ht="15.75" thickBot="1" x14ac:dyDescent="0.3">
      <c r="A38" s="837" t="s">
        <v>400</v>
      </c>
      <c r="B38" s="838"/>
      <c r="C38" s="838"/>
      <c r="D38" s="838"/>
      <c r="E38" s="839"/>
      <c r="F38" s="174">
        <f>[2]bölcsöde!F29+[2]óvoda!F31+[2]közművelődés_kiadás!F34</f>
        <v>1240000</v>
      </c>
      <c r="G38" s="174">
        <f>F38*27%</f>
        <v>334800</v>
      </c>
      <c r="H38" s="174">
        <f>F38+G38</f>
        <v>1574800</v>
      </c>
      <c r="I38" s="174">
        <v>1574800</v>
      </c>
    </row>
    <row r="39" spans="1:9" s="403" customFormat="1" ht="15.75" thickBot="1" x14ac:dyDescent="0.3">
      <c r="A39" s="840" t="s">
        <v>401</v>
      </c>
      <c r="B39" s="841"/>
      <c r="C39" s="841"/>
      <c r="D39" s="841"/>
      <c r="E39" s="842"/>
      <c r="F39" s="407">
        <f>F36+F37+F38</f>
        <v>3430000</v>
      </c>
      <c r="G39" s="407">
        <f>G36+G37+G38</f>
        <v>926100</v>
      </c>
      <c r="H39" s="407">
        <f>H36+H37+H38</f>
        <v>4356100</v>
      </c>
      <c r="I39" s="407">
        <f>I36+I37+I38</f>
        <v>4356100</v>
      </c>
    </row>
    <row r="40" spans="1:9" ht="15.75" thickBot="1" x14ac:dyDescent="0.3">
      <c r="A40" s="843" t="s">
        <v>402</v>
      </c>
      <c r="B40" s="844"/>
      <c r="C40" s="844"/>
      <c r="D40" s="844"/>
      <c r="E40" s="845"/>
      <c r="F40" s="409">
        <f>[2]bölcsöde!F31+[2]óvoda!F33+[2]közművelődés_kiadás!F36</f>
        <v>460000</v>
      </c>
      <c r="G40" s="409">
        <f>F40*27%</f>
        <v>124200.00000000001</v>
      </c>
      <c r="H40" s="409">
        <f>F40+G40</f>
        <v>584200</v>
      </c>
      <c r="I40" s="174">
        <f>H40</f>
        <v>584200</v>
      </c>
    </row>
    <row r="41" spans="1:9" ht="15.75" thickBot="1" x14ac:dyDescent="0.3">
      <c r="A41" s="843" t="s">
        <v>403</v>
      </c>
      <c r="B41" s="844"/>
      <c r="C41" s="844"/>
      <c r="D41" s="844"/>
      <c r="E41" s="845"/>
      <c r="F41" s="409">
        <f>[2]bölcsöde!F32+[2]óvoda!F34</f>
        <v>60000</v>
      </c>
      <c r="G41" s="409">
        <f>F41*27%</f>
        <v>16200.000000000002</v>
      </c>
      <c r="H41" s="409">
        <f>F41+G41</f>
        <v>76200</v>
      </c>
      <c r="I41" s="174">
        <v>76200</v>
      </c>
    </row>
    <row r="42" spans="1:9" s="403" customFormat="1" ht="15.75" thickBot="1" x14ac:dyDescent="0.3">
      <c r="A42" s="840" t="s">
        <v>404</v>
      </c>
      <c r="B42" s="841"/>
      <c r="C42" s="841"/>
      <c r="D42" s="841"/>
      <c r="E42" s="842"/>
      <c r="F42" s="407">
        <f>F41+F40</f>
        <v>520000</v>
      </c>
      <c r="G42" s="407">
        <f>G41+G40</f>
        <v>140400.00000000003</v>
      </c>
      <c r="H42" s="407">
        <f>H41+H40</f>
        <v>660400</v>
      </c>
      <c r="I42" s="407">
        <f>I41+I40</f>
        <v>660400</v>
      </c>
    </row>
    <row r="43" spans="1:9" ht="15.75" thickBot="1" x14ac:dyDescent="0.3">
      <c r="A43" s="843" t="s">
        <v>405</v>
      </c>
      <c r="B43" s="844"/>
      <c r="C43" s="844"/>
      <c r="D43" s="844"/>
      <c r="E43" s="845"/>
      <c r="F43" s="409">
        <f>[2]bölcsöde!F34+[2]óvoda!F36</f>
        <v>20000</v>
      </c>
      <c r="G43" s="409">
        <f>F43*27%</f>
        <v>5400</v>
      </c>
      <c r="H43" s="409">
        <f t="shared" ref="H43:H49" si="2">F43+G43</f>
        <v>25400</v>
      </c>
      <c r="I43" s="174">
        <f>H43</f>
        <v>25400</v>
      </c>
    </row>
    <row r="44" spans="1:9" ht="15.75" thickBot="1" x14ac:dyDescent="0.3">
      <c r="A44" s="843" t="s">
        <v>406</v>
      </c>
      <c r="B44" s="844"/>
      <c r="C44" s="844"/>
      <c r="D44" s="844"/>
      <c r="E44" s="845"/>
      <c r="F44" s="409">
        <v>303100</v>
      </c>
      <c r="G44" s="409">
        <v>0</v>
      </c>
      <c r="H44" s="409">
        <f t="shared" si="2"/>
        <v>303100</v>
      </c>
      <c r="I44" s="174">
        <f>H44</f>
        <v>303100</v>
      </c>
    </row>
    <row r="45" spans="1:9" ht="15.75" thickBot="1" x14ac:dyDescent="0.3">
      <c r="A45" s="843" t="s">
        <v>407</v>
      </c>
      <c r="B45" s="844"/>
      <c r="C45" s="844"/>
      <c r="D45" s="844"/>
      <c r="E45" s="845"/>
      <c r="F45" s="409">
        <v>100000</v>
      </c>
      <c r="G45" s="409">
        <f>F45*27%</f>
        <v>27000</v>
      </c>
      <c r="H45" s="409">
        <f t="shared" si="2"/>
        <v>127000</v>
      </c>
      <c r="I45" s="174">
        <v>127000</v>
      </c>
    </row>
    <row r="46" spans="1:9" ht="15.75" thickBot="1" x14ac:dyDescent="0.3">
      <c r="A46" s="843" t="s">
        <v>408</v>
      </c>
      <c r="B46" s="844"/>
      <c r="C46" s="844"/>
      <c r="D46" s="844"/>
      <c r="E46" s="845"/>
      <c r="F46" s="409">
        <v>100000</v>
      </c>
      <c r="G46" s="409">
        <f>F46*27%</f>
        <v>27000</v>
      </c>
      <c r="H46" s="409">
        <f t="shared" si="2"/>
        <v>127000</v>
      </c>
      <c r="I46" s="174">
        <v>127000</v>
      </c>
    </row>
    <row r="47" spans="1:9" ht="15.75" thickBot="1" x14ac:dyDescent="0.3">
      <c r="A47" s="843" t="s">
        <v>409</v>
      </c>
      <c r="B47" s="844"/>
      <c r="C47" s="844"/>
      <c r="D47" s="844"/>
      <c r="E47" s="845"/>
      <c r="F47" s="409">
        <v>100000</v>
      </c>
      <c r="G47" s="409">
        <f>F47*27%</f>
        <v>27000</v>
      </c>
      <c r="H47" s="409">
        <f t="shared" si="2"/>
        <v>127000</v>
      </c>
      <c r="I47" s="174">
        <v>127000</v>
      </c>
    </row>
    <row r="48" spans="1:9" ht="15.75" thickBot="1" x14ac:dyDescent="0.3">
      <c r="A48" s="843" t="s">
        <v>410</v>
      </c>
      <c r="B48" s="844"/>
      <c r="C48" s="844"/>
      <c r="D48" s="844"/>
      <c r="E48" s="845"/>
      <c r="F48" s="409">
        <v>60000</v>
      </c>
      <c r="G48" s="409">
        <v>0</v>
      </c>
      <c r="H48" s="409">
        <f t="shared" si="2"/>
        <v>60000</v>
      </c>
      <c r="I48" s="174">
        <v>60000</v>
      </c>
    </row>
    <row r="49" spans="1:9" ht="15.75" thickBot="1" x14ac:dyDescent="0.3">
      <c r="A49" s="843" t="s">
        <v>411</v>
      </c>
      <c r="B49" s="844"/>
      <c r="C49" s="844"/>
      <c r="D49" s="844"/>
      <c r="E49" s="845"/>
      <c r="F49" s="409">
        <v>972000</v>
      </c>
      <c r="G49" s="409">
        <v>0</v>
      </c>
      <c r="H49" s="409">
        <f t="shared" si="2"/>
        <v>972000</v>
      </c>
      <c r="I49" s="174">
        <v>972000</v>
      </c>
    </row>
    <row r="50" spans="1:9" ht="15.75" thickBot="1" x14ac:dyDescent="0.3">
      <c r="A50" s="843" t="s">
        <v>412</v>
      </c>
      <c r="B50" s="844"/>
      <c r="C50" s="844"/>
      <c r="D50" s="844"/>
      <c r="E50" s="845"/>
      <c r="F50" s="409">
        <v>4500</v>
      </c>
      <c r="G50" s="409">
        <v>0</v>
      </c>
      <c r="H50" s="409">
        <v>4500</v>
      </c>
      <c r="I50" s="174">
        <v>4500</v>
      </c>
    </row>
    <row r="51" spans="1:9" s="403" customFormat="1" ht="15.75" thickBot="1" x14ac:dyDescent="0.3">
      <c r="A51" s="840" t="s">
        <v>413</v>
      </c>
      <c r="B51" s="841"/>
      <c r="C51" s="841"/>
      <c r="D51" s="841"/>
      <c r="E51" s="842"/>
      <c r="F51" s="407">
        <f>F43+F44+F45+F46+F47+F48+F49+F50</f>
        <v>1659600</v>
      </c>
      <c r="G51" s="407">
        <f>G43+G44+G45+G46+G47+G48+G49+G50</f>
        <v>86400</v>
      </c>
      <c r="H51" s="407">
        <f>H43+H44+H45+H46+H47+H48+H49+H50</f>
        <v>1746000</v>
      </c>
      <c r="I51" s="407">
        <f>I43+I44+I45+I46+I47+I48+I49+I50</f>
        <v>1746000</v>
      </c>
    </row>
    <row r="52" spans="1:9" s="403" customFormat="1" ht="15.75" thickBot="1" x14ac:dyDescent="0.3">
      <c r="A52" s="840" t="s">
        <v>414</v>
      </c>
      <c r="B52" s="841"/>
      <c r="C52" s="841"/>
      <c r="D52" s="841"/>
      <c r="E52" s="842"/>
      <c r="F52" s="407">
        <f>F39+F40+F42+F51</f>
        <v>6069600</v>
      </c>
      <c r="G52" s="407">
        <f>G39+G40+G42+G51</f>
        <v>1277100</v>
      </c>
      <c r="H52" s="407">
        <f>H39+H40+H42+H51</f>
        <v>7346700</v>
      </c>
      <c r="I52" s="407">
        <f>I39+I40+I42+I51</f>
        <v>7346700</v>
      </c>
    </row>
    <row r="53" spans="1:9" ht="15.75" thickBot="1" x14ac:dyDescent="0.3">
      <c r="A53" s="843" t="s">
        <v>415</v>
      </c>
      <c r="B53" s="844"/>
      <c r="C53" s="844"/>
      <c r="D53" s="844"/>
      <c r="E53" s="845"/>
      <c r="F53" s="409">
        <f>[2]bölcsöde!F37+[2]óvoda!F39+[2]közművelődés_kiadás!F47</f>
        <v>190000</v>
      </c>
      <c r="G53" s="409">
        <v>0</v>
      </c>
      <c r="H53" s="174">
        <f>F53+G53</f>
        <v>190000</v>
      </c>
      <c r="I53" s="174">
        <f>H53</f>
        <v>190000</v>
      </c>
    </row>
    <row r="54" spans="1:9" ht="15.75" thickBot="1" x14ac:dyDescent="0.3">
      <c r="A54" s="843" t="s">
        <v>416</v>
      </c>
      <c r="B54" s="844"/>
      <c r="C54" s="844"/>
      <c r="D54" s="844"/>
      <c r="E54" s="845"/>
      <c r="F54" s="409">
        <v>250000</v>
      </c>
      <c r="G54" s="409">
        <v>0</v>
      </c>
      <c r="H54" s="174">
        <f>F54+G54</f>
        <v>250000</v>
      </c>
      <c r="I54" s="174">
        <f>H54</f>
        <v>250000</v>
      </c>
    </row>
    <row r="55" spans="1:9" s="403" customFormat="1" ht="15.75" thickBot="1" x14ac:dyDescent="0.3">
      <c r="A55" s="840" t="s">
        <v>417</v>
      </c>
      <c r="B55" s="841"/>
      <c r="C55" s="841"/>
      <c r="D55" s="841"/>
      <c r="E55" s="842"/>
      <c r="F55" s="407">
        <f>F53+F54</f>
        <v>440000</v>
      </c>
      <c r="G55" s="407">
        <f>G53+G54</f>
        <v>0</v>
      </c>
      <c r="H55" s="407">
        <f>H53+H54</f>
        <v>440000</v>
      </c>
      <c r="I55" s="407">
        <f>I53+I54</f>
        <v>440000</v>
      </c>
    </row>
    <row r="56" spans="1:9" ht="15.75" thickBot="1" x14ac:dyDescent="0.3">
      <c r="A56" s="843" t="s">
        <v>418</v>
      </c>
      <c r="B56" s="844"/>
      <c r="C56" s="844"/>
      <c r="D56" s="844"/>
      <c r="E56" s="845"/>
      <c r="F56" s="409">
        <v>0</v>
      </c>
      <c r="G56" s="409">
        <f>G28+G35+G39+G42+G51</f>
        <v>1789177.8</v>
      </c>
      <c r="H56" s="409">
        <f>G56</f>
        <v>1789177.8</v>
      </c>
      <c r="I56" s="409">
        <v>1789180</v>
      </c>
    </row>
    <row r="57" spans="1:9" s="403" customFormat="1" ht="15.75" thickBot="1" x14ac:dyDescent="0.3">
      <c r="A57" s="840" t="s">
        <v>419</v>
      </c>
      <c r="B57" s="841"/>
      <c r="C57" s="841"/>
      <c r="D57" s="841"/>
      <c r="E57" s="842"/>
      <c r="F57" s="407">
        <f>F56</f>
        <v>0</v>
      </c>
      <c r="G57" s="407">
        <f>G56</f>
        <v>1789177.8</v>
      </c>
      <c r="H57" s="407">
        <f>H56</f>
        <v>1789177.8</v>
      </c>
      <c r="I57" s="407">
        <f>I56</f>
        <v>1789180</v>
      </c>
    </row>
    <row r="58" spans="1:9" s="403" customFormat="1" ht="15.75" thickBot="1" x14ac:dyDescent="0.3">
      <c r="A58" s="840" t="s">
        <v>420</v>
      </c>
      <c r="B58" s="841"/>
      <c r="C58" s="841"/>
      <c r="D58" s="841"/>
      <c r="E58" s="842"/>
      <c r="F58" s="407">
        <f>F21+F27+F32+F34+F39+F42+F51+F55</f>
        <v>8744820</v>
      </c>
      <c r="G58" s="407">
        <f>G21+G27+G32+G34+G39+G42+G51+G55</f>
        <v>1789177.8</v>
      </c>
      <c r="H58" s="407">
        <f>F58+G58</f>
        <v>10533997.800000001</v>
      </c>
      <c r="I58" s="407">
        <v>10533998</v>
      </c>
    </row>
    <row r="59" spans="1:9" s="403" customFormat="1" ht="15.75" thickBot="1" x14ac:dyDescent="0.3">
      <c r="A59" s="843" t="s">
        <v>421</v>
      </c>
      <c r="B59" s="844"/>
      <c r="C59" s="844"/>
      <c r="D59" s="844"/>
      <c r="E59" s="845"/>
      <c r="F59" s="409">
        <f>[2]bölcsöde!F40+[2]óvoda!F42+[2]közművelődés_kiadás!F51</f>
        <v>45000</v>
      </c>
      <c r="G59" s="409">
        <v>0</v>
      </c>
      <c r="H59" s="409">
        <f>F59+G59</f>
        <v>45000</v>
      </c>
      <c r="I59" s="174">
        <f>H59</f>
        <v>45000</v>
      </c>
    </row>
    <row r="60" spans="1:9" s="403" customFormat="1" ht="15.75" thickBot="1" x14ac:dyDescent="0.3">
      <c r="A60" s="840" t="s">
        <v>419</v>
      </c>
      <c r="B60" s="841"/>
      <c r="C60" s="841"/>
      <c r="D60" s="841"/>
      <c r="E60" s="842"/>
      <c r="F60" s="409">
        <f>[2]bölcsöde!F41+[2]óvoda!F43+[2]közművelődés_kiadás!F52</f>
        <v>45000</v>
      </c>
      <c r="G60" s="409">
        <v>0</v>
      </c>
      <c r="H60" s="409">
        <f>F60+G60</f>
        <v>45000</v>
      </c>
      <c r="I60" s="174">
        <f>H60</f>
        <v>45000</v>
      </c>
    </row>
    <row r="61" spans="1:9" s="403" customFormat="1" ht="15.75" thickBot="1" x14ac:dyDescent="0.3">
      <c r="A61" s="840" t="s">
        <v>420</v>
      </c>
      <c r="B61" s="841"/>
      <c r="C61" s="841"/>
      <c r="D61" s="841"/>
      <c r="E61" s="842"/>
      <c r="F61" s="407">
        <v>8864580</v>
      </c>
      <c r="G61" s="407">
        <v>1805363</v>
      </c>
      <c r="H61" s="407">
        <f>F61+G61</f>
        <v>10669943</v>
      </c>
      <c r="I61" s="407">
        <v>10669945</v>
      </c>
    </row>
    <row r="62" spans="1:9" s="403" customFormat="1" ht="15.75" thickBot="1" x14ac:dyDescent="0.3">
      <c r="A62" s="837" t="s">
        <v>184</v>
      </c>
      <c r="B62" s="838"/>
      <c r="C62" s="838"/>
      <c r="D62" s="838"/>
      <c r="E62" s="839"/>
      <c r="F62" s="174">
        <v>275591</v>
      </c>
      <c r="G62" s="174">
        <f>F62*27%-1</f>
        <v>74408.570000000007</v>
      </c>
      <c r="H62" s="174">
        <f t="shared" ref="H62:H83" si="3">F62+G62</f>
        <v>349999.57</v>
      </c>
      <c r="I62" s="174">
        <v>350000</v>
      </c>
    </row>
    <row r="63" spans="1:9" s="403" customFormat="1" ht="15.75" thickBot="1" x14ac:dyDescent="0.3">
      <c r="A63" s="837" t="s">
        <v>185</v>
      </c>
      <c r="B63" s="838"/>
      <c r="C63" s="838"/>
      <c r="D63" s="838"/>
      <c r="E63" s="839"/>
      <c r="F63" s="174">
        <v>15000</v>
      </c>
      <c r="G63" s="174">
        <f>F63*27%</f>
        <v>4050.0000000000005</v>
      </c>
      <c r="H63" s="174">
        <f t="shared" si="3"/>
        <v>19050</v>
      </c>
      <c r="I63" s="174">
        <v>19050</v>
      </c>
    </row>
    <row r="64" spans="1:9" s="403" customFormat="1" ht="15.75" thickBot="1" x14ac:dyDescent="0.3">
      <c r="A64" s="837" t="s">
        <v>186</v>
      </c>
      <c r="B64" s="838"/>
      <c r="C64" s="838"/>
      <c r="D64" s="838"/>
      <c r="E64" s="839"/>
      <c r="F64" s="174">
        <v>18000</v>
      </c>
      <c r="G64" s="174">
        <f>F64*27%</f>
        <v>4860</v>
      </c>
      <c r="H64" s="174">
        <f t="shared" si="3"/>
        <v>22860</v>
      </c>
      <c r="I64" s="174">
        <v>22860</v>
      </c>
    </row>
    <row r="65" spans="1:9" s="403" customFormat="1" ht="15.75" thickBot="1" x14ac:dyDescent="0.3">
      <c r="A65" s="837" t="s">
        <v>187</v>
      </c>
      <c r="B65" s="838"/>
      <c r="C65" s="838"/>
      <c r="D65" s="838"/>
      <c r="E65" s="839"/>
      <c r="F65" s="174">
        <v>30000</v>
      </c>
      <c r="G65" s="174">
        <f>F65*27%</f>
        <v>8100.0000000000009</v>
      </c>
      <c r="H65" s="174">
        <f t="shared" si="3"/>
        <v>38100</v>
      </c>
      <c r="I65" s="174">
        <v>38100</v>
      </c>
    </row>
    <row r="66" spans="1:9" s="403" customFormat="1" ht="15.75" thickBot="1" x14ac:dyDescent="0.3">
      <c r="A66" s="837" t="s">
        <v>188</v>
      </c>
      <c r="B66" s="838"/>
      <c r="C66" s="838"/>
      <c r="D66" s="838"/>
      <c r="E66" s="839"/>
      <c r="F66" s="174">
        <v>20000</v>
      </c>
      <c r="G66" s="174">
        <f>F66*27%</f>
        <v>5400</v>
      </c>
      <c r="H66" s="174">
        <f t="shared" si="3"/>
        <v>25400</v>
      </c>
      <c r="I66" s="174">
        <v>25400</v>
      </c>
    </row>
    <row r="67" spans="1:9" s="403" customFormat="1" ht="15.75" thickBot="1" x14ac:dyDescent="0.3">
      <c r="A67" s="837" t="s">
        <v>189</v>
      </c>
      <c r="B67" s="838"/>
      <c r="C67" s="838"/>
      <c r="D67" s="838"/>
      <c r="E67" s="839"/>
      <c r="F67" s="174">
        <v>100000</v>
      </c>
      <c r="G67" s="174">
        <f>F67*27%</f>
        <v>27000</v>
      </c>
      <c r="H67" s="174">
        <f t="shared" si="3"/>
        <v>127000</v>
      </c>
      <c r="I67" s="174">
        <v>127000</v>
      </c>
    </row>
    <row r="68" spans="1:9" s="408" customFormat="1" ht="15.75" thickBot="1" x14ac:dyDescent="0.3">
      <c r="A68" s="837" t="s">
        <v>166</v>
      </c>
      <c r="B68" s="838"/>
      <c r="C68" s="838"/>
      <c r="D68" s="838"/>
      <c r="E68" s="839"/>
      <c r="F68" s="174">
        <v>50000</v>
      </c>
      <c r="G68" s="174">
        <f>F68*5%</f>
        <v>2500</v>
      </c>
      <c r="H68" s="174">
        <f t="shared" si="3"/>
        <v>52500</v>
      </c>
      <c r="I68" s="174">
        <v>52500</v>
      </c>
    </row>
    <row r="69" spans="1:9" s="408" customFormat="1" ht="15.75" thickBot="1" x14ac:dyDescent="0.3">
      <c r="A69" s="837" t="s">
        <v>167</v>
      </c>
      <c r="B69" s="838"/>
      <c r="C69" s="838"/>
      <c r="D69" s="838"/>
      <c r="E69" s="839"/>
      <c r="F69" s="174">
        <v>70000</v>
      </c>
      <c r="G69" s="174">
        <f t="shared" ref="G69:G83" si="4">F69*27%</f>
        <v>18900</v>
      </c>
      <c r="H69" s="174">
        <f t="shared" si="3"/>
        <v>88900</v>
      </c>
      <c r="I69" s="174">
        <v>88900</v>
      </c>
    </row>
    <row r="70" spans="1:9" s="408" customFormat="1" ht="15.75" thickBot="1" x14ac:dyDescent="0.3">
      <c r="A70" s="837" t="s">
        <v>168</v>
      </c>
      <c r="B70" s="838"/>
      <c r="C70" s="838"/>
      <c r="D70" s="838"/>
      <c r="E70" s="839"/>
      <c r="F70" s="174">
        <f>[2]bölcsöde!F45+[2]óvoda!F47</f>
        <v>24000</v>
      </c>
      <c r="G70" s="174">
        <f t="shared" si="4"/>
        <v>6480</v>
      </c>
      <c r="H70" s="174">
        <f t="shared" si="3"/>
        <v>30480</v>
      </c>
      <c r="I70" s="174">
        <v>30480</v>
      </c>
    </row>
    <row r="71" spans="1:9" s="408" customFormat="1" ht="15.75" thickBot="1" x14ac:dyDescent="0.3">
      <c r="A71" s="837" t="s">
        <v>169</v>
      </c>
      <c r="B71" s="838"/>
      <c r="C71" s="838"/>
      <c r="D71" s="838"/>
      <c r="E71" s="839"/>
      <c r="F71" s="174">
        <v>50000</v>
      </c>
      <c r="G71" s="174">
        <f t="shared" si="4"/>
        <v>13500</v>
      </c>
      <c r="H71" s="174">
        <f t="shared" si="3"/>
        <v>63500</v>
      </c>
      <c r="I71" s="174">
        <v>63500</v>
      </c>
    </row>
    <row r="72" spans="1:9" s="408" customFormat="1" ht="15.75" thickBot="1" x14ac:dyDescent="0.3">
      <c r="A72" s="837" t="s">
        <v>170</v>
      </c>
      <c r="B72" s="838"/>
      <c r="C72" s="838"/>
      <c r="D72" s="838"/>
      <c r="E72" s="839"/>
      <c r="F72" s="174">
        <v>40000</v>
      </c>
      <c r="G72" s="174">
        <f t="shared" si="4"/>
        <v>10800</v>
      </c>
      <c r="H72" s="174">
        <f t="shared" si="3"/>
        <v>50800</v>
      </c>
      <c r="I72" s="174">
        <v>50800</v>
      </c>
    </row>
    <row r="73" spans="1:9" s="408" customFormat="1" ht="15.75" thickBot="1" x14ac:dyDescent="0.3">
      <c r="A73" s="837" t="s">
        <v>171</v>
      </c>
      <c r="B73" s="838"/>
      <c r="C73" s="838"/>
      <c r="D73" s="838"/>
      <c r="E73" s="839"/>
      <c r="F73" s="174">
        <v>10000</v>
      </c>
      <c r="G73" s="174">
        <f>F73*27%</f>
        <v>2700</v>
      </c>
      <c r="H73" s="174">
        <f t="shared" si="3"/>
        <v>12700</v>
      </c>
      <c r="I73" s="174">
        <v>12700</v>
      </c>
    </row>
    <row r="74" spans="1:9" s="408" customFormat="1" ht="15.75" thickBot="1" x14ac:dyDescent="0.3">
      <c r="A74" s="837" t="s">
        <v>172</v>
      </c>
      <c r="B74" s="838"/>
      <c r="C74" s="838"/>
      <c r="D74" s="838"/>
      <c r="E74" s="839"/>
      <c r="F74" s="174">
        <v>25000</v>
      </c>
      <c r="G74" s="174">
        <f t="shared" si="4"/>
        <v>6750</v>
      </c>
      <c r="H74" s="174">
        <f t="shared" si="3"/>
        <v>31750</v>
      </c>
      <c r="I74" s="174">
        <v>31750</v>
      </c>
    </row>
    <row r="75" spans="1:9" s="408" customFormat="1" ht="15.75" thickBot="1" x14ac:dyDescent="0.3">
      <c r="A75" s="837" t="s">
        <v>173</v>
      </c>
      <c r="B75" s="838"/>
      <c r="C75" s="838"/>
      <c r="D75" s="838"/>
      <c r="E75" s="839"/>
      <c r="F75" s="174">
        <v>30000</v>
      </c>
      <c r="G75" s="174">
        <f>F75*27%</f>
        <v>8100.0000000000009</v>
      </c>
      <c r="H75" s="174">
        <f t="shared" si="3"/>
        <v>38100</v>
      </c>
      <c r="I75" s="174">
        <v>38100</v>
      </c>
    </row>
    <row r="76" spans="1:9" s="408" customFormat="1" ht="15.75" thickBot="1" x14ac:dyDescent="0.3">
      <c r="A76" s="837" t="s">
        <v>174</v>
      </c>
      <c r="B76" s="838"/>
      <c r="C76" s="838"/>
      <c r="D76" s="838"/>
      <c r="E76" s="839"/>
      <c r="F76" s="174">
        <v>80000</v>
      </c>
      <c r="G76" s="174">
        <f t="shared" si="4"/>
        <v>21600</v>
      </c>
      <c r="H76" s="174">
        <f t="shared" si="3"/>
        <v>101600</v>
      </c>
      <c r="I76" s="174">
        <v>101600</v>
      </c>
    </row>
    <row r="77" spans="1:9" s="408" customFormat="1" ht="15.75" thickBot="1" x14ac:dyDescent="0.3">
      <c r="A77" s="837" t="s">
        <v>175</v>
      </c>
      <c r="B77" s="838"/>
      <c r="C77" s="838"/>
      <c r="D77" s="838"/>
      <c r="E77" s="839"/>
      <c r="F77" s="174">
        <v>25000</v>
      </c>
      <c r="G77" s="174">
        <f t="shared" si="4"/>
        <v>6750</v>
      </c>
      <c r="H77" s="174">
        <f t="shared" si="3"/>
        <v>31750</v>
      </c>
      <c r="I77" s="174">
        <v>31750</v>
      </c>
    </row>
    <row r="78" spans="1:9" s="408" customFormat="1" ht="15.75" thickBot="1" x14ac:dyDescent="0.3">
      <c r="A78" s="837" t="s">
        <v>176</v>
      </c>
      <c r="B78" s="838"/>
      <c r="C78" s="838"/>
      <c r="D78" s="838"/>
      <c r="E78" s="839"/>
      <c r="F78" s="174">
        <v>120000</v>
      </c>
      <c r="G78" s="174">
        <f t="shared" si="4"/>
        <v>32400.000000000004</v>
      </c>
      <c r="H78" s="174">
        <f t="shared" si="3"/>
        <v>152400</v>
      </c>
      <c r="I78" s="174">
        <v>152400</v>
      </c>
    </row>
    <row r="79" spans="1:9" s="408" customFormat="1" ht="15.75" thickBot="1" x14ac:dyDescent="0.3">
      <c r="A79" s="837" t="s">
        <v>177</v>
      </c>
      <c r="B79" s="838"/>
      <c r="C79" s="838"/>
      <c r="D79" s="838"/>
      <c r="E79" s="839"/>
      <c r="F79" s="174">
        <v>100000</v>
      </c>
      <c r="G79" s="174">
        <f t="shared" si="4"/>
        <v>27000</v>
      </c>
      <c r="H79" s="174">
        <f t="shared" si="3"/>
        <v>127000</v>
      </c>
      <c r="I79" s="174">
        <v>127000</v>
      </c>
    </row>
    <row r="80" spans="1:9" s="408" customFormat="1" ht="15.75" thickBot="1" x14ac:dyDescent="0.3">
      <c r="A80" s="837" t="s">
        <v>179</v>
      </c>
      <c r="B80" s="838"/>
      <c r="C80" s="838"/>
      <c r="D80" s="838"/>
      <c r="E80" s="839"/>
      <c r="F80" s="174">
        <v>50000</v>
      </c>
      <c r="G80" s="174">
        <f t="shared" si="4"/>
        <v>13500</v>
      </c>
      <c r="H80" s="174">
        <f t="shared" si="3"/>
        <v>63500</v>
      </c>
      <c r="I80" s="174">
        <v>63500</v>
      </c>
    </row>
    <row r="81" spans="1:9" s="408" customFormat="1" ht="15.75" thickBot="1" x14ac:dyDescent="0.3">
      <c r="A81" s="837" t="s">
        <v>180</v>
      </c>
      <c r="B81" s="838"/>
      <c r="C81" s="838"/>
      <c r="D81" s="838"/>
      <c r="E81" s="839"/>
      <c r="F81" s="174">
        <v>20000</v>
      </c>
      <c r="G81" s="174">
        <f t="shared" si="4"/>
        <v>5400</v>
      </c>
      <c r="H81" s="174">
        <f t="shared" si="3"/>
        <v>25400</v>
      </c>
      <c r="I81" s="174">
        <v>25400</v>
      </c>
    </row>
    <row r="82" spans="1:9" s="408" customFormat="1" ht="15.75" thickBot="1" x14ac:dyDescent="0.3">
      <c r="A82" s="837" t="s">
        <v>181</v>
      </c>
      <c r="B82" s="838"/>
      <c r="C82" s="838"/>
      <c r="D82" s="838"/>
      <c r="E82" s="839"/>
      <c r="F82" s="174">
        <v>50000</v>
      </c>
      <c r="G82" s="174">
        <f t="shared" si="4"/>
        <v>13500</v>
      </c>
      <c r="H82" s="174">
        <f t="shared" si="3"/>
        <v>63500</v>
      </c>
      <c r="I82" s="174">
        <v>63500</v>
      </c>
    </row>
    <row r="83" spans="1:9" s="408" customFormat="1" ht="15.75" thickBot="1" x14ac:dyDescent="0.3">
      <c r="A83" s="837" t="s">
        <v>182</v>
      </c>
      <c r="B83" s="838"/>
      <c r="C83" s="838"/>
      <c r="D83" s="838"/>
      <c r="E83" s="839"/>
      <c r="F83" s="174">
        <v>80000</v>
      </c>
      <c r="G83" s="174">
        <f t="shared" si="4"/>
        <v>21600</v>
      </c>
      <c r="H83" s="174">
        <f t="shared" si="3"/>
        <v>101600</v>
      </c>
      <c r="I83" s="174">
        <v>101600</v>
      </c>
    </row>
    <row r="84" spans="1:9" s="403" customFormat="1" ht="15.75" thickBot="1" x14ac:dyDescent="0.3">
      <c r="A84" s="840" t="s">
        <v>422</v>
      </c>
      <c r="B84" s="841"/>
      <c r="C84" s="841"/>
      <c r="D84" s="841"/>
      <c r="E84" s="842"/>
      <c r="F84" s="407">
        <f>SUM(F68:F83)+[2]közművelődés_kiadás!F60</f>
        <v>1282591</v>
      </c>
      <c r="G84" s="407">
        <f>SUM(G68:G83)+[2]közművelődés_kiadás!G60</f>
        <v>335298.57</v>
      </c>
      <c r="H84" s="407">
        <f>SUM(H68:H83)+[2]közművelődés_kiadás!H60</f>
        <v>1617889.57</v>
      </c>
      <c r="I84" s="407">
        <v>1617890</v>
      </c>
    </row>
    <row r="85" spans="1:9" s="403" customFormat="1" ht="15.75" thickBot="1" x14ac:dyDescent="0.3">
      <c r="A85" s="840" t="s">
        <v>423</v>
      </c>
      <c r="B85" s="841"/>
      <c r="C85" s="841"/>
      <c r="D85" s="841"/>
      <c r="E85" s="842"/>
      <c r="F85" s="407"/>
      <c r="G85" s="407">
        <v>335299</v>
      </c>
      <c r="H85" s="407">
        <f>F85+G85</f>
        <v>335299</v>
      </c>
      <c r="I85" s="407">
        <v>335300</v>
      </c>
    </row>
    <row r="86" spans="1:9" s="413" customFormat="1" ht="19.5" thickBot="1" x14ac:dyDescent="0.35">
      <c r="A86" s="834" t="s">
        <v>424</v>
      </c>
      <c r="B86" s="835"/>
      <c r="C86" s="835"/>
      <c r="D86" s="835"/>
      <c r="E86" s="836"/>
      <c r="F86" s="412">
        <f>[2]közművelődés_kiadás!F62+'[2]bőlcsöde+óvoda'!F63</f>
        <v>52818661.799999997</v>
      </c>
      <c r="G86" s="412">
        <v>2140662</v>
      </c>
      <c r="H86" s="412">
        <f>F86+G86</f>
        <v>54959323.799999997</v>
      </c>
      <c r="I86" s="412">
        <v>54959325</v>
      </c>
    </row>
  </sheetData>
  <mergeCells count="84">
    <mergeCell ref="A14:E14"/>
    <mergeCell ref="C2:H2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86:E86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L5" sqref="L5"/>
    </sheetView>
  </sheetViews>
  <sheetFormatPr defaultRowHeight="15" x14ac:dyDescent="0.25"/>
  <cols>
    <col min="5" max="5" width="13" customWidth="1"/>
    <col min="6" max="6" width="14.42578125" style="402" customWidth="1"/>
    <col min="7" max="7" width="10.42578125" style="402" bestFit="1" customWidth="1"/>
    <col min="8" max="8" width="14" bestFit="1" customWidth="1"/>
    <col min="9" max="9" width="14.85546875" style="402" bestFit="1" customWidth="1"/>
    <col min="261" max="261" width="13" customWidth="1"/>
    <col min="262" max="262" width="14.42578125" customWidth="1"/>
    <col min="263" max="263" width="10.42578125" bestFit="1" customWidth="1"/>
    <col min="264" max="264" width="15.85546875" bestFit="1" customWidth="1"/>
    <col min="265" max="265" width="13.7109375" bestFit="1" customWidth="1"/>
    <col min="517" max="517" width="13" customWidth="1"/>
    <col min="518" max="518" width="14.42578125" customWidth="1"/>
    <col min="519" max="519" width="10.42578125" bestFit="1" customWidth="1"/>
    <col min="520" max="520" width="15.85546875" bestFit="1" customWidth="1"/>
    <col min="521" max="521" width="13.7109375" bestFit="1" customWidth="1"/>
    <col min="773" max="773" width="13" customWidth="1"/>
    <col min="774" max="774" width="14.42578125" customWidth="1"/>
    <col min="775" max="775" width="10.42578125" bestFit="1" customWidth="1"/>
    <col min="776" max="776" width="15.85546875" bestFit="1" customWidth="1"/>
    <col min="777" max="777" width="13.7109375" bestFit="1" customWidth="1"/>
    <col min="1029" max="1029" width="13" customWidth="1"/>
    <col min="1030" max="1030" width="14.42578125" customWidth="1"/>
    <col min="1031" max="1031" width="10.42578125" bestFit="1" customWidth="1"/>
    <col min="1032" max="1032" width="15.85546875" bestFit="1" customWidth="1"/>
    <col min="1033" max="1033" width="13.7109375" bestFit="1" customWidth="1"/>
    <col min="1285" max="1285" width="13" customWidth="1"/>
    <col min="1286" max="1286" width="14.42578125" customWidth="1"/>
    <col min="1287" max="1287" width="10.42578125" bestFit="1" customWidth="1"/>
    <col min="1288" max="1288" width="15.85546875" bestFit="1" customWidth="1"/>
    <col min="1289" max="1289" width="13.7109375" bestFit="1" customWidth="1"/>
    <col min="1541" max="1541" width="13" customWidth="1"/>
    <col min="1542" max="1542" width="14.42578125" customWidth="1"/>
    <col min="1543" max="1543" width="10.42578125" bestFit="1" customWidth="1"/>
    <col min="1544" max="1544" width="15.85546875" bestFit="1" customWidth="1"/>
    <col min="1545" max="1545" width="13.7109375" bestFit="1" customWidth="1"/>
    <col min="1797" max="1797" width="13" customWidth="1"/>
    <col min="1798" max="1798" width="14.42578125" customWidth="1"/>
    <col min="1799" max="1799" width="10.42578125" bestFit="1" customWidth="1"/>
    <col min="1800" max="1800" width="15.85546875" bestFit="1" customWidth="1"/>
    <col min="1801" max="1801" width="13.7109375" bestFit="1" customWidth="1"/>
    <col min="2053" max="2053" width="13" customWidth="1"/>
    <col min="2054" max="2054" width="14.42578125" customWidth="1"/>
    <col min="2055" max="2055" width="10.42578125" bestFit="1" customWidth="1"/>
    <col min="2056" max="2056" width="15.85546875" bestFit="1" customWidth="1"/>
    <col min="2057" max="2057" width="13.7109375" bestFit="1" customWidth="1"/>
    <col min="2309" max="2309" width="13" customWidth="1"/>
    <col min="2310" max="2310" width="14.42578125" customWidth="1"/>
    <col min="2311" max="2311" width="10.42578125" bestFit="1" customWidth="1"/>
    <col min="2312" max="2312" width="15.85546875" bestFit="1" customWidth="1"/>
    <col min="2313" max="2313" width="13.7109375" bestFit="1" customWidth="1"/>
    <col min="2565" max="2565" width="13" customWidth="1"/>
    <col min="2566" max="2566" width="14.42578125" customWidth="1"/>
    <col min="2567" max="2567" width="10.42578125" bestFit="1" customWidth="1"/>
    <col min="2568" max="2568" width="15.85546875" bestFit="1" customWidth="1"/>
    <col min="2569" max="2569" width="13.7109375" bestFit="1" customWidth="1"/>
    <col min="2821" max="2821" width="13" customWidth="1"/>
    <col min="2822" max="2822" width="14.42578125" customWidth="1"/>
    <col min="2823" max="2823" width="10.42578125" bestFit="1" customWidth="1"/>
    <col min="2824" max="2824" width="15.85546875" bestFit="1" customWidth="1"/>
    <col min="2825" max="2825" width="13.7109375" bestFit="1" customWidth="1"/>
    <col min="3077" max="3077" width="13" customWidth="1"/>
    <col min="3078" max="3078" width="14.42578125" customWidth="1"/>
    <col min="3079" max="3079" width="10.42578125" bestFit="1" customWidth="1"/>
    <col min="3080" max="3080" width="15.85546875" bestFit="1" customWidth="1"/>
    <col min="3081" max="3081" width="13.7109375" bestFit="1" customWidth="1"/>
    <col min="3333" max="3333" width="13" customWidth="1"/>
    <col min="3334" max="3334" width="14.42578125" customWidth="1"/>
    <col min="3335" max="3335" width="10.42578125" bestFit="1" customWidth="1"/>
    <col min="3336" max="3336" width="15.85546875" bestFit="1" customWidth="1"/>
    <col min="3337" max="3337" width="13.7109375" bestFit="1" customWidth="1"/>
    <col min="3589" max="3589" width="13" customWidth="1"/>
    <col min="3590" max="3590" width="14.42578125" customWidth="1"/>
    <col min="3591" max="3591" width="10.42578125" bestFit="1" customWidth="1"/>
    <col min="3592" max="3592" width="15.85546875" bestFit="1" customWidth="1"/>
    <col min="3593" max="3593" width="13.7109375" bestFit="1" customWidth="1"/>
    <col min="3845" max="3845" width="13" customWidth="1"/>
    <col min="3846" max="3846" width="14.42578125" customWidth="1"/>
    <col min="3847" max="3847" width="10.42578125" bestFit="1" customWidth="1"/>
    <col min="3848" max="3848" width="15.85546875" bestFit="1" customWidth="1"/>
    <col min="3849" max="3849" width="13.7109375" bestFit="1" customWidth="1"/>
    <col min="4101" max="4101" width="13" customWidth="1"/>
    <col min="4102" max="4102" width="14.42578125" customWidth="1"/>
    <col min="4103" max="4103" width="10.42578125" bestFit="1" customWidth="1"/>
    <col min="4104" max="4104" width="15.85546875" bestFit="1" customWidth="1"/>
    <col min="4105" max="4105" width="13.7109375" bestFit="1" customWidth="1"/>
    <col min="4357" max="4357" width="13" customWidth="1"/>
    <col min="4358" max="4358" width="14.42578125" customWidth="1"/>
    <col min="4359" max="4359" width="10.42578125" bestFit="1" customWidth="1"/>
    <col min="4360" max="4360" width="15.85546875" bestFit="1" customWidth="1"/>
    <col min="4361" max="4361" width="13.7109375" bestFit="1" customWidth="1"/>
    <col min="4613" max="4613" width="13" customWidth="1"/>
    <col min="4614" max="4614" width="14.42578125" customWidth="1"/>
    <col min="4615" max="4615" width="10.42578125" bestFit="1" customWidth="1"/>
    <col min="4616" max="4616" width="15.85546875" bestFit="1" customWidth="1"/>
    <col min="4617" max="4617" width="13.7109375" bestFit="1" customWidth="1"/>
    <col min="4869" max="4869" width="13" customWidth="1"/>
    <col min="4870" max="4870" width="14.42578125" customWidth="1"/>
    <col min="4871" max="4871" width="10.42578125" bestFit="1" customWidth="1"/>
    <col min="4872" max="4872" width="15.85546875" bestFit="1" customWidth="1"/>
    <col min="4873" max="4873" width="13.7109375" bestFit="1" customWidth="1"/>
    <col min="5125" max="5125" width="13" customWidth="1"/>
    <col min="5126" max="5126" width="14.42578125" customWidth="1"/>
    <col min="5127" max="5127" width="10.42578125" bestFit="1" customWidth="1"/>
    <col min="5128" max="5128" width="15.85546875" bestFit="1" customWidth="1"/>
    <col min="5129" max="5129" width="13.7109375" bestFit="1" customWidth="1"/>
    <col min="5381" max="5381" width="13" customWidth="1"/>
    <col min="5382" max="5382" width="14.42578125" customWidth="1"/>
    <col min="5383" max="5383" width="10.42578125" bestFit="1" customWidth="1"/>
    <col min="5384" max="5384" width="15.85546875" bestFit="1" customWidth="1"/>
    <col min="5385" max="5385" width="13.7109375" bestFit="1" customWidth="1"/>
    <col min="5637" max="5637" width="13" customWidth="1"/>
    <col min="5638" max="5638" width="14.42578125" customWidth="1"/>
    <col min="5639" max="5639" width="10.42578125" bestFit="1" customWidth="1"/>
    <col min="5640" max="5640" width="15.85546875" bestFit="1" customWidth="1"/>
    <col min="5641" max="5641" width="13.7109375" bestFit="1" customWidth="1"/>
    <col min="5893" max="5893" width="13" customWidth="1"/>
    <col min="5894" max="5894" width="14.42578125" customWidth="1"/>
    <col min="5895" max="5895" width="10.42578125" bestFit="1" customWidth="1"/>
    <col min="5896" max="5896" width="15.85546875" bestFit="1" customWidth="1"/>
    <col min="5897" max="5897" width="13.7109375" bestFit="1" customWidth="1"/>
    <col min="6149" max="6149" width="13" customWidth="1"/>
    <col min="6150" max="6150" width="14.42578125" customWidth="1"/>
    <col min="6151" max="6151" width="10.42578125" bestFit="1" customWidth="1"/>
    <col min="6152" max="6152" width="15.85546875" bestFit="1" customWidth="1"/>
    <col min="6153" max="6153" width="13.7109375" bestFit="1" customWidth="1"/>
    <col min="6405" max="6405" width="13" customWidth="1"/>
    <col min="6406" max="6406" width="14.42578125" customWidth="1"/>
    <col min="6407" max="6407" width="10.42578125" bestFit="1" customWidth="1"/>
    <col min="6408" max="6408" width="15.85546875" bestFit="1" customWidth="1"/>
    <col min="6409" max="6409" width="13.7109375" bestFit="1" customWidth="1"/>
    <col min="6661" max="6661" width="13" customWidth="1"/>
    <col min="6662" max="6662" width="14.42578125" customWidth="1"/>
    <col min="6663" max="6663" width="10.42578125" bestFit="1" customWidth="1"/>
    <col min="6664" max="6664" width="15.85546875" bestFit="1" customWidth="1"/>
    <col min="6665" max="6665" width="13.7109375" bestFit="1" customWidth="1"/>
    <col min="6917" max="6917" width="13" customWidth="1"/>
    <col min="6918" max="6918" width="14.42578125" customWidth="1"/>
    <col min="6919" max="6919" width="10.42578125" bestFit="1" customWidth="1"/>
    <col min="6920" max="6920" width="15.85546875" bestFit="1" customWidth="1"/>
    <col min="6921" max="6921" width="13.7109375" bestFit="1" customWidth="1"/>
    <col min="7173" max="7173" width="13" customWidth="1"/>
    <col min="7174" max="7174" width="14.42578125" customWidth="1"/>
    <col min="7175" max="7175" width="10.42578125" bestFit="1" customWidth="1"/>
    <col min="7176" max="7176" width="15.85546875" bestFit="1" customWidth="1"/>
    <col min="7177" max="7177" width="13.7109375" bestFit="1" customWidth="1"/>
    <col min="7429" max="7429" width="13" customWidth="1"/>
    <col min="7430" max="7430" width="14.42578125" customWidth="1"/>
    <col min="7431" max="7431" width="10.42578125" bestFit="1" customWidth="1"/>
    <col min="7432" max="7432" width="15.85546875" bestFit="1" customWidth="1"/>
    <col min="7433" max="7433" width="13.7109375" bestFit="1" customWidth="1"/>
    <col min="7685" max="7685" width="13" customWidth="1"/>
    <col min="7686" max="7686" width="14.42578125" customWidth="1"/>
    <col min="7687" max="7687" width="10.42578125" bestFit="1" customWidth="1"/>
    <col min="7688" max="7688" width="15.85546875" bestFit="1" customWidth="1"/>
    <col min="7689" max="7689" width="13.7109375" bestFit="1" customWidth="1"/>
    <col min="7941" max="7941" width="13" customWidth="1"/>
    <col min="7942" max="7942" width="14.42578125" customWidth="1"/>
    <col min="7943" max="7943" width="10.42578125" bestFit="1" customWidth="1"/>
    <col min="7944" max="7944" width="15.85546875" bestFit="1" customWidth="1"/>
    <col min="7945" max="7945" width="13.7109375" bestFit="1" customWidth="1"/>
    <col min="8197" max="8197" width="13" customWidth="1"/>
    <col min="8198" max="8198" width="14.42578125" customWidth="1"/>
    <col min="8199" max="8199" width="10.42578125" bestFit="1" customWidth="1"/>
    <col min="8200" max="8200" width="15.85546875" bestFit="1" customWidth="1"/>
    <col min="8201" max="8201" width="13.7109375" bestFit="1" customWidth="1"/>
    <col min="8453" max="8453" width="13" customWidth="1"/>
    <col min="8454" max="8454" width="14.42578125" customWidth="1"/>
    <col min="8455" max="8455" width="10.42578125" bestFit="1" customWidth="1"/>
    <col min="8456" max="8456" width="15.85546875" bestFit="1" customWidth="1"/>
    <col min="8457" max="8457" width="13.7109375" bestFit="1" customWidth="1"/>
    <col min="8709" max="8709" width="13" customWidth="1"/>
    <col min="8710" max="8710" width="14.42578125" customWidth="1"/>
    <col min="8711" max="8711" width="10.42578125" bestFit="1" customWidth="1"/>
    <col min="8712" max="8712" width="15.85546875" bestFit="1" customWidth="1"/>
    <col min="8713" max="8713" width="13.7109375" bestFit="1" customWidth="1"/>
    <col min="8965" max="8965" width="13" customWidth="1"/>
    <col min="8966" max="8966" width="14.42578125" customWidth="1"/>
    <col min="8967" max="8967" width="10.42578125" bestFit="1" customWidth="1"/>
    <col min="8968" max="8968" width="15.85546875" bestFit="1" customWidth="1"/>
    <col min="8969" max="8969" width="13.7109375" bestFit="1" customWidth="1"/>
    <col min="9221" max="9221" width="13" customWidth="1"/>
    <col min="9222" max="9222" width="14.42578125" customWidth="1"/>
    <col min="9223" max="9223" width="10.42578125" bestFit="1" customWidth="1"/>
    <col min="9224" max="9224" width="15.85546875" bestFit="1" customWidth="1"/>
    <col min="9225" max="9225" width="13.7109375" bestFit="1" customWidth="1"/>
    <col min="9477" max="9477" width="13" customWidth="1"/>
    <col min="9478" max="9478" width="14.42578125" customWidth="1"/>
    <col min="9479" max="9479" width="10.42578125" bestFit="1" customWidth="1"/>
    <col min="9480" max="9480" width="15.85546875" bestFit="1" customWidth="1"/>
    <col min="9481" max="9481" width="13.7109375" bestFit="1" customWidth="1"/>
    <col min="9733" max="9733" width="13" customWidth="1"/>
    <col min="9734" max="9734" width="14.42578125" customWidth="1"/>
    <col min="9735" max="9735" width="10.42578125" bestFit="1" customWidth="1"/>
    <col min="9736" max="9736" width="15.85546875" bestFit="1" customWidth="1"/>
    <col min="9737" max="9737" width="13.7109375" bestFit="1" customWidth="1"/>
    <col min="9989" max="9989" width="13" customWidth="1"/>
    <col min="9990" max="9990" width="14.42578125" customWidth="1"/>
    <col min="9991" max="9991" width="10.42578125" bestFit="1" customWidth="1"/>
    <col min="9992" max="9992" width="15.85546875" bestFit="1" customWidth="1"/>
    <col min="9993" max="9993" width="13.7109375" bestFit="1" customWidth="1"/>
    <col min="10245" max="10245" width="13" customWidth="1"/>
    <col min="10246" max="10246" width="14.42578125" customWidth="1"/>
    <col min="10247" max="10247" width="10.42578125" bestFit="1" customWidth="1"/>
    <col min="10248" max="10248" width="15.85546875" bestFit="1" customWidth="1"/>
    <col min="10249" max="10249" width="13.7109375" bestFit="1" customWidth="1"/>
    <col min="10501" max="10501" width="13" customWidth="1"/>
    <col min="10502" max="10502" width="14.42578125" customWidth="1"/>
    <col min="10503" max="10503" width="10.42578125" bestFit="1" customWidth="1"/>
    <col min="10504" max="10504" width="15.85546875" bestFit="1" customWidth="1"/>
    <col min="10505" max="10505" width="13.7109375" bestFit="1" customWidth="1"/>
    <col min="10757" max="10757" width="13" customWidth="1"/>
    <col min="10758" max="10758" width="14.42578125" customWidth="1"/>
    <col min="10759" max="10759" width="10.42578125" bestFit="1" customWidth="1"/>
    <col min="10760" max="10760" width="15.85546875" bestFit="1" customWidth="1"/>
    <col min="10761" max="10761" width="13.7109375" bestFit="1" customWidth="1"/>
    <col min="11013" max="11013" width="13" customWidth="1"/>
    <col min="11014" max="11014" width="14.42578125" customWidth="1"/>
    <col min="11015" max="11015" width="10.42578125" bestFit="1" customWidth="1"/>
    <col min="11016" max="11016" width="15.85546875" bestFit="1" customWidth="1"/>
    <col min="11017" max="11017" width="13.7109375" bestFit="1" customWidth="1"/>
    <col min="11269" max="11269" width="13" customWidth="1"/>
    <col min="11270" max="11270" width="14.42578125" customWidth="1"/>
    <col min="11271" max="11271" width="10.42578125" bestFit="1" customWidth="1"/>
    <col min="11272" max="11272" width="15.85546875" bestFit="1" customWidth="1"/>
    <col min="11273" max="11273" width="13.7109375" bestFit="1" customWidth="1"/>
    <col min="11525" max="11525" width="13" customWidth="1"/>
    <col min="11526" max="11526" width="14.42578125" customWidth="1"/>
    <col min="11527" max="11527" width="10.42578125" bestFit="1" customWidth="1"/>
    <col min="11528" max="11528" width="15.85546875" bestFit="1" customWidth="1"/>
    <col min="11529" max="11529" width="13.7109375" bestFit="1" customWidth="1"/>
    <col min="11781" max="11781" width="13" customWidth="1"/>
    <col min="11782" max="11782" width="14.42578125" customWidth="1"/>
    <col min="11783" max="11783" width="10.42578125" bestFit="1" customWidth="1"/>
    <col min="11784" max="11784" width="15.85546875" bestFit="1" customWidth="1"/>
    <col min="11785" max="11785" width="13.7109375" bestFit="1" customWidth="1"/>
    <col min="12037" max="12037" width="13" customWidth="1"/>
    <col min="12038" max="12038" width="14.42578125" customWidth="1"/>
    <col min="12039" max="12039" width="10.42578125" bestFit="1" customWidth="1"/>
    <col min="12040" max="12040" width="15.85546875" bestFit="1" customWidth="1"/>
    <col min="12041" max="12041" width="13.7109375" bestFit="1" customWidth="1"/>
    <col min="12293" max="12293" width="13" customWidth="1"/>
    <col min="12294" max="12294" width="14.42578125" customWidth="1"/>
    <col min="12295" max="12295" width="10.42578125" bestFit="1" customWidth="1"/>
    <col min="12296" max="12296" width="15.85546875" bestFit="1" customWidth="1"/>
    <col min="12297" max="12297" width="13.7109375" bestFit="1" customWidth="1"/>
    <col min="12549" max="12549" width="13" customWidth="1"/>
    <col min="12550" max="12550" width="14.42578125" customWidth="1"/>
    <col min="12551" max="12551" width="10.42578125" bestFit="1" customWidth="1"/>
    <col min="12552" max="12552" width="15.85546875" bestFit="1" customWidth="1"/>
    <col min="12553" max="12553" width="13.7109375" bestFit="1" customWidth="1"/>
    <col min="12805" max="12805" width="13" customWidth="1"/>
    <col min="12806" max="12806" width="14.42578125" customWidth="1"/>
    <col min="12807" max="12807" width="10.42578125" bestFit="1" customWidth="1"/>
    <col min="12808" max="12808" width="15.85546875" bestFit="1" customWidth="1"/>
    <col min="12809" max="12809" width="13.7109375" bestFit="1" customWidth="1"/>
    <col min="13061" max="13061" width="13" customWidth="1"/>
    <col min="13062" max="13062" width="14.42578125" customWidth="1"/>
    <col min="13063" max="13063" width="10.42578125" bestFit="1" customWidth="1"/>
    <col min="13064" max="13064" width="15.85546875" bestFit="1" customWidth="1"/>
    <col min="13065" max="13065" width="13.7109375" bestFit="1" customWidth="1"/>
    <col min="13317" max="13317" width="13" customWidth="1"/>
    <col min="13318" max="13318" width="14.42578125" customWidth="1"/>
    <col min="13319" max="13319" width="10.42578125" bestFit="1" customWidth="1"/>
    <col min="13320" max="13320" width="15.85546875" bestFit="1" customWidth="1"/>
    <col min="13321" max="13321" width="13.7109375" bestFit="1" customWidth="1"/>
    <col min="13573" max="13573" width="13" customWidth="1"/>
    <col min="13574" max="13574" width="14.42578125" customWidth="1"/>
    <col min="13575" max="13575" width="10.42578125" bestFit="1" customWidth="1"/>
    <col min="13576" max="13576" width="15.85546875" bestFit="1" customWidth="1"/>
    <col min="13577" max="13577" width="13.7109375" bestFit="1" customWidth="1"/>
    <col min="13829" max="13829" width="13" customWidth="1"/>
    <col min="13830" max="13830" width="14.42578125" customWidth="1"/>
    <col min="13831" max="13831" width="10.42578125" bestFit="1" customWidth="1"/>
    <col min="13832" max="13832" width="15.85546875" bestFit="1" customWidth="1"/>
    <col min="13833" max="13833" width="13.7109375" bestFit="1" customWidth="1"/>
    <col min="14085" max="14085" width="13" customWidth="1"/>
    <col min="14086" max="14086" width="14.42578125" customWidth="1"/>
    <col min="14087" max="14087" width="10.42578125" bestFit="1" customWidth="1"/>
    <col min="14088" max="14088" width="15.85546875" bestFit="1" customWidth="1"/>
    <col min="14089" max="14089" width="13.7109375" bestFit="1" customWidth="1"/>
    <col min="14341" max="14341" width="13" customWidth="1"/>
    <col min="14342" max="14342" width="14.42578125" customWidth="1"/>
    <col min="14343" max="14343" width="10.42578125" bestFit="1" customWidth="1"/>
    <col min="14344" max="14344" width="15.85546875" bestFit="1" customWidth="1"/>
    <col min="14345" max="14345" width="13.7109375" bestFit="1" customWidth="1"/>
    <col min="14597" max="14597" width="13" customWidth="1"/>
    <col min="14598" max="14598" width="14.42578125" customWidth="1"/>
    <col min="14599" max="14599" width="10.42578125" bestFit="1" customWidth="1"/>
    <col min="14600" max="14600" width="15.85546875" bestFit="1" customWidth="1"/>
    <col min="14601" max="14601" width="13.7109375" bestFit="1" customWidth="1"/>
    <col min="14853" max="14853" width="13" customWidth="1"/>
    <col min="14854" max="14854" width="14.42578125" customWidth="1"/>
    <col min="14855" max="14855" width="10.42578125" bestFit="1" customWidth="1"/>
    <col min="14856" max="14856" width="15.85546875" bestFit="1" customWidth="1"/>
    <col min="14857" max="14857" width="13.7109375" bestFit="1" customWidth="1"/>
    <col min="15109" max="15109" width="13" customWidth="1"/>
    <col min="15110" max="15110" width="14.42578125" customWidth="1"/>
    <col min="15111" max="15111" width="10.42578125" bestFit="1" customWidth="1"/>
    <col min="15112" max="15112" width="15.85546875" bestFit="1" customWidth="1"/>
    <col min="15113" max="15113" width="13.7109375" bestFit="1" customWidth="1"/>
    <col min="15365" max="15365" width="13" customWidth="1"/>
    <col min="15366" max="15366" width="14.42578125" customWidth="1"/>
    <col min="15367" max="15367" width="10.42578125" bestFit="1" customWidth="1"/>
    <col min="15368" max="15368" width="15.85546875" bestFit="1" customWidth="1"/>
    <col min="15369" max="15369" width="13.7109375" bestFit="1" customWidth="1"/>
    <col min="15621" max="15621" width="13" customWidth="1"/>
    <col min="15622" max="15622" width="14.42578125" customWidth="1"/>
    <col min="15623" max="15623" width="10.42578125" bestFit="1" customWidth="1"/>
    <col min="15624" max="15624" width="15.85546875" bestFit="1" customWidth="1"/>
    <col min="15625" max="15625" width="13.7109375" bestFit="1" customWidth="1"/>
    <col min="15877" max="15877" width="13" customWidth="1"/>
    <col min="15878" max="15878" width="14.42578125" customWidth="1"/>
    <col min="15879" max="15879" width="10.42578125" bestFit="1" customWidth="1"/>
    <col min="15880" max="15880" width="15.85546875" bestFit="1" customWidth="1"/>
    <col min="15881" max="15881" width="13.7109375" bestFit="1" customWidth="1"/>
    <col min="16133" max="16133" width="13" customWidth="1"/>
    <col min="16134" max="16134" width="14.42578125" customWidth="1"/>
    <col min="16135" max="16135" width="10.42578125" bestFit="1" customWidth="1"/>
    <col min="16136" max="16136" width="15.85546875" bestFit="1" customWidth="1"/>
    <col min="16137" max="16137" width="13.7109375" bestFit="1" customWidth="1"/>
  </cols>
  <sheetData>
    <row r="1" spans="1:12" x14ac:dyDescent="0.25">
      <c r="I1" s="402" t="s">
        <v>425</v>
      </c>
    </row>
    <row r="2" spans="1:12" ht="15" customHeight="1" x14ac:dyDescent="0.3">
      <c r="C2" s="861" t="s">
        <v>707</v>
      </c>
      <c r="D2" s="861"/>
      <c r="E2" s="861"/>
      <c r="F2" s="861"/>
      <c r="G2" s="861"/>
      <c r="H2" s="862"/>
    </row>
    <row r="3" spans="1:12" ht="15.75" thickBot="1" x14ac:dyDescent="0.3"/>
    <row r="4" spans="1:12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12" ht="15.75" thickBot="1" x14ac:dyDescent="0.3">
      <c r="A5" s="858" t="s">
        <v>367</v>
      </c>
      <c r="B5" s="859"/>
      <c r="C5" s="859"/>
      <c r="D5" s="859"/>
      <c r="E5" s="860"/>
      <c r="F5" s="174">
        <f>'[2]BÉR+JÁR'!B15+'[2]BÉR+JÁR'!B16+'[2]BÉR+JÁR'!B17</f>
        <v>6826580</v>
      </c>
      <c r="G5" s="174">
        <v>0</v>
      </c>
      <c r="H5" s="174">
        <f>G5+F5</f>
        <v>6826580</v>
      </c>
      <c r="I5" s="174">
        <f t="shared" ref="I5:I10" si="0">H5</f>
        <v>6826580</v>
      </c>
    </row>
    <row r="6" spans="1:12" ht="15.75" thickBot="1" x14ac:dyDescent="0.3">
      <c r="A6" s="858" t="s">
        <v>368</v>
      </c>
      <c r="B6" s="859"/>
      <c r="C6" s="859"/>
      <c r="D6" s="859"/>
      <c r="E6" s="860"/>
      <c r="F6" s="174">
        <f>'[2]BÉR+JÁR'!B19</f>
        <v>300000</v>
      </c>
      <c r="G6" s="174">
        <v>0</v>
      </c>
      <c r="H6" s="174">
        <f>G6+F6</f>
        <v>300000</v>
      </c>
      <c r="I6" s="174">
        <f t="shared" si="0"/>
        <v>300000</v>
      </c>
    </row>
    <row r="7" spans="1:12" ht="15.75" thickBot="1" x14ac:dyDescent="0.3">
      <c r="A7" s="858" t="s">
        <v>369</v>
      </c>
      <c r="B7" s="859"/>
      <c r="C7" s="859"/>
      <c r="D7" s="859"/>
      <c r="E7" s="860"/>
      <c r="F7" s="174">
        <f>'[2]BÉR+JÁR'!B18</f>
        <v>288000</v>
      </c>
      <c r="G7" s="174">
        <v>0</v>
      </c>
      <c r="H7" s="174">
        <f>G7+F7</f>
        <v>288000</v>
      </c>
      <c r="I7" s="174">
        <f t="shared" si="0"/>
        <v>288000</v>
      </c>
    </row>
    <row r="8" spans="1:12" ht="15.75" thickBot="1" x14ac:dyDescent="0.3">
      <c r="A8" s="837" t="s">
        <v>370</v>
      </c>
      <c r="B8" s="838"/>
      <c r="C8" s="838"/>
      <c r="D8" s="838"/>
      <c r="E8" s="839"/>
      <c r="F8" s="174">
        <f>'[2]BÉR+JÁR'!B20</f>
        <v>90000</v>
      </c>
      <c r="G8" s="174"/>
      <c r="H8" s="174">
        <f>G8+F8</f>
        <v>90000</v>
      </c>
      <c r="I8" s="174">
        <f t="shared" si="0"/>
        <v>90000</v>
      </c>
    </row>
    <row r="9" spans="1:12" ht="15.75" thickBot="1" x14ac:dyDescent="0.3">
      <c r="A9" s="858" t="s">
        <v>371</v>
      </c>
      <c r="B9" s="859"/>
      <c r="C9" s="859"/>
      <c r="D9" s="859"/>
      <c r="E9" s="860"/>
      <c r="F9" s="174">
        <f>'[2]BÉR+JÁR'!B21</f>
        <v>90720</v>
      </c>
      <c r="G9" s="174">
        <v>0</v>
      </c>
      <c r="H9" s="174">
        <f>G9+F9</f>
        <v>90720</v>
      </c>
      <c r="I9" s="174">
        <f t="shared" si="0"/>
        <v>90720</v>
      </c>
    </row>
    <row r="10" spans="1:12" s="403" customFormat="1" ht="19.5" thickBot="1" x14ac:dyDescent="0.35">
      <c r="A10" s="846" t="s">
        <v>372</v>
      </c>
      <c r="B10" s="847"/>
      <c r="C10" s="847"/>
      <c r="D10" s="847"/>
      <c r="E10" s="848"/>
      <c r="F10" s="407">
        <f>F5+F6+F7+F8+F9</f>
        <v>7595300</v>
      </c>
      <c r="G10" s="407">
        <v>0</v>
      </c>
      <c r="H10" s="407">
        <f>F10+G10</f>
        <v>7595300</v>
      </c>
      <c r="I10" s="174">
        <f t="shared" si="0"/>
        <v>7595300</v>
      </c>
      <c r="L10" s="413"/>
    </row>
    <row r="11" spans="1:12" s="408" customFormat="1" ht="15.75" thickBot="1" x14ac:dyDescent="0.3">
      <c r="A11" s="837" t="s">
        <v>426</v>
      </c>
      <c r="B11" s="838"/>
      <c r="C11" s="838"/>
      <c r="D11" s="838"/>
      <c r="E11" s="839"/>
      <c r="F11" s="174">
        <v>18000</v>
      </c>
      <c r="G11" s="174">
        <v>0</v>
      </c>
      <c r="H11" s="174">
        <f>F11+G11</f>
        <v>18000</v>
      </c>
      <c r="I11" s="174">
        <v>18000</v>
      </c>
    </row>
    <row r="12" spans="1:12" s="403" customFormat="1" ht="15.75" thickBot="1" x14ac:dyDescent="0.3">
      <c r="A12" s="840" t="s">
        <v>378</v>
      </c>
      <c r="B12" s="841"/>
      <c r="C12" s="841"/>
      <c r="D12" s="841"/>
      <c r="E12" s="842"/>
      <c r="F12" s="407">
        <f>F11</f>
        <v>18000</v>
      </c>
      <c r="G12" s="407">
        <f>G11</f>
        <v>0</v>
      </c>
      <c r="H12" s="407">
        <f>H11</f>
        <v>18000</v>
      </c>
      <c r="I12" s="407">
        <f>I11</f>
        <v>18000</v>
      </c>
    </row>
    <row r="13" spans="1:12" s="411" customFormat="1" ht="16.5" thickBot="1" x14ac:dyDescent="0.3">
      <c r="A13" s="852" t="s">
        <v>379</v>
      </c>
      <c r="B13" s="853"/>
      <c r="C13" s="853"/>
      <c r="D13" s="853"/>
      <c r="E13" s="854"/>
      <c r="F13" s="410">
        <f>F10+F12</f>
        <v>7613300</v>
      </c>
      <c r="G13" s="410">
        <f>G10+G12</f>
        <v>0</v>
      </c>
      <c r="H13" s="410">
        <f>H10+H12</f>
        <v>7613300</v>
      </c>
      <c r="I13" s="410">
        <f>I10+I12</f>
        <v>7613300</v>
      </c>
    </row>
    <row r="14" spans="1:12" s="411" customFormat="1" ht="16.5" thickBot="1" x14ac:dyDescent="0.3">
      <c r="A14" s="855" t="s">
        <v>380</v>
      </c>
      <c r="B14" s="856"/>
      <c r="C14" s="856"/>
      <c r="D14" s="856"/>
      <c r="E14" s="857"/>
      <c r="F14" s="410">
        <f>'[2]BÉR+JÁR'!B28+10000</f>
        <v>1949122.6</v>
      </c>
      <c r="G14" s="410">
        <f>'[3]bér+járulék'!E42</f>
        <v>0</v>
      </c>
      <c r="H14" s="410">
        <f>F14+G14</f>
        <v>1949122.6</v>
      </c>
      <c r="I14" s="410">
        <v>1949125</v>
      </c>
    </row>
    <row r="15" spans="1:12" ht="15.75" thickBot="1" x14ac:dyDescent="0.3">
      <c r="A15" s="858" t="s">
        <v>427</v>
      </c>
      <c r="B15" s="859"/>
      <c r="C15" s="859"/>
      <c r="D15" s="859"/>
      <c r="E15" s="860"/>
      <c r="F15" s="174">
        <v>23000</v>
      </c>
      <c r="G15" s="174">
        <f>F15*5%</f>
        <v>1150</v>
      </c>
      <c r="H15" s="174">
        <f>F15+G15</f>
        <v>24150</v>
      </c>
      <c r="I15" s="174">
        <v>24150</v>
      </c>
    </row>
    <row r="16" spans="1:12" ht="15.75" thickBot="1" x14ac:dyDescent="0.3">
      <c r="A16" s="837" t="s">
        <v>382</v>
      </c>
      <c r="B16" s="838"/>
      <c r="C16" s="838"/>
      <c r="D16" s="838"/>
      <c r="E16" s="839"/>
      <c r="F16" s="174">
        <v>393700</v>
      </c>
      <c r="G16" s="174">
        <f>F16*27%</f>
        <v>106299</v>
      </c>
      <c r="H16" s="174">
        <f>F16+G16</f>
        <v>499999</v>
      </c>
      <c r="I16" s="174">
        <v>500000</v>
      </c>
    </row>
    <row r="17" spans="1:9" ht="15.75" thickBot="1" x14ac:dyDescent="0.3">
      <c r="A17" s="846" t="s">
        <v>383</v>
      </c>
      <c r="B17" s="847"/>
      <c r="C17" s="847"/>
      <c r="D17" s="847"/>
      <c r="E17" s="848"/>
      <c r="F17" s="407">
        <f>F16+F15</f>
        <v>416700</v>
      </c>
      <c r="G17" s="407">
        <f>G16+G15</f>
        <v>107449</v>
      </c>
      <c r="H17" s="407">
        <f>H16+H15</f>
        <v>524149</v>
      </c>
      <c r="I17" s="407">
        <f>I16+I15</f>
        <v>524150</v>
      </c>
    </row>
    <row r="18" spans="1:9" ht="15.75" thickBot="1" x14ac:dyDescent="0.3">
      <c r="A18" s="849" t="s">
        <v>384</v>
      </c>
      <c r="B18" s="850"/>
      <c r="C18" s="850"/>
      <c r="D18" s="850"/>
      <c r="E18" s="851"/>
      <c r="F18" s="409">
        <v>50000</v>
      </c>
      <c r="G18" s="409">
        <f>F18*27%</f>
        <v>13500</v>
      </c>
      <c r="H18" s="409">
        <f>F18+G18</f>
        <v>63500</v>
      </c>
      <c r="I18" s="174">
        <f>H18</f>
        <v>63500</v>
      </c>
    </row>
    <row r="19" spans="1:9" ht="15.75" thickBot="1" x14ac:dyDescent="0.3">
      <c r="A19" s="849" t="s">
        <v>385</v>
      </c>
      <c r="B19" s="850"/>
      <c r="C19" s="850"/>
      <c r="D19" s="850"/>
      <c r="E19" s="851"/>
      <c r="F19" s="409">
        <v>30000</v>
      </c>
      <c r="G19" s="409">
        <f>F19*27%</f>
        <v>8100.0000000000009</v>
      </c>
      <c r="H19" s="409">
        <f>F19+G19</f>
        <v>38100</v>
      </c>
      <c r="I19" s="174">
        <f>H19</f>
        <v>38100</v>
      </c>
    </row>
    <row r="20" spans="1:9" ht="15.75" thickBot="1" x14ac:dyDescent="0.3">
      <c r="A20" s="843" t="s">
        <v>386</v>
      </c>
      <c r="B20" s="844"/>
      <c r="C20" s="844"/>
      <c r="D20" s="844"/>
      <c r="E20" s="845"/>
      <c r="F20" s="409">
        <v>60000</v>
      </c>
      <c r="G20" s="409">
        <f>F20*27%</f>
        <v>16200.000000000002</v>
      </c>
      <c r="H20" s="409">
        <f>F20+G20</f>
        <v>76200</v>
      </c>
      <c r="I20" s="174">
        <v>76200</v>
      </c>
    </row>
    <row r="21" spans="1:9" ht="15.75" thickBot="1" x14ac:dyDescent="0.3">
      <c r="A21" s="843" t="s">
        <v>428</v>
      </c>
      <c r="B21" s="844"/>
      <c r="C21" s="844"/>
      <c r="D21" s="844"/>
      <c r="E21" s="845"/>
      <c r="F21" s="409">
        <v>30000</v>
      </c>
      <c r="G21" s="409">
        <f>F21*27%</f>
        <v>8100.0000000000009</v>
      </c>
      <c r="H21" s="409">
        <f>F21+G21</f>
        <v>38100</v>
      </c>
      <c r="I21" s="174">
        <v>38100</v>
      </c>
    </row>
    <row r="22" spans="1:9" s="403" customFormat="1" ht="15.75" thickBot="1" x14ac:dyDescent="0.3">
      <c r="A22" s="846" t="s">
        <v>389</v>
      </c>
      <c r="B22" s="847"/>
      <c r="C22" s="847"/>
      <c r="D22" s="847"/>
      <c r="E22" s="848"/>
      <c r="F22" s="407">
        <f>F18+F19+F20+F21</f>
        <v>170000</v>
      </c>
      <c r="G22" s="407">
        <f>G18+G19+G20+G21</f>
        <v>45900</v>
      </c>
      <c r="H22" s="407">
        <f>H18+H19+H20+H21</f>
        <v>215900</v>
      </c>
      <c r="I22" s="407">
        <f>I18+I19+I20+I21</f>
        <v>215900</v>
      </c>
    </row>
    <row r="23" spans="1:9" s="403" customFormat="1" ht="15.75" thickBot="1" x14ac:dyDescent="0.3">
      <c r="A23" s="846" t="s">
        <v>390</v>
      </c>
      <c r="B23" s="847"/>
      <c r="C23" s="847"/>
      <c r="D23" s="847"/>
      <c r="E23" s="848"/>
      <c r="F23" s="407">
        <f>F22+F17</f>
        <v>586700</v>
      </c>
      <c r="G23" s="407">
        <f>G22+G17</f>
        <v>153349</v>
      </c>
      <c r="H23" s="407">
        <f>H22+H17</f>
        <v>740049</v>
      </c>
      <c r="I23" s="407">
        <f>I17+I22</f>
        <v>740050</v>
      </c>
    </row>
    <row r="24" spans="1:9" ht="15.75" thickBot="1" x14ac:dyDescent="0.3">
      <c r="A24" s="849" t="s">
        <v>395</v>
      </c>
      <c r="B24" s="850"/>
      <c r="C24" s="850"/>
      <c r="D24" s="850"/>
      <c r="E24" s="851"/>
      <c r="F24" s="409">
        <v>74760</v>
      </c>
      <c r="G24" s="409">
        <f>F24*27%</f>
        <v>20185.2</v>
      </c>
      <c r="H24" s="409">
        <f>F24+G24</f>
        <v>94945.2</v>
      </c>
      <c r="I24" s="407">
        <f>H24</f>
        <v>94945.2</v>
      </c>
    </row>
    <row r="25" spans="1:9" s="403" customFormat="1" ht="15.75" thickBot="1" x14ac:dyDescent="0.3">
      <c r="A25" s="846" t="s">
        <v>396</v>
      </c>
      <c r="B25" s="847"/>
      <c r="C25" s="847"/>
      <c r="D25" s="847"/>
      <c r="E25" s="848"/>
      <c r="F25" s="407">
        <f>F24</f>
        <v>74760</v>
      </c>
      <c r="G25" s="407">
        <f>G24</f>
        <v>20185.2</v>
      </c>
      <c r="H25" s="407">
        <f>H24</f>
        <v>94945.2</v>
      </c>
      <c r="I25" s="407">
        <f>H25</f>
        <v>94945.2</v>
      </c>
    </row>
    <row r="26" spans="1:9" s="403" customFormat="1" ht="15.75" thickBot="1" x14ac:dyDescent="0.3">
      <c r="A26" s="846" t="s">
        <v>397</v>
      </c>
      <c r="B26" s="847"/>
      <c r="C26" s="847"/>
      <c r="D26" s="847"/>
      <c r="E26" s="848"/>
      <c r="F26" s="407">
        <f>F24</f>
        <v>74760</v>
      </c>
      <c r="G26" s="407">
        <f>G24</f>
        <v>20185.2</v>
      </c>
      <c r="H26" s="407">
        <f>H24</f>
        <v>94945.2</v>
      </c>
      <c r="I26" s="407">
        <f>I24</f>
        <v>94945.2</v>
      </c>
    </row>
    <row r="27" spans="1:9" s="408" customFormat="1" ht="15.75" thickBot="1" x14ac:dyDescent="0.3">
      <c r="A27" s="837" t="s">
        <v>398</v>
      </c>
      <c r="B27" s="838"/>
      <c r="C27" s="838"/>
      <c r="D27" s="838"/>
      <c r="E27" s="839"/>
      <c r="F27" s="174">
        <v>40000</v>
      </c>
      <c r="G27" s="174">
        <f>F27*27%</f>
        <v>10800</v>
      </c>
      <c r="H27" s="174">
        <f>F27+G27</f>
        <v>50800</v>
      </c>
      <c r="I27" s="174">
        <v>50800</v>
      </c>
    </row>
    <row r="28" spans="1:9" s="408" customFormat="1" ht="15.75" thickBot="1" x14ac:dyDescent="0.3">
      <c r="A28" s="837" t="s">
        <v>399</v>
      </c>
      <c r="B28" s="838"/>
      <c r="C28" s="838"/>
      <c r="D28" s="838"/>
      <c r="E28" s="839"/>
      <c r="F28" s="174">
        <v>220000</v>
      </c>
      <c r="G28" s="174">
        <f>F28*27%</f>
        <v>59400.000000000007</v>
      </c>
      <c r="H28" s="174">
        <f>F28+G28</f>
        <v>279400</v>
      </c>
      <c r="I28" s="174">
        <v>279400</v>
      </c>
    </row>
    <row r="29" spans="1:9" s="408" customFormat="1" ht="15.75" thickBot="1" x14ac:dyDescent="0.3">
      <c r="A29" s="837" t="s">
        <v>400</v>
      </c>
      <c r="B29" s="838"/>
      <c r="C29" s="838"/>
      <c r="D29" s="838"/>
      <c r="E29" s="839"/>
      <c r="F29" s="174">
        <v>130000</v>
      </c>
      <c r="G29" s="174">
        <f>F29*27%</f>
        <v>35100</v>
      </c>
      <c r="H29" s="174">
        <f>F29+G29</f>
        <v>165100</v>
      </c>
      <c r="I29" s="174">
        <v>165100</v>
      </c>
    </row>
    <row r="30" spans="1:9" s="403" customFormat="1" ht="15.75" thickBot="1" x14ac:dyDescent="0.3">
      <c r="A30" s="840" t="s">
        <v>401</v>
      </c>
      <c r="B30" s="841"/>
      <c r="C30" s="841"/>
      <c r="D30" s="841"/>
      <c r="E30" s="842"/>
      <c r="F30" s="407">
        <f>F27+F28+F29</f>
        <v>390000</v>
      </c>
      <c r="G30" s="407">
        <f>G27+G28+G29</f>
        <v>105300</v>
      </c>
      <c r="H30" s="407">
        <f>H27+H28+H29</f>
        <v>495300</v>
      </c>
      <c r="I30" s="407">
        <f>I27+I28+I29</f>
        <v>495300</v>
      </c>
    </row>
    <row r="31" spans="1:9" ht="15.75" thickBot="1" x14ac:dyDescent="0.3">
      <c r="A31" s="843" t="s">
        <v>402</v>
      </c>
      <c r="B31" s="844"/>
      <c r="C31" s="844"/>
      <c r="D31" s="844"/>
      <c r="E31" s="845"/>
      <c r="F31" s="409">
        <v>60000</v>
      </c>
      <c r="G31" s="409">
        <f>F31*27%</f>
        <v>16200.000000000002</v>
      </c>
      <c r="H31" s="409">
        <f>F31+G31</f>
        <v>76200</v>
      </c>
      <c r="I31" s="407">
        <f>H31</f>
        <v>76200</v>
      </c>
    </row>
    <row r="32" spans="1:9" ht="15.75" thickBot="1" x14ac:dyDescent="0.3">
      <c r="A32" s="843" t="s">
        <v>403</v>
      </c>
      <c r="B32" s="844"/>
      <c r="C32" s="844"/>
      <c r="D32" s="844"/>
      <c r="E32" s="845"/>
      <c r="F32" s="409">
        <v>20000</v>
      </c>
      <c r="G32" s="409">
        <f>F32*27%</f>
        <v>5400</v>
      </c>
      <c r="H32" s="409">
        <f>F32+G32</f>
        <v>25400</v>
      </c>
      <c r="I32" s="407">
        <v>25400</v>
      </c>
    </row>
    <row r="33" spans="1:9" s="403" customFormat="1" ht="15.75" thickBot="1" x14ac:dyDescent="0.3">
      <c r="A33" s="840" t="s">
        <v>404</v>
      </c>
      <c r="B33" s="841"/>
      <c r="C33" s="841"/>
      <c r="D33" s="841"/>
      <c r="E33" s="842"/>
      <c r="F33" s="407">
        <f>F32</f>
        <v>20000</v>
      </c>
      <c r="G33" s="407">
        <f>G32</f>
        <v>5400</v>
      </c>
      <c r="H33" s="407">
        <f>H32</f>
        <v>25400</v>
      </c>
      <c r="I33" s="407">
        <f>I32</f>
        <v>25400</v>
      </c>
    </row>
    <row r="34" spans="1:9" ht="15.75" thickBot="1" x14ac:dyDescent="0.3">
      <c r="A34" s="843" t="s">
        <v>405</v>
      </c>
      <c r="B34" s="844"/>
      <c r="C34" s="844"/>
      <c r="D34" s="844"/>
      <c r="E34" s="845"/>
      <c r="F34" s="409">
        <v>5000</v>
      </c>
      <c r="G34" s="409">
        <f>F34*27%</f>
        <v>1350</v>
      </c>
      <c r="H34" s="409">
        <f>F34+G34</f>
        <v>6350</v>
      </c>
      <c r="I34" s="407">
        <f>H34</f>
        <v>6350</v>
      </c>
    </row>
    <row r="35" spans="1:9" s="403" customFormat="1" ht="15.75" thickBot="1" x14ac:dyDescent="0.3">
      <c r="A35" s="840" t="s">
        <v>413</v>
      </c>
      <c r="B35" s="841"/>
      <c r="C35" s="841"/>
      <c r="D35" s="841"/>
      <c r="E35" s="842"/>
      <c r="F35" s="407">
        <f>F34</f>
        <v>5000</v>
      </c>
      <c r="G35" s="407">
        <f>G34</f>
        <v>1350</v>
      </c>
      <c r="H35" s="407">
        <f>H34</f>
        <v>6350</v>
      </c>
      <c r="I35" s="407">
        <f>I34</f>
        <v>6350</v>
      </c>
    </row>
    <row r="36" spans="1:9" s="403" customFormat="1" ht="15.75" thickBot="1" x14ac:dyDescent="0.3">
      <c r="A36" s="840" t="s">
        <v>414</v>
      </c>
      <c r="B36" s="841"/>
      <c r="C36" s="841"/>
      <c r="D36" s="841"/>
      <c r="E36" s="842"/>
      <c r="F36" s="407">
        <f>F30+F31+F33+F35</f>
        <v>475000</v>
      </c>
      <c r="G36" s="407">
        <f>G30+G31+G33+G35</f>
        <v>128250</v>
      </c>
      <c r="H36" s="407">
        <f>H30+H31+H33+H35</f>
        <v>603250</v>
      </c>
      <c r="I36" s="407">
        <f>I30+I31+I33+I35</f>
        <v>603250</v>
      </c>
    </row>
    <row r="37" spans="1:9" ht="15.75" thickBot="1" x14ac:dyDescent="0.3">
      <c r="A37" s="843" t="s">
        <v>415</v>
      </c>
      <c r="B37" s="844"/>
      <c r="C37" s="844"/>
      <c r="D37" s="844"/>
      <c r="E37" s="845"/>
      <c r="F37" s="409">
        <v>50000</v>
      </c>
      <c r="G37" s="409">
        <v>0</v>
      </c>
      <c r="H37" s="174">
        <f>F37+G37</f>
        <v>50000</v>
      </c>
      <c r="I37" s="407">
        <f>H37</f>
        <v>50000</v>
      </c>
    </row>
    <row r="38" spans="1:9" s="403" customFormat="1" ht="15.75" thickBot="1" x14ac:dyDescent="0.3">
      <c r="A38" s="840" t="s">
        <v>417</v>
      </c>
      <c r="B38" s="841"/>
      <c r="C38" s="841"/>
      <c r="D38" s="841"/>
      <c r="E38" s="842"/>
      <c r="F38" s="407">
        <f>F37</f>
        <v>50000</v>
      </c>
      <c r="G38" s="407">
        <f>G37</f>
        <v>0</v>
      </c>
      <c r="H38" s="407">
        <f>H37</f>
        <v>50000</v>
      </c>
      <c r="I38" s="407">
        <f>H38</f>
        <v>50000</v>
      </c>
    </row>
    <row r="39" spans="1:9" ht="15.75" thickBot="1" x14ac:dyDescent="0.3">
      <c r="A39" s="843" t="s">
        <v>418</v>
      </c>
      <c r="B39" s="844"/>
      <c r="C39" s="844"/>
      <c r="D39" s="844"/>
      <c r="E39" s="845"/>
      <c r="F39" s="409">
        <v>0</v>
      </c>
      <c r="G39" s="409">
        <f>G23+G26+G30+G31+G33+G35</f>
        <v>301784.2</v>
      </c>
      <c r="H39" s="409">
        <f>G39</f>
        <v>301784.2</v>
      </c>
      <c r="I39" s="409">
        <v>301785</v>
      </c>
    </row>
    <row r="40" spans="1:9" ht="15.75" thickBot="1" x14ac:dyDescent="0.3">
      <c r="A40" s="843" t="s">
        <v>421</v>
      </c>
      <c r="B40" s="844"/>
      <c r="C40" s="844"/>
      <c r="D40" s="844"/>
      <c r="E40" s="845"/>
      <c r="F40" s="409">
        <v>5000</v>
      </c>
      <c r="G40" s="409">
        <v>0</v>
      </c>
      <c r="H40" s="409">
        <f>F40+G40</f>
        <v>5000</v>
      </c>
      <c r="I40" s="407">
        <f>H40</f>
        <v>5000</v>
      </c>
    </row>
    <row r="41" spans="1:9" s="403" customFormat="1" ht="15.75" thickBot="1" x14ac:dyDescent="0.3">
      <c r="A41" s="840" t="s">
        <v>419</v>
      </c>
      <c r="B41" s="841"/>
      <c r="C41" s="841"/>
      <c r="D41" s="841"/>
      <c r="E41" s="842"/>
      <c r="F41" s="407">
        <f>F39+F40</f>
        <v>5000</v>
      </c>
      <c r="G41" s="407">
        <f>G39</f>
        <v>301784.2</v>
      </c>
      <c r="H41" s="407">
        <f>H39+H40</f>
        <v>306784.2</v>
      </c>
      <c r="I41" s="407">
        <v>246100</v>
      </c>
    </row>
    <row r="42" spans="1:9" s="403" customFormat="1" ht="15.75" thickBot="1" x14ac:dyDescent="0.3">
      <c r="A42" s="840" t="s">
        <v>420</v>
      </c>
      <c r="B42" s="841"/>
      <c r="C42" s="841"/>
      <c r="D42" s="841"/>
      <c r="E42" s="842"/>
      <c r="F42" s="407">
        <f>F17+F22+F25+F30+F31+F32+F35+F38+F40</f>
        <v>1191460</v>
      </c>
      <c r="G42" s="407">
        <f>G17+G22+G25+G30+G31+G32+G35+G38+G40</f>
        <v>301784.2</v>
      </c>
      <c r="H42" s="407">
        <f>F42+G42</f>
        <v>1493244.2</v>
      </c>
      <c r="I42" s="407">
        <v>1493245</v>
      </c>
    </row>
    <row r="43" spans="1:9" s="408" customFormat="1" ht="15.75" thickBot="1" x14ac:dyDescent="0.3">
      <c r="A43" s="837" t="s">
        <v>179</v>
      </c>
      <c r="B43" s="838"/>
      <c r="C43" s="838"/>
      <c r="D43" s="838"/>
      <c r="E43" s="839"/>
      <c r="F43" s="174">
        <v>50000</v>
      </c>
      <c r="G43" s="174">
        <f t="shared" ref="G43:G48" si="1">F43*27%</f>
        <v>13500</v>
      </c>
      <c r="H43" s="174">
        <f>F43+G43</f>
        <v>63500</v>
      </c>
      <c r="I43" s="174">
        <v>63500</v>
      </c>
    </row>
    <row r="44" spans="1:9" s="408" customFormat="1" ht="15.75" thickBot="1" x14ac:dyDescent="0.3">
      <c r="A44" s="837" t="s">
        <v>180</v>
      </c>
      <c r="B44" s="838"/>
      <c r="C44" s="838"/>
      <c r="D44" s="838"/>
      <c r="E44" s="839"/>
      <c r="F44" s="174">
        <v>20000</v>
      </c>
      <c r="G44" s="174">
        <f t="shared" si="1"/>
        <v>5400</v>
      </c>
      <c r="H44" s="174">
        <f t="shared" ref="H44:H49" si="2">F44+G44</f>
        <v>25400</v>
      </c>
      <c r="I44" s="174">
        <v>25400</v>
      </c>
    </row>
    <row r="45" spans="1:9" s="408" customFormat="1" ht="15.75" thickBot="1" x14ac:dyDescent="0.3">
      <c r="A45" s="837" t="s">
        <v>168</v>
      </c>
      <c r="B45" s="838"/>
      <c r="C45" s="838"/>
      <c r="D45" s="838"/>
      <c r="E45" s="839"/>
      <c r="F45" s="174">
        <v>12000</v>
      </c>
      <c r="G45" s="174">
        <f t="shared" si="1"/>
        <v>3240</v>
      </c>
      <c r="H45" s="174">
        <f t="shared" si="2"/>
        <v>15240</v>
      </c>
      <c r="I45" s="174">
        <v>15240</v>
      </c>
    </row>
    <row r="46" spans="1:9" s="408" customFormat="1" ht="15.75" thickBot="1" x14ac:dyDescent="0.3">
      <c r="A46" s="837" t="s">
        <v>181</v>
      </c>
      <c r="B46" s="838"/>
      <c r="C46" s="838"/>
      <c r="D46" s="838"/>
      <c r="E46" s="839"/>
      <c r="F46" s="174">
        <v>50000</v>
      </c>
      <c r="G46" s="174">
        <f t="shared" si="1"/>
        <v>13500</v>
      </c>
      <c r="H46" s="174">
        <f t="shared" si="2"/>
        <v>63500</v>
      </c>
      <c r="I46" s="174">
        <v>63500</v>
      </c>
    </row>
    <row r="47" spans="1:9" s="408" customFormat="1" ht="15.75" thickBot="1" x14ac:dyDescent="0.3">
      <c r="A47" s="837" t="s">
        <v>182</v>
      </c>
      <c r="B47" s="838"/>
      <c r="C47" s="838"/>
      <c r="D47" s="838"/>
      <c r="E47" s="839"/>
      <c r="F47" s="174">
        <v>80000</v>
      </c>
      <c r="G47" s="174">
        <f t="shared" si="1"/>
        <v>21600</v>
      </c>
      <c r="H47" s="174">
        <f t="shared" si="2"/>
        <v>101600</v>
      </c>
      <c r="I47" s="174">
        <v>101600</v>
      </c>
    </row>
    <row r="48" spans="1:9" s="403" customFormat="1" ht="15.75" thickBot="1" x14ac:dyDescent="0.3">
      <c r="A48" s="840" t="s">
        <v>422</v>
      </c>
      <c r="B48" s="841"/>
      <c r="C48" s="841"/>
      <c r="D48" s="841"/>
      <c r="E48" s="842"/>
      <c r="F48" s="407">
        <f>F43+F44+F45+F46+F47</f>
        <v>212000</v>
      </c>
      <c r="G48" s="407">
        <f t="shared" si="1"/>
        <v>57240.000000000007</v>
      </c>
      <c r="H48" s="407">
        <f t="shared" si="2"/>
        <v>269240</v>
      </c>
      <c r="I48" s="407">
        <v>269240</v>
      </c>
    </row>
    <row r="49" spans="1:9" s="403" customFormat="1" ht="15.75" thickBot="1" x14ac:dyDescent="0.3">
      <c r="A49" s="840" t="s">
        <v>423</v>
      </c>
      <c r="B49" s="841"/>
      <c r="C49" s="841"/>
      <c r="D49" s="841"/>
      <c r="E49" s="842"/>
      <c r="F49" s="407"/>
      <c r="G49" s="407">
        <f>G48</f>
        <v>57240.000000000007</v>
      </c>
      <c r="H49" s="407">
        <f t="shared" si="2"/>
        <v>57240.000000000007</v>
      </c>
      <c r="I49" s="407">
        <v>57240</v>
      </c>
    </row>
    <row r="50" spans="1:9" s="413" customFormat="1" ht="19.5" thickBot="1" x14ac:dyDescent="0.35">
      <c r="A50" s="834" t="s">
        <v>424</v>
      </c>
      <c r="B50" s="835"/>
      <c r="C50" s="835"/>
      <c r="D50" s="835"/>
      <c r="E50" s="836"/>
      <c r="F50" s="412">
        <f>F48+F42+F14+F13</f>
        <v>10965882.6</v>
      </c>
      <c r="G50" s="412">
        <f>G48+G42+G14+G13</f>
        <v>359024.2</v>
      </c>
      <c r="H50" s="412">
        <f>H48+H42+H14+H13</f>
        <v>11324906.800000001</v>
      </c>
      <c r="I50" s="412">
        <f>I48+I42+I14+I13</f>
        <v>11324910</v>
      </c>
    </row>
  </sheetData>
  <mergeCells count="48">
    <mergeCell ref="A25:E25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15:E15"/>
    <mergeCell ref="A16:E16"/>
    <mergeCell ref="A17:E17"/>
    <mergeCell ref="A18:E18"/>
    <mergeCell ref="A19:E19"/>
    <mergeCell ref="A34:E34"/>
    <mergeCell ref="A35:E35"/>
    <mergeCell ref="A36:E36"/>
    <mergeCell ref="A37:E37"/>
    <mergeCell ref="A26:E26"/>
    <mergeCell ref="A29:E29"/>
    <mergeCell ref="A30:E30"/>
    <mergeCell ref="A31:E31"/>
    <mergeCell ref="A32:E32"/>
    <mergeCell ref="A33:E33"/>
    <mergeCell ref="C2:H2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38:E38"/>
    <mergeCell ref="A27:E27"/>
    <mergeCell ref="A28:E2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4" workbookViewId="0">
      <selection activeCell="G59" sqref="G59"/>
    </sheetView>
  </sheetViews>
  <sheetFormatPr defaultRowHeight="15" x14ac:dyDescent="0.25"/>
  <cols>
    <col min="5" max="5" width="13" customWidth="1"/>
    <col min="6" max="6" width="14.42578125" style="402" customWidth="1"/>
    <col min="7" max="7" width="10.42578125" style="402" bestFit="1" customWidth="1"/>
    <col min="8" max="8" width="15.85546875" bestFit="1" customWidth="1"/>
    <col min="9" max="9" width="14" style="402" bestFit="1" customWidth="1"/>
    <col min="261" max="261" width="13" customWidth="1"/>
    <col min="262" max="262" width="14.42578125" customWidth="1"/>
    <col min="263" max="263" width="10.42578125" bestFit="1" customWidth="1"/>
    <col min="264" max="264" width="15.85546875" bestFit="1" customWidth="1"/>
    <col min="265" max="265" width="14" bestFit="1" customWidth="1"/>
    <col min="517" max="517" width="13" customWidth="1"/>
    <col min="518" max="518" width="14.42578125" customWidth="1"/>
    <col min="519" max="519" width="10.42578125" bestFit="1" customWidth="1"/>
    <col min="520" max="520" width="15.85546875" bestFit="1" customWidth="1"/>
    <col min="521" max="521" width="14" bestFit="1" customWidth="1"/>
    <col min="773" max="773" width="13" customWidth="1"/>
    <col min="774" max="774" width="14.42578125" customWidth="1"/>
    <col min="775" max="775" width="10.42578125" bestFit="1" customWidth="1"/>
    <col min="776" max="776" width="15.85546875" bestFit="1" customWidth="1"/>
    <col min="777" max="777" width="14" bestFit="1" customWidth="1"/>
    <col min="1029" max="1029" width="13" customWidth="1"/>
    <col min="1030" max="1030" width="14.42578125" customWidth="1"/>
    <col min="1031" max="1031" width="10.42578125" bestFit="1" customWidth="1"/>
    <col min="1032" max="1032" width="15.85546875" bestFit="1" customWidth="1"/>
    <col min="1033" max="1033" width="14" bestFit="1" customWidth="1"/>
    <col min="1285" max="1285" width="13" customWidth="1"/>
    <col min="1286" max="1286" width="14.42578125" customWidth="1"/>
    <col min="1287" max="1287" width="10.42578125" bestFit="1" customWidth="1"/>
    <col min="1288" max="1288" width="15.85546875" bestFit="1" customWidth="1"/>
    <col min="1289" max="1289" width="14" bestFit="1" customWidth="1"/>
    <col min="1541" max="1541" width="13" customWidth="1"/>
    <col min="1542" max="1542" width="14.42578125" customWidth="1"/>
    <col min="1543" max="1543" width="10.42578125" bestFit="1" customWidth="1"/>
    <col min="1544" max="1544" width="15.85546875" bestFit="1" customWidth="1"/>
    <col min="1545" max="1545" width="14" bestFit="1" customWidth="1"/>
    <col min="1797" max="1797" width="13" customWidth="1"/>
    <col min="1798" max="1798" width="14.42578125" customWidth="1"/>
    <col min="1799" max="1799" width="10.42578125" bestFit="1" customWidth="1"/>
    <col min="1800" max="1800" width="15.85546875" bestFit="1" customWidth="1"/>
    <col min="1801" max="1801" width="14" bestFit="1" customWidth="1"/>
    <col min="2053" max="2053" width="13" customWidth="1"/>
    <col min="2054" max="2054" width="14.42578125" customWidth="1"/>
    <col min="2055" max="2055" width="10.42578125" bestFit="1" customWidth="1"/>
    <col min="2056" max="2056" width="15.85546875" bestFit="1" customWidth="1"/>
    <col min="2057" max="2057" width="14" bestFit="1" customWidth="1"/>
    <col min="2309" max="2309" width="13" customWidth="1"/>
    <col min="2310" max="2310" width="14.42578125" customWidth="1"/>
    <col min="2311" max="2311" width="10.42578125" bestFit="1" customWidth="1"/>
    <col min="2312" max="2312" width="15.85546875" bestFit="1" customWidth="1"/>
    <col min="2313" max="2313" width="14" bestFit="1" customWidth="1"/>
    <col min="2565" max="2565" width="13" customWidth="1"/>
    <col min="2566" max="2566" width="14.42578125" customWidth="1"/>
    <col min="2567" max="2567" width="10.42578125" bestFit="1" customWidth="1"/>
    <col min="2568" max="2568" width="15.85546875" bestFit="1" customWidth="1"/>
    <col min="2569" max="2569" width="14" bestFit="1" customWidth="1"/>
    <col min="2821" max="2821" width="13" customWidth="1"/>
    <col min="2822" max="2822" width="14.42578125" customWidth="1"/>
    <col min="2823" max="2823" width="10.42578125" bestFit="1" customWidth="1"/>
    <col min="2824" max="2824" width="15.85546875" bestFit="1" customWidth="1"/>
    <col min="2825" max="2825" width="14" bestFit="1" customWidth="1"/>
    <col min="3077" max="3077" width="13" customWidth="1"/>
    <col min="3078" max="3078" width="14.42578125" customWidth="1"/>
    <col min="3079" max="3079" width="10.42578125" bestFit="1" customWidth="1"/>
    <col min="3080" max="3080" width="15.85546875" bestFit="1" customWidth="1"/>
    <col min="3081" max="3081" width="14" bestFit="1" customWidth="1"/>
    <col min="3333" max="3333" width="13" customWidth="1"/>
    <col min="3334" max="3334" width="14.42578125" customWidth="1"/>
    <col min="3335" max="3335" width="10.42578125" bestFit="1" customWidth="1"/>
    <col min="3336" max="3336" width="15.85546875" bestFit="1" customWidth="1"/>
    <col min="3337" max="3337" width="14" bestFit="1" customWidth="1"/>
    <col min="3589" max="3589" width="13" customWidth="1"/>
    <col min="3590" max="3590" width="14.42578125" customWidth="1"/>
    <col min="3591" max="3591" width="10.42578125" bestFit="1" customWidth="1"/>
    <col min="3592" max="3592" width="15.85546875" bestFit="1" customWidth="1"/>
    <col min="3593" max="3593" width="14" bestFit="1" customWidth="1"/>
    <col min="3845" max="3845" width="13" customWidth="1"/>
    <col min="3846" max="3846" width="14.42578125" customWidth="1"/>
    <col min="3847" max="3847" width="10.42578125" bestFit="1" customWidth="1"/>
    <col min="3848" max="3848" width="15.85546875" bestFit="1" customWidth="1"/>
    <col min="3849" max="3849" width="14" bestFit="1" customWidth="1"/>
    <col min="4101" max="4101" width="13" customWidth="1"/>
    <col min="4102" max="4102" width="14.42578125" customWidth="1"/>
    <col min="4103" max="4103" width="10.42578125" bestFit="1" customWidth="1"/>
    <col min="4104" max="4104" width="15.85546875" bestFit="1" customWidth="1"/>
    <col min="4105" max="4105" width="14" bestFit="1" customWidth="1"/>
    <col min="4357" max="4357" width="13" customWidth="1"/>
    <col min="4358" max="4358" width="14.42578125" customWidth="1"/>
    <col min="4359" max="4359" width="10.42578125" bestFit="1" customWidth="1"/>
    <col min="4360" max="4360" width="15.85546875" bestFit="1" customWidth="1"/>
    <col min="4361" max="4361" width="14" bestFit="1" customWidth="1"/>
    <col min="4613" max="4613" width="13" customWidth="1"/>
    <col min="4614" max="4614" width="14.42578125" customWidth="1"/>
    <col min="4615" max="4615" width="10.42578125" bestFit="1" customWidth="1"/>
    <col min="4616" max="4616" width="15.85546875" bestFit="1" customWidth="1"/>
    <col min="4617" max="4617" width="14" bestFit="1" customWidth="1"/>
    <col min="4869" max="4869" width="13" customWidth="1"/>
    <col min="4870" max="4870" width="14.42578125" customWidth="1"/>
    <col min="4871" max="4871" width="10.42578125" bestFit="1" customWidth="1"/>
    <col min="4872" max="4872" width="15.85546875" bestFit="1" customWidth="1"/>
    <col min="4873" max="4873" width="14" bestFit="1" customWidth="1"/>
    <col min="5125" max="5125" width="13" customWidth="1"/>
    <col min="5126" max="5126" width="14.42578125" customWidth="1"/>
    <col min="5127" max="5127" width="10.42578125" bestFit="1" customWidth="1"/>
    <col min="5128" max="5128" width="15.85546875" bestFit="1" customWidth="1"/>
    <col min="5129" max="5129" width="14" bestFit="1" customWidth="1"/>
    <col min="5381" max="5381" width="13" customWidth="1"/>
    <col min="5382" max="5382" width="14.42578125" customWidth="1"/>
    <col min="5383" max="5383" width="10.42578125" bestFit="1" customWidth="1"/>
    <col min="5384" max="5384" width="15.85546875" bestFit="1" customWidth="1"/>
    <col min="5385" max="5385" width="14" bestFit="1" customWidth="1"/>
    <col min="5637" max="5637" width="13" customWidth="1"/>
    <col min="5638" max="5638" width="14.42578125" customWidth="1"/>
    <col min="5639" max="5639" width="10.42578125" bestFit="1" customWidth="1"/>
    <col min="5640" max="5640" width="15.85546875" bestFit="1" customWidth="1"/>
    <col min="5641" max="5641" width="14" bestFit="1" customWidth="1"/>
    <col min="5893" max="5893" width="13" customWidth="1"/>
    <col min="5894" max="5894" width="14.42578125" customWidth="1"/>
    <col min="5895" max="5895" width="10.42578125" bestFit="1" customWidth="1"/>
    <col min="5896" max="5896" width="15.85546875" bestFit="1" customWidth="1"/>
    <col min="5897" max="5897" width="14" bestFit="1" customWidth="1"/>
    <col min="6149" max="6149" width="13" customWidth="1"/>
    <col min="6150" max="6150" width="14.42578125" customWidth="1"/>
    <col min="6151" max="6151" width="10.42578125" bestFit="1" customWidth="1"/>
    <col min="6152" max="6152" width="15.85546875" bestFit="1" customWidth="1"/>
    <col min="6153" max="6153" width="14" bestFit="1" customWidth="1"/>
    <col min="6405" max="6405" width="13" customWidth="1"/>
    <col min="6406" max="6406" width="14.42578125" customWidth="1"/>
    <col min="6407" max="6407" width="10.42578125" bestFit="1" customWidth="1"/>
    <col min="6408" max="6408" width="15.85546875" bestFit="1" customWidth="1"/>
    <col min="6409" max="6409" width="14" bestFit="1" customWidth="1"/>
    <col min="6661" max="6661" width="13" customWidth="1"/>
    <col min="6662" max="6662" width="14.42578125" customWidth="1"/>
    <col min="6663" max="6663" width="10.42578125" bestFit="1" customWidth="1"/>
    <col min="6664" max="6664" width="15.85546875" bestFit="1" customWidth="1"/>
    <col min="6665" max="6665" width="14" bestFit="1" customWidth="1"/>
    <col min="6917" max="6917" width="13" customWidth="1"/>
    <col min="6918" max="6918" width="14.42578125" customWidth="1"/>
    <col min="6919" max="6919" width="10.42578125" bestFit="1" customWidth="1"/>
    <col min="6920" max="6920" width="15.85546875" bestFit="1" customWidth="1"/>
    <col min="6921" max="6921" width="14" bestFit="1" customWidth="1"/>
    <col min="7173" max="7173" width="13" customWidth="1"/>
    <col min="7174" max="7174" width="14.42578125" customWidth="1"/>
    <col min="7175" max="7175" width="10.42578125" bestFit="1" customWidth="1"/>
    <col min="7176" max="7176" width="15.85546875" bestFit="1" customWidth="1"/>
    <col min="7177" max="7177" width="14" bestFit="1" customWidth="1"/>
    <col min="7429" max="7429" width="13" customWidth="1"/>
    <col min="7430" max="7430" width="14.42578125" customWidth="1"/>
    <col min="7431" max="7431" width="10.42578125" bestFit="1" customWidth="1"/>
    <col min="7432" max="7432" width="15.85546875" bestFit="1" customWidth="1"/>
    <col min="7433" max="7433" width="14" bestFit="1" customWidth="1"/>
    <col min="7685" max="7685" width="13" customWidth="1"/>
    <col min="7686" max="7686" width="14.42578125" customWidth="1"/>
    <col min="7687" max="7687" width="10.42578125" bestFit="1" customWidth="1"/>
    <col min="7688" max="7688" width="15.85546875" bestFit="1" customWidth="1"/>
    <col min="7689" max="7689" width="14" bestFit="1" customWidth="1"/>
    <col min="7941" max="7941" width="13" customWidth="1"/>
    <col min="7942" max="7942" width="14.42578125" customWidth="1"/>
    <col min="7943" max="7943" width="10.42578125" bestFit="1" customWidth="1"/>
    <col min="7944" max="7944" width="15.85546875" bestFit="1" customWidth="1"/>
    <col min="7945" max="7945" width="14" bestFit="1" customWidth="1"/>
    <col min="8197" max="8197" width="13" customWidth="1"/>
    <col min="8198" max="8198" width="14.42578125" customWidth="1"/>
    <col min="8199" max="8199" width="10.42578125" bestFit="1" customWidth="1"/>
    <col min="8200" max="8200" width="15.85546875" bestFit="1" customWidth="1"/>
    <col min="8201" max="8201" width="14" bestFit="1" customWidth="1"/>
    <col min="8453" max="8453" width="13" customWidth="1"/>
    <col min="8454" max="8454" width="14.42578125" customWidth="1"/>
    <col min="8455" max="8455" width="10.42578125" bestFit="1" customWidth="1"/>
    <col min="8456" max="8456" width="15.85546875" bestFit="1" customWidth="1"/>
    <col min="8457" max="8457" width="14" bestFit="1" customWidth="1"/>
    <col min="8709" max="8709" width="13" customWidth="1"/>
    <col min="8710" max="8710" width="14.42578125" customWidth="1"/>
    <col min="8711" max="8711" width="10.42578125" bestFit="1" customWidth="1"/>
    <col min="8712" max="8712" width="15.85546875" bestFit="1" customWidth="1"/>
    <col min="8713" max="8713" width="14" bestFit="1" customWidth="1"/>
    <col min="8965" max="8965" width="13" customWidth="1"/>
    <col min="8966" max="8966" width="14.42578125" customWidth="1"/>
    <col min="8967" max="8967" width="10.42578125" bestFit="1" customWidth="1"/>
    <col min="8968" max="8968" width="15.85546875" bestFit="1" customWidth="1"/>
    <col min="8969" max="8969" width="14" bestFit="1" customWidth="1"/>
    <col min="9221" max="9221" width="13" customWidth="1"/>
    <col min="9222" max="9222" width="14.42578125" customWidth="1"/>
    <col min="9223" max="9223" width="10.42578125" bestFit="1" customWidth="1"/>
    <col min="9224" max="9224" width="15.85546875" bestFit="1" customWidth="1"/>
    <col min="9225" max="9225" width="14" bestFit="1" customWidth="1"/>
    <col min="9477" max="9477" width="13" customWidth="1"/>
    <col min="9478" max="9478" width="14.42578125" customWidth="1"/>
    <col min="9479" max="9479" width="10.42578125" bestFit="1" customWidth="1"/>
    <col min="9480" max="9480" width="15.85546875" bestFit="1" customWidth="1"/>
    <col min="9481" max="9481" width="14" bestFit="1" customWidth="1"/>
    <col min="9733" max="9733" width="13" customWidth="1"/>
    <col min="9734" max="9734" width="14.42578125" customWidth="1"/>
    <col min="9735" max="9735" width="10.42578125" bestFit="1" customWidth="1"/>
    <col min="9736" max="9736" width="15.85546875" bestFit="1" customWidth="1"/>
    <col min="9737" max="9737" width="14" bestFit="1" customWidth="1"/>
    <col min="9989" max="9989" width="13" customWidth="1"/>
    <col min="9990" max="9990" width="14.42578125" customWidth="1"/>
    <col min="9991" max="9991" width="10.42578125" bestFit="1" customWidth="1"/>
    <col min="9992" max="9992" width="15.85546875" bestFit="1" customWidth="1"/>
    <col min="9993" max="9993" width="14" bestFit="1" customWidth="1"/>
    <col min="10245" max="10245" width="13" customWidth="1"/>
    <col min="10246" max="10246" width="14.42578125" customWidth="1"/>
    <col min="10247" max="10247" width="10.42578125" bestFit="1" customWidth="1"/>
    <col min="10248" max="10248" width="15.85546875" bestFit="1" customWidth="1"/>
    <col min="10249" max="10249" width="14" bestFit="1" customWidth="1"/>
    <col min="10501" max="10501" width="13" customWidth="1"/>
    <col min="10502" max="10502" width="14.42578125" customWidth="1"/>
    <col min="10503" max="10503" width="10.42578125" bestFit="1" customWidth="1"/>
    <col min="10504" max="10504" width="15.85546875" bestFit="1" customWidth="1"/>
    <col min="10505" max="10505" width="14" bestFit="1" customWidth="1"/>
    <col min="10757" max="10757" width="13" customWidth="1"/>
    <col min="10758" max="10758" width="14.42578125" customWidth="1"/>
    <col min="10759" max="10759" width="10.42578125" bestFit="1" customWidth="1"/>
    <col min="10760" max="10760" width="15.85546875" bestFit="1" customWidth="1"/>
    <col min="10761" max="10761" width="14" bestFit="1" customWidth="1"/>
    <col min="11013" max="11013" width="13" customWidth="1"/>
    <col min="11014" max="11014" width="14.42578125" customWidth="1"/>
    <col min="11015" max="11015" width="10.42578125" bestFit="1" customWidth="1"/>
    <col min="11016" max="11016" width="15.85546875" bestFit="1" customWidth="1"/>
    <col min="11017" max="11017" width="14" bestFit="1" customWidth="1"/>
    <col min="11269" max="11269" width="13" customWidth="1"/>
    <col min="11270" max="11270" width="14.42578125" customWidth="1"/>
    <col min="11271" max="11271" width="10.42578125" bestFit="1" customWidth="1"/>
    <col min="11272" max="11272" width="15.85546875" bestFit="1" customWidth="1"/>
    <col min="11273" max="11273" width="14" bestFit="1" customWidth="1"/>
    <col min="11525" max="11525" width="13" customWidth="1"/>
    <col min="11526" max="11526" width="14.42578125" customWidth="1"/>
    <col min="11527" max="11527" width="10.42578125" bestFit="1" customWidth="1"/>
    <col min="11528" max="11528" width="15.85546875" bestFit="1" customWidth="1"/>
    <col min="11529" max="11529" width="14" bestFit="1" customWidth="1"/>
    <col min="11781" max="11781" width="13" customWidth="1"/>
    <col min="11782" max="11782" width="14.42578125" customWidth="1"/>
    <col min="11783" max="11783" width="10.42578125" bestFit="1" customWidth="1"/>
    <col min="11784" max="11784" width="15.85546875" bestFit="1" customWidth="1"/>
    <col min="11785" max="11785" width="14" bestFit="1" customWidth="1"/>
    <col min="12037" max="12037" width="13" customWidth="1"/>
    <col min="12038" max="12038" width="14.42578125" customWidth="1"/>
    <col min="12039" max="12039" width="10.42578125" bestFit="1" customWidth="1"/>
    <col min="12040" max="12040" width="15.85546875" bestFit="1" customWidth="1"/>
    <col min="12041" max="12041" width="14" bestFit="1" customWidth="1"/>
    <col min="12293" max="12293" width="13" customWidth="1"/>
    <col min="12294" max="12294" width="14.42578125" customWidth="1"/>
    <col min="12295" max="12295" width="10.42578125" bestFit="1" customWidth="1"/>
    <col min="12296" max="12296" width="15.85546875" bestFit="1" customWidth="1"/>
    <col min="12297" max="12297" width="14" bestFit="1" customWidth="1"/>
    <col min="12549" max="12549" width="13" customWidth="1"/>
    <col min="12550" max="12550" width="14.42578125" customWidth="1"/>
    <col min="12551" max="12551" width="10.42578125" bestFit="1" customWidth="1"/>
    <col min="12552" max="12552" width="15.85546875" bestFit="1" customWidth="1"/>
    <col min="12553" max="12553" width="14" bestFit="1" customWidth="1"/>
    <col min="12805" max="12805" width="13" customWidth="1"/>
    <col min="12806" max="12806" width="14.42578125" customWidth="1"/>
    <col min="12807" max="12807" width="10.42578125" bestFit="1" customWidth="1"/>
    <col min="12808" max="12808" width="15.85546875" bestFit="1" customWidth="1"/>
    <col min="12809" max="12809" width="14" bestFit="1" customWidth="1"/>
    <col min="13061" max="13061" width="13" customWidth="1"/>
    <col min="13062" max="13062" width="14.42578125" customWidth="1"/>
    <col min="13063" max="13063" width="10.42578125" bestFit="1" customWidth="1"/>
    <col min="13064" max="13064" width="15.85546875" bestFit="1" customWidth="1"/>
    <col min="13065" max="13065" width="14" bestFit="1" customWidth="1"/>
    <col min="13317" max="13317" width="13" customWidth="1"/>
    <col min="13318" max="13318" width="14.42578125" customWidth="1"/>
    <col min="13319" max="13319" width="10.42578125" bestFit="1" customWidth="1"/>
    <col min="13320" max="13320" width="15.85546875" bestFit="1" customWidth="1"/>
    <col min="13321" max="13321" width="14" bestFit="1" customWidth="1"/>
    <col min="13573" max="13573" width="13" customWidth="1"/>
    <col min="13574" max="13574" width="14.42578125" customWidth="1"/>
    <col min="13575" max="13575" width="10.42578125" bestFit="1" customWidth="1"/>
    <col min="13576" max="13576" width="15.85546875" bestFit="1" customWidth="1"/>
    <col min="13577" max="13577" width="14" bestFit="1" customWidth="1"/>
    <col min="13829" max="13829" width="13" customWidth="1"/>
    <col min="13830" max="13830" width="14.42578125" customWidth="1"/>
    <col min="13831" max="13831" width="10.42578125" bestFit="1" customWidth="1"/>
    <col min="13832" max="13832" width="15.85546875" bestFit="1" customWidth="1"/>
    <col min="13833" max="13833" width="14" bestFit="1" customWidth="1"/>
    <col min="14085" max="14085" width="13" customWidth="1"/>
    <col min="14086" max="14086" width="14.42578125" customWidth="1"/>
    <col min="14087" max="14087" width="10.42578125" bestFit="1" customWidth="1"/>
    <col min="14088" max="14088" width="15.85546875" bestFit="1" customWidth="1"/>
    <col min="14089" max="14089" width="14" bestFit="1" customWidth="1"/>
    <col min="14341" max="14341" width="13" customWidth="1"/>
    <col min="14342" max="14342" width="14.42578125" customWidth="1"/>
    <col min="14343" max="14343" width="10.42578125" bestFit="1" customWidth="1"/>
    <col min="14344" max="14344" width="15.85546875" bestFit="1" customWidth="1"/>
    <col min="14345" max="14345" width="14" bestFit="1" customWidth="1"/>
    <col min="14597" max="14597" width="13" customWidth="1"/>
    <col min="14598" max="14598" width="14.42578125" customWidth="1"/>
    <col min="14599" max="14599" width="10.42578125" bestFit="1" customWidth="1"/>
    <col min="14600" max="14600" width="15.85546875" bestFit="1" customWidth="1"/>
    <col min="14601" max="14601" width="14" bestFit="1" customWidth="1"/>
    <col min="14853" max="14853" width="13" customWidth="1"/>
    <col min="14854" max="14854" width="14.42578125" customWidth="1"/>
    <col min="14855" max="14855" width="10.42578125" bestFit="1" customWidth="1"/>
    <col min="14856" max="14856" width="15.85546875" bestFit="1" customWidth="1"/>
    <col min="14857" max="14857" width="14" bestFit="1" customWidth="1"/>
    <col min="15109" max="15109" width="13" customWidth="1"/>
    <col min="15110" max="15110" width="14.42578125" customWidth="1"/>
    <col min="15111" max="15111" width="10.42578125" bestFit="1" customWidth="1"/>
    <col min="15112" max="15112" width="15.85546875" bestFit="1" customWidth="1"/>
    <col min="15113" max="15113" width="14" bestFit="1" customWidth="1"/>
    <col min="15365" max="15365" width="13" customWidth="1"/>
    <col min="15366" max="15366" width="14.42578125" customWidth="1"/>
    <col min="15367" max="15367" width="10.42578125" bestFit="1" customWidth="1"/>
    <col min="15368" max="15368" width="15.85546875" bestFit="1" customWidth="1"/>
    <col min="15369" max="15369" width="14" bestFit="1" customWidth="1"/>
    <col min="15621" max="15621" width="13" customWidth="1"/>
    <col min="15622" max="15622" width="14.42578125" customWidth="1"/>
    <col min="15623" max="15623" width="10.42578125" bestFit="1" customWidth="1"/>
    <col min="15624" max="15624" width="15.85546875" bestFit="1" customWidth="1"/>
    <col min="15625" max="15625" width="14" bestFit="1" customWidth="1"/>
    <col min="15877" max="15877" width="13" customWidth="1"/>
    <col min="15878" max="15878" width="14.42578125" customWidth="1"/>
    <col min="15879" max="15879" width="10.42578125" bestFit="1" customWidth="1"/>
    <col min="15880" max="15880" width="15.85546875" bestFit="1" customWidth="1"/>
    <col min="15881" max="15881" width="14" bestFit="1" customWidth="1"/>
    <col min="16133" max="16133" width="13" customWidth="1"/>
    <col min="16134" max="16134" width="14.42578125" customWidth="1"/>
    <col min="16135" max="16135" width="10.42578125" bestFit="1" customWidth="1"/>
    <col min="16136" max="16136" width="15.85546875" bestFit="1" customWidth="1"/>
    <col min="16137" max="16137" width="14" bestFit="1" customWidth="1"/>
  </cols>
  <sheetData>
    <row r="1" spans="1:9" x14ac:dyDescent="0.25">
      <c r="I1" s="402" t="s">
        <v>429</v>
      </c>
    </row>
    <row r="2" spans="1:9" ht="18.75" x14ac:dyDescent="0.3">
      <c r="D2" s="863" t="s">
        <v>708</v>
      </c>
      <c r="E2" s="863"/>
      <c r="F2" s="863"/>
      <c r="G2" s="863"/>
      <c r="H2" s="863"/>
    </row>
    <row r="3" spans="1:9" ht="15.75" thickBot="1" x14ac:dyDescent="0.3"/>
    <row r="4" spans="1:9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9" ht="15.75" thickBot="1" x14ac:dyDescent="0.3">
      <c r="A5" s="858" t="s">
        <v>367</v>
      </c>
      <c r="B5" s="859"/>
      <c r="C5" s="859"/>
      <c r="D5" s="859"/>
      <c r="E5" s="860"/>
      <c r="F5" s="174">
        <f>'[2]BÉR+JÁR'!F15+'[2]BÉR+JÁR'!F16+'[2]BÉR+JÁR'!F17</f>
        <v>21865920</v>
      </c>
      <c r="G5" s="174">
        <v>0</v>
      </c>
      <c r="H5" s="174">
        <f>G5+F5</f>
        <v>21865920</v>
      </c>
      <c r="I5" s="174">
        <f t="shared" ref="I5:I10" si="0">H5</f>
        <v>21865920</v>
      </c>
    </row>
    <row r="6" spans="1:9" ht="15.75" thickBot="1" x14ac:dyDescent="0.3">
      <c r="A6" s="858" t="s">
        <v>368</v>
      </c>
      <c r="B6" s="859"/>
      <c r="C6" s="859"/>
      <c r="D6" s="859"/>
      <c r="E6" s="860"/>
      <c r="F6" s="174">
        <f>'[2]BÉR+JÁR'!F19</f>
        <v>600000</v>
      </c>
      <c r="G6" s="174">
        <v>0</v>
      </c>
      <c r="H6" s="174">
        <f>G6+F6</f>
        <v>600000</v>
      </c>
      <c r="I6" s="174">
        <f t="shared" si="0"/>
        <v>600000</v>
      </c>
    </row>
    <row r="7" spans="1:9" ht="15.75" thickBot="1" x14ac:dyDescent="0.3">
      <c r="A7" s="858" t="s">
        <v>369</v>
      </c>
      <c r="B7" s="859"/>
      <c r="C7" s="859"/>
      <c r="D7" s="859"/>
      <c r="E7" s="860"/>
      <c r="F7" s="174">
        <f>'[2]BÉR+JÁR'!F18</f>
        <v>576000</v>
      </c>
      <c r="G7" s="174">
        <v>0</v>
      </c>
      <c r="H7" s="174">
        <f>G7+F7</f>
        <v>576000</v>
      </c>
      <c r="I7" s="174">
        <f t="shared" si="0"/>
        <v>576000</v>
      </c>
    </row>
    <row r="8" spans="1:9" ht="15.75" thickBot="1" x14ac:dyDescent="0.3">
      <c r="A8" s="837" t="s">
        <v>370</v>
      </c>
      <c r="B8" s="838"/>
      <c r="C8" s="838"/>
      <c r="D8" s="838"/>
      <c r="E8" s="839"/>
      <c r="F8" s="174">
        <f>'[2]BÉR+JÁR'!F20</f>
        <v>120000</v>
      </c>
      <c r="G8" s="174"/>
      <c r="H8" s="174">
        <f>G8+F8</f>
        <v>120000</v>
      </c>
      <c r="I8" s="174">
        <f t="shared" si="0"/>
        <v>120000</v>
      </c>
    </row>
    <row r="9" spans="1:9" ht="15.75" thickBot="1" x14ac:dyDescent="0.3">
      <c r="A9" s="858" t="s">
        <v>371</v>
      </c>
      <c r="B9" s="859"/>
      <c r="C9" s="859"/>
      <c r="D9" s="859"/>
      <c r="E9" s="860"/>
      <c r="F9" s="174">
        <f>'[2]BÉR+JÁR'!F21</f>
        <v>170100</v>
      </c>
      <c r="G9" s="174">
        <v>0</v>
      </c>
      <c r="H9" s="174">
        <f>G9+F9</f>
        <v>170100</v>
      </c>
      <c r="I9" s="174">
        <f t="shared" si="0"/>
        <v>170100</v>
      </c>
    </row>
    <row r="10" spans="1:9" s="403" customFormat="1" ht="15.75" thickBot="1" x14ac:dyDescent="0.3">
      <c r="A10" s="846" t="s">
        <v>372</v>
      </c>
      <c r="B10" s="847"/>
      <c r="C10" s="847"/>
      <c r="D10" s="847"/>
      <c r="E10" s="848"/>
      <c r="F10" s="407">
        <f>F5+F6+F7+F8+F9</f>
        <v>23332020</v>
      </c>
      <c r="G10" s="407">
        <v>0</v>
      </c>
      <c r="H10" s="407">
        <f>F10+G10</f>
        <v>23332020</v>
      </c>
      <c r="I10" s="174">
        <f t="shared" si="0"/>
        <v>23332020</v>
      </c>
    </row>
    <row r="11" spans="1:9" s="408" customFormat="1" ht="15.75" thickBot="1" x14ac:dyDescent="0.3">
      <c r="A11" s="837" t="s">
        <v>373</v>
      </c>
      <c r="B11" s="838"/>
      <c r="C11" s="838"/>
      <c r="D11" s="838"/>
      <c r="E11" s="839"/>
      <c r="F11" s="174">
        <f>1500*50</f>
        <v>75000</v>
      </c>
      <c r="G11" s="174">
        <v>0</v>
      </c>
      <c r="H11" s="174">
        <f>F11+G11</f>
        <v>75000</v>
      </c>
      <c r="I11" s="174">
        <v>75000</v>
      </c>
    </row>
    <row r="12" spans="1:9" s="403" customFormat="1" ht="15.75" thickBot="1" x14ac:dyDescent="0.3">
      <c r="A12" s="840" t="s">
        <v>378</v>
      </c>
      <c r="B12" s="841"/>
      <c r="C12" s="841"/>
      <c r="D12" s="841"/>
      <c r="E12" s="842"/>
      <c r="F12" s="407">
        <f>F11</f>
        <v>75000</v>
      </c>
      <c r="G12" s="407">
        <f>G11</f>
        <v>0</v>
      </c>
      <c r="H12" s="407">
        <f>H11</f>
        <v>75000</v>
      </c>
      <c r="I12" s="407">
        <f>I11</f>
        <v>75000</v>
      </c>
    </row>
    <row r="13" spans="1:9" s="411" customFormat="1" ht="16.5" thickBot="1" x14ac:dyDescent="0.3">
      <c r="A13" s="852" t="s">
        <v>379</v>
      </c>
      <c r="B13" s="853"/>
      <c r="C13" s="853"/>
      <c r="D13" s="853"/>
      <c r="E13" s="854"/>
      <c r="F13" s="410">
        <f>F10+F12</f>
        <v>23407020</v>
      </c>
      <c r="G13" s="410">
        <f>G10+G12</f>
        <v>0</v>
      </c>
      <c r="H13" s="410">
        <f>H10+H12</f>
        <v>23407020</v>
      </c>
      <c r="I13" s="410">
        <f>I10+I12</f>
        <v>23407020</v>
      </c>
    </row>
    <row r="14" spans="1:9" s="411" customFormat="1" ht="16.5" thickBot="1" x14ac:dyDescent="0.3">
      <c r="A14" s="855" t="s">
        <v>380</v>
      </c>
      <c r="B14" s="856"/>
      <c r="C14" s="856"/>
      <c r="D14" s="856"/>
      <c r="E14" s="857"/>
      <c r="F14" s="410">
        <f>'[2]BÉR+JÁR'!F28</f>
        <v>5704324.2000000002</v>
      </c>
      <c r="G14" s="410">
        <f>'[3]bér+járulék'!E42</f>
        <v>0</v>
      </c>
      <c r="H14" s="410">
        <f>F14+G14</f>
        <v>5704324.2000000002</v>
      </c>
      <c r="I14" s="410">
        <v>5704325</v>
      </c>
    </row>
    <row r="15" spans="1:9" ht="15.75" thickBot="1" x14ac:dyDescent="0.3">
      <c r="A15" s="858" t="s">
        <v>381</v>
      </c>
      <c r="B15" s="859"/>
      <c r="C15" s="859"/>
      <c r="D15" s="859"/>
      <c r="E15" s="860"/>
      <c r="F15" s="174">
        <v>94000</v>
      </c>
      <c r="G15" s="174">
        <f>F15*5%</f>
        <v>4700</v>
      </c>
      <c r="H15" s="174">
        <f>F15+G15</f>
        <v>98700</v>
      </c>
      <c r="I15" s="174">
        <v>98700</v>
      </c>
    </row>
    <row r="16" spans="1:9" ht="15.75" thickBot="1" x14ac:dyDescent="0.3">
      <c r="A16" s="837" t="s">
        <v>382</v>
      </c>
      <c r="B16" s="838"/>
      <c r="C16" s="838"/>
      <c r="D16" s="838"/>
      <c r="E16" s="839"/>
      <c r="F16" s="174">
        <v>500000</v>
      </c>
      <c r="G16" s="174">
        <f>F16*27%</f>
        <v>135000</v>
      </c>
      <c r="H16" s="174">
        <f>F16+G16</f>
        <v>635000</v>
      </c>
      <c r="I16" s="174">
        <v>635000</v>
      </c>
    </row>
    <row r="17" spans="1:9" ht="15.75" thickBot="1" x14ac:dyDescent="0.3">
      <c r="A17" s="846" t="s">
        <v>383</v>
      </c>
      <c r="B17" s="847"/>
      <c r="C17" s="847"/>
      <c r="D17" s="847"/>
      <c r="E17" s="848"/>
      <c r="F17" s="407">
        <f>F16+F15</f>
        <v>594000</v>
      </c>
      <c r="G17" s="407">
        <f>G16+G15</f>
        <v>139700</v>
      </c>
      <c r="H17" s="407">
        <f>H16+H15</f>
        <v>733700</v>
      </c>
      <c r="I17" s="407">
        <f>I16+I15</f>
        <v>733700</v>
      </c>
    </row>
    <row r="18" spans="1:9" ht="15.75" thickBot="1" x14ac:dyDescent="0.3">
      <c r="A18" s="849" t="s">
        <v>384</v>
      </c>
      <c r="B18" s="850"/>
      <c r="C18" s="850"/>
      <c r="D18" s="850"/>
      <c r="E18" s="851"/>
      <c r="F18" s="409">
        <v>50000</v>
      </c>
      <c r="G18" s="409">
        <f>F18*27%</f>
        <v>13500</v>
      </c>
      <c r="H18" s="409">
        <f>F18+G18</f>
        <v>63500</v>
      </c>
      <c r="I18" s="174">
        <f>H18</f>
        <v>63500</v>
      </c>
    </row>
    <row r="19" spans="1:9" ht="15.75" thickBot="1" x14ac:dyDescent="0.3">
      <c r="A19" s="849" t="s">
        <v>385</v>
      </c>
      <c r="B19" s="850"/>
      <c r="C19" s="850"/>
      <c r="D19" s="850"/>
      <c r="E19" s="851"/>
      <c r="F19" s="409">
        <v>50000</v>
      </c>
      <c r="G19" s="409">
        <f>F19*27%</f>
        <v>13500</v>
      </c>
      <c r="H19" s="409">
        <f>F19+G19</f>
        <v>63500</v>
      </c>
      <c r="I19" s="174">
        <f>H19</f>
        <v>63500</v>
      </c>
    </row>
    <row r="20" spans="1:9" ht="15.75" thickBot="1" x14ac:dyDescent="0.3">
      <c r="A20" s="843" t="s">
        <v>386</v>
      </c>
      <c r="B20" s="844"/>
      <c r="C20" s="844"/>
      <c r="D20" s="844"/>
      <c r="E20" s="845"/>
      <c r="F20" s="409">
        <v>150000</v>
      </c>
      <c r="G20" s="409">
        <f>F20*27%</f>
        <v>40500</v>
      </c>
      <c r="H20" s="409">
        <f>F20+G20</f>
        <v>190500</v>
      </c>
      <c r="I20" s="174">
        <v>190500</v>
      </c>
    </row>
    <row r="21" spans="1:9" ht="15.75" thickBot="1" x14ac:dyDescent="0.3">
      <c r="A21" s="843" t="s">
        <v>387</v>
      </c>
      <c r="B21" s="844"/>
      <c r="C21" s="844"/>
      <c r="D21" s="844"/>
      <c r="E21" s="845"/>
      <c r="F21" s="409">
        <v>100000</v>
      </c>
      <c r="G21" s="409">
        <f>F21*27%</f>
        <v>27000</v>
      </c>
      <c r="H21" s="409">
        <f>F21+G21</f>
        <v>127000</v>
      </c>
      <c r="I21" s="174">
        <v>127000</v>
      </c>
    </row>
    <row r="22" spans="1:9" s="403" customFormat="1" ht="15.75" thickBot="1" x14ac:dyDescent="0.3">
      <c r="A22" s="846" t="s">
        <v>389</v>
      </c>
      <c r="B22" s="847"/>
      <c r="C22" s="847"/>
      <c r="D22" s="847"/>
      <c r="E22" s="848"/>
      <c r="F22" s="407">
        <f>F18+F19+F20+F21</f>
        <v>350000</v>
      </c>
      <c r="G22" s="407">
        <f>G18+G19+G20+G21</f>
        <v>94500</v>
      </c>
      <c r="H22" s="407">
        <f>H18+H19+H20+H21</f>
        <v>444500</v>
      </c>
      <c r="I22" s="407">
        <f>I18+I19+I20+I21</f>
        <v>444500</v>
      </c>
    </row>
    <row r="23" spans="1:9" s="403" customFormat="1" ht="15.75" thickBot="1" x14ac:dyDescent="0.3">
      <c r="A23" s="846" t="s">
        <v>390</v>
      </c>
      <c r="B23" s="847"/>
      <c r="C23" s="847"/>
      <c r="D23" s="847"/>
      <c r="E23" s="848"/>
      <c r="F23" s="407">
        <f>F22+F17</f>
        <v>944000</v>
      </c>
      <c r="G23" s="407">
        <f>G22+G17</f>
        <v>234200</v>
      </c>
      <c r="H23" s="407">
        <f>H22+H17</f>
        <v>1178200</v>
      </c>
      <c r="I23" s="407">
        <f>I17+I22</f>
        <v>1178200</v>
      </c>
    </row>
    <row r="24" spans="1:9" s="403" customFormat="1" ht="15.75" thickBot="1" x14ac:dyDescent="0.3">
      <c r="A24" s="849" t="s">
        <v>393</v>
      </c>
      <c r="B24" s="850"/>
      <c r="C24" s="850"/>
      <c r="D24" s="850"/>
      <c r="E24" s="851"/>
      <c r="F24" s="409">
        <f>5565*12</f>
        <v>66780</v>
      </c>
      <c r="G24" s="409">
        <f>F24*5%</f>
        <v>3339</v>
      </c>
      <c r="H24" s="409">
        <f>F24+G24</f>
        <v>70119</v>
      </c>
      <c r="I24" s="409">
        <v>70120</v>
      </c>
    </row>
    <row r="25" spans="1:9" s="403" customFormat="1" ht="15.75" thickBot="1" x14ac:dyDescent="0.3">
      <c r="A25" s="846" t="s">
        <v>394</v>
      </c>
      <c r="B25" s="847"/>
      <c r="C25" s="847"/>
      <c r="D25" s="847"/>
      <c r="E25" s="848"/>
      <c r="F25" s="407">
        <f>F24</f>
        <v>66780</v>
      </c>
      <c r="G25" s="407">
        <f>G24</f>
        <v>3339</v>
      </c>
      <c r="H25" s="407">
        <f>H24</f>
        <v>70119</v>
      </c>
      <c r="I25" s="407">
        <f>I24</f>
        <v>70120</v>
      </c>
    </row>
    <row r="26" spans="1:9" ht="15.75" thickBot="1" x14ac:dyDescent="0.3">
      <c r="A26" s="849" t="s">
        <v>395</v>
      </c>
      <c r="B26" s="850"/>
      <c r="C26" s="850"/>
      <c r="D26" s="850"/>
      <c r="E26" s="851"/>
      <c r="F26" s="409">
        <v>352000</v>
      </c>
      <c r="G26" s="409">
        <f>F26*27%</f>
        <v>95040</v>
      </c>
      <c r="H26" s="409">
        <f>F26+G26</f>
        <v>447040</v>
      </c>
      <c r="I26" s="407">
        <f>H26</f>
        <v>447040</v>
      </c>
    </row>
    <row r="27" spans="1:9" s="403" customFormat="1" ht="15.75" thickBot="1" x14ac:dyDescent="0.3">
      <c r="A27" s="846" t="s">
        <v>396</v>
      </c>
      <c r="B27" s="847"/>
      <c r="C27" s="847"/>
      <c r="D27" s="847"/>
      <c r="E27" s="848"/>
      <c r="F27" s="407">
        <f>F26</f>
        <v>352000</v>
      </c>
      <c r="G27" s="407">
        <f>G26</f>
        <v>95040</v>
      </c>
      <c r="H27" s="407">
        <f>H26</f>
        <v>447040</v>
      </c>
      <c r="I27" s="407">
        <f>H27</f>
        <v>447040</v>
      </c>
    </row>
    <row r="28" spans="1:9" s="403" customFormat="1" ht="15.75" thickBot="1" x14ac:dyDescent="0.3">
      <c r="A28" s="846" t="s">
        <v>397</v>
      </c>
      <c r="B28" s="847"/>
      <c r="C28" s="847"/>
      <c r="D28" s="847"/>
      <c r="E28" s="848"/>
      <c r="F28" s="407">
        <f>F27+F25</f>
        <v>418780</v>
      </c>
      <c r="G28" s="407">
        <f>G27+G25</f>
        <v>98379</v>
      </c>
      <c r="H28" s="407">
        <f>H27+H25</f>
        <v>517159</v>
      </c>
      <c r="I28" s="407">
        <f>I27+I25</f>
        <v>517160</v>
      </c>
    </row>
    <row r="29" spans="1:9" s="408" customFormat="1" ht="15.75" thickBot="1" x14ac:dyDescent="0.3">
      <c r="A29" s="837" t="s">
        <v>398</v>
      </c>
      <c r="B29" s="838"/>
      <c r="C29" s="838"/>
      <c r="D29" s="838"/>
      <c r="E29" s="839"/>
      <c r="F29" s="174">
        <v>150000</v>
      </c>
      <c r="G29" s="174">
        <f>F29*27%</f>
        <v>40500</v>
      </c>
      <c r="H29" s="174">
        <f>F29+G29</f>
        <v>190500</v>
      </c>
      <c r="I29" s="174">
        <v>190500</v>
      </c>
    </row>
    <row r="30" spans="1:9" s="408" customFormat="1" ht="15.75" thickBot="1" x14ac:dyDescent="0.3">
      <c r="A30" s="837" t="s">
        <v>399</v>
      </c>
      <c r="B30" s="838"/>
      <c r="C30" s="838"/>
      <c r="D30" s="838"/>
      <c r="E30" s="839"/>
      <c r="F30" s="174">
        <v>880000</v>
      </c>
      <c r="G30" s="174">
        <f>F30*27%</f>
        <v>237600.00000000003</v>
      </c>
      <c r="H30" s="174">
        <f>F30+G30</f>
        <v>1117600</v>
      </c>
      <c r="I30" s="174">
        <v>1117600</v>
      </c>
    </row>
    <row r="31" spans="1:9" s="408" customFormat="1" ht="15.75" thickBot="1" x14ac:dyDescent="0.3">
      <c r="A31" s="837" t="s">
        <v>400</v>
      </c>
      <c r="B31" s="838"/>
      <c r="C31" s="838"/>
      <c r="D31" s="838"/>
      <c r="E31" s="839"/>
      <c r="F31" s="174">
        <v>510000</v>
      </c>
      <c r="G31" s="174">
        <f>F31*27%</f>
        <v>137700</v>
      </c>
      <c r="H31" s="174">
        <f>F31+G31</f>
        <v>647700</v>
      </c>
      <c r="I31" s="174">
        <v>647700</v>
      </c>
    </row>
    <row r="32" spans="1:9" s="403" customFormat="1" ht="15.75" thickBot="1" x14ac:dyDescent="0.3">
      <c r="A32" s="840" t="s">
        <v>401</v>
      </c>
      <c r="B32" s="841"/>
      <c r="C32" s="841"/>
      <c r="D32" s="841"/>
      <c r="E32" s="842"/>
      <c r="F32" s="407">
        <f>F29+F30+F31</f>
        <v>1540000</v>
      </c>
      <c r="G32" s="407">
        <f>G29+G30+G31</f>
        <v>415800</v>
      </c>
      <c r="H32" s="407">
        <f>H29+H30+H31</f>
        <v>1955800</v>
      </c>
      <c r="I32" s="407">
        <f>I29+I30+I31</f>
        <v>1955800</v>
      </c>
    </row>
    <row r="33" spans="1:9" ht="15.75" thickBot="1" x14ac:dyDescent="0.3">
      <c r="A33" s="843" t="s">
        <v>402</v>
      </c>
      <c r="B33" s="844"/>
      <c r="C33" s="844"/>
      <c r="D33" s="844"/>
      <c r="E33" s="845"/>
      <c r="F33" s="409">
        <v>200000</v>
      </c>
      <c r="G33" s="409">
        <f>F33*27%</f>
        <v>54000</v>
      </c>
      <c r="H33" s="409">
        <f>F33+G33</f>
        <v>254000</v>
      </c>
      <c r="I33" s="407">
        <f>H33</f>
        <v>254000</v>
      </c>
    </row>
    <row r="34" spans="1:9" ht="15.75" thickBot="1" x14ac:dyDescent="0.3">
      <c r="A34" s="843" t="s">
        <v>403</v>
      </c>
      <c r="B34" s="844"/>
      <c r="C34" s="844"/>
      <c r="D34" s="844"/>
      <c r="E34" s="845"/>
      <c r="F34" s="409">
        <v>40000</v>
      </c>
      <c r="G34" s="409">
        <f>F34*27%</f>
        <v>10800</v>
      </c>
      <c r="H34" s="409">
        <f>F34+G34</f>
        <v>50800</v>
      </c>
      <c r="I34" s="407">
        <v>50800</v>
      </c>
    </row>
    <row r="35" spans="1:9" s="403" customFormat="1" ht="15.75" thickBot="1" x14ac:dyDescent="0.3">
      <c r="A35" s="840" t="s">
        <v>404</v>
      </c>
      <c r="B35" s="841"/>
      <c r="C35" s="841"/>
      <c r="D35" s="841"/>
      <c r="E35" s="842"/>
      <c r="F35" s="407">
        <f>F34</f>
        <v>40000</v>
      </c>
      <c r="G35" s="407">
        <f>G34</f>
        <v>10800</v>
      </c>
      <c r="H35" s="407">
        <f>H34</f>
        <v>50800</v>
      </c>
      <c r="I35" s="407">
        <f>I34</f>
        <v>50800</v>
      </c>
    </row>
    <row r="36" spans="1:9" ht="15.75" thickBot="1" x14ac:dyDescent="0.3">
      <c r="A36" s="843" t="s">
        <v>405</v>
      </c>
      <c r="B36" s="844"/>
      <c r="C36" s="844"/>
      <c r="D36" s="844"/>
      <c r="E36" s="845"/>
      <c r="F36" s="409">
        <v>15000</v>
      </c>
      <c r="G36" s="409">
        <f>F36*27%</f>
        <v>4050.0000000000005</v>
      </c>
      <c r="H36" s="409">
        <f>F36+G36</f>
        <v>19050</v>
      </c>
      <c r="I36" s="407">
        <f>H36</f>
        <v>19050</v>
      </c>
    </row>
    <row r="37" spans="1:9" s="403" customFormat="1" ht="15.75" thickBot="1" x14ac:dyDescent="0.3">
      <c r="A37" s="840" t="s">
        <v>413</v>
      </c>
      <c r="B37" s="841"/>
      <c r="C37" s="841"/>
      <c r="D37" s="841"/>
      <c r="E37" s="842"/>
      <c r="F37" s="407">
        <f>F36</f>
        <v>15000</v>
      </c>
      <c r="G37" s="407">
        <f>G36</f>
        <v>4050.0000000000005</v>
      </c>
      <c r="H37" s="407">
        <f>H36</f>
        <v>19050</v>
      </c>
      <c r="I37" s="407">
        <f>I36</f>
        <v>19050</v>
      </c>
    </row>
    <row r="38" spans="1:9" s="403" customFormat="1" ht="15.75" thickBot="1" x14ac:dyDescent="0.3">
      <c r="A38" s="840" t="s">
        <v>414</v>
      </c>
      <c r="B38" s="841"/>
      <c r="C38" s="841"/>
      <c r="D38" s="841"/>
      <c r="E38" s="842"/>
      <c r="F38" s="407">
        <f>F32+F33+F35+F37</f>
        <v>1795000</v>
      </c>
      <c r="G38" s="407">
        <f>G32+G33+G35+G37</f>
        <v>484650</v>
      </c>
      <c r="H38" s="407">
        <f>H32+H33+H35+H37</f>
        <v>2279650</v>
      </c>
      <c r="I38" s="407">
        <f>I32+I33+I35+I37</f>
        <v>2279650</v>
      </c>
    </row>
    <row r="39" spans="1:9" ht="15.75" thickBot="1" x14ac:dyDescent="0.3">
      <c r="A39" s="843" t="s">
        <v>415</v>
      </c>
      <c r="B39" s="844"/>
      <c r="C39" s="844"/>
      <c r="D39" s="844"/>
      <c r="E39" s="845"/>
      <c r="F39" s="409">
        <v>70000</v>
      </c>
      <c r="G39" s="409">
        <v>0</v>
      </c>
      <c r="H39" s="174">
        <f>F39+G39</f>
        <v>70000</v>
      </c>
      <c r="I39" s="407">
        <f>H39</f>
        <v>70000</v>
      </c>
    </row>
    <row r="40" spans="1:9" s="403" customFormat="1" ht="15.75" thickBot="1" x14ac:dyDescent="0.3">
      <c r="A40" s="840" t="s">
        <v>417</v>
      </c>
      <c r="B40" s="841"/>
      <c r="C40" s="841"/>
      <c r="D40" s="841"/>
      <c r="E40" s="842"/>
      <c r="F40" s="407">
        <f>F39</f>
        <v>70000</v>
      </c>
      <c r="G40" s="407">
        <f>G39</f>
        <v>0</v>
      </c>
      <c r="H40" s="407">
        <f>H39</f>
        <v>70000</v>
      </c>
      <c r="I40" s="407">
        <f>H40</f>
        <v>70000</v>
      </c>
    </row>
    <row r="41" spans="1:9" ht="15.75" thickBot="1" x14ac:dyDescent="0.3">
      <c r="A41" s="843" t="s">
        <v>418</v>
      </c>
      <c r="B41" s="844"/>
      <c r="C41" s="844"/>
      <c r="D41" s="844"/>
      <c r="E41" s="845"/>
      <c r="F41" s="409">
        <v>0</v>
      </c>
      <c r="G41" s="409">
        <f>G17+G22+G24+G26+G32+G33+G35+G37+G42</f>
        <v>817229</v>
      </c>
      <c r="H41" s="409">
        <f>G41</f>
        <v>817229</v>
      </c>
      <c r="I41" s="409">
        <v>817230</v>
      </c>
    </row>
    <row r="42" spans="1:9" ht="15.75" thickBot="1" x14ac:dyDescent="0.3">
      <c r="A42" s="843" t="s">
        <v>421</v>
      </c>
      <c r="B42" s="844"/>
      <c r="C42" s="844"/>
      <c r="D42" s="844"/>
      <c r="E42" s="845"/>
      <c r="F42" s="409">
        <v>20000</v>
      </c>
      <c r="G42" s="409">
        <v>0</v>
      </c>
      <c r="H42" s="409">
        <f>F42+G42</f>
        <v>20000</v>
      </c>
      <c r="I42" s="407">
        <f>H42</f>
        <v>20000</v>
      </c>
    </row>
    <row r="43" spans="1:9" s="403" customFormat="1" ht="15.75" thickBot="1" x14ac:dyDescent="0.3">
      <c r="A43" s="840" t="s">
        <v>419</v>
      </c>
      <c r="B43" s="841"/>
      <c r="C43" s="841"/>
      <c r="D43" s="841"/>
      <c r="E43" s="842"/>
      <c r="F43" s="407">
        <f>F41+F42</f>
        <v>20000</v>
      </c>
      <c r="G43" s="407">
        <f>G41</f>
        <v>817229</v>
      </c>
      <c r="H43" s="407">
        <f>H41+H42</f>
        <v>837229</v>
      </c>
      <c r="I43" s="407">
        <f>I41++I42</f>
        <v>837230</v>
      </c>
    </row>
    <row r="44" spans="1:9" s="403" customFormat="1" ht="15.75" thickBot="1" x14ac:dyDescent="0.3">
      <c r="A44" s="840" t="s">
        <v>420</v>
      </c>
      <c r="B44" s="841"/>
      <c r="C44" s="841"/>
      <c r="D44" s="841"/>
      <c r="E44" s="842"/>
      <c r="F44" s="407">
        <f>F43+F40+F37+F35+F33+F32+F28+F23</f>
        <v>3247780</v>
      </c>
      <c r="G44" s="407">
        <f>G43</f>
        <v>817229</v>
      </c>
      <c r="H44" s="407">
        <f>F44+G44</f>
        <v>4065009</v>
      </c>
      <c r="I44" s="407">
        <v>4065010</v>
      </c>
    </row>
    <row r="45" spans="1:9" s="408" customFormat="1" ht="15.75" thickBot="1" x14ac:dyDescent="0.3">
      <c r="A45" s="837" t="s">
        <v>166</v>
      </c>
      <c r="B45" s="838"/>
      <c r="C45" s="838"/>
      <c r="D45" s="838"/>
      <c r="E45" s="839"/>
      <c r="F45" s="174">
        <v>50000</v>
      </c>
      <c r="G45" s="174">
        <f>F45*5%</f>
        <v>2500</v>
      </c>
      <c r="H45" s="174">
        <f>F45+G45</f>
        <v>52500</v>
      </c>
      <c r="I45" s="174">
        <v>52500</v>
      </c>
    </row>
    <row r="46" spans="1:9" s="408" customFormat="1" ht="15.75" thickBot="1" x14ac:dyDescent="0.3">
      <c r="A46" s="837" t="s">
        <v>167</v>
      </c>
      <c r="B46" s="838"/>
      <c r="C46" s="838"/>
      <c r="D46" s="838"/>
      <c r="E46" s="839"/>
      <c r="F46" s="174">
        <v>70000</v>
      </c>
      <c r="G46" s="174">
        <f t="shared" ref="G46:G56" si="1">F46*27%</f>
        <v>18900</v>
      </c>
      <c r="H46" s="174">
        <f t="shared" ref="H46:H58" si="2">F46+G46</f>
        <v>88900</v>
      </c>
      <c r="I46" s="174">
        <v>88900</v>
      </c>
    </row>
    <row r="47" spans="1:9" s="408" customFormat="1" ht="15.75" thickBot="1" x14ac:dyDescent="0.3">
      <c r="A47" s="837" t="s">
        <v>168</v>
      </c>
      <c r="B47" s="838"/>
      <c r="C47" s="838"/>
      <c r="D47" s="838"/>
      <c r="E47" s="839"/>
      <c r="F47" s="174">
        <v>12000</v>
      </c>
      <c r="G47" s="174">
        <f t="shared" si="1"/>
        <v>3240</v>
      </c>
      <c r="H47" s="174">
        <f t="shared" si="2"/>
        <v>15240</v>
      </c>
      <c r="I47" s="174">
        <v>15240</v>
      </c>
    </row>
    <row r="48" spans="1:9" s="408" customFormat="1" ht="15.75" thickBot="1" x14ac:dyDescent="0.3">
      <c r="A48" s="837" t="s">
        <v>169</v>
      </c>
      <c r="B48" s="838"/>
      <c r="C48" s="838"/>
      <c r="D48" s="838"/>
      <c r="E48" s="839"/>
      <c r="F48" s="174">
        <v>50000</v>
      </c>
      <c r="G48" s="174">
        <f t="shared" si="1"/>
        <v>13500</v>
      </c>
      <c r="H48" s="174">
        <f t="shared" si="2"/>
        <v>63500</v>
      </c>
      <c r="I48" s="174">
        <v>63500</v>
      </c>
    </row>
    <row r="49" spans="1:9" s="408" customFormat="1" ht="15.75" thickBot="1" x14ac:dyDescent="0.3">
      <c r="A49" s="837" t="s">
        <v>170</v>
      </c>
      <c r="B49" s="838"/>
      <c r="C49" s="838"/>
      <c r="D49" s="838"/>
      <c r="E49" s="839"/>
      <c r="F49" s="174">
        <v>40000</v>
      </c>
      <c r="G49" s="174">
        <f t="shared" si="1"/>
        <v>10800</v>
      </c>
      <c r="H49" s="174">
        <f t="shared" si="2"/>
        <v>50800</v>
      </c>
      <c r="I49" s="174">
        <v>50800</v>
      </c>
    </row>
    <row r="50" spans="1:9" s="408" customFormat="1" ht="15.75" thickBot="1" x14ac:dyDescent="0.3">
      <c r="A50" s="837" t="s">
        <v>171</v>
      </c>
      <c r="B50" s="838"/>
      <c r="C50" s="838"/>
      <c r="D50" s="838"/>
      <c r="E50" s="839"/>
      <c r="F50" s="174">
        <v>10000</v>
      </c>
      <c r="G50" s="174">
        <f>F50*27%</f>
        <v>2700</v>
      </c>
      <c r="H50" s="174">
        <f t="shared" si="2"/>
        <v>12700</v>
      </c>
      <c r="I50" s="174">
        <v>12700</v>
      </c>
    </row>
    <row r="51" spans="1:9" s="408" customFormat="1" ht="15.75" thickBot="1" x14ac:dyDescent="0.3">
      <c r="A51" s="837" t="s">
        <v>172</v>
      </c>
      <c r="B51" s="838"/>
      <c r="C51" s="838"/>
      <c r="D51" s="838"/>
      <c r="E51" s="839"/>
      <c r="F51" s="174">
        <v>25000</v>
      </c>
      <c r="G51" s="174">
        <f t="shared" si="1"/>
        <v>6750</v>
      </c>
      <c r="H51" s="174">
        <f t="shared" si="2"/>
        <v>31750</v>
      </c>
      <c r="I51" s="174">
        <v>31750</v>
      </c>
    </row>
    <row r="52" spans="1:9" s="408" customFormat="1" ht="15.75" thickBot="1" x14ac:dyDescent="0.3">
      <c r="A52" s="837" t="s">
        <v>173</v>
      </c>
      <c r="B52" s="838"/>
      <c r="C52" s="838"/>
      <c r="D52" s="838"/>
      <c r="E52" s="839"/>
      <c r="F52" s="174">
        <v>30000</v>
      </c>
      <c r="G52" s="174">
        <f>F52*27%</f>
        <v>8100.0000000000009</v>
      </c>
      <c r="H52" s="174">
        <f t="shared" si="2"/>
        <v>38100</v>
      </c>
      <c r="I52" s="174">
        <v>38100</v>
      </c>
    </row>
    <row r="53" spans="1:9" s="408" customFormat="1" ht="15.75" thickBot="1" x14ac:dyDescent="0.3">
      <c r="A53" s="837" t="s">
        <v>174</v>
      </c>
      <c r="B53" s="838"/>
      <c r="C53" s="838"/>
      <c r="D53" s="838"/>
      <c r="E53" s="839"/>
      <c r="F53" s="174">
        <v>80000</v>
      </c>
      <c r="G53" s="174">
        <f t="shared" si="1"/>
        <v>21600</v>
      </c>
      <c r="H53" s="174">
        <f t="shared" si="2"/>
        <v>101600</v>
      </c>
      <c r="I53" s="174">
        <v>101600</v>
      </c>
    </row>
    <row r="54" spans="1:9" s="408" customFormat="1" ht="15.75" thickBot="1" x14ac:dyDescent="0.3">
      <c r="A54" s="837" t="s">
        <v>175</v>
      </c>
      <c r="B54" s="838"/>
      <c r="C54" s="838"/>
      <c r="D54" s="838"/>
      <c r="E54" s="839"/>
      <c r="F54" s="174">
        <v>25000</v>
      </c>
      <c r="G54" s="174">
        <f>F54*27%</f>
        <v>6750</v>
      </c>
      <c r="H54" s="174">
        <f t="shared" si="2"/>
        <v>31750</v>
      </c>
      <c r="I54" s="174">
        <v>31750</v>
      </c>
    </row>
    <row r="55" spans="1:9" s="408" customFormat="1" ht="15.75" thickBot="1" x14ac:dyDescent="0.3">
      <c r="A55" s="837" t="s">
        <v>176</v>
      </c>
      <c r="B55" s="838"/>
      <c r="C55" s="838"/>
      <c r="D55" s="838"/>
      <c r="E55" s="839"/>
      <c r="F55" s="174">
        <v>120000</v>
      </c>
      <c r="G55" s="174">
        <f>F55*27%</f>
        <v>32400.000000000004</v>
      </c>
      <c r="H55" s="174">
        <f t="shared" si="2"/>
        <v>152400</v>
      </c>
      <c r="I55" s="174">
        <v>152400</v>
      </c>
    </row>
    <row r="56" spans="1:9" s="408" customFormat="1" ht="15.75" thickBot="1" x14ac:dyDescent="0.3">
      <c r="A56" s="837" t="s">
        <v>177</v>
      </c>
      <c r="B56" s="838"/>
      <c r="C56" s="838"/>
      <c r="D56" s="838"/>
      <c r="E56" s="839"/>
      <c r="F56" s="174">
        <v>100000</v>
      </c>
      <c r="G56" s="174">
        <f t="shared" si="1"/>
        <v>27000</v>
      </c>
      <c r="H56" s="174">
        <f t="shared" si="2"/>
        <v>127000</v>
      </c>
      <c r="I56" s="174">
        <v>127000</v>
      </c>
    </row>
    <row r="57" spans="1:9" s="403" customFormat="1" ht="15.75" thickBot="1" x14ac:dyDescent="0.3">
      <c r="A57" s="840" t="s">
        <v>422</v>
      </c>
      <c r="B57" s="841"/>
      <c r="C57" s="841"/>
      <c r="D57" s="841"/>
      <c r="E57" s="842"/>
      <c r="F57" s="407">
        <f>F45+F46+F47+F48+F49+F50+F51+F52+F53+F54+F55+F56</f>
        <v>612000</v>
      </c>
      <c r="G57" s="407">
        <f>G45+G46+G47+G48+G49+G50+G51+G52+G53+G54+G55+G56</f>
        <v>154240</v>
      </c>
      <c r="H57" s="407">
        <f t="shared" si="2"/>
        <v>766240</v>
      </c>
      <c r="I57" s="407">
        <f>SUM(I45:I56)</f>
        <v>766240</v>
      </c>
    </row>
    <row r="58" spans="1:9" s="403" customFormat="1" ht="15.75" thickBot="1" x14ac:dyDescent="0.3">
      <c r="A58" s="840" t="s">
        <v>423</v>
      </c>
      <c r="B58" s="841"/>
      <c r="C58" s="841"/>
      <c r="D58" s="841"/>
      <c r="E58" s="842"/>
      <c r="F58" s="407"/>
      <c r="G58" s="407">
        <f>G57</f>
        <v>154240</v>
      </c>
      <c r="H58" s="407">
        <f t="shared" si="2"/>
        <v>154240</v>
      </c>
      <c r="I58" s="407">
        <v>154240</v>
      </c>
    </row>
    <row r="59" spans="1:9" s="413" customFormat="1" ht="19.5" thickBot="1" x14ac:dyDescent="0.35">
      <c r="A59" s="834" t="s">
        <v>424</v>
      </c>
      <c r="B59" s="835"/>
      <c r="C59" s="835"/>
      <c r="D59" s="835"/>
      <c r="E59" s="836"/>
      <c r="F59" s="412">
        <f>F57+F44+F14+F13</f>
        <v>32971124.199999999</v>
      </c>
      <c r="G59" s="412">
        <f>G58+G41</f>
        <v>971469</v>
      </c>
      <c r="H59" s="412">
        <f>H57+H44+H14+H13</f>
        <v>33942593.200000003</v>
      </c>
      <c r="I59" s="412">
        <v>33942595</v>
      </c>
    </row>
  </sheetData>
  <mergeCells count="57">
    <mergeCell ref="A14:E14"/>
    <mergeCell ref="D2:H2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7:E57"/>
    <mergeCell ref="A58:E58"/>
    <mergeCell ref="A59:E59"/>
    <mergeCell ref="A51:E51"/>
    <mergeCell ref="A52:E52"/>
    <mergeCell ref="A53:E53"/>
    <mergeCell ref="A54:E54"/>
    <mergeCell ref="A55:E55"/>
    <mergeCell ref="A56:E5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25" workbookViewId="0">
      <selection activeCell="C2" sqref="C2:H2"/>
    </sheetView>
  </sheetViews>
  <sheetFormatPr defaultRowHeight="15" x14ac:dyDescent="0.25"/>
  <cols>
    <col min="5" max="5" width="13" customWidth="1"/>
    <col min="6" max="6" width="14.42578125" style="402" customWidth="1"/>
    <col min="7" max="7" width="12.42578125" style="402" bestFit="1" customWidth="1"/>
    <col min="8" max="8" width="15.85546875" bestFit="1" customWidth="1"/>
    <col min="9" max="9" width="14" style="402" bestFit="1" customWidth="1"/>
    <col min="261" max="261" width="13" customWidth="1"/>
    <col min="262" max="262" width="14.42578125" customWidth="1"/>
    <col min="263" max="263" width="12.42578125" bestFit="1" customWidth="1"/>
    <col min="264" max="264" width="15.85546875" bestFit="1" customWidth="1"/>
    <col min="265" max="265" width="14" bestFit="1" customWidth="1"/>
    <col min="517" max="517" width="13" customWidth="1"/>
    <col min="518" max="518" width="14.42578125" customWidth="1"/>
    <col min="519" max="519" width="12.42578125" bestFit="1" customWidth="1"/>
    <col min="520" max="520" width="15.85546875" bestFit="1" customWidth="1"/>
    <col min="521" max="521" width="14" bestFit="1" customWidth="1"/>
    <col min="773" max="773" width="13" customWidth="1"/>
    <col min="774" max="774" width="14.42578125" customWidth="1"/>
    <col min="775" max="775" width="12.42578125" bestFit="1" customWidth="1"/>
    <col min="776" max="776" width="15.85546875" bestFit="1" customWidth="1"/>
    <col min="777" max="777" width="14" bestFit="1" customWidth="1"/>
    <col min="1029" max="1029" width="13" customWidth="1"/>
    <col min="1030" max="1030" width="14.42578125" customWidth="1"/>
    <col min="1031" max="1031" width="12.42578125" bestFit="1" customWidth="1"/>
    <col min="1032" max="1032" width="15.85546875" bestFit="1" customWidth="1"/>
    <col min="1033" max="1033" width="14" bestFit="1" customWidth="1"/>
    <col min="1285" max="1285" width="13" customWidth="1"/>
    <col min="1286" max="1286" width="14.42578125" customWidth="1"/>
    <col min="1287" max="1287" width="12.42578125" bestFit="1" customWidth="1"/>
    <col min="1288" max="1288" width="15.85546875" bestFit="1" customWidth="1"/>
    <col min="1289" max="1289" width="14" bestFit="1" customWidth="1"/>
    <col min="1541" max="1541" width="13" customWidth="1"/>
    <col min="1542" max="1542" width="14.42578125" customWidth="1"/>
    <col min="1543" max="1543" width="12.42578125" bestFit="1" customWidth="1"/>
    <col min="1544" max="1544" width="15.85546875" bestFit="1" customWidth="1"/>
    <col min="1545" max="1545" width="14" bestFit="1" customWidth="1"/>
    <col min="1797" max="1797" width="13" customWidth="1"/>
    <col min="1798" max="1798" width="14.42578125" customWidth="1"/>
    <col min="1799" max="1799" width="12.42578125" bestFit="1" customWidth="1"/>
    <col min="1800" max="1800" width="15.85546875" bestFit="1" customWidth="1"/>
    <col min="1801" max="1801" width="14" bestFit="1" customWidth="1"/>
    <col min="2053" max="2053" width="13" customWidth="1"/>
    <col min="2054" max="2054" width="14.42578125" customWidth="1"/>
    <col min="2055" max="2055" width="12.42578125" bestFit="1" customWidth="1"/>
    <col min="2056" max="2056" width="15.85546875" bestFit="1" customWidth="1"/>
    <col min="2057" max="2057" width="14" bestFit="1" customWidth="1"/>
    <col min="2309" max="2309" width="13" customWidth="1"/>
    <col min="2310" max="2310" width="14.42578125" customWidth="1"/>
    <col min="2311" max="2311" width="12.42578125" bestFit="1" customWidth="1"/>
    <col min="2312" max="2312" width="15.85546875" bestFit="1" customWidth="1"/>
    <col min="2313" max="2313" width="14" bestFit="1" customWidth="1"/>
    <col min="2565" max="2565" width="13" customWidth="1"/>
    <col min="2566" max="2566" width="14.42578125" customWidth="1"/>
    <col min="2567" max="2567" width="12.42578125" bestFit="1" customWidth="1"/>
    <col min="2568" max="2568" width="15.85546875" bestFit="1" customWidth="1"/>
    <col min="2569" max="2569" width="14" bestFit="1" customWidth="1"/>
    <col min="2821" max="2821" width="13" customWidth="1"/>
    <col min="2822" max="2822" width="14.42578125" customWidth="1"/>
    <col min="2823" max="2823" width="12.42578125" bestFit="1" customWidth="1"/>
    <col min="2824" max="2824" width="15.85546875" bestFit="1" customWidth="1"/>
    <col min="2825" max="2825" width="14" bestFit="1" customWidth="1"/>
    <col min="3077" max="3077" width="13" customWidth="1"/>
    <col min="3078" max="3078" width="14.42578125" customWidth="1"/>
    <col min="3079" max="3079" width="12.42578125" bestFit="1" customWidth="1"/>
    <col min="3080" max="3080" width="15.85546875" bestFit="1" customWidth="1"/>
    <col min="3081" max="3081" width="14" bestFit="1" customWidth="1"/>
    <col min="3333" max="3333" width="13" customWidth="1"/>
    <col min="3334" max="3334" width="14.42578125" customWidth="1"/>
    <col min="3335" max="3335" width="12.42578125" bestFit="1" customWidth="1"/>
    <col min="3336" max="3336" width="15.85546875" bestFit="1" customWidth="1"/>
    <col min="3337" max="3337" width="14" bestFit="1" customWidth="1"/>
    <col min="3589" max="3589" width="13" customWidth="1"/>
    <col min="3590" max="3590" width="14.42578125" customWidth="1"/>
    <col min="3591" max="3591" width="12.42578125" bestFit="1" customWidth="1"/>
    <col min="3592" max="3592" width="15.85546875" bestFit="1" customWidth="1"/>
    <col min="3593" max="3593" width="14" bestFit="1" customWidth="1"/>
    <col min="3845" max="3845" width="13" customWidth="1"/>
    <col min="3846" max="3846" width="14.42578125" customWidth="1"/>
    <col min="3847" max="3847" width="12.42578125" bestFit="1" customWidth="1"/>
    <col min="3848" max="3848" width="15.85546875" bestFit="1" customWidth="1"/>
    <col min="3849" max="3849" width="14" bestFit="1" customWidth="1"/>
    <col min="4101" max="4101" width="13" customWidth="1"/>
    <col min="4102" max="4102" width="14.42578125" customWidth="1"/>
    <col min="4103" max="4103" width="12.42578125" bestFit="1" customWidth="1"/>
    <col min="4104" max="4104" width="15.85546875" bestFit="1" customWidth="1"/>
    <col min="4105" max="4105" width="14" bestFit="1" customWidth="1"/>
    <col min="4357" max="4357" width="13" customWidth="1"/>
    <col min="4358" max="4358" width="14.42578125" customWidth="1"/>
    <col min="4359" max="4359" width="12.42578125" bestFit="1" customWidth="1"/>
    <col min="4360" max="4360" width="15.85546875" bestFit="1" customWidth="1"/>
    <col min="4361" max="4361" width="14" bestFit="1" customWidth="1"/>
    <col min="4613" max="4613" width="13" customWidth="1"/>
    <col min="4614" max="4614" width="14.42578125" customWidth="1"/>
    <col min="4615" max="4615" width="12.42578125" bestFit="1" customWidth="1"/>
    <col min="4616" max="4616" width="15.85546875" bestFit="1" customWidth="1"/>
    <col min="4617" max="4617" width="14" bestFit="1" customWidth="1"/>
    <col min="4869" max="4869" width="13" customWidth="1"/>
    <col min="4870" max="4870" width="14.42578125" customWidth="1"/>
    <col min="4871" max="4871" width="12.42578125" bestFit="1" customWidth="1"/>
    <col min="4872" max="4872" width="15.85546875" bestFit="1" customWidth="1"/>
    <col min="4873" max="4873" width="14" bestFit="1" customWidth="1"/>
    <col min="5125" max="5125" width="13" customWidth="1"/>
    <col min="5126" max="5126" width="14.42578125" customWidth="1"/>
    <col min="5127" max="5127" width="12.42578125" bestFit="1" customWidth="1"/>
    <col min="5128" max="5128" width="15.85546875" bestFit="1" customWidth="1"/>
    <col min="5129" max="5129" width="14" bestFit="1" customWidth="1"/>
    <col min="5381" max="5381" width="13" customWidth="1"/>
    <col min="5382" max="5382" width="14.42578125" customWidth="1"/>
    <col min="5383" max="5383" width="12.42578125" bestFit="1" customWidth="1"/>
    <col min="5384" max="5384" width="15.85546875" bestFit="1" customWidth="1"/>
    <col min="5385" max="5385" width="14" bestFit="1" customWidth="1"/>
    <col min="5637" max="5637" width="13" customWidth="1"/>
    <col min="5638" max="5638" width="14.42578125" customWidth="1"/>
    <col min="5639" max="5639" width="12.42578125" bestFit="1" customWidth="1"/>
    <col min="5640" max="5640" width="15.85546875" bestFit="1" customWidth="1"/>
    <col min="5641" max="5641" width="14" bestFit="1" customWidth="1"/>
    <col min="5893" max="5893" width="13" customWidth="1"/>
    <col min="5894" max="5894" width="14.42578125" customWidth="1"/>
    <col min="5895" max="5895" width="12.42578125" bestFit="1" customWidth="1"/>
    <col min="5896" max="5896" width="15.85546875" bestFit="1" customWidth="1"/>
    <col min="5897" max="5897" width="14" bestFit="1" customWidth="1"/>
    <col min="6149" max="6149" width="13" customWidth="1"/>
    <col min="6150" max="6150" width="14.42578125" customWidth="1"/>
    <col min="6151" max="6151" width="12.42578125" bestFit="1" customWidth="1"/>
    <col min="6152" max="6152" width="15.85546875" bestFit="1" customWidth="1"/>
    <col min="6153" max="6153" width="14" bestFit="1" customWidth="1"/>
    <col min="6405" max="6405" width="13" customWidth="1"/>
    <col min="6406" max="6406" width="14.42578125" customWidth="1"/>
    <col min="6407" max="6407" width="12.42578125" bestFit="1" customWidth="1"/>
    <col min="6408" max="6408" width="15.85546875" bestFit="1" customWidth="1"/>
    <col min="6409" max="6409" width="14" bestFit="1" customWidth="1"/>
    <col min="6661" max="6661" width="13" customWidth="1"/>
    <col min="6662" max="6662" width="14.42578125" customWidth="1"/>
    <col min="6663" max="6663" width="12.42578125" bestFit="1" customWidth="1"/>
    <col min="6664" max="6664" width="15.85546875" bestFit="1" customWidth="1"/>
    <col min="6665" max="6665" width="14" bestFit="1" customWidth="1"/>
    <col min="6917" max="6917" width="13" customWidth="1"/>
    <col min="6918" max="6918" width="14.42578125" customWidth="1"/>
    <col min="6919" max="6919" width="12.42578125" bestFit="1" customWidth="1"/>
    <col min="6920" max="6920" width="15.85546875" bestFit="1" customWidth="1"/>
    <col min="6921" max="6921" width="14" bestFit="1" customWidth="1"/>
    <col min="7173" max="7173" width="13" customWidth="1"/>
    <col min="7174" max="7174" width="14.42578125" customWidth="1"/>
    <col min="7175" max="7175" width="12.42578125" bestFit="1" customWidth="1"/>
    <col min="7176" max="7176" width="15.85546875" bestFit="1" customWidth="1"/>
    <col min="7177" max="7177" width="14" bestFit="1" customWidth="1"/>
    <col min="7429" max="7429" width="13" customWidth="1"/>
    <col min="7430" max="7430" width="14.42578125" customWidth="1"/>
    <col min="7431" max="7431" width="12.42578125" bestFit="1" customWidth="1"/>
    <col min="7432" max="7432" width="15.85546875" bestFit="1" customWidth="1"/>
    <col min="7433" max="7433" width="14" bestFit="1" customWidth="1"/>
    <col min="7685" max="7685" width="13" customWidth="1"/>
    <col min="7686" max="7686" width="14.42578125" customWidth="1"/>
    <col min="7687" max="7687" width="12.42578125" bestFit="1" customWidth="1"/>
    <col min="7688" max="7688" width="15.85546875" bestFit="1" customWidth="1"/>
    <col min="7689" max="7689" width="14" bestFit="1" customWidth="1"/>
    <col min="7941" max="7941" width="13" customWidth="1"/>
    <col min="7942" max="7942" width="14.42578125" customWidth="1"/>
    <col min="7943" max="7943" width="12.42578125" bestFit="1" customWidth="1"/>
    <col min="7944" max="7944" width="15.85546875" bestFit="1" customWidth="1"/>
    <col min="7945" max="7945" width="14" bestFit="1" customWidth="1"/>
    <col min="8197" max="8197" width="13" customWidth="1"/>
    <col min="8198" max="8198" width="14.42578125" customWidth="1"/>
    <col min="8199" max="8199" width="12.42578125" bestFit="1" customWidth="1"/>
    <col min="8200" max="8200" width="15.85546875" bestFit="1" customWidth="1"/>
    <col min="8201" max="8201" width="14" bestFit="1" customWidth="1"/>
    <col min="8453" max="8453" width="13" customWidth="1"/>
    <col min="8454" max="8454" width="14.42578125" customWidth="1"/>
    <col min="8455" max="8455" width="12.42578125" bestFit="1" customWidth="1"/>
    <col min="8456" max="8456" width="15.85546875" bestFit="1" customWidth="1"/>
    <col min="8457" max="8457" width="14" bestFit="1" customWidth="1"/>
    <col min="8709" max="8709" width="13" customWidth="1"/>
    <col min="8710" max="8710" width="14.42578125" customWidth="1"/>
    <col min="8711" max="8711" width="12.42578125" bestFit="1" customWidth="1"/>
    <col min="8712" max="8712" width="15.85546875" bestFit="1" customWidth="1"/>
    <col min="8713" max="8713" width="14" bestFit="1" customWidth="1"/>
    <col min="8965" max="8965" width="13" customWidth="1"/>
    <col min="8966" max="8966" width="14.42578125" customWidth="1"/>
    <col min="8967" max="8967" width="12.42578125" bestFit="1" customWidth="1"/>
    <col min="8968" max="8968" width="15.85546875" bestFit="1" customWidth="1"/>
    <col min="8969" max="8969" width="14" bestFit="1" customWidth="1"/>
    <col min="9221" max="9221" width="13" customWidth="1"/>
    <col min="9222" max="9222" width="14.42578125" customWidth="1"/>
    <col min="9223" max="9223" width="12.42578125" bestFit="1" customWidth="1"/>
    <col min="9224" max="9224" width="15.85546875" bestFit="1" customWidth="1"/>
    <col min="9225" max="9225" width="14" bestFit="1" customWidth="1"/>
    <col min="9477" max="9477" width="13" customWidth="1"/>
    <col min="9478" max="9478" width="14.42578125" customWidth="1"/>
    <col min="9479" max="9479" width="12.42578125" bestFit="1" customWidth="1"/>
    <col min="9480" max="9480" width="15.85546875" bestFit="1" customWidth="1"/>
    <col min="9481" max="9481" width="14" bestFit="1" customWidth="1"/>
    <col min="9733" max="9733" width="13" customWidth="1"/>
    <col min="9734" max="9734" width="14.42578125" customWidth="1"/>
    <col min="9735" max="9735" width="12.42578125" bestFit="1" customWidth="1"/>
    <col min="9736" max="9736" width="15.85546875" bestFit="1" customWidth="1"/>
    <col min="9737" max="9737" width="14" bestFit="1" customWidth="1"/>
    <col min="9989" max="9989" width="13" customWidth="1"/>
    <col min="9990" max="9990" width="14.42578125" customWidth="1"/>
    <col min="9991" max="9991" width="12.42578125" bestFit="1" customWidth="1"/>
    <col min="9992" max="9992" width="15.85546875" bestFit="1" customWidth="1"/>
    <col min="9993" max="9993" width="14" bestFit="1" customWidth="1"/>
    <col min="10245" max="10245" width="13" customWidth="1"/>
    <col min="10246" max="10246" width="14.42578125" customWidth="1"/>
    <col min="10247" max="10247" width="12.42578125" bestFit="1" customWidth="1"/>
    <col min="10248" max="10248" width="15.85546875" bestFit="1" customWidth="1"/>
    <col min="10249" max="10249" width="14" bestFit="1" customWidth="1"/>
    <col min="10501" max="10501" width="13" customWidth="1"/>
    <col min="10502" max="10502" width="14.42578125" customWidth="1"/>
    <col min="10503" max="10503" width="12.42578125" bestFit="1" customWidth="1"/>
    <col min="10504" max="10504" width="15.85546875" bestFit="1" customWidth="1"/>
    <col min="10505" max="10505" width="14" bestFit="1" customWidth="1"/>
    <col min="10757" max="10757" width="13" customWidth="1"/>
    <col min="10758" max="10758" width="14.42578125" customWidth="1"/>
    <col min="10759" max="10759" width="12.42578125" bestFit="1" customWidth="1"/>
    <col min="10760" max="10760" width="15.85546875" bestFit="1" customWidth="1"/>
    <col min="10761" max="10761" width="14" bestFit="1" customWidth="1"/>
    <col min="11013" max="11013" width="13" customWidth="1"/>
    <col min="11014" max="11014" width="14.42578125" customWidth="1"/>
    <col min="11015" max="11015" width="12.42578125" bestFit="1" customWidth="1"/>
    <col min="11016" max="11016" width="15.85546875" bestFit="1" customWidth="1"/>
    <col min="11017" max="11017" width="14" bestFit="1" customWidth="1"/>
    <col min="11269" max="11269" width="13" customWidth="1"/>
    <col min="11270" max="11270" width="14.42578125" customWidth="1"/>
    <col min="11271" max="11271" width="12.42578125" bestFit="1" customWidth="1"/>
    <col min="11272" max="11272" width="15.85546875" bestFit="1" customWidth="1"/>
    <col min="11273" max="11273" width="14" bestFit="1" customWidth="1"/>
    <col min="11525" max="11525" width="13" customWidth="1"/>
    <col min="11526" max="11526" width="14.42578125" customWidth="1"/>
    <col min="11527" max="11527" width="12.42578125" bestFit="1" customWidth="1"/>
    <col min="11528" max="11528" width="15.85546875" bestFit="1" customWidth="1"/>
    <col min="11529" max="11529" width="14" bestFit="1" customWidth="1"/>
    <col min="11781" max="11781" width="13" customWidth="1"/>
    <col min="11782" max="11782" width="14.42578125" customWidth="1"/>
    <col min="11783" max="11783" width="12.42578125" bestFit="1" customWidth="1"/>
    <col min="11784" max="11784" width="15.85546875" bestFit="1" customWidth="1"/>
    <col min="11785" max="11785" width="14" bestFit="1" customWidth="1"/>
    <col min="12037" max="12037" width="13" customWidth="1"/>
    <col min="12038" max="12038" width="14.42578125" customWidth="1"/>
    <col min="12039" max="12039" width="12.42578125" bestFit="1" customWidth="1"/>
    <col min="12040" max="12040" width="15.85546875" bestFit="1" customWidth="1"/>
    <col min="12041" max="12041" width="14" bestFit="1" customWidth="1"/>
    <col min="12293" max="12293" width="13" customWidth="1"/>
    <col min="12294" max="12294" width="14.42578125" customWidth="1"/>
    <col min="12295" max="12295" width="12.42578125" bestFit="1" customWidth="1"/>
    <col min="12296" max="12296" width="15.85546875" bestFit="1" customWidth="1"/>
    <col min="12297" max="12297" width="14" bestFit="1" customWidth="1"/>
    <col min="12549" max="12549" width="13" customWidth="1"/>
    <col min="12550" max="12550" width="14.42578125" customWidth="1"/>
    <col min="12551" max="12551" width="12.42578125" bestFit="1" customWidth="1"/>
    <col min="12552" max="12552" width="15.85546875" bestFit="1" customWidth="1"/>
    <col min="12553" max="12553" width="14" bestFit="1" customWidth="1"/>
    <col min="12805" max="12805" width="13" customWidth="1"/>
    <col min="12806" max="12806" width="14.42578125" customWidth="1"/>
    <col min="12807" max="12807" width="12.42578125" bestFit="1" customWidth="1"/>
    <col min="12808" max="12808" width="15.85546875" bestFit="1" customWidth="1"/>
    <col min="12809" max="12809" width="14" bestFit="1" customWidth="1"/>
    <col min="13061" max="13061" width="13" customWidth="1"/>
    <col min="13062" max="13062" width="14.42578125" customWidth="1"/>
    <col min="13063" max="13063" width="12.42578125" bestFit="1" customWidth="1"/>
    <col min="13064" max="13064" width="15.85546875" bestFit="1" customWidth="1"/>
    <col min="13065" max="13065" width="14" bestFit="1" customWidth="1"/>
    <col min="13317" max="13317" width="13" customWidth="1"/>
    <col min="13318" max="13318" width="14.42578125" customWidth="1"/>
    <col min="13319" max="13319" width="12.42578125" bestFit="1" customWidth="1"/>
    <col min="13320" max="13320" width="15.85546875" bestFit="1" customWidth="1"/>
    <col min="13321" max="13321" width="14" bestFit="1" customWidth="1"/>
    <col min="13573" max="13573" width="13" customWidth="1"/>
    <col min="13574" max="13574" width="14.42578125" customWidth="1"/>
    <col min="13575" max="13575" width="12.42578125" bestFit="1" customWidth="1"/>
    <col min="13576" max="13576" width="15.85546875" bestFit="1" customWidth="1"/>
    <col min="13577" max="13577" width="14" bestFit="1" customWidth="1"/>
    <col min="13829" max="13829" width="13" customWidth="1"/>
    <col min="13830" max="13830" width="14.42578125" customWidth="1"/>
    <col min="13831" max="13831" width="12.42578125" bestFit="1" customWidth="1"/>
    <col min="13832" max="13832" width="15.85546875" bestFit="1" customWidth="1"/>
    <col min="13833" max="13833" width="14" bestFit="1" customWidth="1"/>
    <col min="14085" max="14085" width="13" customWidth="1"/>
    <col min="14086" max="14086" width="14.42578125" customWidth="1"/>
    <col min="14087" max="14087" width="12.42578125" bestFit="1" customWidth="1"/>
    <col min="14088" max="14088" width="15.85546875" bestFit="1" customWidth="1"/>
    <col min="14089" max="14089" width="14" bestFit="1" customWidth="1"/>
    <col min="14341" max="14341" width="13" customWidth="1"/>
    <col min="14342" max="14342" width="14.42578125" customWidth="1"/>
    <col min="14343" max="14343" width="12.42578125" bestFit="1" customWidth="1"/>
    <col min="14344" max="14344" width="15.85546875" bestFit="1" customWidth="1"/>
    <col min="14345" max="14345" width="14" bestFit="1" customWidth="1"/>
    <col min="14597" max="14597" width="13" customWidth="1"/>
    <col min="14598" max="14598" width="14.42578125" customWidth="1"/>
    <col min="14599" max="14599" width="12.42578125" bestFit="1" customWidth="1"/>
    <col min="14600" max="14600" width="15.85546875" bestFit="1" customWidth="1"/>
    <col min="14601" max="14601" width="14" bestFit="1" customWidth="1"/>
    <col min="14853" max="14853" width="13" customWidth="1"/>
    <col min="14854" max="14854" width="14.42578125" customWidth="1"/>
    <col min="14855" max="14855" width="12.42578125" bestFit="1" customWidth="1"/>
    <col min="14856" max="14856" width="15.85546875" bestFit="1" customWidth="1"/>
    <col min="14857" max="14857" width="14" bestFit="1" customWidth="1"/>
    <col min="15109" max="15109" width="13" customWidth="1"/>
    <col min="15110" max="15110" width="14.42578125" customWidth="1"/>
    <col min="15111" max="15111" width="12.42578125" bestFit="1" customWidth="1"/>
    <col min="15112" max="15112" width="15.85546875" bestFit="1" customWidth="1"/>
    <col min="15113" max="15113" width="14" bestFit="1" customWidth="1"/>
    <col min="15365" max="15365" width="13" customWidth="1"/>
    <col min="15366" max="15366" width="14.42578125" customWidth="1"/>
    <col min="15367" max="15367" width="12.42578125" bestFit="1" customWidth="1"/>
    <col min="15368" max="15368" width="15.85546875" bestFit="1" customWidth="1"/>
    <col min="15369" max="15369" width="14" bestFit="1" customWidth="1"/>
    <col min="15621" max="15621" width="13" customWidth="1"/>
    <col min="15622" max="15622" width="14.42578125" customWidth="1"/>
    <col min="15623" max="15623" width="12.42578125" bestFit="1" customWidth="1"/>
    <col min="15624" max="15624" width="15.85546875" bestFit="1" customWidth="1"/>
    <col min="15625" max="15625" width="14" bestFit="1" customWidth="1"/>
    <col min="15877" max="15877" width="13" customWidth="1"/>
    <col min="15878" max="15878" width="14.42578125" customWidth="1"/>
    <col min="15879" max="15879" width="12.42578125" bestFit="1" customWidth="1"/>
    <col min="15880" max="15880" width="15.85546875" bestFit="1" customWidth="1"/>
    <col min="15881" max="15881" width="14" bestFit="1" customWidth="1"/>
    <col min="16133" max="16133" width="13" customWidth="1"/>
    <col min="16134" max="16134" width="14.42578125" customWidth="1"/>
    <col min="16135" max="16135" width="12.42578125" bestFit="1" customWidth="1"/>
    <col min="16136" max="16136" width="15.85546875" bestFit="1" customWidth="1"/>
    <col min="16137" max="16137" width="14" bestFit="1" customWidth="1"/>
  </cols>
  <sheetData>
    <row r="1" spans="1:9" ht="15.75" thickBot="1" x14ac:dyDescent="0.3">
      <c r="I1" s="402" t="s">
        <v>430</v>
      </c>
    </row>
    <row r="2" spans="1:9" s="403" customFormat="1" ht="19.5" thickBot="1" x14ac:dyDescent="0.35">
      <c r="C2" s="834" t="s">
        <v>709</v>
      </c>
      <c r="D2" s="835"/>
      <c r="E2" s="835"/>
      <c r="F2" s="835"/>
      <c r="G2" s="835"/>
      <c r="H2" s="836"/>
      <c r="I2" s="404"/>
    </row>
    <row r="3" spans="1:9" ht="15.75" thickBot="1" x14ac:dyDescent="0.3"/>
    <row r="4" spans="1:9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9" ht="15.75" thickBot="1" x14ac:dyDescent="0.3">
      <c r="A5" s="858" t="s">
        <v>367</v>
      </c>
      <c r="B5" s="859"/>
      <c r="C5" s="859"/>
      <c r="D5" s="859"/>
      <c r="E5" s="860"/>
      <c r="F5" s="174">
        <f>[2]bölcsöde!F5+[2]óvoda!F5</f>
        <v>28692500</v>
      </c>
      <c r="G5" s="174">
        <v>0</v>
      </c>
      <c r="H5" s="174">
        <f>G5+F5</f>
        <v>28692500</v>
      </c>
      <c r="I5" s="174">
        <f t="shared" ref="I5:I10" si="0">H5</f>
        <v>28692500</v>
      </c>
    </row>
    <row r="6" spans="1:9" ht="15.75" thickBot="1" x14ac:dyDescent="0.3">
      <c r="A6" s="858" t="s">
        <v>368</v>
      </c>
      <c r="B6" s="859"/>
      <c r="C6" s="859"/>
      <c r="D6" s="859"/>
      <c r="E6" s="860"/>
      <c r="F6" s="174">
        <f>[2]bölcsöde!F6+[2]óvoda!F6</f>
        <v>900000</v>
      </c>
      <c r="G6" s="174">
        <v>0</v>
      </c>
      <c r="H6" s="174">
        <f>G6+F6</f>
        <v>900000</v>
      </c>
      <c r="I6" s="174">
        <f t="shared" si="0"/>
        <v>900000</v>
      </c>
    </row>
    <row r="7" spans="1:9" ht="15.75" thickBot="1" x14ac:dyDescent="0.3">
      <c r="A7" s="858" t="s">
        <v>369</v>
      </c>
      <c r="B7" s="859"/>
      <c r="C7" s="859"/>
      <c r="D7" s="859"/>
      <c r="E7" s="860"/>
      <c r="F7" s="174">
        <f>[2]bölcsöde!F7+[2]óvoda!F7</f>
        <v>864000</v>
      </c>
      <c r="G7" s="174">
        <v>0</v>
      </c>
      <c r="H7" s="174">
        <f>G7+F7</f>
        <v>864000</v>
      </c>
      <c r="I7" s="174">
        <f t="shared" si="0"/>
        <v>864000</v>
      </c>
    </row>
    <row r="8" spans="1:9" ht="15.75" thickBot="1" x14ac:dyDescent="0.3">
      <c r="A8" s="837" t="s">
        <v>370</v>
      </c>
      <c r="B8" s="838"/>
      <c r="C8" s="838"/>
      <c r="D8" s="838"/>
      <c r="E8" s="839"/>
      <c r="F8" s="174">
        <f>[2]bölcsöde!F8+[2]óvoda!F8</f>
        <v>210000</v>
      </c>
      <c r="G8" s="174"/>
      <c r="H8" s="174">
        <f>G8+F8</f>
        <v>210000</v>
      </c>
      <c r="I8" s="174">
        <f t="shared" si="0"/>
        <v>210000</v>
      </c>
    </row>
    <row r="9" spans="1:9" ht="15.75" thickBot="1" x14ac:dyDescent="0.3">
      <c r="A9" s="858" t="s">
        <v>371</v>
      </c>
      <c r="B9" s="859"/>
      <c r="C9" s="859"/>
      <c r="D9" s="859"/>
      <c r="E9" s="860"/>
      <c r="F9" s="174">
        <f>[2]bölcsöde!F9+[2]óvoda!F9</f>
        <v>260820</v>
      </c>
      <c r="G9" s="174">
        <v>0</v>
      </c>
      <c r="H9" s="174">
        <f>G9+F9</f>
        <v>260820</v>
      </c>
      <c r="I9" s="174">
        <f t="shared" si="0"/>
        <v>260820</v>
      </c>
    </row>
    <row r="10" spans="1:9" s="403" customFormat="1" ht="15.75" thickBot="1" x14ac:dyDescent="0.3">
      <c r="A10" s="846" t="s">
        <v>372</v>
      </c>
      <c r="B10" s="847"/>
      <c r="C10" s="847"/>
      <c r="D10" s="847"/>
      <c r="E10" s="848"/>
      <c r="F10" s="407">
        <f>F5+F6+F7+F8+F9</f>
        <v>30927320</v>
      </c>
      <c r="G10" s="407">
        <v>0</v>
      </c>
      <c r="H10" s="407">
        <f>F10+G10</f>
        <v>30927320</v>
      </c>
      <c r="I10" s="174">
        <f t="shared" si="0"/>
        <v>30927320</v>
      </c>
    </row>
    <row r="11" spans="1:9" s="408" customFormat="1" ht="15.75" thickBot="1" x14ac:dyDescent="0.3">
      <c r="A11" s="837" t="s">
        <v>373</v>
      </c>
      <c r="B11" s="838"/>
      <c r="C11" s="838"/>
      <c r="D11" s="838"/>
      <c r="E11" s="839"/>
      <c r="F11" s="174">
        <f>[2]bölcsöde!F11+[2]óvoda!F11</f>
        <v>93000</v>
      </c>
      <c r="G11" s="174">
        <v>0</v>
      </c>
      <c r="H11" s="174">
        <f>F11+G11</f>
        <v>93000</v>
      </c>
      <c r="I11" s="174">
        <v>93000</v>
      </c>
    </row>
    <row r="12" spans="1:9" s="403" customFormat="1" ht="15.75" thickBot="1" x14ac:dyDescent="0.3">
      <c r="A12" s="840" t="s">
        <v>378</v>
      </c>
      <c r="B12" s="841"/>
      <c r="C12" s="841"/>
      <c r="D12" s="841"/>
      <c r="E12" s="842"/>
      <c r="F12" s="407">
        <f>F11</f>
        <v>93000</v>
      </c>
      <c r="G12" s="407">
        <f>G11</f>
        <v>0</v>
      </c>
      <c r="H12" s="407">
        <f>H11</f>
        <v>93000</v>
      </c>
      <c r="I12" s="407">
        <f>I11</f>
        <v>93000</v>
      </c>
    </row>
    <row r="13" spans="1:9" s="411" customFormat="1" ht="16.5" thickBot="1" x14ac:dyDescent="0.3">
      <c r="A13" s="852" t="s">
        <v>379</v>
      </c>
      <c r="B13" s="853"/>
      <c r="C13" s="853"/>
      <c r="D13" s="853"/>
      <c r="E13" s="854"/>
      <c r="F13" s="410">
        <f>F10+F12</f>
        <v>31020320</v>
      </c>
      <c r="G13" s="410">
        <f>G10+G12</f>
        <v>0</v>
      </c>
      <c r="H13" s="410">
        <f>H10+H12</f>
        <v>31020320</v>
      </c>
      <c r="I13" s="410">
        <f>I10+I12</f>
        <v>31020320</v>
      </c>
    </row>
    <row r="14" spans="1:9" s="411" customFormat="1" ht="16.5" thickBot="1" x14ac:dyDescent="0.3">
      <c r="A14" s="855" t="s">
        <v>380</v>
      </c>
      <c r="B14" s="856"/>
      <c r="C14" s="856"/>
      <c r="D14" s="856"/>
      <c r="E14" s="857"/>
      <c r="F14" s="410">
        <f>[2]bölcsöde!F14+[2]óvoda!F14</f>
        <v>7653446.8000000007</v>
      </c>
      <c r="G14" s="410">
        <f>'[3]bér+járulék'!E42</f>
        <v>0</v>
      </c>
      <c r="H14" s="410">
        <f>F14+G14</f>
        <v>7653446.8000000007</v>
      </c>
      <c r="I14" s="410">
        <v>7653450</v>
      </c>
    </row>
    <row r="15" spans="1:9" ht="15.75" thickBot="1" x14ac:dyDescent="0.3">
      <c r="A15" s="858" t="s">
        <v>381</v>
      </c>
      <c r="B15" s="859"/>
      <c r="C15" s="859"/>
      <c r="D15" s="859"/>
      <c r="E15" s="860"/>
      <c r="F15" s="174">
        <f>[2]bölcsöde!F15+[2]óvoda!F15</f>
        <v>117000</v>
      </c>
      <c r="G15" s="174">
        <f>[2]bölcsöde!G15+[2]óvoda!G15</f>
        <v>5850</v>
      </c>
      <c r="H15" s="174">
        <f>[2]bölcsöde!H15+[2]óvoda!H15</f>
        <v>122850</v>
      </c>
      <c r="I15" s="174">
        <v>122850</v>
      </c>
    </row>
    <row r="16" spans="1:9" ht="15.75" thickBot="1" x14ac:dyDescent="0.3">
      <c r="A16" s="837" t="s">
        <v>382</v>
      </c>
      <c r="B16" s="838"/>
      <c r="C16" s="838"/>
      <c r="D16" s="838"/>
      <c r="E16" s="839"/>
      <c r="F16" s="174">
        <f>[2]bölcsöde!F16+[2]óvoda!F16</f>
        <v>893700</v>
      </c>
      <c r="G16" s="174">
        <f>F16*27%</f>
        <v>241299.00000000003</v>
      </c>
      <c r="H16" s="174">
        <f>F16+G16</f>
        <v>1134999</v>
      </c>
      <c r="I16" s="174">
        <v>1135000</v>
      </c>
    </row>
    <row r="17" spans="1:9" ht="15.75" thickBot="1" x14ac:dyDescent="0.3">
      <c r="A17" s="846" t="s">
        <v>383</v>
      </c>
      <c r="B17" s="847"/>
      <c r="C17" s="847"/>
      <c r="D17" s="847"/>
      <c r="E17" s="848"/>
      <c r="F17" s="407">
        <f>F16+F15</f>
        <v>1010700</v>
      </c>
      <c r="G17" s="407">
        <f>G16+G15</f>
        <v>247149.00000000003</v>
      </c>
      <c r="H17" s="407">
        <f>H16+H15</f>
        <v>1257849</v>
      </c>
      <c r="I17" s="407">
        <f>I16+I15</f>
        <v>1257850</v>
      </c>
    </row>
    <row r="18" spans="1:9" ht="15.75" thickBot="1" x14ac:dyDescent="0.3">
      <c r="A18" s="849" t="s">
        <v>384</v>
      </c>
      <c r="B18" s="850"/>
      <c r="C18" s="850"/>
      <c r="D18" s="850"/>
      <c r="E18" s="851"/>
      <c r="F18" s="409">
        <f>[2]bölcsöde!F18+[2]óvoda!F18</f>
        <v>100000</v>
      </c>
      <c r="G18" s="409">
        <f>F18*27%</f>
        <v>27000</v>
      </c>
      <c r="H18" s="409">
        <f>F18+G18</f>
        <v>127000</v>
      </c>
      <c r="I18" s="174">
        <f>H18</f>
        <v>127000</v>
      </c>
    </row>
    <row r="19" spans="1:9" ht="15.75" thickBot="1" x14ac:dyDescent="0.3">
      <c r="A19" s="849" t="s">
        <v>385</v>
      </c>
      <c r="B19" s="850"/>
      <c r="C19" s="850"/>
      <c r="D19" s="850"/>
      <c r="E19" s="851"/>
      <c r="F19" s="409">
        <f>[2]bölcsöde!F19+[2]óvoda!F19</f>
        <v>80000</v>
      </c>
      <c r="G19" s="409">
        <f>F19*27%</f>
        <v>21600</v>
      </c>
      <c r="H19" s="409">
        <f>F19+G19</f>
        <v>101600</v>
      </c>
      <c r="I19" s="174">
        <f>H19</f>
        <v>101600</v>
      </c>
    </row>
    <row r="20" spans="1:9" ht="15.75" thickBot="1" x14ac:dyDescent="0.3">
      <c r="A20" s="843" t="s">
        <v>386</v>
      </c>
      <c r="B20" s="844"/>
      <c r="C20" s="844"/>
      <c r="D20" s="844"/>
      <c r="E20" s="845"/>
      <c r="F20" s="409">
        <f>[2]bölcsöde!F20+[2]óvoda!F20</f>
        <v>210000</v>
      </c>
      <c r="G20" s="409">
        <f>F20*27%</f>
        <v>56700.000000000007</v>
      </c>
      <c r="H20" s="409">
        <f>F20+G20</f>
        <v>266700</v>
      </c>
      <c r="I20" s="174">
        <v>266700</v>
      </c>
    </row>
    <row r="21" spans="1:9" ht="15.75" thickBot="1" x14ac:dyDescent="0.3">
      <c r="A21" s="843" t="s">
        <v>387</v>
      </c>
      <c r="B21" s="844"/>
      <c r="C21" s="844"/>
      <c r="D21" s="844"/>
      <c r="E21" s="845"/>
      <c r="F21" s="409">
        <f>[2]bölcsöde!F21+[2]óvoda!F21</f>
        <v>130000</v>
      </c>
      <c r="G21" s="409">
        <f>F21*27%</f>
        <v>35100</v>
      </c>
      <c r="H21" s="409">
        <f>F21+G21</f>
        <v>165100</v>
      </c>
      <c r="I21" s="174">
        <v>165100</v>
      </c>
    </row>
    <row r="22" spans="1:9" s="403" customFormat="1" ht="15.75" thickBot="1" x14ac:dyDescent="0.3">
      <c r="A22" s="846" t="s">
        <v>389</v>
      </c>
      <c r="B22" s="847"/>
      <c r="C22" s="847"/>
      <c r="D22" s="847"/>
      <c r="E22" s="848"/>
      <c r="F22" s="407">
        <f>F18+F19+F20+F21</f>
        <v>520000</v>
      </c>
      <c r="G22" s="407">
        <f>G18+G19+G20+G21</f>
        <v>140400</v>
      </c>
      <c r="H22" s="407">
        <f>H18+H19+H20+H21</f>
        <v>660400</v>
      </c>
      <c r="I22" s="407">
        <f>I18+I19+I20+I21</f>
        <v>660400</v>
      </c>
    </row>
    <row r="23" spans="1:9" s="403" customFormat="1" ht="15.75" thickBot="1" x14ac:dyDescent="0.3">
      <c r="A23" s="846" t="s">
        <v>390</v>
      </c>
      <c r="B23" s="847"/>
      <c r="C23" s="847"/>
      <c r="D23" s="847"/>
      <c r="E23" s="848"/>
      <c r="F23" s="407">
        <f>F22+F17</f>
        <v>1530700</v>
      </c>
      <c r="G23" s="407">
        <f>G22+G17</f>
        <v>387549</v>
      </c>
      <c r="H23" s="407">
        <f>H22+H17</f>
        <v>1918249</v>
      </c>
      <c r="I23" s="407">
        <f>I17+I22</f>
        <v>1918250</v>
      </c>
    </row>
    <row r="24" spans="1:9" s="403" customFormat="1" ht="15.75" thickBot="1" x14ac:dyDescent="0.3">
      <c r="A24" s="849" t="s">
        <v>393</v>
      </c>
      <c r="B24" s="850"/>
      <c r="C24" s="850"/>
      <c r="D24" s="850"/>
      <c r="E24" s="851"/>
      <c r="F24" s="409">
        <f>5565*12</f>
        <v>66780</v>
      </c>
      <c r="G24" s="409">
        <f>F24*5%</f>
        <v>3339</v>
      </c>
      <c r="H24" s="409">
        <f>F24+G24</f>
        <v>70119</v>
      </c>
      <c r="I24" s="409">
        <v>70120</v>
      </c>
    </row>
    <row r="25" spans="1:9" s="403" customFormat="1" ht="15.75" thickBot="1" x14ac:dyDescent="0.3">
      <c r="A25" s="846" t="s">
        <v>394</v>
      </c>
      <c r="B25" s="847"/>
      <c r="C25" s="847"/>
      <c r="D25" s="847"/>
      <c r="E25" s="848"/>
      <c r="F25" s="407">
        <f>F24</f>
        <v>66780</v>
      </c>
      <c r="G25" s="407">
        <f>G24</f>
        <v>3339</v>
      </c>
      <c r="H25" s="407">
        <f>H24</f>
        <v>70119</v>
      </c>
      <c r="I25" s="407">
        <f>I24</f>
        <v>70120</v>
      </c>
    </row>
    <row r="26" spans="1:9" ht="15.75" thickBot="1" x14ac:dyDescent="0.3">
      <c r="A26" s="849" t="s">
        <v>395</v>
      </c>
      <c r="B26" s="850"/>
      <c r="C26" s="850"/>
      <c r="D26" s="850"/>
      <c r="E26" s="851"/>
      <c r="F26" s="409">
        <v>352000</v>
      </c>
      <c r="G26" s="409">
        <f>F26*27%</f>
        <v>95040</v>
      </c>
      <c r="H26" s="409">
        <f>F26+G26</f>
        <v>447040</v>
      </c>
      <c r="I26" s="407">
        <f>H26</f>
        <v>447040</v>
      </c>
    </row>
    <row r="27" spans="1:9" s="403" customFormat="1" ht="15.75" thickBot="1" x14ac:dyDescent="0.3">
      <c r="A27" s="846" t="s">
        <v>396</v>
      </c>
      <c r="B27" s="847"/>
      <c r="C27" s="847"/>
      <c r="D27" s="847"/>
      <c r="E27" s="848"/>
      <c r="F27" s="407">
        <f>F26</f>
        <v>352000</v>
      </c>
      <c r="G27" s="407">
        <f>G26</f>
        <v>95040</v>
      </c>
      <c r="H27" s="407">
        <f>H26</f>
        <v>447040</v>
      </c>
      <c r="I27" s="407">
        <f>H27</f>
        <v>447040</v>
      </c>
    </row>
    <row r="28" spans="1:9" s="403" customFormat="1" ht="15.75" thickBot="1" x14ac:dyDescent="0.3">
      <c r="A28" s="846" t="s">
        <v>397</v>
      </c>
      <c r="B28" s="847"/>
      <c r="C28" s="847"/>
      <c r="D28" s="847"/>
      <c r="E28" s="848"/>
      <c r="F28" s="407">
        <f>F27+F25</f>
        <v>418780</v>
      </c>
      <c r="G28" s="407">
        <f>G27+G25</f>
        <v>98379</v>
      </c>
      <c r="H28" s="407">
        <f>H27+H25</f>
        <v>517159</v>
      </c>
      <c r="I28" s="407">
        <f>I27+I25</f>
        <v>517160</v>
      </c>
    </row>
    <row r="29" spans="1:9" s="408" customFormat="1" ht="15.75" thickBot="1" x14ac:dyDescent="0.3">
      <c r="A29" s="837" t="s">
        <v>398</v>
      </c>
      <c r="B29" s="838"/>
      <c r="C29" s="838"/>
      <c r="D29" s="838"/>
      <c r="E29" s="839"/>
      <c r="F29" s="174">
        <f>[2]bölcsöde!F27+[2]óvoda!F29</f>
        <v>190000</v>
      </c>
      <c r="G29" s="174">
        <f>F29*27%</f>
        <v>51300</v>
      </c>
      <c r="H29" s="174">
        <f>F29+G29</f>
        <v>241300</v>
      </c>
      <c r="I29" s="174">
        <v>241300</v>
      </c>
    </row>
    <row r="30" spans="1:9" s="408" customFormat="1" ht="15.75" thickBot="1" x14ac:dyDescent="0.3">
      <c r="A30" s="837" t="s">
        <v>399</v>
      </c>
      <c r="B30" s="838"/>
      <c r="C30" s="838"/>
      <c r="D30" s="838"/>
      <c r="E30" s="839"/>
      <c r="F30" s="174">
        <f>[2]bölcsöde!F28+[2]óvoda!F30</f>
        <v>1100000</v>
      </c>
      <c r="G30" s="174">
        <f>F30*27%</f>
        <v>297000</v>
      </c>
      <c r="H30" s="174">
        <f>F30+G30</f>
        <v>1397000</v>
      </c>
      <c r="I30" s="174">
        <v>1397000</v>
      </c>
    </row>
    <row r="31" spans="1:9" s="408" customFormat="1" ht="15.75" thickBot="1" x14ac:dyDescent="0.3">
      <c r="A31" s="837" t="s">
        <v>400</v>
      </c>
      <c r="B31" s="838"/>
      <c r="C31" s="838"/>
      <c r="D31" s="838"/>
      <c r="E31" s="839"/>
      <c r="F31" s="174">
        <f>[2]bölcsöde!F29+[2]óvoda!F31</f>
        <v>640000</v>
      </c>
      <c r="G31" s="174">
        <f>F31*27%</f>
        <v>172800</v>
      </c>
      <c r="H31" s="174">
        <f>F31+G31</f>
        <v>812800</v>
      </c>
      <c r="I31" s="174">
        <v>812800</v>
      </c>
    </row>
    <row r="32" spans="1:9" s="403" customFormat="1" ht="15.75" thickBot="1" x14ac:dyDescent="0.3">
      <c r="A32" s="840" t="s">
        <v>401</v>
      </c>
      <c r="B32" s="841"/>
      <c r="C32" s="841"/>
      <c r="D32" s="841"/>
      <c r="E32" s="842"/>
      <c r="F32" s="407">
        <f>F29+F30+F31</f>
        <v>1930000</v>
      </c>
      <c r="G32" s="407">
        <f>G29+G30+G31</f>
        <v>521100</v>
      </c>
      <c r="H32" s="407">
        <f>H29+H30+H31</f>
        <v>2451100</v>
      </c>
      <c r="I32" s="407">
        <f>I29+I30+I31</f>
        <v>2451100</v>
      </c>
    </row>
    <row r="33" spans="1:9" ht="15.75" thickBot="1" x14ac:dyDescent="0.3">
      <c r="A33" s="843" t="s">
        <v>402</v>
      </c>
      <c r="B33" s="844"/>
      <c r="C33" s="844"/>
      <c r="D33" s="844"/>
      <c r="E33" s="845"/>
      <c r="F33" s="409">
        <f>[2]bölcsöde!F31+[2]óvoda!F33</f>
        <v>260000</v>
      </c>
      <c r="G33" s="409">
        <f>F33*27%</f>
        <v>70200</v>
      </c>
      <c r="H33" s="409">
        <f>F33+G33</f>
        <v>330200</v>
      </c>
      <c r="I33" s="407">
        <f>H33</f>
        <v>330200</v>
      </c>
    </row>
    <row r="34" spans="1:9" ht="15.75" thickBot="1" x14ac:dyDescent="0.3">
      <c r="A34" s="843" t="s">
        <v>403</v>
      </c>
      <c r="B34" s="844"/>
      <c r="C34" s="844"/>
      <c r="D34" s="844"/>
      <c r="E34" s="845"/>
      <c r="F34" s="409">
        <f>[2]bölcsöde!F32+[2]óvoda!F34</f>
        <v>60000</v>
      </c>
      <c r="G34" s="409">
        <f>F34*27%</f>
        <v>16200.000000000002</v>
      </c>
      <c r="H34" s="409">
        <f>F34+G34</f>
        <v>76200</v>
      </c>
      <c r="I34" s="407">
        <v>76200</v>
      </c>
    </row>
    <row r="35" spans="1:9" s="403" customFormat="1" ht="15.75" thickBot="1" x14ac:dyDescent="0.3">
      <c r="A35" s="840" t="s">
        <v>404</v>
      </c>
      <c r="B35" s="841"/>
      <c r="C35" s="841"/>
      <c r="D35" s="841"/>
      <c r="E35" s="842"/>
      <c r="F35" s="407">
        <f>F34</f>
        <v>60000</v>
      </c>
      <c r="G35" s="407">
        <f>G34</f>
        <v>16200.000000000002</v>
      </c>
      <c r="H35" s="407">
        <f>H34</f>
        <v>76200</v>
      </c>
      <c r="I35" s="407">
        <f>I34</f>
        <v>76200</v>
      </c>
    </row>
    <row r="36" spans="1:9" ht="15.75" thickBot="1" x14ac:dyDescent="0.3">
      <c r="A36" s="843" t="s">
        <v>405</v>
      </c>
      <c r="B36" s="844"/>
      <c r="C36" s="844"/>
      <c r="D36" s="844"/>
      <c r="E36" s="845"/>
      <c r="F36" s="409">
        <f>[2]bölcsöde!F34+[2]óvoda!F36</f>
        <v>20000</v>
      </c>
      <c r="G36" s="409">
        <f>F36*27%</f>
        <v>5400</v>
      </c>
      <c r="H36" s="409">
        <f>F36+G36</f>
        <v>25400</v>
      </c>
      <c r="I36" s="407">
        <f>H36</f>
        <v>25400</v>
      </c>
    </row>
    <row r="37" spans="1:9" s="403" customFormat="1" ht="15.75" thickBot="1" x14ac:dyDescent="0.3">
      <c r="A37" s="840" t="s">
        <v>413</v>
      </c>
      <c r="B37" s="841"/>
      <c r="C37" s="841"/>
      <c r="D37" s="841"/>
      <c r="E37" s="842"/>
      <c r="F37" s="407">
        <f>F36</f>
        <v>20000</v>
      </c>
      <c r="G37" s="407">
        <f>G36</f>
        <v>5400</v>
      </c>
      <c r="H37" s="407">
        <f>H36</f>
        <v>25400</v>
      </c>
      <c r="I37" s="407">
        <f>I36</f>
        <v>25400</v>
      </c>
    </row>
    <row r="38" spans="1:9" s="403" customFormat="1" ht="15.75" thickBot="1" x14ac:dyDescent="0.3">
      <c r="A38" s="840" t="s">
        <v>414</v>
      </c>
      <c r="B38" s="841"/>
      <c r="C38" s="841"/>
      <c r="D38" s="841"/>
      <c r="E38" s="842"/>
      <c r="F38" s="407">
        <f>F32+F33+F35+F37</f>
        <v>2270000</v>
      </c>
      <c r="G38" s="407">
        <f>G32+G33+G35+G37</f>
        <v>612900</v>
      </c>
      <c r="H38" s="407">
        <f>H32+H33+H35+H37</f>
        <v>2882900</v>
      </c>
      <c r="I38" s="407">
        <f>I32+I33+I35+I37</f>
        <v>2882900</v>
      </c>
    </row>
    <row r="39" spans="1:9" ht="15.75" thickBot="1" x14ac:dyDescent="0.3">
      <c r="A39" s="843" t="s">
        <v>415</v>
      </c>
      <c r="B39" s="844"/>
      <c r="C39" s="844"/>
      <c r="D39" s="844"/>
      <c r="E39" s="845"/>
      <c r="F39" s="409">
        <f>[2]bölcsöde!F37+[2]óvoda!F39</f>
        <v>120000</v>
      </c>
      <c r="G39" s="409">
        <v>0</v>
      </c>
      <c r="H39" s="174">
        <f>F39+G39</f>
        <v>120000</v>
      </c>
      <c r="I39" s="407">
        <f>H39</f>
        <v>120000</v>
      </c>
    </row>
    <row r="40" spans="1:9" s="403" customFormat="1" ht="15.75" thickBot="1" x14ac:dyDescent="0.3">
      <c r="A40" s="840" t="s">
        <v>417</v>
      </c>
      <c r="B40" s="841"/>
      <c r="C40" s="841"/>
      <c r="D40" s="841"/>
      <c r="E40" s="842"/>
      <c r="F40" s="407">
        <f>F39</f>
        <v>120000</v>
      </c>
      <c r="G40" s="407">
        <f>G39</f>
        <v>0</v>
      </c>
      <c r="H40" s="407">
        <f>H39</f>
        <v>120000</v>
      </c>
      <c r="I40" s="407">
        <f>H40</f>
        <v>120000</v>
      </c>
    </row>
    <row r="41" spans="1:9" ht="15.75" thickBot="1" x14ac:dyDescent="0.3">
      <c r="A41" s="843" t="s">
        <v>418</v>
      </c>
      <c r="B41" s="844"/>
      <c r="C41" s="844"/>
      <c r="D41" s="844"/>
      <c r="E41" s="845"/>
      <c r="F41" s="409">
        <v>0</v>
      </c>
      <c r="G41" s="409">
        <f>[2]bölcsöde!G39+[2]óvoda!G41</f>
        <v>1119013.2</v>
      </c>
      <c r="H41" s="409">
        <f>G41</f>
        <v>1119013.2</v>
      </c>
      <c r="I41" s="409">
        <v>1119015</v>
      </c>
    </row>
    <row r="42" spans="1:9" ht="15.75" thickBot="1" x14ac:dyDescent="0.3">
      <c r="A42" s="843" t="s">
        <v>421</v>
      </c>
      <c r="B42" s="844"/>
      <c r="C42" s="844"/>
      <c r="D42" s="844"/>
      <c r="E42" s="845"/>
      <c r="F42" s="409">
        <f>[2]bölcsöde!F40+[2]óvoda!F42</f>
        <v>25000</v>
      </c>
      <c r="G42" s="409">
        <v>0</v>
      </c>
      <c r="H42" s="409">
        <f>F42+G42</f>
        <v>25000</v>
      </c>
      <c r="I42" s="407">
        <f>H42</f>
        <v>25000</v>
      </c>
    </row>
    <row r="43" spans="1:9" s="403" customFormat="1" ht="15.75" thickBot="1" x14ac:dyDescent="0.3">
      <c r="A43" s="840" t="s">
        <v>419</v>
      </c>
      <c r="B43" s="841"/>
      <c r="C43" s="841"/>
      <c r="D43" s="841"/>
      <c r="E43" s="842"/>
      <c r="F43" s="407">
        <f>F41+F42</f>
        <v>25000</v>
      </c>
      <c r="G43" s="407">
        <f>G41</f>
        <v>1119013.2</v>
      </c>
      <c r="H43" s="407">
        <f>H41+H42</f>
        <v>1144013.2</v>
      </c>
      <c r="I43" s="407">
        <f>I41++I42</f>
        <v>1144015</v>
      </c>
    </row>
    <row r="44" spans="1:9" s="403" customFormat="1" ht="15.75" thickBot="1" x14ac:dyDescent="0.3">
      <c r="A44" s="840" t="s">
        <v>420</v>
      </c>
      <c r="B44" s="841"/>
      <c r="C44" s="841"/>
      <c r="D44" s="841"/>
      <c r="E44" s="842"/>
      <c r="F44" s="407">
        <f>[2]bölcsöde!F42+[2]óvoda!F44</f>
        <v>4439240</v>
      </c>
      <c r="G44" s="407">
        <f>G43</f>
        <v>1119013.2</v>
      </c>
      <c r="H44" s="407">
        <f t="shared" ref="H44:H60" si="1">F44+G44</f>
        <v>5558253.2000000002</v>
      </c>
      <c r="I44" s="407">
        <v>5558255</v>
      </c>
    </row>
    <row r="45" spans="1:9" s="408" customFormat="1" ht="15.75" thickBot="1" x14ac:dyDescent="0.3">
      <c r="A45" s="837" t="s">
        <v>166</v>
      </c>
      <c r="B45" s="838"/>
      <c r="C45" s="838"/>
      <c r="D45" s="838"/>
      <c r="E45" s="839"/>
      <c r="F45" s="174">
        <v>50000</v>
      </c>
      <c r="G45" s="174">
        <f>F45*5%</f>
        <v>2500</v>
      </c>
      <c r="H45" s="174">
        <f t="shared" si="1"/>
        <v>52500</v>
      </c>
      <c r="I45" s="174">
        <v>52500</v>
      </c>
    </row>
    <row r="46" spans="1:9" s="408" customFormat="1" ht="15.75" thickBot="1" x14ac:dyDescent="0.3">
      <c r="A46" s="837" t="s">
        <v>167</v>
      </c>
      <c r="B46" s="838"/>
      <c r="C46" s="838"/>
      <c r="D46" s="838"/>
      <c r="E46" s="839"/>
      <c r="F46" s="174">
        <v>70000</v>
      </c>
      <c r="G46" s="174">
        <f t="shared" ref="G46:G60" si="2">F46*27%</f>
        <v>18900</v>
      </c>
      <c r="H46" s="174">
        <f t="shared" si="1"/>
        <v>88900</v>
      </c>
      <c r="I46" s="174">
        <v>88900</v>
      </c>
    </row>
    <row r="47" spans="1:9" s="408" customFormat="1" ht="15.75" thickBot="1" x14ac:dyDescent="0.3">
      <c r="A47" s="837" t="s">
        <v>168</v>
      </c>
      <c r="B47" s="838"/>
      <c r="C47" s="838"/>
      <c r="D47" s="838"/>
      <c r="E47" s="839"/>
      <c r="F47" s="174">
        <f>[2]bölcsöde!F45+[2]óvoda!F47</f>
        <v>24000</v>
      </c>
      <c r="G47" s="174">
        <f t="shared" si="2"/>
        <v>6480</v>
      </c>
      <c r="H47" s="174">
        <f t="shared" si="1"/>
        <v>30480</v>
      </c>
      <c r="I47" s="174">
        <v>30480</v>
      </c>
    </row>
    <row r="48" spans="1:9" s="408" customFormat="1" ht="15.75" thickBot="1" x14ac:dyDescent="0.3">
      <c r="A48" s="837" t="s">
        <v>169</v>
      </c>
      <c r="B48" s="838"/>
      <c r="C48" s="838"/>
      <c r="D48" s="838"/>
      <c r="E48" s="839"/>
      <c r="F48" s="174">
        <v>50000</v>
      </c>
      <c r="G48" s="174">
        <f t="shared" si="2"/>
        <v>13500</v>
      </c>
      <c r="H48" s="174">
        <f t="shared" si="1"/>
        <v>63500</v>
      </c>
      <c r="I48" s="174">
        <v>63500</v>
      </c>
    </row>
    <row r="49" spans="1:9" s="408" customFormat="1" ht="15.75" thickBot="1" x14ac:dyDescent="0.3">
      <c r="A49" s="837" t="s">
        <v>170</v>
      </c>
      <c r="B49" s="838"/>
      <c r="C49" s="838"/>
      <c r="D49" s="838"/>
      <c r="E49" s="839"/>
      <c r="F49" s="174">
        <v>40000</v>
      </c>
      <c r="G49" s="174">
        <f t="shared" si="2"/>
        <v>10800</v>
      </c>
      <c r="H49" s="174">
        <f t="shared" si="1"/>
        <v>50800</v>
      </c>
      <c r="I49" s="174">
        <v>50800</v>
      </c>
    </row>
    <row r="50" spans="1:9" s="408" customFormat="1" ht="15.75" thickBot="1" x14ac:dyDescent="0.3">
      <c r="A50" s="837" t="s">
        <v>171</v>
      </c>
      <c r="B50" s="838"/>
      <c r="C50" s="838"/>
      <c r="D50" s="838"/>
      <c r="E50" s="839"/>
      <c r="F50" s="174">
        <v>10000</v>
      </c>
      <c r="G50" s="174">
        <f>F50*27%</f>
        <v>2700</v>
      </c>
      <c r="H50" s="174">
        <f t="shared" si="1"/>
        <v>12700</v>
      </c>
      <c r="I50" s="174">
        <v>12700</v>
      </c>
    </row>
    <row r="51" spans="1:9" s="408" customFormat="1" ht="15.75" thickBot="1" x14ac:dyDescent="0.3">
      <c r="A51" s="837" t="s">
        <v>172</v>
      </c>
      <c r="B51" s="838"/>
      <c r="C51" s="838"/>
      <c r="D51" s="838"/>
      <c r="E51" s="839"/>
      <c r="F51" s="174">
        <v>25000</v>
      </c>
      <c r="G51" s="174">
        <f t="shared" si="2"/>
        <v>6750</v>
      </c>
      <c r="H51" s="174">
        <f t="shared" si="1"/>
        <v>31750</v>
      </c>
      <c r="I51" s="174">
        <v>31750</v>
      </c>
    </row>
    <row r="52" spans="1:9" s="408" customFormat="1" ht="15.75" thickBot="1" x14ac:dyDescent="0.3">
      <c r="A52" s="837" t="s">
        <v>173</v>
      </c>
      <c r="B52" s="838"/>
      <c r="C52" s="838"/>
      <c r="D52" s="838"/>
      <c r="E52" s="839"/>
      <c r="F52" s="174">
        <v>30000</v>
      </c>
      <c r="G52" s="174">
        <f>F52*27%</f>
        <v>8100.0000000000009</v>
      </c>
      <c r="H52" s="174">
        <f t="shared" si="1"/>
        <v>38100</v>
      </c>
      <c r="I52" s="174">
        <v>38100</v>
      </c>
    </row>
    <row r="53" spans="1:9" s="408" customFormat="1" ht="15.75" thickBot="1" x14ac:dyDescent="0.3">
      <c r="A53" s="837" t="s">
        <v>174</v>
      </c>
      <c r="B53" s="838"/>
      <c r="C53" s="838"/>
      <c r="D53" s="838"/>
      <c r="E53" s="839"/>
      <c r="F53" s="174">
        <v>80000</v>
      </c>
      <c r="G53" s="174">
        <f t="shared" si="2"/>
        <v>21600</v>
      </c>
      <c r="H53" s="174">
        <f t="shared" si="1"/>
        <v>101600</v>
      </c>
      <c r="I53" s="174">
        <v>101600</v>
      </c>
    </row>
    <row r="54" spans="1:9" s="408" customFormat="1" ht="15.75" thickBot="1" x14ac:dyDescent="0.3">
      <c r="A54" s="837" t="s">
        <v>175</v>
      </c>
      <c r="B54" s="838"/>
      <c r="C54" s="838"/>
      <c r="D54" s="838"/>
      <c r="E54" s="839"/>
      <c r="F54" s="174">
        <v>25000</v>
      </c>
      <c r="G54" s="174">
        <f t="shared" si="2"/>
        <v>6750</v>
      </c>
      <c r="H54" s="174">
        <f t="shared" si="1"/>
        <v>31750</v>
      </c>
      <c r="I54" s="174">
        <v>31750</v>
      </c>
    </row>
    <row r="55" spans="1:9" s="408" customFormat="1" ht="15.75" thickBot="1" x14ac:dyDescent="0.3">
      <c r="A55" s="837" t="s">
        <v>176</v>
      </c>
      <c r="B55" s="838"/>
      <c r="C55" s="838"/>
      <c r="D55" s="838"/>
      <c r="E55" s="839"/>
      <c r="F55" s="174">
        <v>120000</v>
      </c>
      <c r="G55" s="174">
        <f t="shared" si="2"/>
        <v>32400.000000000004</v>
      </c>
      <c r="H55" s="174">
        <f t="shared" si="1"/>
        <v>152400</v>
      </c>
      <c r="I55" s="174">
        <v>152400</v>
      </c>
    </row>
    <row r="56" spans="1:9" s="408" customFormat="1" ht="15.75" thickBot="1" x14ac:dyDescent="0.3">
      <c r="A56" s="837" t="s">
        <v>177</v>
      </c>
      <c r="B56" s="838"/>
      <c r="C56" s="838"/>
      <c r="D56" s="838"/>
      <c r="E56" s="839"/>
      <c r="F56" s="174">
        <v>100000</v>
      </c>
      <c r="G56" s="174">
        <f t="shared" si="2"/>
        <v>27000</v>
      </c>
      <c r="H56" s="174">
        <f t="shared" si="1"/>
        <v>127000</v>
      </c>
      <c r="I56" s="174">
        <v>127000</v>
      </c>
    </row>
    <row r="57" spans="1:9" s="408" customFormat="1" ht="15.75" thickBot="1" x14ac:dyDescent="0.3">
      <c r="A57" s="837" t="s">
        <v>179</v>
      </c>
      <c r="B57" s="838"/>
      <c r="C57" s="838"/>
      <c r="D57" s="838"/>
      <c r="E57" s="839"/>
      <c r="F57" s="174">
        <v>50000</v>
      </c>
      <c r="G57" s="174">
        <f t="shared" si="2"/>
        <v>13500</v>
      </c>
      <c r="H57" s="174">
        <f t="shared" si="1"/>
        <v>63500</v>
      </c>
      <c r="I57" s="174">
        <v>63500</v>
      </c>
    </row>
    <row r="58" spans="1:9" s="408" customFormat="1" ht="15.75" thickBot="1" x14ac:dyDescent="0.3">
      <c r="A58" s="837" t="s">
        <v>180</v>
      </c>
      <c r="B58" s="838"/>
      <c r="C58" s="838"/>
      <c r="D58" s="838"/>
      <c r="E58" s="839"/>
      <c r="F58" s="174">
        <v>20000</v>
      </c>
      <c r="G58" s="174">
        <f t="shared" si="2"/>
        <v>5400</v>
      </c>
      <c r="H58" s="174">
        <f t="shared" si="1"/>
        <v>25400</v>
      </c>
      <c r="I58" s="174">
        <v>25400</v>
      </c>
    </row>
    <row r="59" spans="1:9" s="408" customFormat="1" ht="15.75" thickBot="1" x14ac:dyDescent="0.3">
      <c r="A59" s="837" t="s">
        <v>181</v>
      </c>
      <c r="B59" s="838"/>
      <c r="C59" s="838"/>
      <c r="D59" s="838"/>
      <c r="E59" s="839"/>
      <c r="F59" s="174">
        <v>50000</v>
      </c>
      <c r="G59" s="174">
        <f t="shared" si="2"/>
        <v>13500</v>
      </c>
      <c r="H59" s="174">
        <f t="shared" si="1"/>
        <v>63500</v>
      </c>
      <c r="I59" s="174">
        <v>63500</v>
      </c>
    </row>
    <row r="60" spans="1:9" s="408" customFormat="1" ht="15.75" thickBot="1" x14ac:dyDescent="0.3">
      <c r="A60" s="837" t="s">
        <v>182</v>
      </c>
      <c r="B60" s="838"/>
      <c r="C60" s="838"/>
      <c r="D60" s="838"/>
      <c r="E60" s="839"/>
      <c r="F60" s="174">
        <v>80000</v>
      </c>
      <c r="G60" s="174">
        <f t="shared" si="2"/>
        <v>21600</v>
      </c>
      <c r="H60" s="174">
        <f t="shared" si="1"/>
        <v>101600</v>
      </c>
      <c r="I60" s="174">
        <v>101600</v>
      </c>
    </row>
    <row r="61" spans="1:9" s="403" customFormat="1" ht="15.75" thickBot="1" x14ac:dyDescent="0.3">
      <c r="A61" s="840" t="s">
        <v>422</v>
      </c>
      <c r="B61" s="841"/>
      <c r="C61" s="841"/>
      <c r="D61" s="841"/>
      <c r="E61" s="842"/>
      <c r="F61" s="407">
        <f>SUM(F45:F60)</f>
        <v>824000</v>
      </c>
      <c r="G61" s="407">
        <f>SUM(G45:G60)</f>
        <v>211480</v>
      </c>
      <c r="H61" s="407">
        <f>SUM(H45:H60)</f>
        <v>1035480</v>
      </c>
      <c r="I61" s="407">
        <f>SUM(I45:I60)</f>
        <v>1035480</v>
      </c>
    </row>
    <row r="62" spans="1:9" s="403" customFormat="1" ht="15.75" thickBot="1" x14ac:dyDescent="0.3">
      <c r="A62" s="840" t="s">
        <v>423</v>
      </c>
      <c r="B62" s="841"/>
      <c r="C62" s="841"/>
      <c r="D62" s="841"/>
      <c r="E62" s="842"/>
      <c r="F62" s="407"/>
      <c r="G62" s="407">
        <f>G61</f>
        <v>211480</v>
      </c>
      <c r="H62" s="407">
        <f>F62+G62</f>
        <v>211480</v>
      </c>
      <c r="I62" s="407">
        <v>160990</v>
      </c>
    </row>
    <row r="63" spans="1:9" s="413" customFormat="1" ht="19.5" thickBot="1" x14ac:dyDescent="0.35">
      <c r="A63" s="834" t="s">
        <v>424</v>
      </c>
      <c r="B63" s="835"/>
      <c r="C63" s="835"/>
      <c r="D63" s="835"/>
      <c r="E63" s="836"/>
      <c r="F63" s="412">
        <f>[2]bölcsöde!F50+[2]óvoda!F59</f>
        <v>43937006.799999997</v>
      </c>
      <c r="G63" s="412">
        <f>G62+G41</f>
        <v>1330493.2</v>
      </c>
      <c r="H63" s="412">
        <f>[2]bölcsöde!H50+[2]óvoda!H59</f>
        <v>45267500</v>
      </c>
      <c r="I63" s="412">
        <f>[2]bölcsöde!I50+[2]óvoda!I59</f>
        <v>45267505</v>
      </c>
    </row>
  </sheetData>
  <mergeCells count="61">
    <mergeCell ref="A8:E8"/>
    <mergeCell ref="C2:H2"/>
    <mergeCell ref="A4:E4"/>
    <mergeCell ref="A5:E5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63:E63"/>
    <mergeCell ref="A57:E57"/>
    <mergeCell ref="A58:E58"/>
    <mergeCell ref="A59:E59"/>
    <mergeCell ref="A60:E60"/>
    <mergeCell ref="A61:E61"/>
    <mergeCell ref="A62:E6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3" workbookViewId="0">
      <selection activeCell="I70" sqref="I70"/>
    </sheetView>
  </sheetViews>
  <sheetFormatPr defaultRowHeight="15" x14ac:dyDescent="0.25"/>
  <cols>
    <col min="5" max="5" width="16.5703125" customWidth="1"/>
    <col min="6" max="6" width="14.42578125" style="402" customWidth="1"/>
    <col min="7" max="7" width="10.42578125" style="402" bestFit="1" customWidth="1"/>
    <col min="8" max="8" width="15.85546875" bestFit="1" customWidth="1"/>
    <col min="9" max="9" width="14" style="402" bestFit="1" customWidth="1"/>
    <col min="261" max="261" width="16.5703125" customWidth="1"/>
    <col min="262" max="262" width="14.42578125" customWidth="1"/>
    <col min="263" max="263" width="10.42578125" bestFit="1" customWidth="1"/>
    <col min="264" max="264" width="15.85546875" bestFit="1" customWidth="1"/>
    <col min="265" max="265" width="14" bestFit="1" customWidth="1"/>
    <col min="517" max="517" width="16.5703125" customWidth="1"/>
    <col min="518" max="518" width="14.42578125" customWidth="1"/>
    <col min="519" max="519" width="10.42578125" bestFit="1" customWidth="1"/>
    <col min="520" max="520" width="15.85546875" bestFit="1" customWidth="1"/>
    <col min="521" max="521" width="14" bestFit="1" customWidth="1"/>
    <col min="773" max="773" width="16.5703125" customWidth="1"/>
    <col min="774" max="774" width="14.42578125" customWidth="1"/>
    <col min="775" max="775" width="10.42578125" bestFit="1" customWidth="1"/>
    <col min="776" max="776" width="15.85546875" bestFit="1" customWidth="1"/>
    <col min="777" max="777" width="14" bestFit="1" customWidth="1"/>
    <col min="1029" max="1029" width="16.5703125" customWidth="1"/>
    <col min="1030" max="1030" width="14.42578125" customWidth="1"/>
    <col min="1031" max="1031" width="10.42578125" bestFit="1" customWidth="1"/>
    <col min="1032" max="1032" width="15.85546875" bestFit="1" customWidth="1"/>
    <col min="1033" max="1033" width="14" bestFit="1" customWidth="1"/>
    <col min="1285" max="1285" width="16.5703125" customWidth="1"/>
    <col min="1286" max="1286" width="14.42578125" customWidth="1"/>
    <col min="1287" max="1287" width="10.42578125" bestFit="1" customWidth="1"/>
    <col min="1288" max="1288" width="15.85546875" bestFit="1" customWidth="1"/>
    <col min="1289" max="1289" width="14" bestFit="1" customWidth="1"/>
    <col min="1541" max="1541" width="16.5703125" customWidth="1"/>
    <col min="1542" max="1542" width="14.42578125" customWidth="1"/>
    <col min="1543" max="1543" width="10.42578125" bestFit="1" customWidth="1"/>
    <col min="1544" max="1544" width="15.85546875" bestFit="1" customWidth="1"/>
    <col min="1545" max="1545" width="14" bestFit="1" customWidth="1"/>
    <col min="1797" max="1797" width="16.5703125" customWidth="1"/>
    <col min="1798" max="1798" width="14.42578125" customWidth="1"/>
    <col min="1799" max="1799" width="10.42578125" bestFit="1" customWidth="1"/>
    <col min="1800" max="1800" width="15.85546875" bestFit="1" customWidth="1"/>
    <col min="1801" max="1801" width="14" bestFit="1" customWidth="1"/>
    <col min="2053" max="2053" width="16.5703125" customWidth="1"/>
    <col min="2054" max="2054" width="14.42578125" customWidth="1"/>
    <col min="2055" max="2055" width="10.42578125" bestFit="1" customWidth="1"/>
    <col min="2056" max="2056" width="15.85546875" bestFit="1" customWidth="1"/>
    <col min="2057" max="2057" width="14" bestFit="1" customWidth="1"/>
    <col min="2309" max="2309" width="16.5703125" customWidth="1"/>
    <col min="2310" max="2310" width="14.42578125" customWidth="1"/>
    <col min="2311" max="2311" width="10.42578125" bestFit="1" customWidth="1"/>
    <col min="2312" max="2312" width="15.85546875" bestFit="1" customWidth="1"/>
    <col min="2313" max="2313" width="14" bestFit="1" customWidth="1"/>
    <col min="2565" max="2565" width="16.5703125" customWidth="1"/>
    <col min="2566" max="2566" width="14.42578125" customWidth="1"/>
    <col min="2567" max="2567" width="10.42578125" bestFit="1" customWidth="1"/>
    <col min="2568" max="2568" width="15.85546875" bestFit="1" customWidth="1"/>
    <col min="2569" max="2569" width="14" bestFit="1" customWidth="1"/>
    <col min="2821" max="2821" width="16.5703125" customWidth="1"/>
    <col min="2822" max="2822" width="14.42578125" customWidth="1"/>
    <col min="2823" max="2823" width="10.42578125" bestFit="1" customWidth="1"/>
    <col min="2824" max="2824" width="15.85546875" bestFit="1" customWidth="1"/>
    <col min="2825" max="2825" width="14" bestFit="1" customWidth="1"/>
    <col min="3077" max="3077" width="16.5703125" customWidth="1"/>
    <col min="3078" max="3078" width="14.42578125" customWidth="1"/>
    <col min="3079" max="3079" width="10.42578125" bestFit="1" customWidth="1"/>
    <col min="3080" max="3080" width="15.85546875" bestFit="1" customWidth="1"/>
    <col min="3081" max="3081" width="14" bestFit="1" customWidth="1"/>
    <col min="3333" max="3333" width="16.5703125" customWidth="1"/>
    <col min="3334" max="3334" width="14.42578125" customWidth="1"/>
    <col min="3335" max="3335" width="10.42578125" bestFit="1" customWidth="1"/>
    <col min="3336" max="3336" width="15.85546875" bestFit="1" customWidth="1"/>
    <col min="3337" max="3337" width="14" bestFit="1" customWidth="1"/>
    <col min="3589" max="3589" width="16.5703125" customWidth="1"/>
    <col min="3590" max="3590" width="14.42578125" customWidth="1"/>
    <col min="3591" max="3591" width="10.42578125" bestFit="1" customWidth="1"/>
    <col min="3592" max="3592" width="15.85546875" bestFit="1" customWidth="1"/>
    <col min="3593" max="3593" width="14" bestFit="1" customWidth="1"/>
    <col min="3845" max="3845" width="16.5703125" customWidth="1"/>
    <col min="3846" max="3846" width="14.42578125" customWidth="1"/>
    <col min="3847" max="3847" width="10.42578125" bestFit="1" customWidth="1"/>
    <col min="3848" max="3848" width="15.85546875" bestFit="1" customWidth="1"/>
    <col min="3849" max="3849" width="14" bestFit="1" customWidth="1"/>
    <col min="4101" max="4101" width="16.5703125" customWidth="1"/>
    <col min="4102" max="4102" width="14.42578125" customWidth="1"/>
    <col min="4103" max="4103" width="10.42578125" bestFit="1" customWidth="1"/>
    <col min="4104" max="4104" width="15.85546875" bestFit="1" customWidth="1"/>
    <col min="4105" max="4105" width="14" bestFit="1" customWidth="1"/>
    <col min="4357" max="4357" width="16.5703125" customWidth="1"/>
    <col min="4358" max="4358" width="14.42578125" customWidth="1"/>
    <col min="4359" max="4359" width="10.42578125" bestFit="1" customWidth="1"/>
    <col min="4360" max="4360" width="15.85546875" bestFit="1" customWidth="1"/>
    <col min="4361" max="4361" width="14" bestFit="1" customWidth="1"/>
    <col min="4613" max="4613" width="16.5703125" customWidth="1"/>
    <col min="4614" max="4614" width="14.42578125" customWidth="1"/>
    <col min="4615" max="4615" width="10.42578125" bestFit="1" customWidth="1"/>
    <col min="4616" max="4616" width="15.85546875" bestFit="1" customWidth="1"/>
    <col min="4617" max="4617" width="14" bestFit="1" customWidth="1"/>
    <col min="4869" max="4869" width="16.5703125" customWidth="1"/>
    <col min="4870" max="4870" width="14.42578125" customWidth="1"/>
    <col min="4871" max="4871" width="10.42578125" bestFit="1" customWidth="1"/>
    <col min="4872" max="4872" width="15.85546875" bestFit="1" customWidth="1"/>
    <col min="4873" max="4873" width="14" bestFit="1" customWidth="1"/>
    <col min="5125" max="5125" width="16.5703125" customWidth="1"/>
    <col min="5126" max="5126" width="14.42578125" customWidth="1"/>
    <col min="5127" max="5127" width="10.42578125" bestFit="1" customWidth="1"/>
    <col min="5128" max="5128" width="15.85546875" bestFit="1" customWidth="1"/>
    <col min="5129" max="5129" width="14" bestFit="1" customWidth="1"/>
    <col min="5381" max="5381" width="16.5703125" customWidth="1"/>
    <col min="5382" max="5382" width="14.42578125" customWidth="1"/>
    <col min="5383" max="5383" width="10.42578125" bestFit="1" customWidth="1"/>
    <col min="5384" max="5384" width="15.85546875" bestFit="1" customWidth="1"/>
    <col min="5385" max="5385" width="14" bestFit="1" customWidth="1"/>
    <col min="5637" max="5637" width="16.5703125" customWidth="1"/>
    <col min="5638" max="5638" width="14.42578125" customWidth="1"/>
    <col min="5639" max="5639" width="10.42578125" bestFit="1" customWidth="1"/>
    <col min="5640" max="5640" width="15.85546875" bestFit="1" customWidth="1"/>
    <col min="5641" max="5641" width="14" bestFit="1" customWidth="1"/>
    <col min="5893" max="5893" width="16.5703125" customWidth="1"/>
    <col min="5894" max="5894" width="14.42578125" customWidth="1"/>
    <col min="5895" max="5895" width="10.42578125" bestFit="1" customWidth="1"/>
    <col min="5896" max="5896" width="15.85546875" bestFit="1" customWidth="1"/>
    <col min="5897" max="5897" width="14" bestFit="1" customWidth="1"/>
    <col min="6149" max="6149" width="16.5703125" customWidth="1"/>
    <col min="6150" max="6150" width="14.42578125" customWidth="1"/>
    <col min="6151" max="6151" width="10.42578125" bestFit="1" customWidth="1"/>
    <col min="6152" max="6152" width="15.85546875" bestFit="1" customWidth="1"/>
    <col min="6153" max="6153" width="14" bestFit="1" customWidth="1"/>
    <col min="6405" max="6405" width="16.5703125" customWidth="1"/>
    <col min="6406" max="6406" width="14.42578125" customWidth="1"/>
    <col min="6407" max="6407" width="10.42578125" bestFit="1" customWidth="1"/>
    <col min="6408" max="6408" width="15.85546875" bestFit="1" customWidth="1"/>
    <col min="6409" max="6409" width="14" bestFit="1" customWidth="1"/>
    <col min="6661" max="6661" width="16.5703125" customWidth="1"/>
    <col min="6662" max="6662" width="14.42578125" customWidth="1"/>
    <col min="6663" max="6663" width="10.42578125" bestFit="1" customWidth="1"/>
    <col min="6664" max="6664" width="15.85546875" bestFit="1" customWidth="1"/>
    <col min="6665" max="6665" width="14" bestFit="1" customWidth="1"/>
    <col min="6917" max="6917" width="16.5703125" customWidth="1"/>
    <col min="6918" max="6918" width="14.42578125" customWidth="1"/>
    <col min="6919" max="6919" width="10.42578125" bestFit="1" customWidth="1"/>
    <col min="6920" max="6920" width="15.85546875" bestFit="1" customWidth="1"/>
    <col min="6921" max="6921" width="14" bestFit="1" customWidth="1"/>
    <col min="7173" max="7173" width="16.5703125" customWidth="1"/>
    <col min="7174" max="7174" width="14.42578125" customWidth="1"/>
    <col min="7175" max="7175" width="10.42578125" bestFit="1" customWidth="1"/>
    <col min="7176" max="7176" width="15.85546875" bestFit="1" customWidth="1"/>
    <col min="7177" max="7177" width="14" bestFit="1" customWidth="1"/>
    <col min="7429" max="7429" width="16.5703125" customWidth="1"/>
    <col min="7430" max="7430" width="14.42578125" customWidth="1"/>
    <col min="7431" max="7431" width="10.42578125" bestFit="1" customWidth="1"/>
    <col min="7432" max="7432" width="15.85546875" bestFit="1" customWidth="1"/>
    <col min="7433" max="7433" width="14" bestFit="1" customWidth="1"/>
    <col min="7685" max="7685" width="16.5703125" customWidth="1"/>
    <col min="7686" max="7686" width="14.42578125" customWidth="1"/>
    <col min="7687" max="7687" width="10.42578125" bestFit="1" customWidth="1"/>
    <col min="7688" max="7688" width="15.85546875" bestFit="1" customWidth="1"/>
    <col min="7689" max="7689" width="14" bestFit="1" customWidth="1"/>
    <col min="7941" max="7941" width="16.5703125" customWidth="1"/>
    <col min="7942" max="7942" width="14.42578125" customWidth="1"/>
    <col min="7943" max="7943" width="10.42578125" bestFit="1" customWidth="1"/>
    <col min="7944" max="7944" width="15.85546875" bestFit="1" customWidth="1"/>
    <col min="7945" max="7945" width="14" bestFit="1" customWidth="1"/>
    <col min="8197" max="8197" width="16.5703125" customWidth="1"/>
    <col min="8198" max="8198" width="14.42578125" customWidth="1"/>
    <col min="8199" max="8199" width="10.42578125" bestFit="1" customWidth="1"/>
    <col min="8200" max="8200" width="15.85546875" bestFit="1" customWidth="1"/>
    <col min="8201" max="8201" width="14" bestFit="1" customWidth="1"/>
    <col min="8453" max="8453" width="16.5703125" customWidth="1"/>
    <col min="8454" max="8454" width="14.42578125" customWidth="1"/>
    <col min="8455" max="8455" width="10.42578125" bestFit="1" customWidth="1"/>
    <col min="8456" max="8456" width="15.85546875" bestFit="1" customWidth="1"/>
    <col min="8457" max="8457" width="14" bestFit="1" customWidth="1"/>
    <col min="8709" max="8709" width="16.5703125" customWidth="1"/>
    <col min="8710" max="8710" width="14.42578125" customWidth="1"/>
    <col min="8711" max="8711" width="10.42578125" bestFit="1" customWidth="1"/>
    <col min="8712" max="8712" width="15.85546875" bestFit="1" customWidth="1"/>
    <col min="8713" max="8713" width="14" bestFit="1" customWidth="1"/>
    <col min="8965" max="8965" width="16.5703125" customWidth="1"/>
    <col min="8966" max="8966" width="14.42578125" customWidth="1"/>
    <col min="8967" max="8967" width="10.42578125" bestFit="1" customWidth="1"/>
    <col min="8968" max="8968" width="15.85546875" bestFit="1" customWidth="1"/>
    <col min="8969" max="8969" width="14" bestFit="1" customWidth="1"/>
    <col min="9221" max="9221" width="16.5703125" customWidth="1"/>
    <col min="9222" max="9222" width="14.42578125" customWidth="1"/>
    <col min="9223" max="9223" width="10.42578125" bestFit="1" customWidth="1"/>
    <col min="9224" max="9224" width="15.85546875" bestFit="1" customWidth="1"/>
    <col min="9225" max="9225" width="14" bestFit="1" customWidth="1"/>
    <col min="9477" max="9477" width="16.5703125" customWidth="1"/>
    <col min="9478" max="9478" width="14.42578125" customWidth="1"/>
    <col min="9479" max="9479" width="10.42578125" bestFit="1" customWidth="1"/>
    <col min="9480" max="9480" width="15.85546875" bestFit="1" customWidth="1"/>
    <col min="9481" max="9481" width="14" bestFit="1" customWidth="1"/>
    <col min="9733" max="9733" width="16.5703125" customWidth="1"/>
    <col min="9734" max="9734" width="14.42578125" customWidth="1"/>
    <col min="9735" max="9735" width="10.42578125" bestFit="1" customWidth="1"/>
    <col min="9736" max="9736" width="15.85546875" bestFit="1" customWidth="1"/>
    <col min="9737" max="9737" width="14" bestFit="1" customWidth="1"/>
    <col min="9989" max="9989" width="16.5703125" customWidth="1"/>
    <col min="9990" max="9990" width="14.42578125" customWidth="1"/>
    <col min="9991" max="9991" width="10.42578125" bestFit="1" customWidth="1"/>
    <col min="9992" max="9992" width="15.85546875" bestFit="1" customWidth="1"/>
    <col min="9993" max="9993" width="14" bestFit="1" customWidth="1"/>
    <col min="10245" max="10245" width="16.5703125" customWidth="1"/>
    <col min="10246" max="10246" width="14.42578125" customWidth="1"/>
    <col min="10247" max="10247" width="10.42578125" bestFit="1" customWidth="1"/>
    <col min="10248" max="10248" width="15.85546875" bestFit="1" customWidth="1"/>
    <col min="10249" max="10249" width="14" bestFit="1" customWidth="1"/>
    <col min="10501" max="10501" width="16.5703125" customWidth="1"/>
    <col min="10502" max="10502" width="14.42578125" customWidth="1"/>
    <col min="10503" max="10503" width="10.42578125" bestFit="1" customWidth="1"/>
    <col min="10504" max="10504" width="15.85546875" bestFit="1" customWidth="1"/>
    <col min="10505" max="10505" width="14" bestFit="1" customWidth="1"/>
    <col min="10757" max="10757" width="16.5703125" customWidth="1"/>
    <col min="10758" max="10758" width="14.42578125" customWidth="1"/>
    <col min="10759" max="10759" width="10.42578125" bestFit="1" customWidth="1"/>
    <col min="10760" max="10760" width="15.85546875" bestFit="1" customWidth="1"/>
    <col min="10761" max="10761" width="14" bestFit="1" customWidth="1"/>
    <col min="11013" max="11013" width="16.5703125" customWidth="1"/>
    <col min="11014" max="11014" width="14.42578125" customWidth="1"/>
    <col min="11015" max="11015" width="10.42578125" bestFit="1" customWidth="1"/>
    <col min="11016" max="11016" width="15.85546875" bestFit="1" customWidth="1"/>
    <col min="11017" max="11017" width="14" bestFit="1" customWidth="1"/>
    <col min="11269" max="11269" width="16.5703125" customWidth="1"/>
    <col min="11270" max="11270" width="14.42578125" customWidth="1"/>
    <col min="11271" max="11271" width="10.42578125" bestFit="1" customWidth="1"/>
    <col min="11272" max="11272" width="15.85546875" bestFit="1" customWidth="1"/>
    <col min="11273" max="11273" width="14" bestFit="1" customWidth="1"/>
    <col min="11525" max="11525" width="16.5703125" customWidth="1"/>
    <col min="11526" max="11526" width="14.42578125" customWidth="1"/>
    <col min="11527" max="11527" width="10.42578125" bestFit="1" customWidth="1"/>
    <col min="11528" max="11528" width="15.85546875" bestFit="1" customWidth="1"/>
    <col min="11529" max="11529" width="14" bestFit="1" customWidth="1"/>
    <col min="11781" max="11781" width="16.5703125" customWidth="1"/>
    <col min="11782" max="11782" width="14.42578125" customWidth="1"/>
    <col min="11783" max="11783" width="10.42578125" bestFit="1" customWidth="1"/>
    <col min="11784" max="11784" width="15.85546875" bestFit="1" customWidth="1"/>
    <col min="11785" max="11785" width="14" bestFit="1" customWidth="1"/>
    <col min="12037" max="12037" width="16.5703125" customWidth="1"/>
    <col min="12038" max="12038" width="14.42578125" customWidth="1"/>
    <col min="12039" max="12039" width="10.42578125" bestFit="1" customWidth="1"/>
    <col min="12040" max="12040" width="15.85546875" bestFit="1" customWidth="1"/>
    <col min="12041" max="12041" width="14" bestFit="1" customWidth="1"/>
    <col min="12293" max="12293" width="16.5703125" customWidth="1"/>
    <col min="12294" max="12294" width="14.42578125" customWidth="1"/>
    <col min="12295" max="12295" width="10.42578125" bestFit="1" customWidth="1"/>
    <col min="12296" max="12296" width="15.85546875" bestFit="1" customWidth="1"/>
    <col min="12297" max="12297" width="14" bestFit="1" customWidth="1"/>
    <col min="12549" max="12549" width="16.5703125" customWidth="1"/>
    <col min="12550" max="12550" width="14.42578125" customWidth="1"/>
    <col min="12551" max="12551" width="10.42578125" bestFit="1" customWidth="1"/>
    <col min="12552" max="12552" width="15.85546875" bestFit="1" customWidth="1"/>
    <col min="12553" max="12553" width="14" bestFit="1" customWidth="1"/>
    <col min="12805" max="12805" width="16.5703125" customWidth="1"/>
    <col min="12806" max="12806" width="14.42578125" customWidth="1"/>
    <col min="12807" max="12807" width="10.42578125" bestFit="1" customWidth="1"/>
    <col min="12808" max="12808" width="15.85546875" bestFit="1" customWidth="1"/>
    <col min="12809" max="12809" width="14" bestFit="1" customWidth="1"/>
    <col min="13061" max="13061" width="16.5703125" customWidth="1"/>
    <col min="13062" max="13062" width="14.42578125" customWidth="1"/>
    <col min="13063" max="13063" width="10.42578125" bestFit="1" customWidth="1"/>
    <col min="13064" max="13064" width="15.85546875" bestFit="1" customWidth="1"/>
    <col min="13065" max="13065" width="14" bestFit="1" customWidth="1"/>
    <col min="13317" max="13317" width="16.5703125" customWidth="1"/>
    <col min="13318" max="13318" width="14.42578125" customWidth="1"/>
    <col min="13319" max="13319" width="10.42578125" bestFit="1" customWidth="1"/>
    <col min="13320" max="13320" width="15.85546875" bestFit="1" customWidth="1"/>
    <col min="13321" max="13321" width="14" bestFit="1" customWidth="1"/>
    <col min="13573" max="13573" width="16.5703125" customWidth="1"/>
    <col min="13574" max="13574" width="14.42578125" customWidth="1"/>
    <col min="13575" max="13575" width="10.42578125" bestFit="1" customWidth="1"/>
    <col min="13576" max="13576" width="15.85546875" bestFit="1" customWidth="1"/>
    <col min="13577" max="13577" width="14" bestFit="1" customWidth="1"/>
    <col min="13829" max="13829" width="16.5703125" customWidth="1"/>
    <col min="13830" max="13830" width="14.42578125" customWidth="1"/>
    <col min="13831" max="13831" width="10.42578125" bestFit="1" customWidth="1"/>
    <col min="13832" max="13832" width="15.85546875" bestFit="1" customWidth="1"/>
    <col min="13833" max="13833" width="14" bestFit="1" customWidth="1"/>
    <col min="14085" max="14085" width="16.5703125" customWidth="1"/>
    <col min="14086" max="14086" width="14.42578125" customWidth="1"/>
    <col min="14087" max="14087" width="10.42578125" bestFit="1" customWidth="1"/>
    <col min="14088" max="14088" width="15.85546875" bestFit="1" customWidth="1"/>
    <col min="14089" max="14089" width="14" bestFit="1" customWidth="1"/>
    <col min="14341" max="14341" width="16.5703125" customWidth="1"/>
    <col min="14342" max="14342" width="14.42578125" customWidth="1"/>
    <col min="14343" max="14343" width="10.42578125" bestFit="1" customWidth="1"/>
    <col min="14344" max="14344" width="15.85546875" bestFit="1" customWidth="1"/>
    <col min="14345" max="14345" width="14" bestFit="1" customWidth="1"/>
    <col min="14597" max="14597" width="16.5703125" customWidth="1"/>
    <col min="14598" max="14598" width="14.42578125" customWidth="1"/>
    <col min="14599" max="14599" width="10.42578125" bestFit="1" customWidth="1"/>
    <col min="14600" max="14600" width="15.85546875" bestFit="1" customWidth="1"/>
    <col min="14601" max="14601" width="14" bestFit="1" customWidth="1"/>
    <col min="14853" max="14853" width="16.5703125" customWidth="1"/>
    <col min="14854" max="14854" width="14.42578125" customWidth="1"/>
    <col min="14855" max="14855" width="10.42578125" bestFit="1" customWidth="1"/>
    <col min="14856" max="14856" width="15.85546875" bestFit="1" customWidth="1"/>
    <col min="14857" max="14857" width="14" bestFit="1" customWidth="1"/>
    <col min="15109" max="15109" width="16.5703125" customWidth="1"/>
    <col min="15110" max="15110" width="14.42578125" customWidth="1"/>
    <col min="15111" max="15111" width="10.42578125" bestFit="1" customWidth="1"/>
    <col min="15112" max="15112" width="15.85546875" bestFit="1" customWidth="1"/>
    <col min="15113" max="15113" width="14" bestFit="1" customWidth="1"/>
    <col min="15365" max="15365" width="16.5703125" customWidth="1"/>
    <col min="15366" max="15366" width="14.42578125" customWidth="1"/>
    <col min="15367" max="15367" width="10.42578125" bestFit="1" customWidth="1"/>
    <col min="15368" max="15368" width="15.85546875" bestFit="1" customWidth="1"/>
    <col min="15369" max="15369" width="14" bestFit="1" customWidth="1"/>
    <col min="15621" max="15621" width="16.5703125" customWidth="1"/>
    <col min="15622" max="15622" width="14.42578125" customWidth="1"/>
    <col min="15623" max="15623" width="10.42578125" bestFit="1" customWidth="1"/>
    <col min="15624" max="15624" width="15.85546875" bestFit="1" customWidth="1"/>
    <col min="15625" max="15625" width="14" bestFit="1" customWidth="1"/>
    <col min="15877" max="15877" width="16.5703125" customWidth="1"/>
    <col min="15878" max="15878" width="14.42578125" customWidth="1"/>
    <col min="15879" max="15879" width="10.42578125" bestFit="1" customWidth="1"/>
    <col min="15880" max="15880" width="15.85546875" bestFit="1" customWidth="1"/>
    <col min="15881" max="15881" width="14" bestFit="1" customWidth="1"/>
    <col min="16133" max="16133" width="16.5703125" customWidth="1"/>
    <col min="16134" max="16134" width="14.42578125" customWidth="1"/>
    <col min="16135" max="16135" width="10.42578125" bestFit="1" customWidth="1"/>
    <col min="16136" max="16136" width="15.85546875" bestFit="1" customWidth="1"/>
    <col min="16137" max="16137" width="14" bestFit="1" customWidth="1"/>
  </cols>
  <sheetData>
    <row r="1" spans="1:9" x14ac:dyDescent="0.25">
      <c r="I1" s="402" t="s">
        <v>431</v>
      </c>
    </row>
    <row r="2" spans="1:9" ht="18.75" x14ac:dyDescent="0.3">
      <c r="C2" s="863" t="s">
        <v>710</v>
      </c>
      <c r="D2" s="863"/>
      <c r="E2" s="863"/>
      <c r="F2" s="863"/>
      <c r="G2" s="863"/>
      <c r="H2" s="863"/>
    </row>
    <row r="3" spans="1:9" ht="15.75" thickBot="1" x14ac:dyDescent="0.3"/>
    <row r="4" spans="1:9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9" ht="15.75" thickBot="1" x14ac:dyDescent="0.3">
      <c r="A5" s="858" t="s">
        <v>367</v>
      </c>
      <c r="B5" s="859"/>
      <c r="C5" s="859"/>
      <c r="D5" s="859"/>
      <c r="E5" s="860"/>
      <c r="F5" s="174">
        <f>[2]közműv_bér!B8+[2]közműv_bér!B9</f>
        <v>2466000</v>
      </c>
      <c r="G5" s="174">
        <v>0</v>
      </c>
      <c r="H5" s="174">
        <f>G5+F5</f>
        <v>2466000</v>
      </c>
      <c r="I5" s="174">
        <f>H5</f>
        <v>2466000</v>
      </c>
    </row>
    <row r="6" spans="1:9" ht="15.75" thickBot="1" x14ac:dyDescent="0.3">
      <c r="A6" s="858" t="s">
        <v>368</v>
      </c>
      <c r="B6" s="859"/>
      <c r="C6" s="859"/>
      <c r="D6" s="859"/>
      <c r="E6" s="860"/>
      <c r="F6" s="174">
        <f>[2]közműv_bér!B11</f>
        <v>100000</v>
      </c>
      <c r="G6" s="174">
        <v>0</v>
      </c>
      <c r="H6" s="174">
        <f>G6+F6</f>
        <v>100000</v>
      </c>
      <c r="I6" s="174">
        <f>H6</f>
        <v>100000</v>
      </c>
    </row>
    <row r="7" spans="1:9" ht="15.75" thickBot="1" x14ac:dyDescent="0.3">
      <c r="A7" s="858" t="s">
        <v>369</v>
      </c>
      <c r="B7" s="859"/>
      <c r="C7" s="859"/>
      <c r="D7" s="859"/>
      <c r="E7" s="860"/>
      <c r="F7" s="174">
        <f>[2]közműv_bér!B10</f>
        <v>96000</v>
      </c>
      <c r="G7" s="174">
        <v>0</v>
      </c>
      <c r="H7" s="174">
        <f>G7+F7</f>
        <v>96000</v>
      </c>
      <c r="I7" s="174">
        <f>H7</f>
        <v>96000</v>
      </c>
    </row>
    <row r="8" spans="1:9" ht="15.75" thickBot="1" x14ac:dyDescent="0.3">
      <c r="A8" s="858" t="s">
        <v>371</v>
      </c>
      <c r="B8" s="859"/>
      <c r="C8" s="859"/>
      <c r="D8" s="859"/>
      <c r="E8" s="860"/>
      <c r="F8" s="174">
        <f>[2]közműv_bér!B12</f>
        <v>302400</v>
      </c>
      <c r="G8" s="174">
        <v>0</v>
      </c>
      <c r="H8" s="174">
        <f>G8+F8</f>
        <v>302400</v>
      </c>
      <c r="I8" s="174">
        <f>H8</f>
        <v>302400</v>
      </c>
    </row>
    <row r="9" spans="1:9" s="403" customFormat="1" ht="15.75" thickBot="1" x14ac:dyDescent="0.3">
      <c r="A9" s="846" t="s">
        <v>372</v>
      </c>
      <c r="B9" s="847"/>
      <c r="C9" s="847"/>
      <c r="D9" s="847"/>
      <c r="E9" s="848"/>
      <c r="F9" s="407">
        <f>F5+F6+F7+F8</f>
        <v>2964400</v>
      </c>
      <c r="G9" s="407">
        <v>0</v>
      </c>
      <c r="H9" s="407">
        <f>F9+G9</f>
        <v>2964400</v>
      </c>
      <c r="I9" s="174">
        <f>H9</f>
        <v>2964400</v>
      </c>
    </row>
    <row r="10" spans="1:9" s="408" customFormat="1" ht="15.75" thickBot="1" x14ac:dyDescent="0.3">
      <c r="A10" s="837" t="s">
        <v>374</v>
      </c>
      <c r="B10" s="838"/>
      <c r="C10" s="838"/>
      <c r="D10" s="838"/>
      <c r="E10" s="839"/>
      <c r="F10" s="174">
        <v>80000</v>
      </c>
      <c r="G10" s="174">
        <v>0</v>
      </c>
      <c r="H10" s="174">
        <f>F10+G10</f>
        <v>80000</v>
      </c>
      <c r="I10" s="174">
        <v>80000</v>
      </c>
    </row>
    <row r="11" spans="1:9" ht="15.75" thickBot="1" x14ac:dyDescent="0.3">
      <c r="A11" s="837" t="s">
        <v>375</v>
      </c>
      <c r="B11" s="838"/>
      <c r="C11" s="838"/>
      <c r="D11" s="838"/>
      <c r="E11" s="839"/>
      <c r="F11" s="409">
        <v>60000</v>
      </c>
      <c r="G11" s="409">
        <v>0</v>
      </c>
      <c r="H11" s="174">
        <f>F11+G11</f>
        <v>60000</v>
      </c>
      <c r="I11" s="409">
        <v>60000</v>
      </c>
    </row>
    <row r="12" spans="1:9" s="408" customFormat="1" ht="15.75" thickBot="1" x14ac:dyDescent="0.3">
      <c r="A12" s="837" t="s">
        <v>376</v>
      </c>
      <c r="B12" s="838"/>
      <c r="C12" s="838"/>
      <c r="D12" s="838"/>
      <c r="E12" s="839"/>
      <c r="F12" s="174">
        <v>60000</v>
      </c>
      <c r="G12" s="174">
        <v>0</v>
      </c>
      <c r="H12" s="174">
        <f>F12+G12</f>
        <v>60000</v>
      </c>
      <c r="I12" s="174">
        <v>60000</v>
      </c>
    </row>
    <row r="13" spans="1:9" s="408" customFormat="1" ht="15.75" thickBot="1" x14ac:dyDescent="0.3">
      <c r="A13" s="837" t="s">
        <v>377</v>
      </c>
      <c r="B13" s="838"/>
      <c r="C13" s="838"/>
      <c r="D13" s="838"/>
      <c r="E13" s="839"/>
      <c r="F13" s="174">
        <v>30000</v>
      </c>
      <c r="G13" s="174">
        <v>0</v>
      </c>
      <c r="H13" s="174">
        <f>F13+G13</f>
        <v>30000</v>
      </c>
      <c r="I13" s="174">
        <v>30000</v>
      </c>
    </row>
    <row r="14" spans="1:9" s="403" customFormat="1" ht="15.75" thickBot="1" x14ac:dyDescent="0.3">
      <c r="A14" s="840" t="s">
        <v>378</v>
      </c>
      <c r="B14" s="841"/>
      <c r="C14" s="841"/>
      <c r="D14" s="841"/>
      <c r="E14" s="842"/>
      <c r="F14" s="407">
        <f>F10+F11+F12+F13</f>
        <v>230000</v>
      </c>
      <c r="G14" s="407">
        <f>G10+G11+G12+G13</f>
        <v>0</v>
      </c>
      <c r="H14" s="407">
        <f>H10+H11+H12+H13</f>
        <v>230000</v>
      </c>
      <c r="I14" s="407">
        <f>I10+I11+I12+I13</f>
        <v>230000</v>
      </c>
    </row>
    <row r="15" spans="1:9" s="411" customFormat="1" ht="16.5" thickBot="1" x14ac:dyDescent="0.3">
      <c r="A15" s="852" t="s">
        <v>379</v>
      </c>
      <c r="B15" s="853"/>
      <c r="C15" s="853"/>
      <c r="D15" s="853"/>
      <c r="E15" s="854"/>
      <c r="F15" s="410">
        <f>F9+F14</f>
        <v>3194400</v>
      </c>
      <c r="G15" s="410">
        <f>G9+G14</f>
        <v>0</v>
      </c>
      <c r="H15" s="410">
        <f>H9+H14</f>
        <v>3194400</v>
      </c>
      <c r="I15" s="410">
        <f>I9+I14</f>
        <v>3194400</v>
      </c>
    </row>
    <row r="16" spans="1:9" s="411" customFormat="1" ht="16.5" thickBot="1" x14ac:dyDescent="0.3">
      <c r="A16" s="855" t="s">
        <v>380</v>
      </c>
      <c r="B16" s="856"/>
      <c r="C16" s="856"/>
      <c r="D16" s="856"/>
      <c r="E16" s="857"/>
      <c r="F16" s="410">
        <f>42000+[2]közműv_bér!B19</f>
        <v>803324</v>
      </c>
      <c r="G16" s="410">
        <f>'[3]bér+járulék'!E42</f>
        <v>0</v>
      </c>
      <c r="H16" s="410">
        <f>F16+G16</f>
        <v>803324</v>
      </c>
      <c r="I16" s="410">
        <v>803325</v>
      </c>
    </row>
    <row r="17" spans="1:9" ht="15.75" thickBot="1" x14ac:dyDescent="0.3">
      <c r="A17" s="858" t="s">
        <v>432</v>
      </c>
      <c r="B17" s="859"/>
      <c r="C17" s="859"/>
      <c r="D17" s="859"/>
      <c r="E17" s="860"/>
      <c r="F17" s="174">
        <v>170000</v>
      </c>
      <c r="G17" s="174">
        <f>F17*5%</f>
        <v>8500</v>
      </c>
      <c r="H17" s="174">
        <f>F17+G17</f>
        <v>178500</v>
      </c>
      <c r="I17" s="174">
        <v>178500</v>
      </c>
    </row>
    <row r="18" spans="1:9" ht="15.75" thickBot="1" x14ac:dyDescent="0.3">
      <c r="A18" s="846" t="s">
        <v>383</v>
      </c>
      <c r="B18" s="847"/>
      <c r="C18" s="847"/>
      <c r="D18" s="847"/>
      <c r="E18" s="848"/>
      <c r="F18" s="407">
        <f>F17</f>
        <v>170000</v>
      </c>
      <c r="G18" s="407">
        <f>G17</f>
        <v>8500</v>
      </c>
      <c r="H18" s="407">
        <f>H17</f>
        <v>178500</v>
      </c>
      <c r="I18" s="407">
        <f>I17</f>
        <v>178500</v>
      </c>
    </row>
    <row r="19" spans="1:9" ht="15.75" thickBot="1" x14ac:dyDescent="0.3">
      <c r="A19" s="849" t="s">
        <v>391</v>
      </c>
      <c r="B19" s="850"/>
      <c r="C19" s="850"/>
      <c r="D19" s="850"/>
      <c r="E19" s="851"/>
      <c r="F19" s="409">
        <v>42000</v>
      </c>
      <c r="G19" s="409">
        <f>F19*27%</f>
        <v>11340</v>
      </c>
      <c r="H19" s="409">
        <f>F19+G19</f>
        <v>53340</v>
      </c>
      <c r="I19" s="409">
        <v>53340</v>
      </c>
    </row>
    <row r="20" spans="1:9" s="408" customFormat="1" ht="15.75" thickBot="1" x14ac:dyDescent="0.3">
      <c r="A20" s="837" t="s">
        <v>392</v>
      </c>
      <c r="B20" s="838"/>
      <c r="C20" s="838"/>
      <c r="D20" s="838"/>
      <c r="E20" s="839"/>
      <c r="F20" s="174">
        <v>60000</v>
      </c>
      <c r="G20" s="409">
        <f>F20*27%</f>
        <v>16200.000000000002</v>
      </c>
      <c r="H20" s="409">
        <f>F20+G20</f>
        <v>76200</v>
      </c>
      <c r="I20" s="174">
        <v>76200</v>
      </c>
    </row>
    <row r="21" spans="1:9" ht="15.75" thickBot="1" x14ac:dyDescent="0.3">
      <c r="A21" s="849" t="s">
        <v>393</v>
      </c>
      <c r="B21" s="850"/>
      <c r="C21" s="850"/>
      <c r="D21" s="850"/>
      <c r="E21" s="851"/>
      <c r="F21" s="409">
        <v>80000</v>
      </c>
      <c r="G21" s="409">
        <f>F21*5%</f>
        <v>4000</v>
      </c>
      <c r="H21" s="409">
        <f>F21+G21</f>
        <v>84000</v>
      </c>
      <c r="I21" s="409">
        <v>84000</v>
      </c>
    </row>
    <row r="22" spans="1:9" s="403" customFormat="1" ht="15.75" thickBot="1" x14ac:dyDescent="0.3">
      <c r="A22" s="846" t="s">
        <v>394</v>
      </c>
      <c r="B22" s="847"/>
      <c r="C22" s="847"/>
      <c r="D22" s="847"/>
      <c r="E22" s="848"/>
      <c r="F22" s="407">
        <f>F19+F20+F21</f>
        <v>182000</v>
      </c>
      <c r="G22" s="407">
        <f>G19+G20+G21</f>
        <v>31540</v>
      </c>
      <c r="H22" s="407">
        <f>H19+H20+H21</f>
        <v>213540</v>
      </c>
      <c r="I22" s="407">
        <f>I19+I20+I21</f>
        <v>213540</v>
      </c>
    </row>
    <row r="23" spans="1:9" ht="15.75" thickBot="1" x14ac:dyDescent="0.3">
      <c r="A23" s="849" t="s">
        <v>395</v>
      </c>
      <c r="B23" s="850"/>
      <c r="C23" s="850"/>
      <c r="D23" s="850"/>
      <c r="E23" s="851"/>
      <c r="F23" s="409">
        <v>145000</v>
      </c>
      <c r="G23" s="409">
        <f>F23*27%</f>
        <v>39150</v>
      </c>
      <c r="H23" s="409">
        <f>F23+G23</f>
        <v>184150</v>
      </c>
      <c r="I23" s="407">
        <f>H23</f>
        <v>184150</v>
      </c>
    </row>
    <row r="24" spans="1:9" s="403" customFormat="1" ht="15.75" thickBot="1" x14ac:dyDescent="0.3">
      <c r="A24" s="846" t="s">
        <v>396</v>
      </c>
      <c r="B24" s="847"/>
      <c r="C24" s="847"/>
      <c r="D24" s="847"/>
      <c r="E24" s="848"/>
      <c r="F24" s="407">
        <f>F23</f>
        <v>145000</v>
      </c>
      <c r="G24" s="407">
        <f>G23</f>
        <v>39150</v>
      </c>
      <c r="H24" s="407">
        <f>H23</f>
        <v>184150</v>
      </c>
      <c r="I24" s="407">
        <f>H24</f>
        <v>184150</v>
      </c>
    </row>
    <row r="25" spans="1:9" s="403" customFormat="1" ht="15.75" thickBot="1" x14ac:dyDescent="0.3">
      <c r="A25" s="846" t="s">
        <v>397</v>
      </c>
      <c r="B25" s="847"/>
      <c r="C25" s="847"/>
      <c r="D25" s="847"/>
      <c r="E25" s="848"/>
      <c r="F25" s="407">
        <f>F22+F23</f>
        <v>327000</v>
      </c>
      <c r="G25" s="407">
        <f>G22+G23</f>
        <v>70690</v>
      </c>
      <c r="H25" s="407">
        <f>H22+H23</f>
        <v>397690</v>
      </c>
      <c r="I25" s="407">
        <f>I22+I23</f>
        <v>397690</v>
      </c>
    </row>
    <row r="26" spans="1:9" ht="15.75" thickBot="1" x14ac:dyDescent="0.3">
      <c r="A26" s="849" t="s">
        <v>433</v>
      </c>
      <c r="B26" s="850"/>
      <c r="C26" s="850"/>
      <c r="D26" s="850"/>
      <c r="E26" s="851"/>
      <c r="F26" s="409">
        <v>78740</v>
      </c>
      <c r="G26" s="409">
        <f>F26*27%</f>
        <v>21259.800000000003</v>
      </c>
      <c r="H26" s="409">
        <f>F26+G26</f>
        <v>99999.8</v>
      </c>
      <c r="I26" s="174">
        <v>100000</v>
      </c>
    </row>
    <row r="27" spans="1:9" ht="15.75" thickBot="1" x14ac:dyDescent="0.3">
      <c r="A27" s="849" t="s">
        <v>434</v>
      </c>
      <c r="B27" s="850"/>
      <c r="C27" s="850"/>
      <c r="D27" s="850"/>
      <c r="E27" s="851"/>
      <c r="F27" s="409">
        <v>20000</v>
      </c>
      <c r="G27" s="409">
        <f>F27*27%</f>
        <v>5400</v>
      </c>
      <c r="H27" s="409">
        <f>F27+G27</f>
        <v>25400</v>
      </c>
      <c r="I27" s="174">
        <f>H27</f>
        <v>25400</v>
      </c>
    </row>
    <row r="28" spans="1:9" ht="15.75" thickBot="1" x14ac:dyDescent="0.3">
      <c r="A28" s="843" t="s">
        <v>435</v>
      </c>
      <c r="B28" s="844"/>
      <c r="C28" s="844"/>
      <c r="D28" s="844"/>
      <c r="E28" s="845"/>
      <c r="F28" s="409">
        <v>100000</v>
      </c>
      <c r="G28" s="409">
        <f>F28*27%</f>
        <v>27000</v>
      </c>
      <c r="H28" s="409">
        <f>F28+G28</f>
        <v>127000</v>
      </c>
      <c r="I28" s="174">
        <v>127000</v>
      </c>
    </row>
    <row r="29" spans="1:9" ht="15.75" thickBot="1" x14ac:dyDescent="0.3">
      <c r="A29" s="843" t="s">
        <v>388</v>
      </c>
      <c r="B29" s="844"/>
      <c r="C29" s="844"/>
      <c r="D29" s="844"/>
      <c r="E29" s="845"/>
      <c r="F29" s="409">
        <v>50000</v>
      </c>
      <c r="G29" s="409">
        <f>F29*27%</f>
        <v>13500</v>
      </c>
      <c r="H29" s="409">
        <f>F29+G29</f>
        <v>63500</v>
      </c>
      <c r="I29" s="174">
        <v>63500</v>
      </c>
    </row>
    <row r="30" spans="1:9" s="403" customFormat="1" ht="15.75" thickBot="1" x14ac:dyDescent="0.3">
      <c r="A30" s="846" t="s">
        <v>389</v>
      </c>
      <c r="B30" s="847"/>
      <c r="C30" s="847"/>
      <c r="D30" s="847"/>
      <c r="E30" s="848"/>
      <c r="F30" s="407">
        <f>F26+F27+F28+F29</f>
        <v>248740</v>
      </c>
      <c r="G30" s="407">
        <f>G26+G27+G28+G29</f>
        <v>67159.8</v>
      </c>
      <c r="H30" s="407">
        <f>H26+H27+H28+H29</f>
        <v>315899.8</v>
      </c>
      <c r="I30" s="407">
        <f>I26+I27+I28+I29</f>
        <v>315900</v>
      </c>
    </row>
    <row r="31" spans="1:9" s="403" customFormat="1" ht="15.75" thickBot="1" x14ac:dyDescent="0.3">
      <c r="A31" s="846" t="s">
        <v>390</v>
      </c>
      <c r="B31" s="847"/>
      <c r="C31" s="847"/>
      <c r="D31" s="847"/>
      <c r="E31" s="848"/>
      <c r="F31" s="407">
        <f>F30</f>
        <v>248740</v>
      </c>
      <c r="G31" s="407">
        <f>G30</f>
        <v>67159.8</v>
      </c>
      <c r="H31" s="407">
        <f>H30</f>
        <v>315899.8</v>
      </c>
      <c r="I31" s="407">
        <f>I30</f>
        <v>315900</v>
      </c>
    </row>
    <row r="32" spans="1:9" s="408" customFormat="1" ht="15.75" thickBot="1" x14ac:dyDescent="0.3">
      <c r="A32" s="837" t="s">
        <v>398</v>
      </c>
      <c r="B32" s="838"/>
      <c r="C32" s="838"/>
      <c r="D32" s="838"/>
      <c r="E32" s="839"/>
      <c r="F32" s="174">
        <v>200000</v>
      </c>
      <c r="G32" s="174">
        <f>F32*27%</f>
        <v>54000</v>
      </c>
      <c r="H32" s="174">
        <f>F32+G32</f>
        <v>254000</v>
      </c>
      <c r="I32" s="174">
        <v>254000</v>
      </c>
    </row>
    <row r="33" spans="1:9" s="408" customFormat="1" ht="15.75" thickBot="1" x14ac:dyDescent="0.3">
      <c r="A33" s="837" t="s">
        <v>399</v>
      </c>
      <c r="B33" s="838"/>
      <c r="C33" s="838"/>
      <c r="D33" s="838"/>
      <c r="E33" s="839"/>
      <c r="F33" s="174">
        <v>700000</v>
      </c>
      <c r="G33" s="174">
        <f>F33*27%</f>
        <v>189000</v>
      </c>
      <c r="H33" s="174">
        <f>F33+G33</f>
        <v>889000</v>
      </c>
      <c r="I33" s="174">
        <v>889000</v>
      </c>
    </row>
    <row r="34" spans="1:9" s="408" customFormat="1" ht="15.75" thickBot="1" x14ac:dyDescent="0.3">
      <c r="A34" s="837" t="s">
        <v>400</v>
      </c>
      <c r="B34" s="838"/>
      <c r="C34" s="838"/>
      <c r="D34" s="838"/>
      <c r="E34" s="839"/>
      <c r="F34" s="174">
        <v>600000</v>
      </c>
      <c r="G34" s="174">
        <f>F34*27%</f>
        <v>162000</v>
      </c>
      <c r="H34" s="174">
        <f>F34+G34</f>
        <v>762000</v>
      </c>
      <c r="I34" s="174">
        <v>762000</v>
      </c>
    </row>
    <row r="35" spans="1:9" s="403" customFormat="1" ht="15.75" thickBot="1" x14ac:dyDescent="0.3">
      <c r="A35" s="840" t="s">
        <v>401</v>
      </c>
      <c r="B35" s="841"/>
      <c r="C35" s="841"/>
      <c r="D35" s="841"/>
      <c r="E35" s="842"/>
      <c r="F35" s="407">
        <f>F32+F33+F34</f>
        <v>1500000</v>
      </c>
      <c r="G35" s="407">
        <f>G32+G33+G34</f>
        <v>405000</v>
      </c>
      <c r="H35" s="407">
        <f>H32+H33+H34</f>
        <v>1905000</v>
      </c>
      <c r="I35" s="407">
        <f>I32+I33+I34</f>
        <v>1905000</v>
      </c>
    </row>
    <row r="36" spans="1:9" ht="15.75" thickBot="1" x14ac:dyDescent="0.3">
      <c r="A36" s="843" t="s">
        <v>402</v>
      </c>
      <c r="B36" s="844"/>
      <c r="C36" s="844"/>
      <c r="D36" s="844"/>
      <c r="E36" s="845"/>
      <c r="F36" s="409">
        <v>200000</v>
      </c>
      <c r="G36" s="409">
        <f>F36*27%</f>
        <v>54000</v>
      </c>
      <c r="H36" s="409">
        <f>F36+G36</f>
        <v>254000</v>
      </c>
      <c r="I36" s="174">
        <f>H36</f>
        <v>254000</v>
      </c>
    </row>
    <row r="37" spans="1:9" s="403" customFormat="1" ht="15.75" thickBot="1" x14ac:dyDescent="0.3">
      <c r="A37" s="840" t="s">
        <v>404</v>
      </c>
      <c r="B37" s="841"/>
      <c r="C37" s="841"/>
      <c r="D37" s="841"/>
      <c r="E37" s="842"/>
      <c r="F37" s="407">
        <f>F36</f>
        <v>200000</v>
      </c>
      <c r="G37" s="407">
        <f>G36</f>
        <v>54000</v>
      </c>
      <c r="H37" s="407">
        <f>H36</f>
        <v>254000</v>
      </c>
      <c r="I37" s="407">
        <f>I36</f>
        <v>254000</v>
      </c>
    </row>
    <row r="38" spans="1:9" ht="15.75" thickBot="1" x14ac:dyDescent="0.3">
      <c r="A38" s="843" t="s">
        <v>406</v>
      </c>
      <c r="B38" s="844"/>
      <c r="C38" s="844"/>
      <c r="D38" s="844"/>
      <c r="E38" s="845"/>
      <c r="F38" s="409">
        <v>303100</v>
      </c>
      <c r="G38" s="409">
        <v>0</v>
      </c>
      <c r="H38" s="409">
        <f t="shared" ref="H38:H43" si="0">F38+G38</f>
        <v>303100</v>
      </c>
      <c r="I38" s="174">
        <f>H38</f>
        <v>303100</v>
      </c>
    </row>
    <row r="39" spans="1:9" ht="15.75" thickBot="1" x14ac:dyDescent="0.3">
      <c r="A39" s="843" t="s">
        <v>407</v>
      </c>
      <c r="B39" s="844"/>
      <c r="C39" s="844"/>
      <c r="D39" s="844"/>
      <c r="E39" s="845"/>
      <c r="F39" s="409">
        <v>100000</v>
      </c>
      <c r="G39" s="409">
        <f>F39*27%</f>
        <v>27000</v>
      </c>
      <c r="H39" s="409">
        <f t="shared" si="0"/>
        <v>127000</v>
      </c>
      <c r="I39" s="174">
        <v>127000</v>
      </c>
    </row>
    <row r="40" spans="1:9" ht="15.75" thickBot="1" x14ac:dyDescent="0.3">
      <c r="A40" s="843" t="s">
        <v>408</v>
      </c>
      <c r="B40" s="844"/>
      <c r="C40" s="844"/>
      <c r="D40" s="844"/>
      <c r="E40" s="845"/>
      <c r="F40" s="409">
        <v>100000</v>
      </c>
      <c r="G40" s="409">
        <f>F40*27%</f>
        <v>27000</v>
      </c>
      <c r="H40" s="409">
        <f t="shared" si="0"/>
        <v>127000</v>
      </c>
      <c r="I40" s="174">
        <v>127000</v>
      </c>
    </row>
    <row r="41" spans="1:9" ht="15.75" thickBot="1" x14ac:dyDescent="0.3">
      <c r="A41" s="843" t="s">
        <v>409</v>
      </c>
      <c r="B41" s="844"/>
      <c r="C41" s="844"/>
      <c r="D41" s="844"/>
      <c r="E41" s="845"/>
      <c r="F41" s="409">
        <v>100000</v>
      </c>
      <c r="G41" s="409">
        <f>F41*27%</f>
        <v>27000</v>
      </c>
      <c r="H41" s="409">
        <f t="shared" si="0"/>
        <v>127000</v>
      </c>
      <c r="I41" s="174">
        <v>127000</v>
      </c>
    </row>
    <row r="42" spans="1:9" ht="15.75" thickBot="1" x14ac:dyDescent="0.3">
      <c r="A42" s="843" t="s">
        <v>410</v>
      </c>
      <c r="B42" s="844"/>
      <c r="C42" s="844"/>
      <c r="D42" s="844"/>
      <c r="E42" s="845"/>
      <c r="F42" s="409">
        <v>60000</v>
      </c>
      <c r="G42" s="409">
        <v>0</v>
      </c>
      <c r="H42" s="409">
        <f t="shared" si="0"/>
        <v>60000</v>
      </c>
      <c r="I42" s="174">
        <v>60000</v>
      </c>
    </row>
    <row r="43" spans="1:9" ht="15.75" thickBot="1" x14ac:dyDescent="0.3">
      <c r="A43" s="843" t="s">
        <v>411</v>
      </c>
      <c r="B43" s="844"/>
      <c r="C43" s="844"/>
      <c r="D43" s="844"/>
      <c r="E43" s="845"/>
      <c r="F43" s="409">
        <v>972000</v>
      </c>
      <c r="G43" s="409">
        <v>0</v>
      </c>
      <c r="H43" s="409">
        <f t="shared" si="0"/>
        <v>972000</v>
      </c>
      <c r="I43" s="174">
        <v>972000</v>
      </c>
    </row>
    <row r="44" spans="1:9" ht="15.75" thickBot="1" x14ac:dyDescent="0.3">
      <c r="A44" s="843" t="s">
        <v>412</v>
      </c>
      <c r="B44" s="844"/>
      <c r="C44" s="844"/>
      <c r="D44" s="844"/>
      <c r="E44" s="845"/>
      <c r="F44" s="409">
        <v>4500</v>
      </c>
      <c r="G44" s="409">
        <v>0</v>
      </c>
      <c r="H44" s="409">
        <v>4500</v>
      </c>
      <c r="I44" s="174">
        <v>4500</v>
      </c>
    </row>
    <row r="45" spans="1:9" s="403" customFormat="1" ht="15.75" thickBot="1" x14ac:dyDescent="0.3">
      <c r="A45" s="840" t="s">
        <v>413</v>
      </c>
      <c r="B45" s="841"/>
      <c r="C45" s="841"/>
      <c r="D45" s="841"/>
      <c r="E45" s="842"/>
      <c r="F45" s="407">
        <f>F38+F39+F40+F41+F42+F43+F44</f>
        <v>1639600</v>
      </c>
      <c r="G45" s="407">
        <f>G38+G39+G40+G41+G42+G43+G44</f>
        <v>81000</v>
      </c>
      <c r="H45" s="407">
        <f>H38+H39+H40+H41+H42+H43+H44</f>
        <v>1720600</v>
      </c>
      <c r="I45" s="407">
        <f>I38+I39+I40+I41+I42+I43+I44</f>
        <v>1720600</v>
      </c>
    </row>
    <row r="46" spans="1:9" s="403" customFormat="1" ht="15.75" thickBot="1" x14ac:dyDescent="0.3">
      <c r="A46" s="840" t="s">
        <v>414</v>
      </c>
      <c r="B46" s="841"/>
      <c r="C46" s="841"/>
      <c r="D46" s="841"/>
      <c r="E46" s="842"/>
      <c r="F46" s="407">
        <f>F45+F37+F35</f>
        <v>3339600</v>
      </c>
      <c r="G46" s="407">
        <f>G35+G37+G45</f>
        <v>540000</v>
      </c>
      <c r="H46" s="407">
        <f>H35+H37+H45</f>
        <v>3879600</v>
      </c>
      <c r="I46" s="407">
        <f>I35+I37+I45</f>
        <v>3879600</v>
      </c>
    </row>
    <row r="47" spans="1:9" ht="15.75" thickBot="1" x14ac:dyDescent="0.3">
      <c r="A47" s="843" t="s">
        <v>415</v>
      </c>
      <c r="B47" s="844"/>
      <c r="C47" s="844"/>
      <c r="D47" s="844"/>
      <c r="E47" s="845"/>
      <c r="F47" s="409">
        <v>70000</v>
      </c>
      <c r="G47" s="409">
        <v>0</v>
      </c>
      <c r="H47" s="174">
        <f>F47+G47</f>
        <v>70000</v>
      </c>
      <c r="I47" s="407">
        <f>H47</f>
        <v>70000</v>
      </c>
    </row>
    <row r="48" spans="1:9" ht="15.75" thickBot="1" x14ac:dyDescent="0.3">
      <c r="A48" s="843" t="s">
        <v>416</v>
      </c>
      <c r="B48" s="844"/>
      <c r="C48" s="844"/>
      <c r="D48" s="844"/>
      <c r="E48" s="845"/>
      <c r="F48" s="409">
        <v>250000</v>
      </c>
      <c r="G48" s="409">
        <v>0</v>
      </c>
      <c r="H48" s="174">
        <f>F48+G48</f>
        <v>250000</v>
      </c>
      <c r="I48" s="407">
        <f>H48</f>
        <v>250000</v>
      </c>
    </row>
    <row r="49" spans="1:9" s="403" customFormat="1" ht="15.75" thickBot="1" x14ac:dyDescent="0.3">
      <c r="A49" s="840" t="s">
        <v>417</v>
      </c>
      <c r="B49" s="841"/>
      <c r="C49" s="841"/>
      <c r="D49" s="841"/>
      <c r="E49" s="842"/>
      <c r="F49" s="407">
        <f>F47+F48</f>
        <v>320000</v>
      </c>
      <c r="G49" s="407">
        <f>G47+G48</f>
        <v>0</v>
      </c>
      <c r="H49" s="407">
        <f>H47+H48</f>
        <v>320000</v>
      </c>
      <c r="I49" s="407">
        <f>I47+I48</f>
        <v>320000</v>
      </c>
    </row>
    <row r="50" spans="1:9" ht="15.75" thickBot="1" x14ac:dyDescent="0.3">
      <c r="A50" s="843" t="s">
        <v>418</v>
      </c>
      <c r="B50" s="844"/>
      <c r="C50" s="844"/>
      <c r="D50" s="844"/>
      <c r="E50" s="845"/>
      <c r="F50" s="409">
        <v>0</v>
      </c>
      <c r="G50" s="409">
        <f>G18+G25+G31+G35+G37+G45</f>
        <v>686349.8</v>
      </c>
      <c r="H50" s="409">
        <v>686350</v>
      </c>
      <c r="I50" s="409">
        <v>686350</v>
      </c>
    </row>
    <row r="51" spans="1:9" ht="15.75" thickBot="1" x14ac:dyDescent="0.3">
      <c r="A51" s="843" t="s">
        <v>421</v>
      </c>
      <c r="B51" s="844"/>
      <c r="C51" s="844"/>
      <c r="D51" s="844"/>
      <c r="E51" s="845"/>
      <c r="F51" s="409">
        <v>20000</v>
      </c>
      <c r="G51" s="409">
        <v>0</v>
      </c>
      <c r="H51" s="409">
        <f>F51+G51</f>
        <v>20000</v>
      </c>
      <c r="I51" s="407">
        <f>H51</f>
        <v>20000</v>
      </c>
    </row>
    <row r="52" spans="1:9" s="403" customFormat="1" ht="15.75" thickBot="1" x14ac:dyDescent="0.3">
      <c r="A52" s="840" t="s">
        <v>419</v>
      </c>
      <c r="B52" s="841"/>
      <c r="C52" s="841"/>
      <c r="D52" s="841"/>
      <c r="E52" s="842"/>
      <c r="F52" s="407">
        <f>F50+F51</f>
        <v>20000</v>
      </c>
      <c r="G52" s="407">
        <f>G50</f>
        <v>686349.8</v>
      </c>
      <c r="H52" s="407">
        <f>H50+H51</f>
        <v>706350</v>
      </c>
      <c r="I52" s="407">
        <f>I50++I51</f>
        <v>706350</v>
      </c>
    </row>
    <row r="53" spans="1:9" s="403" customFormat="1" ht="15.75" thickBot="1" x14ac:dyDescent="0.3">
      <c r="A53" s="840" t="s">
        <v>420</v>
      </c>
      <c r="B53" s="841"/>
      <c r="C53" s="841"/>
      <c r="D53" s="841"/>
      <c r="E53" s="842"/>
      <c r="F53" s="407">
        <f>F46+F49+F51+F31+F25+F18</f>
        <v>4425340</v>
      </c>
      <c r="G53" s="407">
        <f t="shared" ref="G53:I53" si="1">G46+G49+G51+G31+G25+G18</f>
        <v>686349.8</v>
      </c>
      <c r="H53" s="407">
        <f t="shared" si="1"/>
        <v>5111689.8</v>
      </c>
      <c r="I53" s="407">
        <f t="shared" si="1"/>
        <v>5111690</v>
      </c>
    </row>
    <row r="54" spans="1:9" s="408" customFormat="1" ht="15.75" thickBot="1" x14ac:dyDescent="0.3">
      <c r="A54" s="837" t="s">
        <v>184</v>
      </c>
      <c r="B54" s="838"/>
      <c r="C54" s="838"/>
      <c r="D54" s="838"/>
      <c r="E54" s="839"/>
      <c r="F54" s="174">
        <v>275591</v>
      </c>
      <c r="G54" s="174">
        <f>F54*27%-1</f>
        <v>74408.570000000007</v>
      </c>
      <c r="H54" s="174">
        <f>F54+G54</f>
        <v>349999.57</v>
      </c>
      <c r="I54" s="174">
        <v>350000</v>
      </c>
    </row>
    <row r="55" spans="1:9" s="408" customFormat="1" ht="15.75" thickBot="1" x14ac:dyDescent="0.3">
      <c r="A55" s="837" t="s">
        <v>185</v>
      </c>
      <c r="B55" s="838"/>
      <c r="C55" s="838"/>
      <c r="D55" s="838"/>
      <c r="E55" s="839"/>
      <c r="F55" s="174">
        <v>15000</v>
      </c>
      <c r="G55" s="174">
        <f>F55*27%</f>
        <v>4050.0000000000005</v>
      </c>
      <c r="H55" s="174">
        <f t="shared" ref="H55:H61" si="2">F55+G55</f>
        <v>19050</v>
      </c>
      <c r="I55" s="174">
        <v>19050</v>
      </c>
    </row>
    <row r="56" spans="1:9" s="408" customFormat="1" ht="15.75" thickBot="1" x14ac:dyDescent="0.3">
      <c r="A56" s="837" t="s">
        <v>186</v>
      </c>
      <c r="B56" s="838"/>
      <c r="C56" s="838"/>
      <c r="D56" s="838"/>
      <c r="E56" s="839"/>
      <c r="F56" s="174">
        <v>18000</v>
      </c>
      <c r="G56" s="174">
        <f>F56*27%</f>
        <v>4860</v>
      </c>
      <c r="H56" s="174">
        <f t="shared" si="2"/>
        <v>22860</v>
      </c>
      <c r="I56" s="174">
        <v>22860</v>
      </c>
    </row>
    <row r="57" spans="1:9" s="408" customFormat="1" ht="15.75" thickBot="1" x14ac:dyDescent="0.3">
      <c r="A57" s="837" t="s">
        <v>187</v>
      </c>
      <c r="B57" s="838"/>
      <c r="C57" s="838"/>
      <c r="D57" s="838"/>
      <c r="E57" s="839"/>
      <c r="F57" s="174">
        <v>30000</v>
      </c>
      <c r="G57" s="174">
        <f>F57*27%</f>
        <v>8100.0000000000009</v>
      </c>
      <c r="H57" s="174">
        <f t="shared" si="2"/>
        <v>38100</v>
      </c>
      <c r="I57" s="174">
        <v>38100</v>
      </c>
    </row>
    <row r="58" spans="1:9" s="408" customFormat="1" ht="15.75" thickBot="1" x14ac:dyDescent="0.3">
      <c r="A58" s="837" t="s">
        <v>188</v>
      </c>
      <c r="B58" s="838"/>
      <c r="C58" s="838"/>
      <c r="D58" s="838"/>
      <c r="E58" s="839"/>
      <c r="F58" s="174">
        <v>20000</v>
      </c>
      <c r="G58" s="174">
        <f>F58*27%</f>
        <v>5400</v>
      </c>
      <c r="H58" s="174">
        <f t="shared" si="2"/>
        <v>25400</v>
      </c>
      <c r="I58" s="174">
        <v>25400</v>
      </c>
    </row>
    <row r="59" spans="1:9" s="408" customFormat="1" ht="15.75" thickBot="1" x14ac:dyDescent="0.3">
      <c r="A59" s="837" t="s">
        <v>189</v>
      </c>
      <c r="B59" s="838"/>
      <c r="C59" s="838"/>
      <c r="D59" s="838"/>
      <c r="E59" s="839"/>
      <c r="F59" s="174">
        <v>100000</v>
      </c>
      <c r="G59" s="174">
        <f>F59*27%</f>
        <v>27000</v>
      </c>
      <c r="H59" s="174">
        <f t="shared" si="2"/>
        <v>127000</v>
      </c>
      <c r="I59" s="174">
        <v>127000</v>
      </c>
    </row>
    <row r="60" spans="1:9" s="403" customFormat="1" ht="15.75" thickBot="1" x14ac:dyDescent="0.3">
      <c r="A60" s="840" t="s">
        <v>422</v>
      </c>
      <c r="B60" s="841"/>
      <c r="C60" s="841"/>
      <c r="D60" s="841"/>
      <c r="E60" s="842"/>
      <c r="F60" s="407">
        <f>F54+F55+F56+F57+F58+F59</f>
        <v>458591</v>
      </c>
      <c r="G60" s="407">
        <f>G54+G55+G56+G57+G58+G59</f>
        <v>123818.57</v>
      </c>
      <c r="H60" s="407">
        <f>H54+H55+H56+H57+H58+H59</f>
        <v>582409.57000000007</v>
      </c>
      <c r="I60" s="407">
        <f>I54+I55+I56+I57+I58+I59</f>
        <v>582410</v>
      </c>
    </row>
    <row r="61" spans="1:9" s="403" customFormat="1" ht="15.75" thickBot="1" x14ac:dyDescent="0.3">
      <c r="A61" s="840" t="s">
        <v>423</v>
      </c>
      <c r="B61" s="841"/>
      <c r="C61" s="841"/>
      <c r="D61" s="841"/>
      <c r="E61" s="842"/>
      <c r="F61" s="407"/>
      <c r="G61" s="407">
        <f>G60</f>
        <v>123818.57</v>
      </c>
      <c r="H61" s="407">
        <f t="shared" si="2"/>
        <v>123818.57</v>
      </c>
      <c r="I61" s="407">
        <v>123820</v>
      </c>
    </row>
    <row r="62" spans="1:9" s="413" customFormat="1" ht="19.5" thickBot="1" x14ac:dyDescent="0.35">
      <c r="A62" s="834" t="s">
        <v>424</v>
      </c>
      <c r="B62" s="835"/>
      <c r="C62" s="835"/>
      <c r="D62" s="835"/>
      <c r="E62" s="836"/>
      <c r="F62" s="412">
        <f>F53+F60+F15+F16</f>
        <v>8881655</v>
      </c>
      <c r="G62" s="412">
        <v>810169</v>
      </c>
      <c r="H62" s="412">
        <f>F62+G62</f>
        <v>9691824</v>
      </c>
      <c r="I62" s="412">
        <f t="shared" ref="I62" si="3">I60+I53+I16+I15</f>
        <v>9691825</v>
      </c>
    </row>
  </sheetData>
  <mergeCells count="60"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37:E37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2:E32"/>
    <mergeCell ref="A33:E33"/>
    <mergeCell ref="A34:E34"/>
    <mergeCell ref="A35:E35"/>
    <mergeCell ref="A36:E36"/>
    <mergeCell ref="A27:E27"/>
    <mergeCell ref="A28:E28"/>
    <mergeCell ref="A29:E29"/>
    <mergeCell ref="A30:E30"/>
    <mergeCell ref="A31:E31"/>
    <mergeCell ref="A46:E46"/>
    <mergeCell ref="A47:E47"/>
    <mergeCell ref="A48:E48"/>
    <mergeCell ref="A49:E49"/>
    <mergeCell ref="A38:E38"/>
    <mergeCell ref="A41:E41"/>
    <mergeCell ref="A42:E42"/>
    <mergeCell ref="A43:E43"/>
    <mergeCell ref="A44:E44"/>
    <mergeCell ref="A45:E45"/>
    <mergeCell ref="C2:H2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50:E50"/>
    <mergeCell ref="A39:E39"/>
    <mergeCell ref="A40:E4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22" workbookViewId="0">
      <selection activeCell="N1" sqref="N1"/>
    </sheetView>
  </sheetViews>
  <sheetFormatPr defaultRowHeight="15" x14ac:dyDescent="0.25"/>
  <cols>
    <col min="2" max="2" width="12.42578125" bestFit="1" customWidth="1"/>
    <col min="10" max="10" width="3.7109375" customWidth="1"/>
    <col min="11" max="11" width="0.5703125" hidden="1" customWidth="1"/>
    <col min="12" max="12" width="17" style="402" bestFit="1" customWidth="1"/>
    <col min="13" max="13" width="15.42578125" bestFit="1" customWidth="1"/>
    <col min="14" max="14" width="14.85546875" bestFit="1" customWidth="1"/>
    <col min="258" max="258" width="12.42578125" bestFit="1" customWidth="1"/>
    <col min="268" max="268" width="17" bestFit="1" customWidth="1"/>
    <col min="269" max="269" width="15.42578125" bestFit="1" customWidth="1"/>
    <col min="270" max="270" width="14.85546875" bestFit="1" customWidth="1"/>
    <col min="514" max="514" width="12.42578125" bestFit="1" customWidth="1"/>
    <col min="524" max="524" width="17" bestFit="1" customWidth="1"/>
    <col min="525" max="525" width="15.42578125" bestFit="1" customWidth="1"/>
    <col min="526" max="526" width="14.85546875" bestFit="1" customWidth="1"/>
    <col min="770" max="770" width="12.42578125" bestFit="1" customWidth="1"/>
    <col min="780" max="780" width="17" bestFit="1" customWidth="1"/>
    <col min="781" max="781" width="15.42578125" bestFit="1" customWidth="1"/>
    <col min="782" max="782" width="14.85546875" bestFit="1" customWidth="1"/>
    <col min="1026" max="1026" width="12.42578125" bestFit="1" customWidth="1"/>
    <col min="1036" max="1036" width="17" bestFit="1" customWidth="1"/>
    <col min="1037" max="1037" width="15.42578125" bestFit="1" customWidth="1"/>
    <col min="1038" max="1038" width="14.85546875" bestFit="1" customWidth="1"/>
    <col min="1282" max="1282" width="12.42578125" bestFit="1" customWidth="1"/>
    <col min="1292" max="1292" width="17" bestFit="1" customWidth="1"/>
    <col min="1293" max="1293" width="15.42578125" bestFit="1" customWidth="1"/>
    <col min="1294" max="1294" width="14.85546875" bestFit="1" customWidth="1"/>
    <col min="1538" max="1538" width="12.42578125" bestFit="1" customWidth="1"/>
    <col min="1548" max="1548" width="17" bestFit="1" customWidth="1"/>
    <col min="1549" max="1549" width="15.42578125" bestFit="1" customWidth="1"/>
    <col min="1550" max="1550" width="14.85546875" bestFit="1" customWidth="1"/>
    <col min="1794" max="1794" width="12.42578125" bestFit="1" customWidth="1"/>
    <col min="1804" max="1804" width="17" bestFit="1" customWidth="1"/>
    <col min="1805" max="1805" width="15.42578125" bestFit="1" customWidth="1"/>
    <col min="1806" max="1806" width="14.85546875" bestFit="1" customWidth="1"/>
    <col min="2050" max="2050" width="12.42578125" bestFit="1" customWidth="1"/>
    <col min="2060" max="2060" width="17" bestFit="1" customWidth="1"/>
    <col min="2061" max="2061" width="15.42578125" bestFit="1" customWidth="1"/>
    <col min="2062" max="2062" width="14.85546875" bestFit="1" customWidth="1"/>
    <col min="2306" max="2306" width="12.42578125" bestFit="1" customWidth="1"/>
    <col min="2316" max="2316" width="17" bestFit="1" customWidth="1"/>
    <col min="2317" max="2317" width="15.42578125" bestFit="1" customWidth="1"/>
    <col min="2318" max="2318" width="14.85546875" bestFit="1" customWidth="1"/>
    <col min="2562" max="2562" width="12.42578125" bestFit="1" customWidth="1"/>
    <col min="2572" max="2572" width="17" bestFit="1" customWidth="1"/>
    <col min="2573" max="2573" width="15.42578125" bestFit="1" customWidth="1"/>
    <col min="2574" max="2574" width="14.85546875" bestFit="1" customWidth="1"/>
    <col min="2818" max="2818" width="12.42578125" bestFit="1" customWidth="1"/>
    <col min="2828" max="2828" width="17" bestFit="1" customWidth="1"/>
    <col min="2829" max="2829" width="15.42578125" bestFit="1" customWidth="1"/>
    <col min="2830" max="2830" width="14.85546875" bestFit="1" customWidth="1"/>
    <col min="3074" max="3074" width="12.42578125" bestFit="1" customWidth="1"/>
    <col min="3084" max="3084" width="17" bestFit="1" customWidth="1"/>
    <col min="3085" max="3085" width="15.42578125" bestFit="1" customWidth="1"/>
    <col min="3086" max="3086" width="14.85546875" bestFit="1" customWidth="1"/>
    <col min="3330" max="3330" width="12.42578125" bestFit="1" customWidth="1"/>
    <col min="3340" max="3340" width="17" bestFit="1" customWidth="1"/>
    <col min="3341" max="3341" width="15.42578125" bestFit="1" customWidth="1"/>
    <col min="3342" max="3342" width="14.85546875" bestFit="1" customWidth="1"/>
    <col min="3586" max="3586" width="12.42578125" bestFit="1" customWidth="1"/>
    <col min="3596" max="3596" width="17" bestFit="1" customWidth="1"/>
    <col min="3597" max="3597" width="15.42578125" bestFit="1" customWidth="1"/>
    <col min="3598" max="3598" width="14.85546875" bestFit="1" customWidth="1"/>
    <col min="3842" max="3842" width="12.42578125" bestFit="1" customWidth="1"/>
    <col min="3852" max="3852" width="17" bestFit="1" customWidth="1"/>
    <col min="3853" max="3853" width="15.42578125" bestFit="1" customWidth="1"/>
    <col min="3854" max="3854" width="14.85546875" bestFit="1" customWidth="1"/>
    <col min="4098" max="4098" width="12.42578125" bestFit="1" customWidth="1"/>
    <col min="4108" max="4108" width="17" bestFit="1" customWidth="1"/>
    <col min="4109" max="4109" width="15.42578125" bestFit="1" customWidth="1"/>
    <col min="4110" max="4110" width="14.85546875" bestFit="1" customWidth="1"/>
    <col min="4354" max="4354" width="12.42578125" bestFit="1" customWidth="1"/>
    <col min="4364" max="4364" width="17" bestFit="1" customWidth="1"/>
    <col min="4365" max="4365" width="15.42578125" bestFit="1" customWidth="1"/>
    <col min="4366" max="4366" width="14.85546875" bestFit="1" customWidth="1"/>
    <col min="4610" max="4610" width="12.42578125" bestFit="1" customWidth="1"/>
    <col min="4620" max="4620" width="17" bestFit="1" customWidth="1"/>
    <col min="4621" max="4621" width="15.42578125" bestFit="1" customWidth="1"/>
    <col min="4622" max="4622" width="14.85546875" bestFit="1" customWidth="1"/>
    <col min="4866" max="4866" width="12.42578125" bestFit="1" customWidth="1"/>
    <col min="4876" max="4876" width="17" bestFit="1" customWidth="1"/>
    <col min="4877" max="4877" width="15.42578125" bestFit="1" customWidth="1"/>
    <col min="4878" max="4878" width="14.85546875" bestFit="1" customWidth="1"/>
    <col min="5122" max="5122" width="12.42578125" bestFit="1" customWidth="1"/>
    <col min="5132" max="5132" width="17" bestFit="1" customWidth="1"/>
    <col min="5133" max="5133" width="15.42578125" bestFit="1" customWidth="1"/>
    <col min="5134" max="5134" width="14.85546875" bestFit="1" customWidth="1"/>
    <col min="5378" max="5378" width="12.42578125" bestFit="1" customWidth="1"/>
    <col min="5388" max="5388" width="17" bestFit="1" customWidth="1"/>
    <col min="5389" max="5389" width="15.42578125" bestFit="1" customWidth="1"/>
    <col min="5390" max="5390" width="14.85546875" bestFit="1" customWidth="1"/>
    <col min="5634" max="5634" width="12.42578125" bestFit="1" customWidth="1"/>
    <col min="5644" max="5644" width="17" bestFit="1" customWidth="1"/>
    <col min="5645" max="5645" width="15.42578125" bestFit="1" customWidth="1"/>
    <col min="5646" max="5646" width="14.85546875" bestFit="1" customWidth="1"/>
    <col min="5890" max="5890" width="12.42578125" bestFit="1" customWidth="1"/>
    <col min="5900" max="5900" width="17" bestFit="1" customWidth="1"/>
    <col min="5901" max="5901" width="15.42578125" bestFit="1" customWidth="1"/>
    <col min="5902" max="5902" width="14.85546875" bestFit="1" customWidth="1"/>
    <col min="6146" max="6146" width="12.42578125" bestFit="1" customWidth="1"/>
    <col min="6156" max="6156" width="17" bestFit="1" customWidth="1"/>
    <col min="6157" max="6157" width="15.42578125" bestFit="1" customWidth="1"/>
    <col min="6158" max="6158" width="14.85546875" bestFit="1" customWidth="1"/>
    <col min="6402" max="6402" width="12.42578125" bestFit="1" customWidth="1"/>
    <col min="6412" max="6412" width="17" bestFit="1" customWidth="1"/>
    <col min="6413" max="6413" width="15.42578125" bestFit="1" customWidth="1"/>
    <col min="6414" max="6414" width="14.85546875" bestFit="1" customWidth="1"/>
    <col min="6658" max="6658" width="12.42578125" bestFit="1" customWidth="1"/>
    <col min="6668" max="6668" width="17" bestFit="1" customWidth="1"/>
    <col min="6669" max="6669" width="15.42578125" bestFit="1" customWidth="1"/>
    <col min="6670" max="6670" width="14.85546875" bestFit="1" customWidth="1"/>
    <col min="6914" max="6914" width="12.42578125" bestFit="1" customWidth="1"/>
    <col min="6924" max="6924" width="17" bestFit="1" customWidth="1"/>
    <col min="6925" max="6925" width="15.42578125" bestFit="1" customWidth="1"/>
    <col min="6926" max="6926" width="14.85546875" bestFit="1" customWidth="1"/>
    <col min="7170" max="7170" width="12.42578125" bestFit="1" customWidth="1"/>
    <col min="7180" max="7180" width="17" bestFit="1" customWidth="1"/>
    <col min="7181" max="7181" width="15.42578125" bestFit="1" customWidth="1"/>
    <col min="7182" max="7182" width="14.85546875" bestFit="1" customWidth="1"/>
    <col min="7426" max="7426" width="12.42578125" bestFit="1" customWidth="1"/>
    <col min="7436" max="7436" width="17" bestFit="1" customWidth="1"/>
    <col min="7437" max="7437" width="15.42578125" bestFit="1" customWidth="1"/>
    <col min="7438" max="7438" width="14.85546875" bestFit="1" customWidth="1"/>
    <col min="7682" max="7682" width="12.42578125" bestFit="1" customWidth="1"/>
    <col min="7692" max="7692" width="17" bestFit="1" customWidth="1"/>
    <col min="7693" max="7693" width="15.42578125" bestFit="1" customWidth="1"/>
    <col min="7694" max="7694" width="14.85546875" bestFit="1" customWidth="1"/>
    <col min="7938" max="7938" width="12.42578125" bestFit="1" customWidth="1"/>
    <col min="7948" max="7948" width="17" bestFit="1" customWidth="1"/>
    <col min="7949" max="7949" width="15.42578125" bestFit="1" customWidth="1"/>
    <col min="7950" max="7950" width="14.85546875" bestFit="1" customWidth="1"/>
    <col min="8194" max="8194" width="12.42578125" bestFit="1" customWidth="1"/>
    <col min="8204" max="8204" width="17" bestFit="1" customWidth="1"/>
    <col min="8205" max="8205" width="15.42578125" bestFit="1" customWidth="1"/>
    <col min="8206" max="8206" width="14.85546875" bestFit="1" customWidth="1"/>
    <col min="8450" max="8450" width="12.42578125" bestFit="1" customWidth="1"/>
    <col min="8460" max="8460" width="17" bestFit="1" customWidth="1"/>
    <col min="8461" max="8461" width="15.42578125" bestFit="1" customWidth="1"/>
    <col min="8462" max="8462" width="14.85546875" bestFit="1" customWidth="1"/>
    <col min="8706" max="8706" width="12.42578125" bestFit="1" customWidth="1"/>
    <col min="8716" max="8716" width="17" bestFit="1" customWidth="1"/>
    <col min="8717" max="8717" width="15.42578125" bestFit="1" customWidth="1"/>
    <col min="8718" max="8718" width="14.85546875" bestFit="1" customWidth="1"/>
    <col min="8962" max="8962" width="12.42578125" bestFit="1" customWidth="1"/>
    <col min="8972" max="8972" width="17" bestFit="1" customWidth="1"/>
    <col min="8973" max="8973" width="15.42578125" bestFit="1" customWidth="1"/>
    <col min="8974" max="8974" width="14.85546875" bestFit="1" customWidth="1"/>
    <col min="9218" max="9218" width="12.42578125" bestFit="1" customWidth="1"/>
    <col min="9228" max="9228" width="17" bestFit="1" customWidth="1"/>
    <col min="9229" max="9229" width="15.42578125" bestFit="1" customWidth="1"/>
    <col min="9230" max="9230" width="14.85546875" bestFit="1" customWidth="1"/>
    <col min="9474" max="9474" width="12.42578125" bestFit="1" customWidth="1"/>
    <col min="9484" max="9484" width="17" bestFit="1" customWidth="1"/>
    <col min="9485" max="9485" width="15.42578125" bestFit="1" customWidth="1"/>
    <col min="9486" max="9486" width="14.85546875" bestFit="1" customWidth="1"/>
    <col min="9730" max="9730" width="12.42578125" bestFit="1" customWidth="1"/>
    <col min="9740" max="9740" width="17" bestFit="1" customWidth="1"/>
    <col min="9741" max="9741" width="15.42578125" bestFit="1" customWidth="1"/>
    <col min="9742" max="9742" width="14.85546875" bestFit="1" customWidth="1"/>
    <col min="9986" max="9986" width="12.42578125" bestFit="1" customWidth="1"/>
    <col min="9996" max="9996" width="17" bestFit="1" customWidth="1"/>
    <col min="9997" max="9997" width="15.42578125" bestFit="1" customWidth="1"/>
    <col min="9998" max="9998" width="14.85546875" bestFit="1" customWidth="1"/>
    <col min="10242" max="10242" width="12.42578125" bestFit="1" customWidth="1"/>
    <col min="10252" max="10252" width="17" bestFit="1" customWidth="1"/>
    <col min="10253" max="10253" width="15.42578125" bestFit="1" customWidth="1"/>
    <col min="10254" max="10254" width="14.85546875" bestFit="1" customWidth="1"/>
    <col min="10498" max="10498" width="12.42578125" bestFit="1" customWidth="1"/>
    <col min="10508" max="10508" width="17" bestFit="1" customWidth="1"/>
    <col min="10509" max="10509" width="15.42578125" bestFit="1" customWidth="1"/>
    <col min="10510" max="10510" width="14.85546875" bestFit="1" customWidth="1"/>
    <col min="10754" max="10754" width="12.42578125" bestFit="1" customWidth="1"/>
    <col min="10764" max="10764" width="17" bestFit="1" customWidth="1"/>
    <col min="10765" max="10765" width="15.42578125" bestFit="1" customWidth="1"/>
    <col min="10766" max="10766" width="14.85546875" bestFit="1" customWidth="1"/>
    <col min="11010" max="11010" width="12.42578125" bestFit="1" customWidth="1"/>
    <col min="11020" max="11020" width="17" bestFit="1" customWidth="1"/>
    <col min="11021" max="11021" width="15.42578125" bestFit="1" customWidth="1"/>
    <col min="11022" max="11022" width="14.85546875" bestFit="1" customWidth="1"/>
    <col min="11266" max="11266" width="12.42578125" bestFit="1" customWidth="1"/>
    <col min="11276" max="11276" width="17" bestFit="1" customWidth="1"/>
    <col min="11277" max="11277" width="15.42578125" bestFit="1" customWidth="1"/>
    <col min="11278" max="11278" width="14.85546875" bestFit="1" customWidth="1"/>
    <col min="11522" max="11522" width="12.42578125" bestFit="1" customWidth="1"/>
    <col min="11532" max="11532" width="17" bestFit="1" customWidth="1"/>
    <col min="11533" max="11533" width="15.42578125" bestFit="1" customWidth="1"/>
    <col min="11534" max="11534" width="14.85546875" bestFit="1" customWidth="1"/>
    <col min="11778" max="11778" width="12.42578125" bestFit="1" customWidth="1"/>
    <col min="11788" max="11788" width="17" bestFit="1" customWidth="1"/>
    <col min="11789" max="11789" width="15.42578125" bestFit="1" customWidth="1"/>
    <col min="11790" max="11790" width="14.85546875" bestFit="1" customWidth="1"/>
    <col min="12034" max="12034" width="12.42578125" bestFit="1" customWidth="1"/>
    <col min="12044" max="12044" width="17" bestFit="1" customWidth="1"/>
    <col min="12045" max="12045" width="15.42578125" bestFit="1" customWidth="1"/>
    <col min="12046" max="12046" width="14.85546875" bestFit="1" customWidth="1"/>
    <col min="12290" max="12290" width="12.42578125" bestFit="1" customWidth="1"/>
    <col min="12300" max="12300" width="17" bestFit="1" customWidth="1"/>
    <col min="12301" max="12301" width="15.42578125" bestFit="1" customWidth="1"/>
    <col min="12302" max="12302" width="14.85546875" bestFit="1" customWidth="1"/>
    <col min="12546" max="12546" width="12.42578125" bestFit="1" customWidth="1"/>
    <col min="12556" max="12556" width="17" bestFit="1" customWidth="1"/>
    <col min="12557" max="12557" width="15.42578125" bestFit="1" customWidth="1"/>
    <col min="12558" max="12558" width="14.85546875" bestFit="1" customWidth="1"/>
    <col min="12802" max="12802" width="12.42578125" bestFit="1" customWidth="1"/>
    <col min="12812" max="12812" width="17" bestFit="1" customWidth="1"/>
    <col min="12813" max="12813" width="15.42578125" bestFit="1" customWidth="1"/>
    <col min="12814" max="12814" width="14.85546875" bestFit="1" customWidth="1"/>
    <col min="13058" max="13058" width="12.42578125" bestFit="1" customWidth="1"/>
    <col min="13068" max="13068" width="17" bestFit="1" customWidth="1"/>
    <col min="13069" max="13069" width="15.42578125" bestFit="1" customWidth="1"/>
    <col min="13070" max="13070" width="14.85546875" bestFit="1" customWidth="1"/>
    <col min="13314" max="13314" width="12.42578125" bestFit="1" customWidth="1"/>
    <col min="13324" max="13324" width="17" bestFit="1" customWidth="1"/>
    <col min="13325" max="13325" width="15.42578125" bestFit="1" customWidth="1"/>
    <col min="13326" max="13326" width="14.85546875" bestFit="1" customWidth="1"/>
    <col min="13570" max="13570" width="12.42578125" bestFit="1" customWidth="1"/>
    <col min="13580" max="13580" width="17" bestFit="1" customWidth="1"/>
    <col min="13581" max="13581" width="15.42578125" bestFit="1" customWidth="1"/>
    <col min="13582" max="13582" width="14.85546875" bestFit="1" customWidth="1"/>
    <col min="13826" max="13826" width="12.42578125" bestFit="1" customWidth="1"/>
    <col min="13836" max="13836" width="17" bestFit="1" customWidth="1"/>
    <col min="13837" max="13837" width="15.42578125" bestFit="1" customWidth="1"/>
    <col min="13838" max="13838" width="14.85546875" bestFit="1" customWidth="1"/>
    <col min="14082" max="14082" width="12.42578125" bestFit="1" customWidth="1"/>
    <col min="14092" max="14092" width="17" bestFit="1" customWidth="1"/>
    <col min="14093" max="14093" width="15.42578125" bestFit="1" customWidth="1"/>
    <col min="14094" max="14094" width="14.85546875" bestFit="1" customWidth="1"/>
    <col min="14338" max="14338" width="12.42578125" bestFit="1" customWidth="1"/>
    <col min="14348" max="14348" width="17" bestFit="1" customWidth="1"/>
    <col min="14349" max="14349" width="15.42578125" bestFit="1" customWidth="1"/>
    <col min="14350" max="14350" width="14.85546875" bestFit="1" customWidth="1"/>
    <col min="14594" max="14594" width="12.42578125" bestFit="1" customWidth="1"/>
    <col min="14604" max="14604" width="17" bestFit="1" customWidth="1"/>
    <col min="14605" max="14605" width="15.42578125" bestFit="1" customWidth="1"/>
    <col min="14606" max="14606" width="14.85546875" bestFit="1" customWidth="1"/>
    <col min="14850" max="14850" width="12.42578125" bestFit="1" customWidth="1"/>
    <col min="14860" max="14860" width="17" bestFit="1" customWidth="1"/>
    <col min="14861" max="14861" width="15.42578125" bestFit="1" customWidth="1"/>
    <col min="14862" max="14862" width="14.85546875" bestFit="1" customWidth="1"/>
    <col min="15106" max="15106" width="12.42578125" bestFit="1" customWidth="1"/>
    <col min="15116" max="15116" width="17" bestFit="1" customWidth="1"/>
    <col min="15117" max="15117" width="15.42578125" bestFit="1" customWidth="1"/>
    <col min="15118" max="15118" width="14.85546875" bestFit="1" customWidth="1"/>
    <col min="15362" max="15362" width="12.42578125" bestFit="1" customWidth="1"/>
    <col min="15372" max="15372" width="17" bestFit="1" customWidth="1"/>
    <col min="15373" max="15373" width="15.42578125" bestFit="1" customWidth="1"/>
    <col min="15374" max="15374" width="14.85546875" bestFit="1" customWidth="1"/>
    <col min="15618" max="15618" width="12.42578125" bestFit="1" customWidth="1"/>
    <col min="15628" max="15628" width="17" bestFit="1" customWidth="1"/>
    <col min="15629" max="15629" width="15.42578125" bestFit="1" customWidth="1"/>
    <col min="15630" max="15630" width="14.85546875" bestFit="1" customWidth="1"/>
    <col min="15874" max="15874" width="12.42578125" bestFit="1" customWidth="1"/>
    <col min="15884" max="15884" width="17" bestFit="1" customWidth="1"/>
    <col min="15885" max="15885" width="15.42578125" bestFit="1" customWidth="1"/>
    <col min="15886" max="15886" width="14.85546875" bestFit="1" customWidth="1"/>
    <col min="16130" max="16130" width="12.42578125" bestFit="1" customWidth="1"/>
    <col min="16140" max="16140" width="17" bestFit="1" customWidth="1"/>
    <col min="16141" max="16141" width="15.42578125" bestFit="1" customWidth="1"/>
    <col min="16142" max="16142" width="14.85546875" bestFit="1" customWidth="1"/>
  </cols>
  <sheetData>
    <row r="1" spans="1:14" x14ac:dyDescent="0.25">
      <c r="N1" t="s">
        <v>728</v>
      </c>
    </row>
    <row r="3" spans="1:14" ht="15.75" thickBot="1" x14ac:dyDescent="0.3">
      <c r="L3" s="585" t="s">
        <v>712</v>
      </c>
    </row>
    <row r="4" spans="1:14" ht="15.75" thickBot="1" x14ac:dyDescent="0.3">
      <c r="A4" s="843"/>
      <c r="B4" s="844"/>
      <c r="C4" s="844"/>
      <c r="D4" s="844"/>
      <c r="E4" s="844"/>
      <c r="F4" s="844"/>
      <c r="G4" s="844"/>
      <c r="H4" s="844"/>
      <c r="I4" s="844"/>
      <c r="J4" s="844"/>
      <c r="K4" s="845"/>
      <c r="L4" s="405" t="s">
        <v>713</v>
      </c>
      <c r="M4" s="586" t="s">
        <v>714</v>
      </c>
      <c r="N4" s="586" t="s">
        <v>715</v>
      </c>
    </row>
    <row r="5" spans="1:14" ht="16.5" thickBot="1" x14ac:dyDescent="0.3">
      <c r="A5" s="870" t="s">
        <v>716</v>
      </c>
      <c r="B5" s="871"/>
      <c r="C5" s="871"/>
      <c r="D5" s="871"/>
      <c r="E5" s="871"/>
      <c r="F5" s="871"/>
      <c r="G5" s="871"/>
      <c r="H5" s="871"/>
      <c r="I5" s="871"/>
      <c r="J5" s="871"/>
      <c r="K5" s="872"/>
      <c r="L5" s="409"/>
      <c r="M5" s="587"/>
      <c r="N5" s="588"/>
    </row>
    <row r="6" spans="1:14" ht="15.75" thickBot="1" x14ac:dyDescent="0.3">
      <c r="A6" s="843"/>
      <c r="B6" s="844"/>
      <c r="C6" s="844"/>
      <c r="D6" s="844"/>
      <c r="E6" s="844"/>
      <c r="F6" s="844"/>
      <c r="G6" s="844"/>
      <c r="H6" s="844"/>
      <c r="I6" s="844"/>
      <c r="J6" s="844"/>
      <c r="K6" s="845"/>
      <c r="L6" s="409">
        <v>13257000</v>
      </c>
      <c r="M6" s="587"/>
      <c r="N6" s="588"/>
    </row>
    <row r="7" spans="1:14" ht="15.75" thickBot="1" x14ac:dyDescent="0.3">
      <c r="A7" s="843"/>
      <c r="B7" s="844"/>
      <c r="C7" s="844"/>
      <c r="D7" s="844"/>
      <c r="E7" s="844"/>
      <c r="F7" s="844"/>
      <c r="G7" s="844"/>
      <c r="H7" s="844"/>
      <c r="I7" s="844"/>
      <c r="J7" s="844"/>
      <c r="K7" s="845"/>
      <c r="L7" s="409">
        <v>2940000</v>
      </c>
      <c r="M7" s="587"/>
      <c r="N7" s="588"/>
    </row>
    <row r="8" spans="1:14" ht="15.75" thickBot="1" x14ac:dyDescent="0.3">
      <c r="A8" s="843"/>
      <c r="B8" s="844"/>
      <c r="C8" s="844"/>
      <c r="D8" s="844"/>
      <c r="E8" s="844"/>
      <c r="F8" s="844"/>
      <c r="G8" s="844"/>
      <c r="H8" s="844"/>
      <c r="I8" s="844"/>
      <c r="J8" s="844"/>
      <c r="K8" s="845"/>
      <c r="L8" s="409">
        <v>6039300</v>
      </c>
      <c r="M8" s="587"/>
      <c r="N8" s="588"/>
    </row>
    <row r="9" spans="1:14" ht="15.75" thickBot="1" x14ac:dyDescent="0.3">
      <c r="A9" s="843"/>
      <c r="B9" s="844"/>
      <c r="C9" s="844"/>
      <c r="D9" s="844"/>
      <c r="E9" s="844"/>
      <c r="F9" s="844"/>
      <c r="G9" s="844"/>
      <c r="H9" s="844"/>
      <c r="I9" s="844"/>
      <c r="J9" s="844"/>
      <c r="K9" s="845"/>
      <c r="L9" s="409">
        <v>1470000</v>
      </c>
      <c r="M9" s="587"/>
      <c r="N9" s="588"/>
    </row>
    <row r="10" spans="1:14" ht="15.75" thickBot="1" x14ac:dyDescent="0.3">
      <c r="A10" s="843"/>
      <c r="B10" s="844"/>
      <c r="C10" s="844"/>
      <c r="D10" s="844"/>
      <c r="E10" s="844"/>
      <c r="F10" s="844"/>
      <c r="G10" s="844"/>
      <c r="H10" s="844"/>
      <c r="I10" s="844"/>
      <c r="J10" s="844"/>
      <c r="K10" s="845"/>
      <c r="L10" s="409">
        <v>2451000</v>
      </c>
      <c r="M10" s="587"/>
      <c r="N10" s="588"/>
    </row>
    <row r="11" spans="1:14" ht="15.75" thickBot="1" x14ac:dyDescent="0.3">
      <c r="A11" s="843"/>
      <c r="B11" s="844"/>
      <c r="C11" s="844"/>
      <c r="D11" s="844"/>
      <c r="E11" s="844"/>
      <c r="F11" s="844"/>
      <c r="G11" s="844"/>
      <c r="H11" s="844"/>
      <c r="I11" s="844"/>
      <c r="J11" s="844"/>
      <c r="K11" s="845"/>
      <c r="L11" s="409">
        <v>116567</v>
      </c>
      <c r="M11" s="587"/>
      <c r="N11" s="588"/>
    </row>
    <row r="12" spans="1:14" ht="15.75" thickBot="1" x14ac:dyDescent="0.3">
      <c r="A12" s="843"/>
      <c r="B12" s="844"/>
      <c r="C12" s="844"/>
      <c r="D12" s="844"/>
      <c r="E12" s="844"/>
      <c r="F12" s="844"/>
      <c r="G12" s="844"/>
      <c r="H12" s="844"/>
      <c r="I12" s="844"/>
      <c r="J12" s="844"/>
      <c r="K12" s="845"/>
      <c r="L12" s="409">
        <v>802000</v>
      </c>
      <c r="M12" s="587"/>
      <c r="N12" s="588"/>
    </row>
    <row r="13" spans="1:14" ht="15.75" thickBot="1" x14ac:dyDescent="0.3">
      <c r="A13" s="843"/>
      <c r="B13" s="844"/>
      <c r="C13" s="844"/>
      <c r="D13" s="844"/>
      <c r="E13" s="844"/>
      <c r="F13" s="844"/>
      <c r="G13" s="844"/>
      <c r="H13" s="844"/>
      <c r="I13" s="844"/>
      <c r="J13" s="844"/>
      <c r="K13" s="845"/>
      <c r="L13" s="409">
        <v>367584</v>
      </c>
      <c r="M13" s="587"/>
      <c r="N13" s="588"/>
    </row>
    <row r="14" spans="1:14" s="403" customFormat="1" ht="19.5" thickBot="1" x14ac:dyDescent="0.35">
      <c r="A14" s="840" t="s">
        <v>717</v>
      </c>
      <c r="B14" s="841"/>
      <c r="C14" s="841"/>
      <c r="D14" s="841"/>
      <c r="E14" s="841"/>
      <c r="F14" s="841"/>
      <c r="G14" s="841"/>
      <c r="H14" s="841"/>
      <c r="I14" s="841"/>
      <c r="J14" s="841"/>
      <c r="K14" s="842"/>
      <c r="L14" s="412">
        <f>L6+L7+L8+L9+L10+L11+L12+L13</f>
        <v>27443451</v>
      </c>
      <c r="M14" s="589">
        <v>33942595</v>
      </c>
      <c r="N14" s="412">
        <f>L14-M14</f>
        <v>-6499144</v>
      </c>
    </row>
    <row r="15" spans="1:14" ht="15.75" thickBot="1" x14ac:dyDescent="0.3">
      <c r="A15" s="843"/>
      <c r="B15" s="844"/>
      <c r="C15" s="844"/>
      <c r="D15" s="844"/>
      <c r="E15" s="844"/>
      <c r="F15" s="844"/>
      <c r="G15" s="844"/>
      <c r="H15" s="844"/>
      <c r="I15" s="844"/>
      <c r="J15" s="844"/>
      <c r="K15" s="845"/>
      <c r="L15" s="409"/>
      <c r="M15" s="590"/>
      <c r="N15" s="407"/>
    </row>
    <row r="16" spans="1:14" ht="16.5" thickBot="1" x14ac:dyDescent="0.3">
      <c r="A16" s="870" t="s">
        <v>338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2"/>
      <c r="L16" s="409"/>
      <c r="M16" s="590"/>
      <c r="N16" s="407"/>
    </row>
    <row r="17" spans="1:14" ht="15.75" thickBot="1" x14ac:dyDescent="0.3">
      <c r="A17" s="843"/>
      <c r="B17" s="844"/>
      <c r="C17" s="844"/>
      <c r="D17" s="844"/>
      <c r="E17" s="844"/>
      <c r="F17" s="844"/>
      <c r="G17" s="844"/>
      <c r="H17" s="844"/>
      <c r="I17" s="844"/>
      <c r="J17" s="844"/>
      <c r="K17" s="845"/>
      <c r="L17" s="409">
        <v>8979000</v>
      </c>
      <c r="M17" s="590"/>
      <c r="N17" s="407"/>
    </row>
    <row r="18" spans="1:14" ht="15.75" thickBot="1" x14ac:dyDescent="0.3">
      <c r="A18" s="843"/>
      <c r="B18" s="844"/>
      <c r="C18" s="844"/>
      <c r="D18" s="844"/>
      <c r="E18" s="844"/>
      <c r="F18" s="844"/>
      <c r="G18" s="844"/>
      <c r="H18" s="844"/>
      <c r="I18" s="844"/>
      <c r="J18" s="844"/>
      <c r="K18" s="845"/>
      <c r="L18" s="409">
        <v>2319000</v>
      </c>
      <c r="M18" s="590"/>
      <c r="N18" s="407"/>
    </row>
    <row r="19" spans="1:14" ht="15.75" thickBot="1" x14ac:dyDescent="0.3">
      <c r="A19" s="843"/>
      <c r="B19" s="844"/>
      <c r="C19" s="844"/>
      <c r="D19" s="844"/>
      <c r="E19" s="844"/>
      <c r="F19" s="844"/>
      <c r="G19" s="844"/>
      <c r="H19" s="844"/>
      <c r="I19" s="844"/>
      <c r="J19" s="844"/>
      <c r="K19" s="845"/>
      <c r="L19" s="409">
        <v>2500000</v>
      </c>
      <c r="M19" s="590"/>
      <c r="N19" s="407"/>
    </row>
    <row r="20" spans="1:14" s="403" customFormat="1" ht="19.5" thickBot="1" x14ac:dyDescent="0.35">
      <c r="A20" s="840" t="s">
        <v>718</v>
      </c>
      <c r="B20" s="841"/>
      <c r="C20" s="841"/>
      <c r="D20" s="841"/>
      <c r="E20" s="841"/>
      <c r="F20" s="841"/>
      <c r="G20" s="841"/>
      <c r="H20" s="841"/>
      <c r="I20" s="841"/>
      <c r="J20" s="841"/>
      <c r="K20" s="842"/>
      <c r="L20" s="412">
        <f>L17+L18+L19</f>
        <v>13798000</v>
      </c>
      <c r="M20" s="589">
        <v>11324907</v>
      </c>
      <c r="N20" s="412">
        <f>L20-M20</f>
        <v>2473093</v>
      </c>
    </row>
    <row r="21" spans="1:14" s="593" customFormat="1" ht="21.75" thickBot="1" x14ac:dyDescent="0.4">
      <c r="A21" s="867" t="s">
        <v>719</v>
      </c>
      <c r="B21" s="868"/>
      <c r="C21" s="868"/>
      <c r="D21" s="868"/>
      <c r="E21" s="868"/>
      <c r="F21" s="868"/>
      <c r="G21" s="868"/>
      <c r="H21" s="868"/>
      <c r="I21" s="868"/>
      <c r="J21" s="868"/>
      <c r="K21" s="869"/>
      <c r="L21" s="591">
        <f>L20+L14</f>
        <v>41241451</v>
      </c>
      <c r="M21" s="592">
        <f>M14+M20</f>
        <v>45267502</v>
      </c>
      <c r="N21" s="591">
        <f>N14+N20</f>
        <v>-4026051</v>
      </c>
    </row>
    <row r="22" spans="1:14" ht="15.75" thickBot="1" x14ac:dyDescent="0.3"/>
    <row r="23" spans="1:14" ht="15.75" thickBot="1" x14ac:dyDescent="0.3">
      <c r="A23" s="843" t="s">
        <v>621</v>
      </c>
      <c r="B23" s="844"/>
      <c r="C23" s="844"/>
      <c r="D23" s="844"/>
      <c r="E23" s="844"/>
      <c r="F23" s="844"/>
      <c r="G23" s="844"/>
      <c r="H23" s="844"/>
      <c r="I23" s="844"/>
      <c r="J23" s="844"/>
      <c r="K23" s="845"/>
      <c r="L23" s="594">
        <v>2171950</v>
      </c>
      <c r="M23" s="595" t="s">
        <v>720</v>
      </c>
      <c r="N23" s="595" t="s">
        <v>715</v>
      </c>
    </row>
    <row r="24" spans="1:14" ht="15.75" thickBot="1" x14ac:dyDescent="0.3">
      <c r="A24" s="864" t="s">
        <v>721</v>
      </c>
      <c r="B24" s="865"/>
      <c r="C24" s="865"/>
      <c r="D24" s="865"/>
      <c r="E24" s="865"/>
      <c r="F24" s="865"/>
      <c r="G24" s="865"/>
      <c r="H24" s="865"/>
      <c r="I24" s="865"/>
      <c r="J24" s="865"/>
      <c r="K24" s="866"/>
      <c r="L24" s="596">
        <f>26352*12</f>
        <v>316224</v>
      </c>
      <c r="M24" s="597"/>
      <c r="N24" s="597"/>
    </row>
    <row r="25" spans="1:14" s="403" customFormat="1" ht="21.75" thickBot="1" x14ac:dyDescent="0.4">
      <c r="A25" s="867" t="s">
        <v>722</v>
      </c>
      <c r="B25" s="868"/>
      <c r="C25" s="868"/>
      <c r="D25" s="868"/>
      <c r="E25" s="868"/>
      <c r="F25" s="868"/>
      <c r="G25" s="868"/>
      <c r="H25" s="868"/>
      <c r="I25" s="868"/>
      <c r="J25" s="868"/>
      <c r="K25" s="869"/>
      <c r="L25" s="412">
        <f>L23+L24</f>
        <v>2488174</v>
      </c>
      <c r="M25" s="412">
        <v>9691825</v>
      </c>
      <c r="N25" s="412">
        <f>L25+L26+L27-M25</f>
        <v>-5903651</v>
      </c>
    </row>
    <row r="26" spans="1:14" ht="15.75" thickBot="1" x14ac:dyDescent="0.3">
      <c r="A26" s="843" t="s">
        <v>723</v>
      </c>
      <c r="B26" s="844"/>
      <c r="C26" s="844"/>
      <c r="D26" s="844"/>
      <c r="E26" s="844"/>
      <c r="F26" s="844"/>
      <c r="G26" s="844"/>
      <c r="H26" s="844"/>
      <c r="I26" s="844"/>
      <c r="J26" s="844"/>
      <c r="K26" s="845"/>
      <c r="L26" s="409">
        <v>1200000</v>
      </c>
    </row>
    <row r="27" spans="1:14" ht="15.75" thickBot="1" x14ac:dyDescent="0.3">
      <c r="A27" s="843" t="s">
        <v>724</v>
      </c>
      <c r="B27" s="844"/>
      <c r="C27" s="844"/>
      <c r="D27" s="844"/>
      <c r="E27" s="844"/>
      <c r="F27" s="844"/>
      <c r="G27" s="844"/>
      <c r="H27" s="844"/>
      <c r="I27" s="844"/>
      <c r="J27" s="844"/>
      <c r="K27" s="845"/>
      <c r="L27" s="409">
        <v>100000</v>
      </c>
    </row>
    <row r="28" spans="1:14" s="413" customFormat="1" ht="19.5" thickBot="1" x14ac:dyDescent="0.35">
      <c r="A28" s="834" t="s">
        <v>725</v>
      </c>
      <c r="B28" s="835"/>
      <c r="C28" s="835"/>
      <c r="D28" s="835"/>
      <c r="E28" s="835"/>
      <c r="F28" s="835"/>
      <c r="G28" s="835"/>
      <c r="H28" s="835"/>
      <c r="I28" s="835"/>
      <c r="J28" s="835"/>
      <c r="K28" s="836"/>
      <c r="L28" s="412">
        <f>L25+L21+L26+L27</f>
        <v>45029625</v>
      </c>
    </row>
    <row r="29" spans="1:14" s="413" customFormat="1" ht="19.5" thickBot="1" x14ac:dyDescent="0.35">
      <c r="A29" s="834" t="s">
        <v>726</v>
      </c>
      <c r="B29" s="835"/>
      <c r="C29" s="835"/>
      <c r="D29" s="835"/>
      <c r="E29" s="835"/>
      <c r="F29" s="835"/>
      <c r="G29" s="835"/>
      <c r="H29" s="835"/>
      <c r="I29" s="835"/>
      <c r="J29" s="835"/>
      <c r="K29" s="836"/>
      <c r="L29" s="412">
        <v>54959325</v>
      </c>
    </row>
    <row r="30" spans="1:14" ht="19.5" thickBot="1" x14ac:dyDescent="0.35">
      <c r="A30" s="834" t="s">
        <v>727</v>
      </c>
      <c r="B30" s="835"/>
      <c r="C30" s="835"/>
      <c r="D30" s="835"/>
      <c r="E30" s="835"/>
      <c r="F30" s="835"/>
      <c r="G30" s="835"/>
      <c r="H30" s="835"/>
      <c r="I30" s="835"/>
      <c r="J30" s="835"/>
      <c r="K30" s="836"/>
      <c r="L30" s="412">
        <f>L28-L29</f>
        <v>-9929700</v>
      </c>
    </row>
  </sheetData>
  <mergeCells count="26">
    <mergeCell ref="A9:K9"/>
    <mergeCell ref="A4:K4"/>
    <mergeCell ref="A5:K5"/>
    <mergeCell ref="A6:K6"/>
    <mergeCell ref="A7:K7"/>
    <mergeCell ref="A8:K8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9:K29"/>
    <mergeCell ref="A30:K30"/>
    <mergeCell ref="A23:K23"/>
    <mergeCell ref="A24:K24"/>
    <mergeCell ref="A25:K25"/>
    <mergeCell ref="A26:K26"/>
    <mergeCell ref="A27:K27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G18" sqref="G18"/>
    </sheetView>
  </sheetViews>
  <sheetFormatPr defaultRowHeight="15" x14ac:dyDescent="0.25"/>
  <cols>
    <col min="1" max="1" width="39" bestFit="1" customWidth="1"/>
    <col min="2" max="2" width="12" bestFit="1" customWidth="1"/>
    <col min="3" max="13" width="9.85546875" bestFit="1" customWidth="1"/>
    <col min="14" max="14" width="11.85546875" bestFit="1" customWidth="1"/>
    <col min="15" max="15" width="10.42578125" bestFit="1" customWidth="1"/>
  </cols>
  <sheetData>
    <row r="1" spans="1:16" ht="15.75" x14ac:dyDescent="0.25">
      <c r="A1" s="873" t="s">
        <v>436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16" ht="15.75" x14ac:dyDescent="0.25">
      <c r="A2" s="873" t="s">
        <v>346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</row>
    <row r="3" spans="1:16" x14ac:dyDescent="0.25">
      <c r="A3" s="874" t="s">
        <v>437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</row>
    <row r="4" spans="1:16" x14ac:dyDescent="0.25">
      <c r="A4" s="874"/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  <c r="M4" s="874"/>
      <c r="N4" s="874"/>
    </row>
    <row r="5" spans="1:16" ht="15.75" x14ac:dyDescent="0.2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874" t="s">
        <v>438</v>
      </c>
      <c r="N5" s="874"/>
    </row>
    <row r="6" spans="1:16" ht="15.75" x14ac:dyDescent="0.25">
      <c r="A6" s="415" t="s">
        <v>8</v>
      </c>
      <c r="B6" s="416" t="s">
        <v>439</v>
      </c>
      <c r="C6" s="416" t="s">
        <v>440</v>
      </c>
      <c r="D6" s="416" t="s">
        <v>441</v>
      </c>
      <c r="E6" s="416" t="s">
        <v>442</v>
      </c>
      <c r="F6" s="416" t="s">
        <v>443</v>
      </c>
      <c r="G6" s="416" t="s">
        <v>444</v>
      </c>
      <c r="H6" s="416" t="s">
        <v>445</v>
      </c>
      <c r="I6" s="416" t="s">
        <v>446</v>
      </c>
      <c r="J6" s="416" t="s">
        <v>447</v>
      </c>
      <c r="K6" s="416" t="s">
        <v>448</v>
      </c>
      <c r="L6" s="416" t="s">
        <v>449</v>
      </c>
      <c r="M6" s="416" t="s">
        <v>450</v>
      </c>
      <c r="N6" s="415" t="s">
        <v>451</v>
      </c>
    </row>
    <row r="7" spans="1:16" x14ac:dyDescent="0.25">
      <c r="A7" s="417" t="s">
        <v>15</v>
      </c>
      <c r="B7" s="418">
        <v>2851</v>
      </c>
      <c r="C7" s="419">
        <v>2851</v>
      </c>
      <c r="D7" s="419">
        <v>2852</v>
      </c>
      <c r="E7" s="419">
        <v>2852</v>
      </c>
      <c r="F7" s="419">
        <v>2852</v>
      </c>
      <c r="G7" s="419">
        <v>2851</v>
      </c>
      <c r="H7" s="419">
        <v>2851</v>
      </c>
      <c r="I7" s="419">
        <v>2851</v>
      </c>
      <c r="J7" s="419">
        <v>2851</v>
      </c>
      <c r="K7" s="419">
        <v>2851</v>
      </c>
      <c r="L7" s="419">
        <v>2851</v>
      </c>
      <c r="M7" s="419">
        <v>2851</v>
      </c>
      <c r="N7" s="420">
        <f t="shared" ref="N7:N12" si="0">SUM(B7:M7)</f>
        <v>34215</v>
      </c>
      <c r="O7" s="421">
        <f>'[1]11'!D10</f>
        <v>34215</v>
      </c>
    </row>
    <row r="8" spans="1:16" x14ac:dyDescent="0.25">
      <c r="A8" s="417" t="s">
        <v>452</v>
      </c>
      <c r="B8" s="418">
        <v>704</v>
      </c>
      <c r="C8" s="419">
        <v>704</v>
      </c>
      <c r="D8" s="419">
        <v>704</v>
      </c>
      <c r="E8" s="419">
        <v>705</v>
      </c>
      <c r="F8" s="419">
        <v>705</v>
      </c>
      <c r="G8" s="419">
        <v>705</v>
      </c>
      <c r="H8" s="419">
        <v>705</v>
      </c>
      <c r="I8" s="419">
        <v>705</v>
      </c>
      <c r="J8" s="419">
        <v>705</v>
      </c>
      <c r="K8" s="419">
        <v>705</v>
      </c>
      <c r="L8" s="419">
        <v>705</v>
      </c>
      <c r="M8" s="419">
        <v>705</v>
      </c>
      <c r="N8" s="420">
        <f t="shared" si="0"/>
        <v>8457</v>
      </c>
      <c r="O8" s="422">
        <f>'[1]11'!D11</f>
        <v>8457</v>
      </c>
      <c r="P8" s="92"/>
    </row>
    <row r="9" spans="1:16" x14ac:dyDescent="0.25">
      <c r="A9" s="417" t="s">
        <v>17</v>
      </c>
      <c r="B9" s="418">
        <v>889</v>
      </c>
      <c r="C9" s="418">
        <v>889</v>
      </c>
      <c r="D9" s="418">
        <v>889</v>
      </c>
      <c r="E9" s="418">
        <v>889</v>
      </c>
      <c r="F9" s="418">
        <v>889</v>
      </c>
      <c r="G9" s="418">
        <v>889</v>
      </c>
      <c r="H9" s="418">
        <v>889</v>
      </c>
      <c r="I9" s="418">
        <v>889</v>
      </c>
      <c r="J9" s="418">
        <v>889</v>
      </c>
      <c r="K9" s="418">
        <v>889</v>
      </c>
      <c r="L9" s="418">
        <v>890</v>
      </c>
      <c r="M9" s="418">
        <v>889</v>
      </c>
      <c r="N9" s="420">
        <f>SUM(B9:M9)</f>
        <v>10669</v>
      </c>
      <c r="O9" s="422">
        <v>10669</v>
      </c>
      <c r="P9" s="92"/>
    </row>
    <row r="10" spans="1:16" x14ac:dyDescent="0.25">
      <c r="A10" s="417" t="s">
        <v>453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20">
        <f t="shared" si="0"/>
        <v>0</v>
      </c>
      <c r="O10" s="423"/>
    </row>
    <row r="11" spans="1:16" x14ac:dyDescent="0.25">
      <c r="A11" s="417" t="s">
        <v>454</v>
      </c>
      <c r="B11" s="419"/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20">
        <f t="shared" si="0"/>
        <v>0</v>
      </c>
      <c r="O11" s="423"/>
    </row>
    <row r="12" spans="1:16" x14ac:dyDescent="0.25">
      <c r="A12" s="417" t="s">
        <v>455</v>
      </c>
      <c r="B12" s="419">
        <v>0</v>
      </c>
      <c r="C12" s="419">
        <v>0</v>
      </c>
      <c r="D12" s="419">
        <v>162</v>
      </c>
      <c r="E12" s="419">
        <v>162</v>
      </c>
      <c r="F12" s="419">
        <v>162</v>
      </c>
      <c r="G12" s="419">
        <v>162</v>
      </c>
      <c r="H12" s="419">
        <v>162</v>
      </c>
      <c r="I12" s="419">
        <v>162</v>
      </c>
      <c r="J12" s="419">
        <v>162</v>
      </c>
      <c r="K12" s="419">
        <v>162</v>
      </c>
      <c r="L12" s="419">
        <v>161</v>
      </c>
      <c r="M12" s="419">
        <v>161</v>
      </c>
      <c r="N12" s="420">
        <f t="shared" si="0"/>
        <v>1618</v>
      </c>
      <c r="O12" s="423">
        <f>'[1]11'!D25</f>
        <v>1618</v>
      </c>
    </row>
    <row r="13" spans="1:16" x14ac:dyDescent="0.25">
      <c r="A13" s="417" t="s">
        <v>263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0"/>
    </row>
    <row r="14" spans="1:16" x14ac:dyDescent="0.25">
      <c r="A14" s="424" t="s">
        <v>456</v>
      </c>
      <c r="B14" s="419">
        <f>SUM(B7:B13)</f>
        <v>4444</v>
      </c>
      <c r="C14" s="419">
        <f t="shared" ref="C14:M14" si="1">SUM(C7:C13)</f>
        <v>4444</v>
      </c>
      <c r="D14" s="419">
        <f t="shared" si="1"/>
        <v>4607</v>
      </c>
      <c r="E14" s="419">
        <f t="shared" si="1"/>
        <v>4608</v>
      </c>
      <c r="F14" s="419">
        <f t="shared" si="1"/>
        <v>4608</v>
      </c>
      <c r="G14" s="419">
        <f t="shared" si="1"/>
        <v>4607</v>
      </c>
      <c r="H14" s="419">
        <f t="shared" si="1"/>
        <v>4607</v>
      </c>
      <c r="I14" s="419">
        <f t="shared" si="1"/>
        <v>4607</v>
      </c>
      <c r="J14" s="419">
        <f t="shared" si="1"/>
        <v>4607</v>
      </c>
      <c r="K14" s="419">
        <f t="shared" si="1"/>
        <v>4607</v>
      </c>
      <c r="L14" s="419">
        <f t="shared" si="1"/>
        <v>4607</v>
      </c>
      <c r="M14" s="419">
        <f t="shared" si="1"/>
        <v>4606</v>
      </c>
      <c r="N14" s="420">
        <f>SUM(N7:N13)</f>
        <v>54959</v>
      </c>
      <c r="O14" s="425">
        <f>O7+O8+O9+O12</f>
        <v>54959</v>
      </c>
    </row>
    <row r="15" spans="1:16" x14ac:dyDescent="0.25">
      <c r="A15" s="426"/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6" x14ac:dyDescent="0.25">
      <c r="A16" s="417" t="s">
        <v>457</v>
      </c>
      <c r="B16" s="419">
        <v>0</v>
      </c>
      <c r="C16" s="419">
        <v>0</v>
      </c>
      <c r="D16" s="419">
        <v>130</v>
      </c>
      <c r="E16" s="419">
        <v>130</v>
      </c>
      <c r="F16" s="419">
        <v>130</v>
      </c>
      <c r="G16" s="419">
        <v>130</v>
      </c>
      <c r="H16" s="419">
        <v>130</v>
      </c>
      <c r="I16" s="419">
        <v>130</v>
      </c>
      <c r="J16" s="419">
        <v>130</v>
      </c>
      <c r="K16" s="419">
        <v>130</v>
      </c>
      <c r="L16" s="419">
        <v>130</v>
      </c>
      <c r="M16" s="419">
        <v>130</v>
      </c>
      <c r="N16" s="420">
        <f t="shared" ref="N16:N22" si="2">SUM(B16:M16)</f>
        <v>1300</v>
      </c>
      <c r="O16">
        <f>'[1]11'!D32</f>
        <v>1300</v>
      </c>
    </row>
    <row r="17" spans="1:15" x14ac:dyDescent="0.25">
      <c r="A17" s="417" t="s">
        <v>48</v>
      </c>
      <c r="B17" s="419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>
        <f t="shared" si="2"/>
        <v>0</v>
      </c>
    </row>
    <row r="18" spans="1:15" x14ac:dyDescent="0.25">
      <c r="A18" s="429" t="s">
        <v>458</v>
      </c>
      <c r="B18" s="419">
        <v>4460</v>
      </c>
      <c r="C18" s="419">
        <v>4460</v>
      </c>
      <c r="D18" s="419">
        <v>4460</v>
      </c>
      <c r="E18" s="419">
        <v>4461</v>
      </c>
      <c r="F18" s="419">
        <v>4461</v>
      </c>
      <c r="G18" s="419">
        <v>4460</v>
      </c>
      <c r="H18" s="419">
        <v>4460</v>
      </c>
      <c r="I18" s="419">
        <v>4460</v>
      </c>
      <c r="J18" s="419">
        <v>4460</v>
      </c>
      <c r="K18" s="419">
        <v>4460</v>
      </c>
      <c r="L18" s="419">
        <v>4460</v>
      </c>
      <c r="M18" s="419">
        <v>4460</v>
      </c>
      <c r="N18" s="420">
        <f t="shared" si="2"/>
        <v>53522</v>
      </c>
      <c r="O18" s="430">
        <v>53522</v>
      </c>
    </row>
    <row r="19" spans="1:15" x14ac:dyDescent="0.25">
      <c r="A19" s="417" t="s">
        <v>459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0">
        <f t="shared" si="2"/>
        <v>0</v>
      </c>
    </row>
    <row r="20" spans="1:15" x14ac:dyDescent="0.25">
      <c r="A20" s="417" t="s">
        <v>73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0">
        <f t="shared" si="2"/>
        <v>0</v>
      </c>
    </row>
    <row r="21" spans="1:15" x14ac:dyDescent="0.25">
      <c r="A21" s="417" t="s">
        <v>97</v>
      </c>
      <c r="B21" s="419">
        <v>137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>
        <f t="shared" si="2"/>
        <v>137</v>
      </c>
      <c r="O21">
        <f>'[1]11'!D63</f>
        <v>137</v>
      </c>
    </row>
    <row r="22" spans="1:15" s="30" customFormat="1" ht="14.25" x14ac:dyDescent="0.2">
      <c r="A22" s="431" t="s">
        <v>460</v>
      </c>
      <c r="B22" s="432">
        <f>+B16+B17+B18+B19+B20+B21</f>
        <v>4597</v>
      </c>
      <c r="C22" s="432">
        <f>+C16+C17+C18+C19+C20+C21</f>
        <v>4460</v>
      </c>
      <c r="D22" s="432">
        <f t="shared" ref="D22:L22" si="3">+D16+D17+D18+D19+D20+D21</f>
        <v>4590</v>
      </c>
      <c r="E22" s="432">
        <f t="shared" si="3"/>
        <v>4591</v>
      </c>
      <c r="F22" s="432">
        <f t="shared" si="3"/>
        <v>4591</v>
      </c>
      <c r="G22" s="432">
        <f t="shared" si="3"/>
        <v>4590</v>
      </c>
      <c r="H22" s="432">
        <f t="shared" si="3"/>
        <v>4590</v>
      </c>
      <c r="I22" s="432">
        <f t="shared" si="3"/>
        <v>4590</v>
      </c>
      <c r="J22" s="432">
        <f t="shared" si="3"/>
        <v>4590</v>
      </c>
      <c r="K22" s="432">
        <f t="shared" si="3"/>
        <v>4590</v>
      </c>
      <c r="L22" s="432">
        <f t="shared" si="3"/>
        <v>4590</v>
      </c>
      <c r="M22" s="432">
        <f>SUM(M16:M20)+M21</f>
        <v>4590</v>
      </c>
      <c r="N22" s="420">
        <f t="shared" si="2"/>
        <v>54959</v>
      </c>
      <c r="O22" s="30">
        <f>SUM(O16:O21)</f>
        <v>54959</v>
      </c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opLeftCell="A22" workbookViewId="0">
      <selection activeCell="H29" sqref="H29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17.5703125" style="2" customWidth="1"/>
    <col min="5" max="5" width="16.42578125" style="2" customWidth="1"/>
    <col min="6" max="6" width="16.7109375" style="2" customWidth="1"/>
    <col min="7" max="7" width="14.85546875" style="11" bestFit="1" customWidth="1"/>
    <col min="8" max="8" width="13.5703125" customWidth="1"/>
  </cols>
  <sheetData>
    <row r="1" spans="1:7" ht="18.75" x14ac:dyDescent="0.3">
      <c r="A1" s="639" t="s">
        <v>128</v>
      </c>
      <c r="B1" s="640"/>
      <c r="C1" s="640"/>
      <c r="D1" s="640"/>
      <c r="E1" s="640"/>
      <c r="F1" s="640"/>
    </row>
    <row r="2" spans="1:7" x14ac:dyDescent="0.25">
      <c r="A2" s="603"/>
      <c r="B2" s="603"/>
      <c r="C2" s="603"/>
      <c r="D2" s="603"/>
      <c r="E2" s="603"/>
      <c r="F2" s="603"/>
    </row>
    <row r="3" spans="1:7" x14ac:dyDescent="0.25">
      <c r="A3" s="641" t="s">
        <v>319</v>
      </c>
      <c r="B3" s="641"/>
      <c r="C3" s="641"/>
      <c r="D3" s="641"/>
      <c r="E3" s="641"/>
      <c r="F3" s="641"/>
    </row>
    <row r="4" spans="1:7" x14ac:dyDescent="0.25">
      <c r="A4" s="603" t="s">
        <v>5</v>
      </c>
      <c r="B4" s="603"/>
      <c r="C4" s="603"/>
      <c r="D4" s="603"/>
      <c r="E4" s="603"/>
      <c r="F4" s="603"/>
    </row>
    <row r="5" spans="1:7" ht="16.5" thickBot="1" x14ac:dyDescent="0.3">
      <c r="A5" s="642" t="s">
        <v>461</v>
      </c>
      <c r="B5" s="642"/>
      <c r="C5" s="642"/>
      <c r="D5" s="642"/>
      <c r="E5" s="642"/>
      <c r="F5" s="642"/>
    </row>
    <row r="6" spans="1:7" ht="15" x14ac:dyDescent="0.25">
      <c r="A6" s="643" t="s">
        <v>7</v>
      </c>
      <c r="B6" s="646" t="s">
        <v>8</v>
      </c>
      <c r="C6" s="646"/>
      <c r="D6" s="649" t="s">
        <v>462</v>
      </c>
      <c r="E6" s="651" t="s">
        <v>10</v>
      </c>
      <c r="F6" s="651" t="s">
        <v>11</v>
      </c>
      <c r="G6" s="635" t="s">
        <v>12</v>
      </c>
    </row>
    <row r="7" spans="1:7" ht="15" x14ac:dyDescent="0.25">
      <c r="A7" s="644"/>
      <c r="B7" s="647"/>
      <c r="C7" s="647"/>
      <c r="D7" s="650"/>
      <c r="E7" s="652"/>
      <c r="F7" s="652"/>
      <c r="G7" s="636"/>
    </row>
    <row r="8" spans="1:7" thickBot="1" x14ac:dyDescent="0.3">
      <c r="A8" s="832"/>
      <c r="B8" s="833"/>
      <c r="C8" s="833"/>
      <c r="D8" s="830" t="s">
        <v>463</v>
      </c>
      <c r="E8" s="650"/>
      <c r="F8" s="650"/>
      <c r="G8" s="374"/>
    </row>
    <row r="9" spans="1:7" x14ac:dyDescent="0.25">
      <c r="A9" s="375"/>
      <c r="B9" s="646" t="s">
        <v>14</v>
      </c>
      <c r="C9" s="646"/>
      <c r="D9" s="376"/>
      <c r="E9" s="377"/>
      <c r="F9" s="378"/>
      <c r="G9" s="378"/>
    </row>
    <row r="10" spans="1:7" x14ac:dyDescent="0.25">
      <c r="A10" s="9">
        <v>1</v>
      </c>
      <c r="B10" s="620" t="s">
        <v>15</v>
      </c>
      <c r="C10" s="620"/>
      <c r="D10" s="17">
        <v>28825</v>
      </c>
      <c r="E10" s="17">
        <v>28825</v>
      </c>
      <c r="F10" s="18"/>
      <c r="G10" s="19"/>
    </row>
    <row r="11" spans="1:7" x14ac:dyDescent="0.25">
      <c r="A11" s="9">
        <v>2</v>
      </c>
      <c r="B11" s="620" t="s">
        <v>16</v>
      </c>
      <c r="C11" s="620"/>
      <c r="D11" s="17">
        <v>7267</v>
      </c>
      <c r="E11" s="17">
        <v>7267</v>
      </c>
      <c r="F11" s="18"/>
      <c r="G11" s="19"/>
    </row>
    <row r="12" spans="1:7" x14ac:dyDescent="0.25">
      <c r="A12" s="9">
        <v>3</v>
      </c>
      <c r="B12" s="620" t="s">
        <v>17</v>
      </c>
      <c r="C12" s="620"/>
      <c r="D12" s="17">
        <v>3322</v>
      </c>
      <c r="E12" s="17">
        <v>3322</v>
      </c>
      <c r="F12" s="18"/>
      <c r="G12" s="20"/>
    </row>
    <row r="13" spans="1:7" x14ac:dyDescent="0.25">
      <c r="A13" s="9" t="s">
        <v>18</v>
      </c>
      <c r="B13" s="620" t="s">
        <v>19</v>
      </c>
      <c r="C13" s="620"/>
      <c r="D13" s="379"/>
      <c r="E13" s="17"/>
      <c r="F13" s="18"/>
      <c r="G13" s="19"/>
    </row>
    <row r="14" spans="1:7" x14ac:dyDescent="0.25">
      <c r="A14" s="9" t="s">
        <v>20</v>
      </c>
      <c r="B14" s="626" t="s">
        <v>21</v>
      </c>
      <c r="C14" s="626"/>
      <c r="D14" s="379">
        <f>+D15+D16+D17+D18+D19</f>
        <v>0</v>
      </c>
      <c r="E14" s="17">
        <v>0</v>
      </c>
      <c r="F14" s="23"/>
      <c r="G14" s="23"/>
    </row>
    <row r="15" spans="1:7" x14ac:dyDescent="0.25">
      <c r="A15" s="9" t="s">
        <v>22</v>
      </c>
      <c r="B15" s="627" t="s">
        <v>133</v>
      </c>
      <c r="C15" s="627"/>
      <c r="D15" s="379"/>
      <c r="E15" s="17"/>
      <c r="F15" s="18"/>
      <c r="G15" s="19"/>
    </row>
    <row r="16" spans="1:7" x14ac:dyDescent="0.25">
      <c r="A16" s="9" t="s">
        <v>23</v>
      </c>
      <c r="B16" s="627" t="s">
        <v>24</v>
      </c>
      <c r="C16" s="627"/>
      <c r="D16" s="379"/>
      <c r="E16" s="17"/>
      <c r="F16" s="18"/>
      <c r="G16" s="19"/>
    </row>
    <row r="17" spans="1:7" x14ac:dyDescent="0.25">
      <c r="A17" s="9"/>
      <c r="B17" s="831" t="s">
        <v>136</v>
      </c>
      <c r="C17" s="831"/>
      <c r="D17" s="379"/>
      <c r="E17" s="17"/>
      <c r="F17" s="18"/>
      <c r="G17" s="19"/>
    </row>
    <row r="18" spans="1:7" x14ac:dyDescent="0.25">
      <c r="A18" s="9" t="s">
        <v>25</v>
      </c>
      <c r="B18" s="630" t="s">
        <v>26</v>
      </c>
      <c r="C18" s="630"/>
      <c r="D18" s="379"/>
      <c r="E18" s="17"/>
      <c r="F18" s="18"/>
      <c r="G18" s="19"/>
    </row>
    <row r="19" spans="1:7" x14ac:dyDescent="0.25">
      <c r="A19" s="9" t="s">
        <v>27</v>
      </c>
      <c r="B19" s="630" t="s">
        <v>350</v>
      </c>
      <c r="C19" s="829"/>
      <c r="D19" s="379"/>
      <c r="E19" s="17"/>
      <c r="F19" s="18"/>
      <c r="G19" s="19"/>
    </row>
    <row r="20" spans="1:7" x14ac:dyDescent="0.25">
      <c r="A20" s="9"/>
      <c r="B20" s="620" t="s">
        <v>28</v>
      </c>
      <c r="C20" s="620"/>
      <c r="D20" s="380"/>
      <c r="E20" s="33"/>
      <c r="F20" s="433"/>
      <c r="G20" s="382"/>
    </row>
    <row r="21" spans="1:7" x14ac:dyDescent="0.25">
      <c r="A21" s="9" t="s">
        <v>1</v>
      </c>
      <c r="B21" s="140" t="s">
        <v>30</v>
      </c>
      <c r="C21" s="383"/>
      <c r="D21" s="379">
        <f>+D10+D11+D12+D13+D14+D20</f>
        <v>39414</v>
      </c>
      <c r="E21" s="379">
        <f>+E10+E11+E12+E13+E14+E20</f>
        <v>39414</v>
      </c>
      <c r="F21" s="17"/>
      <c r="G21" s="17"/>
    </row>
    <row r="22" spans="1:7" x14ac:dyDescent="0.25">
      <c r="A22" s="9" t="s">
        <v>31</v>
      </c>
      <c r="B22" s="620" t="s">
        <v>32</v>
      </c>
      <c r="C22" s="620"/>
      <c r="D22" s="380"/>
      <c r="E22" s="33"/>
      <c r="F22" s="18"/>
      <c r="G22" s="19"/>
    </row>
    <row r="23" spans="1:7" x14ac:dyDescent="0.25">
      <c r="A23" s="9" t="s">
        <v>33</v>
      </c>
      <c r="B23" s="620" t="s">
        <v>34</v>
      </c>
      <c r="C23" s="620"/>
      <c r="D23" s="380"/>
      <c r="E23" s="33"/>
      <c r="F23" s="18"/>
      <c r="G23" s="19"/>
    </row>
    <row r="24" spans="1:7" x14ac:dyDescent="0.25">
      <c r="A24" s="9" t="s">
        <v>35</v>
      </c>
      <c r="B24" s="620" t="s">
        <v>140</v>
      </c>
      <c r="C24" s="620"/>
      <c r="D24" s="380"/>
      <c r="E24" s="33"/>
      <c r="F24" s="18"/>
      <c r="G24" s="19"/>
    </row>
    <row r="25" spans="1:7" x14ac:dyDescent="0.25">
      <c r="A25" s="9" t="s">
        <v>37</v>
      </c>
      <c r="B25" s="620" t="s">
        <v>38</v>
      </c>
      <c r="C25" s="620"/>
      <c r="D25" s="380">
        <f>+D22+D23+D24</f>
        <v>0</v>
      </c>
      <c r="E25" s="33"/>
      <c r="F25" s="18"/>
      <c r="G25" s="19"/>
    </row>
    <row r="26" spans="1:7" x14ac:dyDescent="0.25">
      <c r="A26" s="9" t="s">
        <v>39</v>
      </c>
      <c r="B26" s="620"/>
      <c r="C26" s="620"/>
      <c r="D26" s="380"/>
      <c r="E26" s="33"/>
      <c r="F26" s="18"/>
      <c r="G26" s="19"/>
    </row>
    <row r="27" spans="1:7" x14ac:dyDescent="0.25">
      <c r="A27" s="9" t="s">
        <v>40</v>
      </c>
      <c r="B27" s="622"/>
      <c r="C27" s="622"/>
      <c r="D27" s="384"/>
      <c r="E27" s="35"/>
      <c r="F27" s="18">
        <f>+D27+E27</f>
        <v>0</v>
      </c>
      <c r="G27" s="19"/>
    </row>
    <row r="28" spans="1:7" x14ac:dyDescent="0.25">
      <c r="A28" s="9" t="s">
        <v>41</v>
      </c>
      <c r="B28" s="622"/>
      <c r="C28" s="622"/>
      <c r="D28" s="384"/>
      <c r="E28" s="385"/>
      <c r="F28" s="18">
        <f>+D28+E28</f>
        <v>0</v>
      </c>
      <c r="G28" s="19"/>
    </row>
    <row r="29" spans="1:7" ht="19.5" x14ac:dyDescent="0.3">
      <c r="A29" s="37" t="s">
        <v>42</v>
      </c>
      <c r="B29" s="616" t="s">
        <v>351</v>
      </c>
      <c r="C29" s="616"/>
      <c r="D29" s="386">
        <f>+D21+D25+D26+D27+D28</f>
        <v>39414</v>
      </c>
      <c r="E29" s="386">
        <f>+E21+E25+E26+E27+E28</f>
        <v>39414</v>
      </c>
      <c r="F29" s="386">
        <f>+F21+F25+F26+F27+F28</f>
        <v>0</v>
      </c>
      <c r="G29" s="386">
        <f>+G21+G25+G26+G27+G28</f>
        <v>0</v>
      </c>
    </row>
    <row r="30" spans="1:7" x14ac:dyDescent="0.25">
      <c r="A30" s="41"/>
      <c r="B30" s="664"/>
      <c r="C30" s="664"/>
      <c r="D30" s="129"/>
      <c r="E30" s="388"/>
      <c r="F30" s="100"/>
      <c r="G30" s="100"/>
    </row>
    <row r="31" spans="1:7" x14ac:dyDescent="0.25">
      <c r="A31" s="9"/>
      <c r="B31" s="691" t="s">
        <v>44</v>
      </c>
      <c r="C31" s="691"/>
      <c r="D31" s="380"/>
      <c r="E31" s="33"/>
      <c r="F31" s="18"/>
      <c r="G31" s="19"/>
    </row>
    <row r="32" spans="1:7" x14ac:dyDescent="0.25">
      <c r="A32" s="9" t="s">
        <v>45</v>
      </c>
      <c r="B32" s="614" t="s">
        <v>46</v>
      </c>
      <c r="C32" s="614"/>
      <c r="D32" s="380"/>
      <c r="E32" s="33"/>
      <c r="F32" s="18"/>
      <c r="G32" s="19">
        <v>0</v>
      </c>
    </row>
    <row r="33" spans="1:7" x14ac:dyDescent="0.25">
      <c r="A33" s="9" t="s">
        <v>47</v>
      </c>
      <c r="B33" s="614" t="s">
        <v>48</v>
      </c>
      <c r="C33" s="614"/>
      <c r="D33" s="380">
        <f>SUM(D34:D36)</f>
        <v>0</v>
      </c>
      <c r="E33" s="33">
        <f>SUM(E34:E36)</f>
        <v>0</v>
      </c>
      <c r="F33" s="33">
        <f>SUM(F34:F36)</f>
        <v>0</v>
      </c>
      <c r="G33" s="19"/>
    </row>
    <row r="34" spans="1:7" x14ac:dyDescent="0.25">
      <c r="A34" s="9"/>
      <c r="B34" s="52" t="s">
        <v>49</v>
      </c>
      <c r="C34" s="53" t="s">
        <v>50</v>
      </c>
      <c r="D34" s="380"/>
      <c r="E34" s="33"/>
      <c r="F34" s="18"/>
      <c r="G34" s="19"/>
    </row>
    <row r="35" spans="1:7" x14ac:dyDescent="0.25">
      <c r="A35" s="9"/>
      <c r="B35" s="52" t="s">
        <v>51</v>
      </c>
      <c r="C35" s="53" t="s">
        <v>52</v>
      </c>
      <c r="D35" s="380"/>
      <c r="E35" s="33"/>
      <c r="F35" s="18"/>
      <c r="G35" s="19"/>
    </row>
    <row r="36" spans="1:7" x14ac:dyDescent="0.25">
      <c r="A36" s="9"/>
      <c r="B36" s="52" t="s">
        <v>53</v>
      </c>
      <c r="C36" s="53" t="s">
        <v>54</v>
      </c>
      <c r="D36" s="380"/>
      <c r="E36" s="33"/>
      <c r="F36" s="18"/>
      <c r="G36" s="19"/>
    </row>
    <row r="37" spans="1:7" x14ac:dyDescent="0.25">
      <c r="A37" s="9" t="s">
        <v>55</v>
      </c>
      <c r="B37" s="614" t="s">
        <v>56</v>
      </c>
      <c r="C37" s="614"/>
      <c r="D37" s="380">
        <f>SUM(D38:D40)</f>
        <v>0</v>
      </c>
      <c r="E37" s="33"/>
      <c r="F37" s="18">
        <f>SUM(F38:F40)</f>
        <v>0</v>
      </c>
      <c r="G37" s="19"/>
    </row>
    <row r="38" spans="1:7" x14ac:dyDescent="0.25">
      <c r="A38" s="9"/>
      <c r="B38" s="56" t="s">
        <v>57</v>
      </c>
      <c r="C38" s="57" t="s">
        <v>58</v>
      </c>
      <c r="D38" s="380"/>
      <c r="E38" s="33"/>
      <c r="F38" s="18"/>
      <c r="G38" s="19"/>
    </row>
    <row r="39" spans="1:7" x14ac:dyDescent="0.25">
      <c r="A39" s="9"/>
      <c r="B39" s="56" t="s">
        <v>59</v>
      </c>
      <c r="C39" s="57" t="s">
        <v>60</v>
      </c>
      <c r="D39" s="380"/>
      <c r="E39" s="33"/>
      <c r="F39" s="18">
        <f t="shared" ref="F39:F45" si="0">SUM(D39:D39)</f>
        <v>0</v>
      </c>
      <c r="G39" s="19"/>
    </row>
    <row r="40" spans="1:7" x14ac:dyDescent="0.25">
      <c r="A40" s="9"/>
      <c r="B40" s="56" t="s">
        <v>61</v>
      </c>
      <c r="C40" s="57" t="s">
        <v>62</v>
      </c>
      <c r="D40" s="380"/>
      <c r="E40" s="33"/>
      <c r="F40" s="18"/>
      <c r="G40" s="19"/>
    </row>
    <row r="41" spans="1:7" x14ac:dyDescent="0.25">
      <c r="A41" s="9" t="s">
        <v>18</v>
      </c>
      <c r="B41" s="614" t="s">
        <v>63</v>
      </c>
      <c r="C41" s="614"/>
      <c r="D41" s="380">
        <f>SUM(D42:D45)</f>
        <v>0</v>
      </c>
      <c r="E41" s="33">
        <f>SUM(E42:E45)</f>
        <v>0</v>
      </c>
      <c r="F41" s="33">
        <f>SUM(F42:F45)</f>
        <v>0</v>
      </c>
      <c r="G41" s="19"/>
    </row>
    <row r="42" spans="1:7" x14ac:dyDescent="0.25">
      <c r="A42" s="9"/>
      <c r="B42" s="56" t="s">
        <v>64</v>
      </c>
      <c r="C42" s="57" t="s">
        <v>65</v>
      </c>
      <c r="D42" s="380"/>
      <c r="E42" s="33"/>
      <c r="F42" s="18"/>
      <c r="G42" s="19"/>
    </row>
    <row r="43" spans="1:7" x14ac:dyDescent="0.25">
      <c r="A43" s="9"/>
      <c r="B43" s="56" t="s">
        <v>66</v>
      </c>
      <c r="C43" s="57" t="s">
        <v>67</v>
      </c>
      <c r="D43" s="380"/>
      <c r="E43" s="33"/>
      <c r="F43" s="18">
        <f t="shared" si="0"/>
        <v>0</v>
      </c>
      <c r="G43" s="19"/>
    </row>
    <row r="44" spans="1:7" x14ac:dyDescent="0.25">
      <c r="A44" s="9"/>
      <c r="B44" s="56" t="s">
        <v>68</v>
      </c>
      <c r="C44" s="57" t="s">
        <v>352</v>
      </c>
      <c r="D44" s="380"/>
      <c r="E44" s="33"/>
      <c r="F44" s="18">
        <f t="shared" si="0"/>
        <v>0</v>
      </c>
      <c r="G44" s="19"/>
    </row>
    <row r="45" spans="1:7" x14ac:dyDescent="0.25">
      <c r="A45" s="9"/>
      <c r="B45" s="56" t="s">
        <v>70</v>
      </c>
      <c r="C45" s="57" t="s">
        <v>71</v>
      </c>
      <c r="D45" s="380"/>
      <c r="E45" s="33"/>
      <c r="F45" s="18">
        <f t="shared" si="0"/>
        <v>0</v>
      </c>
      <c r="G45" s="19"/>
    </row>
    <row r="46" spans="1:7" x14ac:dyDescent="0.25">
      <c r="A46" s="27" t="s">
        <v>1</v>
      </c>
      <c r="B46" s="618" t="s">
        <v>72</v>
      </c>
      <c r="C46" s="618"/>
      <c r="D46" s="380">
        <f>+D32+D33+D37+D41</f>
        <v>0</v>
      </c>
      <c r="E46" s="33">
        <f>+E32+E33+E37+E41</f>
        <v>0</v>
      </c>
      <c r="F46" s="380">
        <f>+F32+F33+F37+F41</f>
        <v>0</v>
      </c>
      <c r="G46" s="380">
        <f>+G32+G33+G37+G41</f>
        <v>0</v>
      </c>
    </row>
    <row r="47" spans="1:7" x14ac:dyDescent="0.25">
      <c r="A47" s="9" t="s">
        <v>20</v>
      </c>
      <c r="B47" s="614" t="s">
        <v>73</v>
      </c>
      <c r="C47" s="614"/>
      <c r="D47" s="380">
        <f>SUM(D48:D49)</f>
        <v>0</v>
      </c>
      <c r="E47" s="33">
        <f>SUM(E48:E49)</f>
        <v>0</v>
      </c>
      <c r="F47" s="33">
        <f>SUM(F48:F49)</f>
        <v>0</v>
      </c>
      <c r="G47" s="19"/>
    </row>
    <row r="48" spans="1:7" x14ac:dyDescent="0.25">
      <c r="A48" s="9"/>
      <c r="B48" s="56" t="s">
        <v>74</v>
      </c>
      <c r="C48" s="57" t="s">
        <v>75</v>
      </c>
      <c r="D48" s="380"/>
      <c r="E48" s="33"/>
      <c r="F48" s="18">
        <f t="shared" ref="F48:F56" si="1">SUM(D48:D48)</f>
        <v>0</v>
      </c>
      <c r="G48" s="19"/>
    </row>
    <row r="49" spans="1:7" x14ac:dyDescent="0.25">
      <c r="A49" s="9"/>
      <c r="B49" s="56" t="s">
        <v>76</v>
      </c>
      <c r="C49" s="57" t="s">
        <v>77</v>
      </c>
      <c r="D49" s="380"/>
      <c r="E49" s="33"/>
      <c r="F49" s="18"/>
      <c r="G49" s="19"/>
    </row>
    <row r="50" spans="1:7" x14ac:dyDescent="0.25">
      <c r="A50" s="9" t="s">
        <v>31</v>
      </c>
      <c r="B50" s="614" t="s">
        <v>78</v>
      </c>
      <c r="C50" s="614"/>
      <c r="D50" s="380">
        <f>SUM(D51:D52)</f>
        <v>0</v>
      </c>
      <c r="E50" s="33">
        <f>SUM(E51:E52)</f>
        <v>0</v>
      </c>
      <c r="F50" s="18">
        <f t="shared" si="1"/>
        <v>0</v>
      </c>
      <c r="G50" s="19"/>
    </row>
    <row r="51" spans="1:7" x14ac:dyDescent="0.25">
      <c r="A51" s="9"/>
      <c r="B51" s="56" t="s">
        <v>79</v>
      </c>
      <c r="C51" s="57" t="s">
        <v>80</v>
      </c>
      <c r="D51" s="380"/>
      <c r="E51" s="33"/>
      <c r="F51" s="18">
        <f t="shared" si="1"/>
        <v>0</v>
      </c>
      <c r="G51" s="19"/>
    </row>
    <row r="52" spans="1:7" x14ac:dyDescent="0.25">
      <c r="A52" s="9"/>
      <c r="B52" s="56" t="s">
        <v>81</v>
      </c>
      <c r="C52" s="57" t="s">
        <v>82</v>
      </c>
      <c r="D52" s="380">
        <v>0</v>
      </c>
      <c r="E52" s="33"/>
      <c r="F52" s="18">
        <f t="shared" si="1"/>
        <v>0</v>
      </c>
      <c r="G52" s="19"/>
    </row>
    <row r="53" spans="1:7" x14ac:dyDescent="0.25">
      <c r="A53" s="9" t="s">
        <v>33</v>
      </c>
      <c r="B53" s="614" t="s">
        <v>83</v>
      </c>
      <c r="C53" s="614"/>
      <c r="D53" s="380">
        <f>SUM(D54:D56)</f>
        <v>0</v>
      </c>
      <c r="E53" s="33">
        <f>SUM(E54:E56)</f>
        <v>0</v>
      </c>
      <c r="F53" s="18">
        <f>SUM(F54:F56)</f>
        <v>0</v>
      </c>
      <c r="G53" s="19"/>
    </row>
    <row r="54" spans="1:7" x14ac:dyDescent="0.25">
      <c r="A54" s="9"/>
      <c r="B54" s="56" t="s">
        <v>84</v>
      </c>
      <c r="C54" s="57" t="s">
        <v>85</v>
      </c>
      <c r="D54" s="380"/>
      <c r="E54" s="33"/>
      <c r="F54" s="18"/>
      <c r="G54" s="19"/>
    </row>
    <row r="55" spans="1:7" x14ac:dyDescent="0.25">
      <c r="A55" s="9"/>
      <c r="B55" s="56" t="s">
        <v>86</v>
      </c>
      <c r="C55" s="57" t="s">
        <v>87</v>
      </c>
      <c r="D55" s="380"/>
      <c r="E55" s="33"/>
      <c r="F55" s="18">
        <f t="shared" si="1"/>
        <v>0</v>
      </c>
      <c r="G55" s="19"/>
    </row>
    <row r="56" spans="1:7" x14ac:dyDescent="0.25">
      <c r="A56" s="9"/>
      <c r="B56" s="56" t="s">
        <v>88</v>
      </c>
      <c r="C56" s="57" t="s">
        <v>89</v>
      </c>
      <c r="D56" s="380"/>
      <c r="E56" s="33"/>
      <c r="F56" s="18">
        <f t="shared" si="1"/>
        <v>0</v>
      </c>
      <c r="G56" s="19"/>
    </row>
    <row r="57" spans="1:7" x14ac:dyDescent="0.25">
      <c r="A57" s="27" t="s">
        <v>37</v>
      </c>
      <c r="B57" s="618" t="s">
        <v>90</v>
      </c>
      <c r="C57" s="618"/>
      <c r="D57" s="384">
        <f>+D47+D50+D53</f>
        <v>0</v>
      </c>
      <c r="E57" s="384">
        <f>+E47+E50+E53</f>
        <v>0</v>
      </c>
      <c r="F57" s="384">
        <f>+F47+F50+F53</f>
        <v>0</v>
      </c>
      <c r="G57" s="384">
        <f>+G47+G50+G53</f>
        <v>0</v>
      </c>
    </row>
    <row r="58" spans="1:7" x14ac:dyDescent="0.25">
      <c r="A58" s="27" t="s">
        <v>39</v>
      </c>
      <c r="B58" s="618" t="s">
        <v>91</v>
      </c>
      <c r="C58" s="618"/>
      <c r="D58" s="384"/>
      <c r="E58" s="35"/>
      <c r="F58" s="391"/>
      <c r="G58" s="392"/>
    </row>
    <row r="59" spans="1:7" x14ac:dyDescent="0.25">
      <c r="A59" s="27" t="s">
        <v>40</v>
      </c>
      <c r="B59" s="618" t="s">
        <v>92</v>
      </c>
      <c r="C59" s="618"/>
      <c r="D59" s="384"/>
      <c r="E59" s="35"/>
      <c r="F59" s="391"/>
      <c r="G59" s="392"/>
    </row>
    <row r="60" spans="1:7" ht="18.75" x14ac:dyDescent="0.3">
      <c r="A60" s="37" t="s">
        <v>93</v>
      </c>
      <c r="B60" s="611" t="s">
        <v>94</v>
      </c>
      <c r="C60" s="611"/>
      <c r="D60" s="386">
        <f>+D46+D57+D58+D59</f>
        <v>0</v>
      </c>
      <c r="E60" s="386">
        <f>+E46+E57+E58+E59</f>
        <v>0</v>
      </c>
      <c r="F60" s="386">
        <f>+F46+F57+F58+F59</f>
        <v>0</v>
      </c>
      <c r="G60" s="386">
        <f>+G46+G57+G58+G59</f>
        <v>0</v>
      </c>
    </row>
    <row r="61" spans="1:7" ht="18.75" x14ac:dyDescent="0.3">
      <c r="A61" s="37"/>
      <c r="B61" s="611" t="s">
        <v>95</v>
      </c>
      <c r="C61" s="611"/>
      <c r="D61" s="386">
        <f>+D29-D60</f>
        <v>39414</v>
      </c>
      <c r="E61" s="386">
        <f>+E29-E60</f>
        <v>39414</v>
      </c>
      <c r="F61" s="386">
        <f>+F29-F60</f>
        <v>0</v>
      </c>
      <c r="G61" s="386">
        <f>+G29-G60</f>
        <v>0</v>
      </c>
    </row>
    <row r="62" spans="1:7" ht="18.75" x14ac:dyDescent="0.3">
      <c r="A62" s="37"/>
      <c r="B62" s="618" t="s">
        <v>96</v>
      </c>
      <c r="C62" s="618"/>
      <c r="D62" s="386">
        <v>38838</v>
      </c>
      <c r="E62" s="74">
        <v>38838</v>
      </c>
      <c r="F62" s="387"/>
      <c r="G62" s="386"/>
    </row>
    <row r="63" spans="1:7" x14ac:dyDescent="0.25">
      <c r="A63" s="27" t="s">
        <v>41</v>
      </c>
      <c r="B63" s="618" t="s">
        <v>97</v>
      </c>
      <c r="C63" s="618"/>
      <c r="D63" s="380">
        <f>D64+D65</f>
        <v>576</v>
      </c>
      <c r="E63" s="380">
        <f>E64+E65</f>
        <v>576</v>
      </c>
      <c r="F63" s="18"/>
      <c r="G63" s="19"/>
    </row>
    <row r="64" spans="1:7" ht="18.75" x14ac:dyDescent="0.3">
      <c r="A64" s="37"/>
      <c r="B64" s="71" t="s">
        <v>45</v>
      </c>
      <c r="C64" s="57" t="s">
        <v>98</v>
      </c>
      <c r="D64" s="380">
        <v>576</v>
      </c>
      <c r="E64" s="33">
        <v>576</v>
      </c>
      <c r="F64" s="80"/>
      <c r="G64" s="77"/>
    </row>
    <row r="65" spans="1:7" ht="18.75" x14ac:dyDescent="0.3">
      <c r="A65" s="37"/>
      <c r="B65" s="71" t="s">
        <v>47</v>
      </c>
      <c r="C65" s="57" t="s">
        <v>99</v>
      </c>
      <c r="D65" s="393"/>
      <c r="E65" s="75"/>
      <c r="F65" s="18"/>
      <c r="G65" s="77"/>
    </row>
    <row r="66" spans="1:7" ht="18.75" x14ac:dyDescent="0.3">
      <c r="A66" s="37" t="s">
        <v>100</v>
      </c>
      <c r="B66" s="616" t="s">
        <v>101</v>
      </c>
      <c r="C66" s="616"/>
      <c r="D66" s="386">
        <f>D63</f>
        <v>576</v>
      </c>
      <c r="E66" s="386">
        <f>E63</f>
        <v>576</v>
      </c>
      <c r="F66" s="386">
        <f>+F63</f>
        <v>0</v>
      </c>
      <c r="G66" s="77"/>
    </row>
    <row r="67" spans="1:7" ht="18.75" x14ac:dyDescent="0.3">
      <c r="A67" s="9" t="s">
        <v>102</v>
      </c>
      <c r="B67" s="614" t="s">
        <v>103</v>
      </c>
      <c r="C67" s="614"/>
      <c r="D67" s="386"/>
      <c r="E67" s="75"/>
      <c r="F67" s="76">
        <f t="shared" ref="F67:F80" si="2">SUM(D67:E67)</f>
        <v>0</v>
      </c>
      <c r="G67" s="77"/>
    </row>
    <row r="68" spans="1:7" ht="18.75" x14ac:dyDescent="0.3">
      <c r="A68" s="9" t="s">
        <v>104</v>
      </c>
      <c r="B68" s="614" t="s">
        <v>105</v>
      </c>
      <c r="C68" s="614"/>
      <c r="D68" s="386">
        <f>SUM(D69:D72)</f>
        <v>0</v>
      </c>
      <c r="E68" s="75"/>
      <c r="F68" s="76">
        <f t="shared" si="2"/>
        <v>0</v>
      </c>
      <c r="G68" s="77"/>
    </row>
    <row r="69" spans="1:7" ht="18.75" x14ac:dyDescent="0.3">
      <c r="A69" s="9"/>
      <c r="B69" s="56" t="s">
        <v>45</v>
      </c>
      <c r="C69" s="57" t="s">
        <v>353</v>
      </c>
      <c r="D69" s="393"/>
      <c r="E69" s="79"/>
      <c r="F69" s="80">
        <f t="shared" si="2"/>
        <v>0</v>
      </c>
      <c r="G69" s="77"/>
    </row>
    <row r="70" spans="1:7" ht="18.75" x14ac:dyDescent="0.3">
      <c r="A70" s="9"/>
      <c r="B70" s="56" t="s">
        <v>47</v>
      </c>
      <c r="C70" s="57" t="s">
        <v>107</v>
      </c>
      <c r="D70" s="386"/>
      <c r="E70" s="75"/>
      <c r="F70" s="76">
        <f t="shared" si="2"/>
        <v>0</v>
      </c>
      <c r="G70" s="77"/>
    </row>
    <row r="71" spans="1:7" ht="18.75" x14ac:dyDescent="0.3">
      <c r="A71" s="9"/>
      <c r="B71" s="56" t="s">
        <v>55</v>
      </c>
      <c r="C71" s="57" t="s">
        <v>108</v>
      </c>
      <c r="D71" s="393"/>
      <c r="E71" s="75"/>
      <c r="F71" s="76"/>
      <c r="G71" s="77"/>
    </row>
    <row r="72" spans="1:7" ht="18.75" x14ac:dyDescent="0.3">
      <c r="A72" s="9"/>
      <c r="B72" s="56" t="s">
        <v>18</v>
      </c>
      <c r="C72" s="57" t="s">
        <v>109</v>
      </c>
      <c r="D72" s="393"/>
      <c r="E72" s="75"/>
      <c r="F72" s="76"/>
      <c r="G72" s="77"/>
    </row>
    <row r="73" spans="1:7" ht="19.5" x14ac:dyDescent="0.3">
      <c r="A73" s="37" t="s">
        <v>110</v>
      </c>
      <c r="B73" s="615" t="s">
        <v>111</v>
      </c>
      <c r="C73" s="615"/>
      <c r="D73" s="386">
        <f>+D67+D68</f>
        <v>0</v>
      </c>
      <c r="E73" s="75"/>
      <c r="F73" s="76">
        <f t="shared" si="2"/>
        <v>0</v>
      </c>
      <c r="G73" s="77"/>
    </row>
    <row r="74" spans="1:7" ht="18.75" x14ac:dyDescent="0.3">
      <c r="A74" s="37" t="s">
        <v>112</v>
      </c>
      <c r="B74" s="611" t="s">
        <v>113</v>
      </c>
      <c r="C74" s="611"/>
      <c r="D74" s="386">
        <f>+D66+D73</f>
        <v>576</v>
      </c>
      <c r="E74" s="75">
        <f>+E66+E73</f>
        <v>576</v>
      </c>
      <c r="F74" s="75">
        <f>+F66+F73</f>
        <v>0</v>
      </c>
      <c r="G74" s="77"/>
    </row>
    <row r="75" spans="1:7" ht="18.75" x14ac:dyDescent="0.3">
      <c r="A75" s="9" t="s">
        <v>114</v>
      </c>
      <c r="B75" s="614" t="s">
        <v>354</v>
      </c>
      <c r="C75" s="614"/>
      <c r="D75" s="386"/>
      <c r="E75" s="75"/>
      <c r="F75" s="76">
        <f t="shared" si="2"/>
        <v>0</v>
      </c>
      <c r="G75" s="77"/>
    </row>
    <row r="76" spans="1:7" ht="18.75" x14ac:dyDescent="0.3">
      <c r="A76" s="9" t="s">
        <v>116</v>
      </c>
      <c r="B76" s="614" t="s">
        <v>117</v>
      </c>
      <c r="C76" s="614"/>
      <c r="D76" s="393">
        <f>SUM(D77:D79)</f>
        <v>0</v>
      </c>
      <c r="E76" s="79">
        <v>0</v>
      </c>
      <c r="F76" s="80">
        <f t="shared" si="2"/>
        <v>0</v>
      </c>
      <c r="G76" s="77"/>
    </row>
    <row r="77" spans="1:7" ht="18.75" x14ac:dyDescent="0.3">
      <c r="A77" s="9"/>
      <c r="B77" s="56" t="s">
        <v>45</v>
      </c>
      <c r="C77" s="57" t="s">
        <v>355</v>
      </c>
      <c r="D77" s="393"/>
      <c r="E77" s="79"/>
      <c r="F77" s="80">
        <f t="shared" si="2"/>
        <v>0</v>
      </c>
      <c r="G77" s="77"/>
    </row>
    <row r="78" spans="1:7" ht="18.75" x14ac:dyDescent="0.3">
      <c r="A78" s="9"/>
      <c r="B78" s="56" t="s">
        <v>47</v>
      </c>
      <c r="C78" s="57" t="s">
        <v>356</v>
      </c>
      <c r="D78" s="393"/>
      <c r="E78" s="79"/>
      <c r="F78" s="80">
        <f t="shared" si="2"/>
        <v>0</v>
      </c>
      <c r="G78" s="77"/>
    </row>
    <row r="79" spans="1:7" ht="18.75" x14ac:dyDescent="0.3">
      <c r="A79" s="9"/>
      <c r="B79" s="56" t="s">
        <v>55</v>
      </c>
      <c r="C79" s="57" t="s">
        <v>120</v>
      </c>
      <c r="D79" s="393"/>
      <c r="E79" s="79"/>
      <c r="F79" s="80">
        <f t="shared" si="2"/>
        <v>0</v>
      </c>
      <c r="G79" s="77"/>
    </row>
    <row r="80" spans="1:7" ht="18.75" x14ac:dyDescent="0.3">
      <c r="A80" s="37" t="s">
        <v>122</v>
      </c>
      <c r="B80" s="611" t="s">
        <v>357</v>
      </c>
      <c r="C80" s="611"/>
      <c r="D80" s="386">
        <f>+D75+D76</f>
        <v>0</v>
      </c>
      <c r="E80" s="75">
        <f>+E75+E76</f>
        <v>0</v>
      </c>
      <c r="F80" s="76">
        <f t="shared" si="2"/>
        <v>0</v>
      </c>
      <c r="G80" s="77"/>
    </row>
    <row r="81" spans="1:8" ht="18.75" x14ac:dyDescent="0.3">
      <c r="A81" s="37" t="s">
        <v>124</v>
      </c>
      <c r="B81" s="611" t="s">
        <v>125</v>
      </c>
      <c r="C81" s="611"/>
      <c r="D81" s="394">
        <f>+D29+D80</f>
        <v>39414</v>
      </c>
      <c r="E81" s="394">
        <f>+E29+E80</f>
        <v>39414</v>
      </c>
      <c r="F81" s="394">
        <f>+F29+F80</f>
        <v>0</v>
      </c>
      <c r="G81" s="394">
        <f>+G29+G80</f>
        <v>0</v>
      </c>
    </row>
    <row r="82" spans="1:8" ht="19.5" thickBot="1" x14ac:dyDescent="0.35">
      <c r="A82" s="395" t="s">
        <v>126</v>
      </c>
      <c r="B82" s="396" t="s">
        <v>127</v>
      </c>
      <c r="C82" s="396"/>
      <c r="D82" s="397">
        <f>+D60+D74+D62</f>
        <v>39414</v>
      </c>
      <c r="E82" s="397">
        <f>+E60+E74+E62</f>
        <v>39414</v>
      </c>
      <c r="F82" s="397">
        <f>+F60+F74</f>
        <v>0</v>
      </c>
      <c r="G82" s="397">
        <f>+G60+G74</f>
        <v>0</v>
      </c>
    </row>
    <row r="83" spans="1:8" ht="18" customHeight="1" x14ac:dyDescent="0.25">
      <c r="B83" s="89"/>
      <c r="C83" s="89"/>
      <c r="D83" s="90"/>
      <c r="E83" s="90"/>
      <c r="F83" s="90"/>
    </row>
    <row r="84" spans="1:8" ht="16.5" hidden="1" thickBot="1" x14ac:dyDescent="0.3">
      <c r="B84" s="89"/>
      <c r="C84" s="89"/>
      <c r="D84" s="91">
        <f>+D82-D81</f>
        <v>0</v>
      </c>
      <c r="E84" s="91">
        <f>+E82-E81</f>
        <v>0</v>
      </c>
      <c r="F84" s="91">
        <f>+F81-F82</f>
        <v>0</v>
      </c>
      <c r="G84" s="91">
        <f>+G82-G81</f>
        <v>0</v>
      </c>
    </row>
    <row r="85" spans="1:8" ht="16.5" hidden="1" thickBot="1" x14ac:dyDescent="0.3">
      <c r="B85" s="89"/>
      <c r="C85" s="398" t="s">
        <v>359</v>
      </c>
      <c r="D85" s="409">
        <v>32334800</v>
      </c>
      <c r="E85" s="90"/>
      <c r="F85" s="90"/>
    </row>
    <row r="86" spans="1:8" hidden="1" x14ac:dyDescent="0.25">
      <c r="B86" s="89"/>
      <c r="C86" s="398" t="s">
        <v>360</v>
      </c>
      <c r="D86" s="399">
        <f>39390292-575944-32334800</f>
        <v>6479548</v>
      </c>
      <c r="E86" s="90"/>
      <c r="F86" s="90"/>
    </row>
    <row r="87" spans="1:8" x14ac:dyDescent="0.25">
      <c r="B87" s="89"/>
      <c r="C87" s="89"/>
      <c r="D87" s="90"/>
      <c r="E87" s="90"/>
      <c r="F87" s="90"/>
    </row>
    <row r="88" spans="1:8" x14ac:dyDescent="0.25">
      <c r="B88" s="89"/>
      <c r="C88" s="89"/>
      <c r="D88" s="434"/>
      <c r="E88" s="435"/>
      <c r="F88" s="436"/>
      <c r="G88" s="437"/>
      <c r="H88" s="437"/>
    </row>
    <row r="89" spans="1:8" x14ac:dyDescent="0.25">
      <c r="B89" s="89"/>
      <c r="C89" s="398"/>
      <c r="D89" s="438"/>
      <c r="E89" s="439"/>
      <c r="F89" s="436"/>
      <c r="G89" s="436"/>
      <c r="H89" s="436"/>
    </row>
    <row r="90" spans="1:8" x14ac:dyDescent="0.25">
      <c r="B90" s="89"/>
      <c r="C90" s="398"/>
      <c r="D90" s="438"/>
      <c r="E90" s="439"/>
      <c r="F90" s="436"/>
      <c r="G90" s="436"/>
      <c r="H90" s="436"/>
    </row>
    <row r="91" spans="1:8" x14ac:dyDescent="0.25">
      <c r="B91" s="89"/>
      <c r="C91" s="398"/>
      <c r="D91" s="438"/>
      <c r="E91" s="435"/>
      <c r="F91" s="436"/>
      <c r="G91" s="436"/>
      <c r="H91" s="436"/>
    </row>
    <row r="92" spans="1:8" x14ac:dyDescent="0.25">
      <c r="B92" s="89"/>
      <c r="C92" s="89"/>
      <c r="D92" s="438"/>
      <c r="E92" s="440"/>
      <c r="F92" s="440"/>
      <c r="G92" s="436"/>
      <c r="H92" s="436"/>
    </row>
    <row r="93" spans="1:8" x14ac:dyDescent="0.25">
      <c r="B93" s="89"/>
      <c r="C93" s="89"/>
      <c r="D93" s="90"/>
      <c r="E93" s="90"/>
      <c r="F93" s="90"/>
    </row>
    <row r="94" spans="1:8" x14ac:dyDescent="0.25">
      <c r="B94" s="89"/>
      <c r="C94" s="89"/>
      <c r="D94" s="90"/>
      <c r="E94" s="90"/>
      <c r="F94" s="90"/>
    </row>
    <row r="95" spans="1:8" x14ac:dyDescent="0.25">
      <c r="B95" s="89"/>
      <c r="C95" s="89"/>
      <c r="D95" s="90"/>
      <c r="E95" s="90"/>
      <c r="F95" s="90"/>
    </row>
    <row r="96" spans="1:8" x14ac:dyDescent="0.25">
      <c r="B96" s="89"/>
      <c r="C96" s="89"/>
      <c r="D96" s="90"/>
      <c r="E96" s="90"/>
      <c r="F96" s="90"/>
    </row>
    <row r="97" spans="2:6" x14ac:dyDescent="0.25">
      <c r="B97" s="89"/>
      <c r="C97" s="89"/>
      <c r="D97" s="90"/>
      <c r="E97" s="90"/>
      <c r="F97" s="90"/>
    </row>
    <row r="98" spans="2:6" x14ac:dyDescent="0.25">
      <c r="B98" s="89"/>
      <c r="C98" s="89"/>
      <c r="D98" s="90"/>
      <c r="E98" s="90"/>
      <c r="F98" s="90"/>
    </row>
    <row r="99" spans="2:6" x14ac:dyDescent="0.25">
      <c r="B99" s="89"/>
      <c r="C99" s="89"/>
      <c r="D99" s="90"/>
      <c r="E99" s="90"/>
      <c r="F99" s="90"/>
    </row>
    <row r="100" spans="2:6" x14ac:dyDescent="0.25">
      <c r="B100" s="89"/>
      <c r="C100" s="89"/>
      <c r="D100" s="90"/>
      <c r="E100" s="90"/>
      <c r="F100" s="90"/>
    </row>
    <row r="101" spans="2:6" x14ac:dyDescent="0.25">
      <c r="B101" s="89"/>
      <c r="C101" s="89"/>
      <c r="D101" s="90"/>
      <c r="E101" s="90"/>
      <c r="F101" s="90"/>
    </row>
    <row r="102" spans="2:6" x14ac:dyDescent="0.25">
      <c r="B102" s="89"/>
      <c r="C102" s="89"/>
      <c r="D102" s="90"/>
      <c r="E102" s="90"/>
      <c r="F102" s="90"/>
    </row>
    <row r="103" spans="2:6" x14ac:dyDescent="0.25">
      <c r="B103" s="89"/>
      <c r="C103" s="89"/>
      <c r="D103" s="90"/>
      <c r="E103" s="90"/>
      <c r="F103" s="90"/>
    </row>
    <row r="104" spans="2:6" x14ac:dyDescent="0.25">
      <c r="B104" s="89"/>
      <c r="C104" s="89"/>
      <c r="D104" s="90"/>
      <c r="E104" s="90"/>
      <c r="F104" s="90"/>
    </row>
  </sheetData>
  <mergeCells count="58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topLeftCell="A79" workbookViewId="0">
      <selection activeCell="E83" sqref="E83:F83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21.28515625" style="2" bestFit="1" customWidth="1"/>
    <col min="5" max="5" width="19.140625" style="2" bestFit="1" customWidth="1"/>
    <col min="6" max="6" width="16.7109375" style="2" customWidth="1"/>
    <col min="7" max="7" width="14.85546875" style="11" bestFit="1" customWidth="1"/>
  </cols>
  <sheetData>
    <row r="1" spans="1:7" ht="18.75" x14ac:dyDescent="0.3">
      <c r="A1" s="639" t="s">
        <v>3</v>
      </c>
      <c r="B1" s="640"/>
      <c r="C1" s="640"/>
      <c r="D1" s="640"/>
      <c r="E1" s="640"/>
      <c r="F1" s="640"/>
    </row>
    <row r="2" spans="1:7" x14ac:dyDescent="0.25">
      <c r="A2" s="603"/>
      <c r="B2" s="603"/>
      <c r="C2" s="603"/>
      <c r="D2" s="603"/>
      <c r="E2" s="603"/>
      <c r="F2" s="603"/>
    </row>
    <row r="3" spans="1:7" x14ac:dyDescent="0.25">
      <c r="A3" s="641" t="s">
        <v>4</v>
      </c>
      <c r="B3" s="641"/>
      <c r="C3" s="641"/>
      <c r="D3" s="641"/>
      <c r="E3" s="641"/>
      <c r="F3" s="641"/>
    </row>
    <row r="4" spans="1:7" x14ac:dyDescent="0.25">
      <c r="A4" s="603" t="s">
        <v>5</v>
      </c>
      <c r="B4" s="603"/>
      <c r="C4" s="603"/>
      <c r="D4" s="603"/>
      <c r="E4" s="603"/>
      <c r="F4" s="603"/>
    </row>
    <row r="5" spans="1:7" ht="16.5" thickBot="1" x14ac:dyDescent="0.3">
      <c r="A5" s="642" t="s">
        <v>6</v>
      </c>
      <c r="B5" s="642"/>
      <c r="C5" s="642"/>
      <c r="D5" s="642"/>
      <c r="E5" s="642"/>
      <c r="F5" s="642"/>
    </row>
    <row r="6" spans="1:7" ht="12.75" customHeight="1" x14ac:dyDescent="0.25">
      <c r="A6" s="643" t="s">
        <v>7</v>
      </c>
      <c r="B6" s="646" t="s">
        <v>8</v>
      </c>
      <c r="C6" s="646"/>
      <c r="D6" s="649" t="s">
        <v>9</v>
      </c>
      <c r="E6" s="651" t="s">
        <v>10</v>
      </c>
      <c r="F6" s="651" t="s">
        <v>11</v>
      </c>
      <c r="G6" s="635" t="s">
        <v>12</v>
      </c>
    </row>
    <row r="7" spans="1:7" ht="21.75" customHeight="1" x14ac:dyDescent="0.25">
      <c r="A7" s="644"/>
      <c r="B7" s="647"/>
      <c r="C7" s="647"/>
      <c r="D7" s="650"/>
      <c r="E7" s="652"/>
      <c r="F7" s="652"/>
      <c r="G7" s="636"/>
    </row>
    <row r="8" spans="1:7" ht="15.75" customHeight="1" thickBot="1" x14ac:dyDescent="0.3">
      <c r="A8" s="645"/>
      <c r="B8" s="648"/>
      <c r="C8" s="648"/>
      <c r="D8" s="637" t="s">
        <v>13</v>
      </c>
      <c r="E8" s="637"/>
      <c r="F8" s="637"/>
      <c r="G8" s="12"/>
    </row>
    <row r="9" spans="1:7" x14ac:dyDescent="0.25">
      <c r="A9" s="13"/>
      <c r="B9" s="638" t="s">
        <v>14</v>
      </c>
      <c r="C9" s="638"/>
      <c r="D9" s="14"/>
      <c r="E9" s="15"/>
      <c r="F9" s="14"/>
      <c r="G9" s="16"/>
    </row>
    <row r="10" spans="1:7" ht="15.75" customHeight="1" x14ac:dyDescent="0.25">
      <c r="A10" s="9">
        <v>1</v>
      </c>
      <c r="B10" s="620" t="s">
        <v>15</v>
      </c>
      <c r="C10" s="620"/>
      <c r="D10" s="17">
        <f>SUM(E10:G10)</f>
        <v>102333664</v>
      </c>
      <c r="E10" s="17">
        <f>28824535+34214720+39294409</f>
        <v>102333664</v>
      </c>
      <c r="F10" s="18">
        <f>'[1]11'!F10+'[1]13'!F10+'[1]15'!F10</f>
        <v>0</v>
      </c>
      <c r="G10" s="19"/>
    </row>
    <row r="11" spans="1:7" ht="15.75" customHeight="1" x14ac:dyDescent="0.25">
      <c r="A11" s="9">
        <v>2</v>
      </c>
      <c r="B11" s="620" t="s">
        <v>16</v>
      </c>
      <c r="C11" s="620"/>
      <c r="D11" s="17">
        <f>SUM(E11:G11)</f>
        <v>25490024</v>
      </c>
      <c r="E11" s="17">
        <f>7267872+8456771+9765381</f>
        <v>25490024</v>
      </c>
      <c r="F11" s="18">
        <f>'[1]11'!F11+'[1]13'!F11+'[1]15'!F11</f>
        <v>0</v>
      </c>
      <c r="G11" s="19"/>
    </row>
    <row r="12" spans="1:7" ht="15.75" customHeight="1" x14ac:dyDescent="0.25">
      <c r="A12" s="9">
        <v>3</v>
      </c>
      <c r="B12" s="620" t="s">
        <v>17</v>
      </c>
      <c r="C12" s="620"/>
      <c r="D12" s="17">
        <v>88165850</v>
      </c>
      <c r="E12" s="17">
        <v>88165850</v>
      </c>
      <c r="F12" s="18">
        <f>'[1]11'!F12+'[1]13'!F12+'[1]15'!F12</f>
        <v>0</v>
      </c>
      <c r="G12" s="20"/>
    </row>
    <row r="13" spans="1:7" ht="15.75" customHeight="1" x14ac:dyDescent="0.25">
      <c r="A13" s="9" t="s">
        <v>18</v>
      </c>
      <c r="B13" s="620" t="s">
        <v>19</v>
      </c>
      <c r="C13" s="620"/>
      <c r="D13" s="17">
        <f t="shared" ref="D13:D18" si="0">SUM(E13:G13)</f>
        <v>0</v>
      </c>
      <c r="E13" s="17">
        <f>'[1]11'!E13+'[1]13'!E13+'[1]15'!E13</f>
        <v>0</v>
      </c>
      <c r="F13" s="18">
        <f>'[1]11'!F13+'[1]13'!F13+'[1]15'!F13</f>
        <v>0</v>
      </c>
      <c r="G13" s="21"/>
    </row>
    <row r="14" spans="1:7" x14ac:dyDescent="0.25">
      <c r="A14" s="9" t="s">
        <v>20</v>
      </c>
      <c r="B14" s="626" t="s">
        <v>21</v>
      </c>
      <c r="C14" s="626"/>
      <c r="D14" s="17">
        <f t="shared" si="0"/>
        <v>16759214</v>
      </c>
      <c r="E14" s="22">
        <f>+E15+E16+E17+E18</f>
        <v>12953614</v>
      </c>
      <c r="F14" s="23">
        <f>+F15+F16+F17+F18+F19</f>
        <v>3805600</v>
      </c>
      <c r="G14" s="24"/>
    </row>
    <row r="15" spans="1:7" x14ac:dyDescent="0.25">
      <c r="A15" s="9" t="s">
        <v>22</v>
      </c>
      <c r="B15" s="627"/>
      <c r="C15" s="627"/>
      <c r="D15" s="17">
        <f t="shared" si="0"/>
        <v>0</v>
      </c>
      <c r="E15" s="17">
        <f>'[1]11'!E15+'[1]13'!E15+'[1]15'!E15</f>
        <v>0</v>
      </c>
      <c r="F15" s="18">
        <f>'[1]11'!F15+'[1]13'!F15+'[1]15'!F15</f>
        <v>0</v>
      </c>
      <c r="G15" s="21"/>
    </row>
    <row r="16" spans="1:7" x14ac:dyDescent="0.25">
      <c r="A16" s="9" t="s">
        <v>23</v>
      </c>
      <c r="B16" s="627" t="s">
        <v>24</v>
      </c>
      <c r="C16" s="627"/>
      <c r="D16" s="17">
        <f t="shared" si="0"/>
        <v>5617214</v>
      </c>
      <c r="E16" s="17">
        <v>3367214</v>
      </c>
      <c r="F16" s="18">
        <v>2250000</v>
      </c>
      <c r="G16" s="21"/>
    </row>
    <row r="17" spans="1:7" x14ac:dyDescent="0.25">
      <c r="A17" s="9"/>
      <c r="B17" s="628"/>
      <c r="C17" s="629"/>
      <c r="D17" s="17">
        <f t="shared" si="0"/>
        <v>0</v>
      </c>
      <c r="E17" s="17">
        <f>'[1]11'!E17+'[1]13'!E17+'[1]15'!E17</f>
        <v>0</v>
      </c>
      <c r="F17" s="18">
        <f>'[1]11'!F17+'[1]13'!F17+'[1]15'!F17</f>
        <v>0</v>
      </c>
      <c r="G17" s="21"/>
    </row>
    <row r="18" spans="1:7" ht="15.75" customHeight="1" x14ac:dyDescent="0.25">
      <c r="A18" s="9" t="s">
        <v>25</v>
      </c>
      <c r="B18" s="630" t="s">
        <v>26</v>
      </c>
      <c r="C18" s="630"/>
      <c r="D18" s="17">
        <f t="shared" si="0"/>
        <v>11142000</v>
      </c>
      <c r="E18" s="17">
        <v>9586400</v>
      </c>
      <c r="F18" s="18">
        <v>1555600</v>
      </c>
      <c r="G18" s="21"/>
    </row>
    <row r="19" spans="1:7" ht="15.75" customHeight="1" x14ac:dyDescent="0.25">
      <c r="A19" s="9" t="s">
        <v>27</v>
      </c>
      <c r="B19" s="620"/>
      <c r="C19" s="620"/>
      <c r="D19" s="23">
        <f>D20+D21</f>
        <v>58201586</v>
      </c>
      <c r="E19" s="23">
        <f>E20+E21</f>
        <v>58201586</v>
      </c>
      <c r="F19" s="18">
        <f>'[1]11'!F19+'[1]13'!F19+'[1]15'!F19</f>
        <v>0</v>
      </c>
      <c r="G19" s="21"/>
    </row>
    <row r="20" spans="1:7" ht="15.75" customHeight="1" x14ac:dyDescent="0.25">
      <c r="A20" s="9"/>
      <c r="B20" s="620" t="s">
        <v>28</v>
      </c>
      <c r="C20" s="620"/>
      <c r="D20" s="23">
        <v>25796636</v>
      </c>
      <c r="E20" s="17">
        <v>25796636</v>
      </c>
      <c r="F20" s="18">
        <v>0</v>
      </c>
      <c r="G20" s="21"/>
    </row>
    <row r="21" spans="1:7" ht="15.75" customHeight="1" x14ac:dyDescent="0.25">
      <c r="A21" s="9"/>
      <c r="B21" s="631" t="s">
        <v>29</v>
      </c>
      <c r="C21" s="632"/>
      <c r="D21" s="26">
        <f>13858210+14174090+660000+1000000+2712650</f>
        <v>32404950</v>
      </c>
      <c r="E21" s="17">
        <v>32404950</v>
      </c>
      <c r="F21" s="18">
        <f>'[1]15'!F22</f>
        <v>0</v>
      </c>
      <c r="G21" s="21"/>
    </row>
    <row r="22" spans="1:7" s="30" customFormat="1" ht="15.75" customHeight="1" x14ac:dyDescent="0.25">
      <c r="A22" s="27" t="s">
        <v>1</v>
      </c>
      <c r="B22" s="633" t="s">
        <v>30</v>
      </c>
      <c r="C22" s="634"/>
      <c r="D22" s="28">
        <f>D10+D11+D12+D14+D19</f>
        <v>290950338</v>
      </c>
      <c r="E22" s="28">
        <f>E10+E11+E12+E14+E19</f>
        <v>287144738</v>
      </c>
      <c r="F22" s="28">
        <f>+F10+F11+F12+F13+F14+F21</f>
        <v>3805600</v>
      </c>
      <c r="G22" s="29"/>
    </row>
    <row r="23" spans="1:7" x14ac:dyDescent="0.25">
      <c r="A23" s="9" t="s">
        <v>31</v>
      </c>
      <c r="B23" s="620" t="s">
        <v>32</v>
      </c>
      <c r="C23" s="620"/>
      <c r="D23" s="17">
        <v>292599594</v>
      </c>
      <c r="E23" s="17">
        <v>292599594</v>
      </c>
      <c r="F23" s="18">
        <f>'[1]15'!F24</f>
        <v>0</v>
      </c>
      <c r="G23" s="19"/>
    </row>
    <row r="24" spans="1:7" ht="15.75" customHeight="1" x14ac:dyDescent="0.25">
      <c r="A24" s="9" t="s">
        <v>33</v>
      </c>
      <c r="B24" s="620" t="s">
        <v>34</v>
      </c>
      <c r="C24" s="620"/>
      <c r="D24" s="17">
        <v>11609589</v>
      </c>
      <c r="E24" s="17">
        <v>11609589</v>
      </c>
      <c r="F24" s="18">
        <f>'[1]11'!F24+'[1]13'!F24+'[1]15'!F25</f>
        <v>0</v>
      </c>
      <c r="G24" s="19"/>
    </row>
    <row r="25" spans="1:7" ht="15.75" customHeight="1" x14ac:dyDescent="0.25">
      <c r="A25" s="9" t="s">
        <v>35</v>
      </c>
      <c r="B25" s="620" t="s">
        <v>36</v>
      </c>
      <c r="C25" s="620"/>
      <c r="D25" s="17">
        <v>0</v>
      </c>
      <c r="E25" s="17"/>
      <c r="F25" s="18">
        <v>0</v>
      </c>
      <c r="G25" s="19"/>
    </row>
    <row r="26" spans="1:7" s="30" customFormat="1" ht="18.75" x14ac:dyDescent="0.25">
      <c r="A26" s="27" t="s">
        <v>37</v>
      </c>
      <c r="B26" s="621" t="s">
        <v>38</v>
      </c>
      <c r="C26" s="621"/>
      <c r="D26" s="31">
        <f>+D23+D24+D25</f>
        <v>304209183</v>
      </c>
      <c r="E26" s="31">
        <f>+E23+E24+E25</f>
        <v>304209183</v>
      </c>
      <c r="F26" s="31">
        <f>+F23+F24+F25</f>
        <v>0</v>
      </c>
      <c r="G26" s="32"/>
    </row>
    <row r="27" spans="1:7" x14ac:dyDescent="0.25">
      <c r="A27" s="9" t="s">
        <v>39</v>
      </c>
      <c r="B27" s="620"/>
      <c r="C27" s="620"/>
      <c r="D27" s="26"/>
      <c r="E27" s="33"/>
      <c r="F27" s="18"/>
      <c r="G27" s="19"/>
    </row>
    <row r="28" spans="1:7" x14ac:dyDescent="0.25">
      <c r="A28" s="9" t="s">
        <v>40</v>
      </c>
      <c r="B28" s="622"/>
      <c r="C28" s="622"/>
      <c r="D28" s="34"/>
      <c r="E28" s="35"/>
      <c r="F28" s="18">
        <f>+D28+E28</f>
        <v>0</v>
      </c>
      <c r="G28" s="19"/>
    </row>
    <row r="29" spans="1:7" ht="19.5" customHeight="1" x14ac:dyDescent="0.25">
      <c r="A29" s="9" t="s">
        <v>41</v>
      </c>
      <c r="B29" s="622"/>
      <c r="C29" s="622"/>
      <c r="D29" s="34"/>
      <c r="E29" s="36"/>
      <c r="F29" s="18">
        <f>+D29+E29</f>
        <v>0</v>
      </c>
      <c r="G29" s="19"/>
    </row>
    <row r="30" spans="1:7" ht="20.25" x14ac:dyDescent="0.3">
      <c r="A30" s="37" t="s">
        <v>42</v>
      </c>
      <c r="B30" s="623" t="s">
        <v>43</v>
      </c>
      <c r="C30" s="623"/>
      <c r="D30" s="38">
        <f>+D22+D26+D27+D28+D29</f>
        <v>595159521</v>
      </c>
      <c r="E30" s="39">
        <f>+E22+E26+E27+E28+E29</f>
        <v>591353921</v>
      </c>
      <c r="F30" s="39">
        <f>+F22+F26+F27+F28+F29</f>
        <v>3805600</v>
      </c>
      <c r="G30" s="40">
        <f>+G22+G26+G27+G28+G29</f>
        <v>0</v>
      </c>
    </row>
    <row r="31" spans="1:7" x14ac:dyDescent="0.25">
      <c r="A31" s="41"/>
      <c r="B31" s="624"/>
      <c r="C31" s="624"/>
      <c r="D31" s="42"/>
      <c r="E31" s="43"/>
      <c r="F31" s="44"/>
      <c r="G31" s="45"/>
    </row>
    <row r="32" spans="1:7" x14ac:dyDescent="0.25">
      <c r="A32" s="9"/>
      <c r="B32" s="625" t="s">
        <v>44</v>
      </c>
      <c r="C32" s="625"/>
      <c r="D32" s="46"/>
      <c r="E32" s="47"/>
      <c r="F32" s="46"/>
      <c r="G32" s="48"/>
    </row>
    <row r="33" spans="1:7" x14ac:dyDescent="0.25">
      <c r="A33" s="9" t="s">
        <v>45</v>
      </c>
      <c r="B33" s="614" t="s">
        <v>46</v>
      </c>
      <c r="C33" s="614"/>
      <c r="D33" s="49">
        <v>11135174</v>
      </c>
      <c r="E33" s="50">
        <v>11135174</v>
      </c>
      <c r="F33" s="50">
        <f>'[1]11'!F32+'[1]13'!F32+'[1]15'!F34</f>
        <v>0</v>
      </c>
      <c r="G33" s="51"/>
    </row>
    <row r="34" spans="1:7" x14ac:dyDescent="0.25">
      <c r="A34" s="9" t="s">
        <v>47</v>
      </c>
      <c r="B34" s="614" t="s">
        <v>48</v>
      </c>
      <c r="C34" s="614"/>
      <c r="D34" s="49">
        <f t="shared" ref="D34:D40" si="1">SUM(E34:G34)</f>
        <v>39316000</v>
      </c>
      <c r="E34" s="50">
        <f>SUM(E35:E37)</f>
        <v>39316000</v>
      </c>
      <c r="F34" s="50">
        <f>SUM(F35:F37)</f>
        <v>0</v>
      </c>
      <c r="G34" s="51"/>
    </row>
    <row r="35" spans="1:7" x14ac:dyDescent="0.25">
      <c r="A35" s="9"/>
      <c r="B35" s="52" t="s">
        <v>49</v>
      </c>
      <c r="C35" s="53" t="s">
        <v>50</v>
      </c>
      <c r="D35" s="49">
        <f t="shared" si="1"/>
        <v>34616000</v>
      </c>
      <c r="E35" s="50">
        <v>34616000</v>
      </c>
      <c r="F35" s="50">
        <f>'[1]11'!F34+'[1]13'!F34+'[1]15'!F36</f>
        <v>0</v>
      </c>
      <c r="G35" s="51"/>
    </row>
    <row r="36" spans="1:7" x14ac:dyDescent="0.25">
      <c r="A36" s="9"/>
      <c r="B36" s="52" t="s">
        <v>51</v>
      </c>
      <c r="C36" s="53" t="s">
        <v>52</v>
      </c>
      <c r="D36" s="49">
        <f t="shared" si="1"/>
        <v>4500000</v>
      </c>
      <c r="E36" s="50">
        <v>4500000</v>
      </c>
      <c r="F36" s="50">
        <f>'[1]11'!F35+'[1]13'!F35+'[1]15'!F37</f>
        <v>0</v>
      </c>
      <c r="G36" s="51"/>
    </row>
    <row r="37" spans="1:7" x14ac:dyDescent="0.25">
      <c r="A37" s="9"/>
      <c r="B37" s="52" t="s">
        <v>53</v>
      </c>
      <c r="C37" s="53" t="s">
        <v>54</v>
      </c>
      <c r="D37" s="49">
        <f t="shared" si="1"/>
        <v>200000</v>
      </c>
      <c r="E37" s="50">
        <v>200000</v>
      </c>
      <c r="F37" s="50">
        <f>'[1]11'!F36+'[1]13'!F36+'[1]15'!F38</f>
        <v>0</v>
      </c>
      <c r="G37" s="51"/>
    </row>
    <row r="38" spans="1:7" x14ac:dyDescent="0.25">
      <c r="A38" s="9" t="s">
        <v>55</v>
      </c>
      <c r="B38" s="614" t="s">
        <v>56</v>
      </c>
      <c r="C38" s="614"/>
      <c r="D38" s="54">
        <f t="shared" si="1"/>
        <v>139240232</v>
      </c>
      <c r="E38" s="50">
        <f>SUM(E39:E41)</f>
        <v>139240232</v>
      </c>
      <c r="F38" s="55">
        <f>SUM(F39:F41)</f>
        <v>0</v>
      </c>
      <c r="G38" s="51"/>
    </row>
    <row r="39" spans="1:7" x14ac:dyDescent="0.25">
      <c r="A39" s="9"/>
      <c r="B39" s="56" t="s">
        <v>57</v>
      </c>
      <c r="C39" s="57" t="s">
        <v>58</v>
      </c>
      <c r="D39" s="54">
        <f t="shared" si="1"/>
        <v>137815897</v>
      </c>
      <c r="E39" s="50">
        <v>137815897</v>
      </c>
      <c r="F39" s="50">
        <f>'[1]11'!F38+'[1]13'!F38+'[1]15'!F40</f>
        <v>0</v>
      </c>
      <c r="G39" s="51"/>
    </row>
    <row r="40" spans="1:7" x14ac:dyDescent="0.25">
      <c r="A40" s="9"/>
      <c r="B40" s="56" t="s">
        <v>59</v>
      </c>
      <c r="C40" s="57" t="s">
        <v>60</v>
      </c>
      <c r="D40" s="54">
        <f t="shared" si="1"/>
        <v>0</v>
      </c>
      <c r="E40" s="50">
        <f>'[1]11'!E39+'[1]13'!E39+'[1]15'!E41</f>
        <v>0</v>
      </c>
      <c r="F40" s="50">
        <f>'[1]11'!F39+'[1]13'!F39+'[1]15'!F41</f>
        <v>0</v>
      </c>
      <c r="G40" s="51"/>
    </row>
    <row r="41" spans="1:7" x14ac:dyDescent="0.25">
      <c r="A41" s="9"/>
      <c r="B41" s="56" t="s">
        <v>61</v>
      </c>
      <c r="C41" s="57" t="s">
        <v>62</v>
      </c>
      <c r="D41" s="54">
        <v>1424335</v>
      </c>
      <c r="E41" s="50">
        <v>1424335</v>
      </c>
      <c r="F41" s="50">
        <f>'[1]11'!F40+'[1]13'!F40+'[1]15'!F42</f>
        <v>0</v>
      </c>
      <c r="G41" s="51"/>
    </row>
    <row r="42" spans="1:7" x14ac:dyDescent="0.25">
      <c r="A42" s="9" t="s">
        <v>18</v>
      </c>
      <c r="B42" s="614" t="s">
        <v>63</v>
      </c>
      <c r="C42" s="614"/>
      <c r="D42" s="54">
        <f>SUM(D43:D46)</f>
        <v>13631885</v>
      </c>
      <c r="E42" s="50">
        <f>SUM(E43:E46)</f>
        <v>13631885</v>
      </c>
      <c r="F42" s="50">
        <f>SUM(F43:F46)</f>
        <v>0</v>
      </c>
      <c r="G42" s="51"/>
    </row>
    <row r="43" spans="1:7" x14ac:dyDescent="0.25">
      <c r="A43" s="9"/>
      <c r="B43" s="56" t="s">
        <v>64</v>
      </c>
      <c r="C43" s="58" t="s">
        <v>65</v>
      </c>
      <c r="D43" s="54">
        <f>SUM(E43:G43)</f>
        <v>11932622</v>
      </c>
      <c r="E43" s="50">
        <v>11932622</v>
      </c>
      <c r="F43" s="50">
        <f>'[1]11'!F42+'[1]13'!F42+'[1]15'!F44</f>
        <v>0</v>
      </c>
      <c r="G43" s="51"/>
    </row>
    <row r="44" spans="1:7" x14ac:dyDescent="0.25">
      <c r="A44" s="9"/>
      <c r="B44" s="56" t="s">
        <v>66</v>
      </c>
      <c r="C44" s="57" t="s">
        <v>67</v>
      </c>
      <c r="D44" s="54"/>
      <c r="E44" s="50">
        <f>'[1]11'!E43+'[1]13'!E43+'[1]15'!E45</f>
        <v>0</v>
      </c>
      <c r="F44" s="50">
        <f>'[1]11'!F43+'[1]13'!F43+'[1]15'!F45</f>
        <v>0</v>
      </c>
      <c r="G44" s="51"/>
    </row>
    <row r="45" spans="1:7" x14ac:dyDescent="0.25">
      <c r="A45" s="9"/>
      <c r="B45" s="56" t="s">
        <v>68</v>
      </c>
      <c r="C45" s="57" t="s">
        <v>69</v>
      </c>
      <c r="D45" s="54">
        <f>G45+F45+E45</f>
        <v>1699263</v>
      </c>
      <c r="E45" s="50">
        <v>1699263</v>
      </c>
      <c r="F45" s="50">
        <f>'[1]11'!F44+'[1]13'!F44+'[1]15'!F46</f>
        <v>0</v>
      </c>
      <c r="G45" s="51"/>
    </row>
    <row r="46" spans="1:7" x14ac:dyDescent="0.25">
      <c r="A46" s="9"/>
      <c r="B46" s="56" t="s">
        <v>70</v>
      </c>
      <c r="C46" s="57" t="s">
        <v>71</v>
      </c>
      <c r="D46" s="54"/>
      <c r="E46" s="50">
        <f>'[1]11'!E45+'[1]13'!E45+'[1]15'!E47</f>
        <v>0</v>
      </c>
      <c r="F46" s="50">
        <f>'[1]11'!F45+'[1]13'!F45+'[1]15'!F47</f>
        <v>0</v>
      </c>
      <c r="G46" s="51"/>
    </row>
    <row r="47" spans="1:7" ht="18.75" x14ac:dyDescent="0.3">
      <c r="A47" s="27" t="s">
        <v>1</v>
      </c>
      <c r="B47" s="617" t="s">
        <v>72</v>
      </c>
      <c r="C47" s="617"/>
      <c r="D47" s="59">
        <f>D42+D38+D33+D34</f>
        <v>203323291</v>
      </c>
      <c r="E47" s="59">
        <f>+E33+E34+E38+E42</f>
        <v>203323291</v>
      </c>
      <c r="F47" s="59">
        <f>+F33+F34+F38+F42</f>
        <v>0</v>
      </c>
      <c r="G47" s="60">
        <f>+G33+G34+G38+G42</f>
        <v>0</v>
      </c>
    </row>
    <row r="48" spans="1:7" x14ac:dyDescent="0.25">
      <c r="A48" s="9" t="s">
        <v>20</v>
      </c>
      <c r="B48" s="614" t="s">
        <v>73</v>
      </c>
      <c r="C48" s="614"/>
      <c r="D48" s="50">
        <f>SUM(D49:D50)</f>
        <v>7061948</v>
      </c>
      <c r="E48" s="50">
        <f>SUM(E49:E50)</f>
        <v>7061948</v>
      </c>
      <c r="F48" s="50">
        <f>SUM(F49:F50)</f>
        <v>0</v>
      </c>
      <c r="G48" s="51"/>
    </row>
    <row r="49" spans="1:7" x14ac:dyDescent="0.25">
      <c r="A49" s="9"/>
      <c r="B49" s="56" t="s">
        <v>74</v>
      </c>
      <c r="C49" s="57" t="s">
        <v>75</v>
      </c>
      <c r="D49" s="54">
        <f>+E49+F49+G49</f>
        <v>2712650</v>
      </c>
      <c r="E49" s="50">
        <v>2712650</v>
      </c>
      <c r="F49" s="50">
        <f>'[1]11'!F48+'[1]13'!F48+'[1]15'!F50</f>
        <v>0</v>
      </c>
      <c r="G49" s="51"/>
    </row>
    <row r="50" spans="1:7" x14ac:dyDescent="0.25">
      <c r="A50" s="9"/>
      <c r="B50" s="56" t="s">
        <v>76</v>
      </c>
      <c r="C50" s="57" t="s">
        <v>77</v>
      </c>
      <c r="D50" s="54">
        <v>4349298</v>
      </c>
      <c r="E50" s="50">
        <v>4349298</v>
      </c>
      <c r="F50" s="50">
        <f>'[1]11'!F49+'[1]13'!F49+'[1]15'!F51</f>
        <v>0</v>
      </c>
      <c r="G50" s="51"/>
    </row>
    <row r="51" spans="1:7" x14ac:dyDescent="0.25">
      <c r="A51" s="9" t="s">
        <v>31</v>
      </c>
      <c r="B51" s="614" t="s">
        <v>78</v>
      </c>
      <c r="C51" s="614"/>
      <c r="D51" s="54">
        <f>SUM(D52:D53)</f>
        <v>0</v>
      </c>
      <c r="E51" s="50">
        <f>SUM(E52:E53)</f>
        <v>0</v>
      </c>
      <c r="F51" s="55">
        <f>SUM(D51:D51)</f>
        <v>0</v>
      </c>
      <c r="G51" s="51"/>
    </row>
    <row r="52" spans="1:7" x14ac:dyDescent="0.25">
      <c r="A52" s="9"/>
      <c r="B52" s="56" t="s">
        <v>79</v>
      </c>
      <c r="C52" s="57" t="s">
        <v>80</v>
      </c>
      <c r="D52" s="54"/>
      <c r="E52" s="50">
        <f>'[1]11'!E51+'[1]13'!E51+'[1]15'!E53</f>
        <v>0</v>
      </c>
      <c r="F52" s="50">
        <f>'[1]11'!F51+'[1]13'!F51+'[1]15'!F53</f>
        <v>0</v>
      </c>
      <c r="G52" s="51"/>
    </row>
    <row r="53" spans="1:7" x14ac:dyDescent="0.25">
      <c r="A53" s="9"/>
      <c r="B53" s="56" t="s">
        <v>81</v>
      </c>
      <c r="C53" s="57" t="s">
        <v>82</v>
      </c>
      <c r="D53" s="54">
        <v>0</v>
      </c>
      <c r="E53" s="50">
        <f>'[1]11'!E52+'[1]13'!E52+'[1]15'!E54</f>
        <v>0</v>
      </c>
      <c r="F53" s="50">
        <f>'[1]11'!F52+'[1]13'!F52+'[1]15'!F54</f>
        <v>0</v>
      </c>
      <c r="G53" s="51"/>
    </row>
    <row r="54" spans="1:7" x14ac:dyDescent="0.25">
      <c r="A54" s="9" t="s">
        <v>33</v>
      </c>
      <c r="B54" s="614" t="s">
        <v>83</v>
      </c>
      <c r="C54" s="614"/>
      <c r="D54" s="54">
        <f>SUM(D55:D57)</f>
        <v>134947610</v>
      </c>
      <c r="E54" s="50">
        <f>SUM(E55:E57)</f>
        <v>134947610</v>
      </c>
      <c r="F54" s="55">
        <f>SUM(F55:F57)</f>
        <v>0</v>
      </c>
      <c r="G54" s="51"/>
    </row>
    <row r="55" spans="1:7" x14ac:dyDescent="0.25">
      <c r="A55" s="9"/>
      <c r="B55" s="56" t="s">
        <v>84</v>
      </c>
      <c r="C55" s="57" t="s">
        <v>85</v>
      </c>
      <c r="D55" s="54"/>
      <c r="E55" s="50"/>
      <c r="F55" s="50">
        <f>'[1]11'!F54+'[1]13'!F54+'[1]15'!F56</f>
        <v>0</v>
      </c>
      <c r="G55" s="51"/>
    </row>
    <row r="56" spans="1:7" x14ac:dyDescent="0.25">
      <c r="A56" s="9"/>
      <c r="B56" s="56" t="s">
        <v>86</v>
      </c>
      <c r="C56" s="57" t="s">
        <v>87</v>
      </c>
      <c r="D56" s="54">
        <f>9538913+91864899+18070416+15473382</f>
        <v>134947610</v>
      </c>
      <c r="E56" s="50">
        <v>134947610</v>
      </c>
      <c r="F56" s="50">
        <f>'[1]11'!F55+'[1]13'!F55+'[1]15'!F57</f>
        <v>0</v>
      </c>
      <c r="G56" s="51"/>
    </row>
    <row r="57" spans="1:7" x14ac:dyDescent="0.25">
      <c r="A57" s="9"/>
      <c r="B57" s="56" t="s">
        <v>88</v>
      </c>
      <c r="C57" s="57" t="s">
        <v>89</v>
      </c>
      <c r="D57" s="54"/>
      <c r="E57" s="50">
        <f>'[1]11'!E56+'[1]13'!E56+'[1]15'!E58</f>
        <v>0</v>
      </c>
      <c r="F57" s="50">
        <f>'[1]11'!F56+'[1]13'!F56+'[1]15'!F58</f>
        <v>0</v>
      </c>
      <c r="G57" s="51"/>
    </row>
    <row r="58" spans="1:7" ht="18.75" x14ac:dyDescent="0.3">
      <c r="A58" s="27" t="s">
        <v>37</v>
      </c>
      <c r="B58" s="617" t="s">
        <v>90</v>
      </c>
      <c r="C58" s="617"/>
      <c r="D58" s="59">
        <f>D48+D51+D54</f>
        <v>142009558</v>
      </c>
      <c r="E58" s="61">
        <f>+E48+E51+E54</f>
        <v>142009558</v>
      </c>
      <c r="F58" s="59">
        <f>+F48+F51+F54</f>
        <v>0</v>
      </c>
      <c r="G58" s="60">
        <f>+G48+G51+G54</f>
        <v>0</v>
      </c>
    </row>
    <row r="59" spans="1:7" x14ac:dyDescent="0.25">
      <c r="A59" s="27" t="s">
        <v>39</v>
      </c>
      <c r="B59" s="618" t="s">
        <v>91</v>
      </c>
      <c r="C59" s="618"/>
      <c r="D59" s="62"/>
      <c r="E59" s="63"/>
      <c r="F59" s="64"/>
      <c r="G59" s="65"/>
    </row>
    <row r="60" spans="1:7" x14ac:dyDescent="0.25">
      <c r="A60" s="27" t="s">
        <v>40</v>
      </c>
      <c r="B60" s="618" t="s">
        <v>92</v>
      </c>
      <c r="C60" s="618"/>
      <c r="D60" s="62"/>
      <c r="E60" s="63"/>
      <c r="F60" s="64"/>
      <c r="G60" s="65"/>
    </row>
    <row r="61" spans="1:7" ht="20.25" x14ac:dyDescent="0.3">
      <c r="A61" s="37" t="s">
        <v>93</v>
      </c>
      <c r="B61" s="619" t="s">
        <v>94</v>
      </c>
      <c r="C61" s="619"/>
      <c r="D61" s="66">
        <f>D47+D58</f>
        <v>345332849</v>
      </c>
      <c r="E61" s="67">
        <f>+E47+E58+E59+E60</f>
        <v>345332849</v>
      </c>
      <c r="F61" s="67">
        <f>+F47+F58+F59+F60</f>
        <v>0</v>
      </c>
      <c r="G61" s="68">
        <f>+G47+G58+G59+G60</f>
        <v>0</v>
      </c>
    </row>
    <row r="62" spans="1:7" ht="18.75" x14ac:dyDescent="0.3">
      <c r="A62" s="37"/>
      <c r="B62" s="611" t="s">
        <v>95</v>
      </c>
      <c r="C62" s="611"/>
      <c r="D62" s="69">
        <f>+D30-D61</f>
        <v>249826672</v>
      </c>
      <c r="E62" s="69">
        <f>+E30-E61</f>
        <v>246021072</v>
      </c>
      <c r="F62" s="69">
        <f>F30-F61</f>
        <v>3805600</v>
      </c>
      <c r="G62" s="70">
        <f>+G30-G61</f>
        <v>0</v>
      </c>
    </row>
    <row r="63" spans="1:7" ht="18.75" x14ac:dyDescent="0.3">
      <c r="A63" s="37"/>
      <c r="B63" s="618" t="s">
        <v>96</v>
      </c>
      <c r="C63" s="618"/>
      <c r="D63" s="69">
        <v>94373628</v>
      </c>
      <c r="E63" s="69">
        <v>94373628</v>
      </c>
      <c r="F63" s="69">
        <f>+'[1]11'!F62+'[1]13'!F62</f>
        <v>0</v>
      </c>
      <c r="G63" s="70"/>
    </row>
    <row r="64" spans="1:7" x14ac:dyDescent="0.25">
      <c r="A64" s="27" t="s">
        <v>41</v>
      </c>
      <c r="B64" s="618" t="s">
        <v>97</v>
      </c>
      <c r="C64" s="618"/>
      <c r="D64" s="26">
        <f>D65+D66</f>
        <v>252632612</v>
      </c>
      <c r="E64" s="26">
        <f>SUM(E65:E66)</f>
        <v>252632612</v>
      </c>
      <c r="F64" s="26">
        <f>SUM(F65:F66)</f>
        <v>0</v>
      </c>
      <c r="G64" s="21"/>
    </row>
    <row r="65" spans="1:7" ht="18.75" x14ac:dyDescent="0.25">
      <c r="A65" s="37"/>
      <c r="B65" s="71" t="s">
        <v>45</v>
      </c>
      <c r="C65" s="57" t="s">
        <v>98</v>
      </c>
      <c r="D65" s="26">
        <v>14347040</v>
      </c>
      <c r="E65" s="26">
        <v>14347040</v>
      </c>
      <c r="F65" s="26">
        <f>'[1]11'!F64+'[1]13'!F64+'[1]15'!F66</f>
        <v>0</v>
      </c>
      <c r="G65" s="72"/>
    </row>
    <row r="66" spans="1:7" ht="18.75" x14ac:dyDescent="0.25">
      <c r="A66" s="37"/>
      <c r="B66" s="71" t="s">
        <v>47</v>
      </c>
      <c r="C66" s="57" t="s">
        <v>99</v>
      </c>
      <c r="D66" s="26">
        <v>238285572</v>
      </c>
      <c r="E66" s="73">
        <v>238285572</v>
      </c>
      <c r="F66" s="18"/>
      <c r="G66" s="72"/>
    </row>
    <row r="67" spans="1:7" ht="18.75" customHeight="1" x14ac:dyDescent="0.3">
      <c r="A67" s="37" t="s">
        <v>100</v>
      </c>
      <c r="B67" s="616" t="s">
        <v>101</v>
      </c>
      <c r="C67" s="616"/>
      <c r="D67" s="69">
        <f>D64</f>
        <v>252632612</v>
      </c>
      <c r="E67" s="74">
        <f>+E65+E66</f>
        <v>252632612</v>
      </c>
      <c r="F67" s="69">
        <f>+F64</f>
        <v>0</v>
      </c>
      <c r="G67" s="72"/>
    </row>
    <row r="68" spans="1:7" ht="18.75" x14ac:dyDescent="0.3">
      <c r="A68" s="9" t="s">
        <v>102</v>
      </c>
      <c r="B68" s="609" t="s">
        <v>103</v>
      </c>
      <c r="C68" s="613"/>
      <c r="D68" s="69"/>
      <c r="E68" s="75"/>
      <c r="F68" s="76">
        <f>SUM(D68:E68)</f>
        <v>0</v>
      </c>
      <c r="G68" s="77"/>
    </row>
    <row r="69" spans="1:7" ht="18.75" x14ac:dyDescent="0.3">
      <c r="A69" s="9" t="s">
        <v>104</v>
      </c>
      <c r="B69" s="614" t="s">
        <v>105</v>
      </c>
      <c r="C69" s="614"/>
      <c r="D69" s="69">
        <f>SUM(D70:D73)</f>
        <v>0</v>
      </c>
      <c r="E69" s="75">
        <v>0</v>
      </c>
      <c r="F69" s="76">
        <f>SUM(D69:E69)</f>
        <v>0</v>
      </c>
      <c r="G69" s="77"/>
    </row>
    <row r="70" spans="1:7" ht="18.75" x14ac:dyDescent="0.3">
      <c r="A70" s="9"/>
      <c r="B70" s="56" t="s">
        <v>45</v>
      </c>
      <c r="C70" s="57" t="s">
        <v>106</v>
      </c>
      <c r="D70" s="78"/>
      <c r="E70" s="79"/>
      <c r="F70" s="80">
        <f>SUM(D70:E70)</f>
        <v>0</v>
      </c>
      <c r="G70" s="77"/>
    </row>
    <row r="71" spans="1:7" ht="18.75" x14ac:dyDescent="0.3">
      <c r="A71" s="9"/>
      <c r="B71" s="56" t="s">
        <v>47</v>
      </c>
      <c r="C71" s="57" t="s">
        <v>107</v>
      </c>
      <c r="D71" s="69"/>
      <c r="E71" s="75"/>
      <c r="F71" s="76">
        <f>SUM(D71:E71)</f>
        <v>0</v>
      </c>
      <c r="G71" s="77"/>
    </row>
    <row r="72" spans="1:7" ht="18.75" x14ac:dyDescent="0.3">
      <c r="A72" s="9"/>
      <c r="B72" s="56" t="s">
        <v>55</v>
      </c>
      <c r="C72" s="57" t="s">
        <v>108</v>
      </c>
      <c r="D72" s="78"/>
      <c r="E72" s="75"/>
      <c r="F72" s="76"/>
      <c r="G72" s="77"/>
    </row>
    <row r="73" spans="1:7" ht="18.75" x14ac:dyDescent="0.3">
      <c r="A73" s="9"/>
      <c r="B73" s="56" t="s">
        <v>18</v>
      </c>
      <c r="C73" s="57" t="s">
        <v>109</v>
      </c>
      <c r="D73" s="78"/>
      <c r="E73" s="75"/>
      <c r="F73" s="76"/>
      <c r="G73" s="77"/>
    </row>
    <row r="74" spans="1:7" ht="35.25" customHeight="1" x14ac:dyDescent="0.3">
      <c r="A74" s="37" t="s">
        <v>110</v>
      </c>
      <c r="B74" s="615" t="s">
        <v>111</v>
      </c>
      <c r="C74" s="615"/>
      <c r="D74" s="69">
        <f>+D68+D69</f>
        <v>0</v>
      </c>
      <c r="E74" s="75"/>
      <c r="F74" s="76">
        <f>SUM(D74:E74)</f>
        <v>0</v>
      </c>
      <c r="G74" s="77"/>
    </row>
    <row r="75" spans="1:7" ht="18.75" x14ac:dyDescent="0.3">
      <c r="A75" s="37" t="s">
        <v>112</v>
      </c>
      <c r="B75" s="611" t="s">
        <v>113</v>
      </c>
      <c r="C75" s="611"/>
      <c r="D75" s="69">
        <f>+D67+D74</f>
        <v>252632612</v>
      </c>
      <c r="E75" s="75">
        <f>+E67+E74</f>
        <v>252632612</v>
      </c>
      <c r="F75" s="75">
        <f>+F67+F74</f>
        <v>0</v>
      </c>
      <c r="G75" s="77"/>
    </row>
    <row r="76" spans="1:7" ht="18.75" x14ac:dyDescent="0.3">
      <c r="A76" s="9" t="s">
        <v>114</v>
      </c>
      <c r="B76" s="614" t="s">
        <v>115</v>
      </c>
      <c r="C76" s="614"/>
      <c r="D76" s="69">
        <v>94373628</v>
      </c>
      <c r="E76" s="75">
        <v>94373628</v>
      </c>
      <c r="F76" s="76"/>
      <c r="G76" s="77"/>
    </row>
    <row r="77" spans="1:7" ht="18.75" x14ac:dyDescent="0.3">
      <c r="A77" s="9" t="s">
        <v>116</v>
      </c>
      <c r="B77" s="614" t="s">
        <v>117</v>
      </c>
      <c r="C77" s="614"/>
      <c r="D77" s="78">
        <f>SUM(D78:D80)</f>
        <v>0</v>
      </c>
      <c r="E77" s="79"/>
      <c r="F77" s="80">
        <f>SUM(D77:E77)</f>
        <v>0</v>
      </c>
      <c r="G77" s="77"/>
    </row>
    <row r="78" spans="1:7" ht="18.75" x14ac:dyDescent="0.3">
      <c r="A78" s="9"/>
      <c r="B78" s="56" t="s">
        <v>45</v>
      </c>
      <c r="C78" s="57" t="s">
        <v>118</v>
      </c>
      <c r="D78" s="78"/>
      <c r="E78" s="79"/>
      <c r="F78" s="80">
        <f>SUM(D78:E78)</f>
        <v>0</v>
      </c>
      <c r="G78" s="77"/>
    </row>
    <row r="79" spans="1:7" ht="18.75" x14ac:dyDescent="0.3">
      <c r="A79" s="9"/>
      <c r="B79" s="56" t="s">
        <v>47</v>
      </c>
      <c r="C79" s="57" t="s">
        <v>119</v>
      </c>
      <c r="D79" s="78"/>
      <c r="E79" s="79"/>
      <c r="F79" s="80">
        <f>SUM(D79:E79)</f>
        <v>0</v>
      </c>
      <c r="G79" s="77"/>
    </row>
    <row r="80" spans="1:7" ht="18.75" x14ac:dyDescent="0.3">
      <c r="A80" s="9"/>
      <c r="B80" s="56" t="s">
        <v>55</v>
      </c>
      <c r="C80" s="57" t="s">
        <v>120</v>
      </c>
      <c r="D80" s="78"/>
      <c r="E80" s="79"/>
      <c r="F80" s="80">
        <f>SUM(D80:E80)</f>
        <v>0</v>
      </c>
      <c r="G80" s="77"/>
    </row>
    <row r="81" spans="1:7" ht="18.75" x14ac:dyDescent="0.3">
      <c r="A81" s="9" t="s">
        <v>121</v>
      </c>
      <c r="B81" s="609" t="s">
        <v>610</v>
      </c>
      <c r="C81" s="610"/>
      <c r="D81" s="78">
        <v>2805940</v>
      </c>
      <c r="E81" s="79">
        <v>2805940</v>
      </c>
      <c r="F81" s="81"/>
      <c r="G81" s="77"/>
    </row>
    <row r="82" spans="1:7" ht="18.75" x14ac:dyDescent="0.3">
      <c r="A82" s="37" t="s">
        <v>122</v>
      </c>
      <c r="B82" s="611" t="s">
        <v>123</v>
      </c>
      <c r="C82" s="611"/>
      <c r="D82" s="69">
        <f>+D76+D77+D81</f>
        <v>97179568</v>
      </c>
      <c r="E82" s="75">
        <f>+E76+E77+E81</f>
        <v>97179568</v>
      </c>
      <c r="F82" s="75">
        <f>+F76+F77</f>
        <v>0</v>
      </c>
      <c r="G82" s="77"/>
    </row>
    <row r="83" spans="1:7" ht="18.75" x14ac:dyDescent="0.3">
      <c r="A83" s="82" t="s">
        <v>124</v>
      </c>
      <c r="B83" s="612" t="s">
        <v>125</v>
      </c>
      <c r="C83" s="612"/>
      <c r="D83" s="83">
        <f>+D30+D82</f>
        <v>692339089</v>
      </c>
      <c r="E83" s="83">
        <f>+E30+E82</f>
        <v>688533489</v>
      </c>
      <c r="F83" s="83">
        <f>F30+G30+F82</f>
        <v>3805600</v>
      </c>
      <c r="G83" s="84">
        <f>+G30+G82</f>
        <v>0</v>
      </c>
    </row>
    <row r="84" spans="1:7" ht="19.5" thickBot="1" x14ac:dyDescent="0.35">
      <c r="A84" s="85" t="s">
        <v>126</v>
      </c>
      <c r="B84" s="86" t="s">
        <v>127</v>
      </c>
      <c r="C84" s="86"/>
      <c r="D84" s="87">
        <f>+D61+D75+D63</f>
        <v>692339089</v>
      </c>
      <c r="E84" s="87">
        <f>+E61+E75+E63</f>
        <v>692339089</v>
      </c>
      <c r="F84" s="87">
        <f>+F61+F75+F63</f>
        <v>0</v>
      </c>
      <c r="G84" s="88">
        <f>+G61+G75</f>
        <v>0</v>
      </c>
    </row>
    <row r="85" spans="1:7" x14ac:dyDescent="0.25">
      <c r="B85" s="89"/>
      <c r="C85" s="89"/>
      <c r="D85" s="91">
        <f>D84-D83</f>
        <v>0</v>
      </c>
      <c r="E85" s="90"/>
      <c r="F85" s="90"/>
    </row>
    <row r="86" spans="1:7" hidden="1" x14ac:dyDescent="0.25">
      <c r="B86" s="89"/>
      <c r="C86" s="89"/>
      <c r="D86" s="91">
        <f>+D84-D83</f>
        <v>0</v>
      </c>
      <c r="E86" s="91">
        <f>+E84-E83</f>
        <v>3805600</v>
      </c>
      <c r="F86" s="91">
        <f>+F84-F83</f>
        <v>-3805600</v>
      </c>
      <c r="G86" s="91">
        <f>+G84-G83</f>
        <v>0</v>
      </c>
    </row>
    <row r="87" spans="1:7" x14ac:dyDescent="0.25">
      <c r="B87" s="89"/>
      <c r="C87" s="89"/>
      <c r="D87" s="90"/>
      <c r="E87" s="90"/>
      <c r="F87" s="90"/>
    </row>
    <row r="88" spans="1:7" x14ac:dyDescent="0.25">
      <c r="B88" s="89"/>
      <c r="C88" s="89"/>
      <c r="D88" s="90"/>
      <c r="E88" s="90"/>
      <c r="F88" s="90"/>
    </row>
    <row r="89" spans="1:7" x14ac:dyDescent="0.25">
      <c r="B89" s="89"/>
      <c r="C89" s="89"/>
      <c r="D89" s="90"/>
      <c r="E89" s="90"/>
      <c r="F89" s="90"/>
    </row>
    <row r="90" spans="1:7" x14ac:dyDescent="0.25">
      <c r="B90" s="89"/>
      <c r="C90" s="89"/>
      <c r="D90" s="90"/>
      <c r="E90" s="90"/>
      <c r="F90" s="90"/>
    </row>
    <row r="91" spans="1:7" x14ac:dyDescent="0.25">
      <c r="B91" s="89"/>
      <c r="C91" s="89"/>
      <c r="D91" s="90"/>
      <c r="E91" s="90"/>
      <c r="F91" s="90"/>
    </row>
    <row r="92" spans="1:7" x14ac:dyDescent="0.25">
      <c r="B92" s="89"/>
      <c r="C92" s="89"/>
      <c r="D92" s="90"/>
      <c r="E92" s="90"/>
      <c r="F92" s="90"/>
    </row>
    <row r="93" spans="1:7" x14ac:dyDescent="0.25">
      <c r="B93" s="89"/>
      <c r="C93" s="89"/>
      <c r="D93" s="90"/>
      <c r="E93" s="90"/>
      <c r="F93" s="90"/>
    </row>
    <row r="94" spans="1:7" x14ac:dyDescent="0.25">
      <c r="B94" s="89"/>
      <c r="C94" s="89"/>
      <c r="D94" s="90"/>
      <c r="E94" s="90"/>
      <c r="F94" s="90"/>
    </row>
    <row r="95" spans="1:7" x14ac:dyDescent="0.25">
      <c r="B95" s="89"/>
      <c r="C95" s="89"/>
      <c r="D95" s="90"/>
      <c r="E95" s="90"/>
      <c r="F95" s="90"/>
    </row>
    <row r="96" spans="1:7" x14ac:dyDescent="0.25">
      <c r="B96" s="89"/>
      <c r="C96" s="89"/>
      <c r="D96" s="90"/>
      <c r="E96" s="90"/>
      <c r="F96" s="90"/>
    </row>
    <row r="97" spans="2:6" x14ac:dyDescent="0.25">
      <c r="B97" s="89"/>
      <c r="C97" s="89"/>
      <c r="D97" s="90"/>
      <c r="E97" s="90"/>
      <c r="F97" s="90"/>
    </row>
    <row r="98" spans="2:6" x14ac:dyDescent="0.25">
      <c r="B98" s="89"/>
      <c r="C98" s="89"/>
      <c r="D98" s="90"/>
      <c r="E98" s="90"/>
      <c r="F98" s="90"/>
    </row>
    <row r="99" spans="2:6" x14ac:dyDescent="0.25">
      <c r="B99" s="89"/>
      <c r="C99" s="89"/>
      <c r="D99" s="90"/>
      <c r="E99" s="90"/>
      <c r="F99" s="90"/>
    </row>
    <row r="100" spans="2:6" x14ac:dyDescent="0.25">
      <c r="B100" s="89"/>
      <c r="C100" s="89"/>
      <c r="D100" s="90"/>
      <c r="E100" s="90"/>
      <c r="F100" s="90"/>
    </row>
    <row r="101" spans="2:6" x14ac:dyDescent="0.25">
      <c r="B101" s="89"/>
      <c r="C101" s="89"/>
      <c r="D101" s="90"/>
      <c r="E101" s="90"/>
      <c r="F101" s="90"/>
    </row>
    <row r="102" spans="2:6" x14ac:dyDescent="0.25">
      <c r="B102" s="89"/>
      <c r="C102" s="89"/>
      <c r="D102" s="90"/>
      <c r="E102" s="90"/>
      <c r="F102" s="90"/>
    </row>
    <row r="103" spans="2:6" x14ac:dyDescent="0.25">
      <c r="B103" s="89"/>
      <c r="C103" s="89"/>
      <c r="D103" s="90"/>
      <c r="E103" s="90"/>
      <c r="F103" s="90"/>
    </row>
    <row r="104" spans="2:6" x14ac:dyDescent="0.25">
      <c r="B104" s="89"/>
      <c r="C104" s="89"/>
      <c r="D104" s="90"/>
      <c r="E104" s="90"/>
      <c r="F104" s="90"/>
    </row>
    <row r="105" spans="2:6" x14ac:dyDescent="0.25">
      <c r="B105" s="89"/>
      <c r="C105" s="89"/>
      <c r="D105" s="90"/>
      <c r="E105" s="90"/>
      <c r="F105" s="90"/>
    </row>
    <row r="106" spans="2:6" x14ac:dyDescent="0.25">
      <c r="B106" s="89"/>
      <c r="C106" s="89"/>
      <c r="D106" s="90"/>
      <c r="E106" s="90"/>
      <c r="F106" s="90"/>
    </row>
  </sheetData>
  <mergeCells count="61"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G6:G7"/>
    <mergeCell ref="D8:F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81:C81"/>
    <mergeCell ref="B82:C82"/>
    <mergeCell ref="B83:C83"/>
    <mergeCell ref="B68:C68"/>
    <mergeCell ref="B69:C69"/>
    <mergeCell ref="B74:C74"/>
    <mergeCell ref="B75:C75"/>
    <mergeCell ref="B76:C76"/>
    <mergeCell ref="B77:C7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8" workbookViewId="0">
      <selection activeCell="F44" sqref="F44:G44"/>
    </sheetView>
  </sheetViews>
  <sheetFormatPr defaultRowHeight="15" x14ac:dyDescent="0.25"/>
  <cols>
    <col min="5" max="5" width="13" customWidth="1"/>
    <col min="6" max="6" width="14.42578125" style="402" customWidth="1"/>
    <col min="7" max="7" width="10.42578125" style="402" bestFit="1" customWidth="1"/>
    <col min="8" max="8" width="15.85546875" bestFit="1" customWidth="1"/>
    <col min="9" max="9" width="14.42578125" style="402" bestFit="1" customWidth="1"/>
    <col min="261" max="261" width="13" customWidth="1"/>
    <col min="262" max="262" width="14.42578125" customWidth="1"/>
    <col min="263" max="263" width="10.42578125" bestFit="1" customWidth="1"/>
    <col min="264" max="264" width="15.85546875" bestFit="1" customWidth="1"/>
    <col min="265" max="265" width="13.7109375" bestFit="1" customWidth="1"/>
    <col min="517" max="517" width="13" customWidth="1"/>
    <col min="518" max="518" width="14.42578125" customWidth="1"/>
    <col min="519" max="519" width="10.42578125" bestFit="1" customWidth="1"/>
    <col min="520" max="520" width="15.85546875" bestFit="1" customWidth="1"/>
    <col min="521" max="521" width="13.7109375" bestFit="1" customWidth="1"/>
    <col min="773" max="773" width="13" customWidth="1"/>
    <col min="774" max="774" width="14.42578125" customWidth="1"/>
    <col min="775" max="775" width="10.42578125" bestFit="1" customWidth="1"/>
    <col min="776" max="776" width="15.85546875" bestFit="1" customWidth="1"/>
    <col min="777" max="777" width="13.7109375" bestFit="1" customWidth="1"/>
    <col min="1029" max="1029" width="13" customWidth="1"/>
    <col min="1030" max="1030" width="14.42578125" customWidth="1"/>
    <col min="1031" max="1031" width="10.42578125" bestFit="1" customWidth="1"/>
    <col min="1032" max="1032" width="15.85546875" bestFit="1" customWidth="1"/>
    <col min="1033" max="1033" width="13.7109375" bestFit="1" customWidth="1"/>
    <col min="1285" max="1285" width="13" customWidth="1"/>
    <col min="1286" max="1286" width="14.42578125" customWidth="1"/>
    <col min="1287" max="1287" width="10.42578125" bestFit="1" customWidth="1"/>
    <col min="1288" max="1288" width="15.85546875" bestFit="1" customWidth="1"/>
    <col min="1289" max="1289" width="13.7109375" bestFit="1" customWidth="1"/>
    <col min="1541" max="1541" width="13" customWidth="1"/>
    <col min="1542" max="1542" width="14.42578125" customWidth="1"/>
    <col min="1543" max="1543" width="10.42578125" bestFit="1" customWidth="1"/>
    <col min="1544" max="1544" width="15.85546875" bestFit="1" customWidth="1"/>
    <col min="1545" max="1545" width="13.7109375" bestFit="1" customWidth="1"/>
    <col min="1797" max="1797" width="13" customWidth="1"/>
    <col min="1798" max="1798" width="14.42578125" customWidth="1"/>
    <col min="1799" max="1799" width="10.42578125" bestFit="1" customWidth="1"/>
    <col min="1800" max="1800" width="15.85546875" bestFit="1" customWidth="1"/>
    <col min="1801" max="1801" width="13.7109375" bestFit="1" customWidth="1"/>
    <col min="2053" max="2053" width="13" customWidth="1"/>
    <col min="2054" max="2054" width="14.42578125" customWidth="1"/>
    <col min="2055" max="2055" width="10.42578125" bestFit="1" customWidth="1"/>
    <col min="2056" max="2056" width="15.85546875" bestFit="1" customWidth="1"/>
    <col min="2057" max="2057" width="13.7109375" bestFit="1" customWidth="1"/>
    <col min="2309" max="2309" width="13" customWidth="1"/>
    <col min="2310" max="2310" width="14.42578125" customWidth="1"/>
    <col min="2311" max="2311" width="10.42578125" bestFit="1" customWidth="1"/>
    <col min="2312" max="2312" width="15.85546875" bestFit="1" customWidth="1"/>
    <col min="2313" max="2313" width="13.7109375" bestFit="1" customWidth="1"/>
    <col min="2565" max="2565" width="13" customWidth="1"/>
    <col min="2566" max="2566" width="14.42578125" customWidth="1"/>
    <col min="2567" max="2567" width="10.42578125" bestFit="1" customWidth="1"/>
    <col min="2568" max="2568" width="15.85546875" bestFit="1" customWidth="1"/>
    <col min="2569" max="2569" width="13.7109375" bestFit="1" customWidth="1"/>
    <col min="2821" max="2821" width="13" customWidth="1"/>
    <col min="2822" max="2822" width="14.42578125" customWidth="1"/>
    <col min="2823" max="2823" width="10.42578125" bestFit="1" customWidth="1"/>
    <col min="2824" max="2824" width="15.85546875" bestFit="1" customWidth="1"/>
    <col min="2825" max="2825" width="13.7109375" bestFit="1" customWidth="1"/>
    <col min="3077" max="3077" width="13" customWidth="1"/>
    <col min="3078" max="3078" width="14.42578125" customWidth="1"/>
    <col min="3079" max="3079" width="10.42578125" bestFit="1" customWidth="1"/>
    <col min="3080" max="3080" width="15.85546875" bestFit="1" customWidth="1"/>
    <col min="3081" max="3081" width="13.7109375" bestFit="1" customWidth="1"/>
    <col min="3333" max="3333" width="13" customWidth="1"/>
    <col min="3334" max="3334" width="14.42578125" customWidth="1"/>
    <col min="3335" max="3335" width="10.42578125" bestFit="1" customWidth="1"/>
    <col min="3336" max="3336" width="15.85546875" bestFit="1" customWidth="1"/>
    <col min="3337" max="3337" width="13.7109375" bestFit="1" customWidth="1"/>
    <col min="3589" max="3589" width="13" customWidth="1"/>
    <col min="3590" max="3590" width="14.42578125" customWidth="1"/>
    <col min="3591" max="3591" width="10.42578125" bestFit="1" customWidth="1"/>
    <col min="3592" max="3592" width="15.85546875" bestFit="1" customWidth="1"/>
    <col min="3593" max="3593" width="13.7109375" bestFit="1" customWidth="1"/>
    <col min="3845" max="3845" width="13" customWidth="1"/>
    <col min="3846" max="3846" width="14.42578125" customWidth="1"/>
    <col min="3847" max="3847" width="10.42578125" bestFit="1" customWidth="1"/>
    <col min="3848" max="3848" width="15.85546875" bestFit="1" customWidth="1"/>
    <col min="3849" max="3849" width="13.7109375" bestFit="1" customWidth="1"/>
    <col min="4101" max="4101" width="13" customWidth="1"/>
    <col min="4102" max="4102" width="14.42578125" customWidth="1"/>
    <col min="4103" max="4103" width="10.42578125" bestFit="1" customWidth="1"/>
    <col min="4104" max="4104" width="15.85546875" bestFit="1" customWidth="1"/>
    <col min="4105" max="4105" width="13.7109375" bestFit="1" customWidth="1"/>
    <col min="4357" max="4357" width="13" customWidth="1"/>
    <col min="4358" max="4358" width="14.42578125" customWidth="1"/>
    <col min="4359" max="4359" width="10.42578125" bestFit="1" customWidth="1"/>
    <col min="4360" max="4360" width="15.85546875" bestFit="1" customWidth="1"/>
    <col min="4361" max="4361" width="13.7109375" bestFit="1" customWidth="1"/>
    <col min="4613" max="4613" width="13" customWidth="1"/>
    <col min="4614" max="4614" width="14.42578125" customWidth="1"/>
    <col min="4615" max="4615" width="10.42578125" bestFit="1" customWidth="1"/>
    <col min="4616" max="4616" width="15.85546875" bestFit="1" customWidth="1"/>
    <col min="4617" max="4617" width="13.7109375" bestFit="1" customWidth="1"/>
    <col min="4869" max="4869" width="13" customWidth="1"/>
    <col min="4870" max="4870" width="14.42578125" customWidth="1"/>
    <col min="4871" max="4871" width="10.42578125" bestFit="1" customWidth="1"/>
    <col min="4872" max="4872" width="15.85546875" bestFit="1" customWidth="1"/>
    <col min="4873" max="4873" width="13.7109375" bestFit="1" customWidth="1"/>
    <col min="5125" max="5125" width="13" customWidth="1"/>
    <col min="5126" max="5126" width="14.42578125" customWidth="1"/>
    <col min="5127" max="5127" width="10.42578125" bestFit="1" customWidth="1"/>
    <col min="5128" max="5128" width="15.85546875" bestFit="1" customWidth="1"/>
    <col min="5129" max="5129" width="13.7109375" bestFit="1" customWidth="1"/>
    <col min="5381" max="5381" width="13" customWidth="1"/>
    <col min="5382" max="5382" width="14.42578125" customWidth="1"/>
    <col min="5383" max="5383" width="10.42578125" bestFit="1" customWidth="1"/>
    <col min="5384" max="5384" width="15.85546875" bestFit="1" customWidth="1"/>
    <col min="5385" max="5385" width="13.7109375" bestFit="1" customWidth="1"/>
    <col min="5637" max="5637" width="13" customWidth="1"/>
    <col min="5638" max="5638" width="14.42578125" customWidth="1"/>
    <col min="5639" max="5639" width="10.42578125" bestFit="1" customWidth="1"/>
    <col min="5640" max="5640" width="15.85546875" bestFit="1" customWidth="1"/>
    <col min="5641" max="5641" width="13.7109375" bestFit="1" customWidth="1"/>
    <col min="5893" max="5893" width="13" customWidth="1"/>
    <col min="5894" max="5894" width="14.42578125" customWidth="1"/>
    <col min="5895" max="5895" width="10.42578125" bestFit="1" customWidth="1"/>
    <col min="5896" max="5896" width="15.85546875" bestFit="1" customWidth="1"/>
    <col min="5897" max="5897" width="13.7109375" bestFit="1" customWidth="1"/>
    <col min="6149" max="6149" width="13" customWidth="1"/>
    <col min="6150" max="6150" width="14.42578125" customWidth="1"/>
    <col min="6151" max="6151" width="10.42578125" bestFit="1" customWidth="1"/>
    <col min="6152" max="6152" width="15.85546875" bestFit="1" customWidth="1"/>
    <col min="6153" max="6153" width="13.7109375" bestFit="1" customWidth="1"/>
    <col min="6405" max="6405" width="13" customWidth="1"/>
    <col min="6406" max="6406" width="14.42578125" customWidth="1"/>
    <col min="6407" max="6407" width="10.42578125" bestFit="1" customWidth="1"/>
    <col min="6408" max="6408" width="15.85546875" bestFit="1" customWidth="1"/>
    <col min="6409" max="6409" width="13.7109375" bestFit="1" customWidth="1"/>
    <col min="6661" max="6661" width="13" customWidth="1"/>
    <col min="6662" max="6662" width="14.42578125" customWidth="1"/>
    <col min="6663" max="6663" width="10.42578125" bestFit="1" customWidth="1"/>
    <col min="6664" max="6664" width="15.85546875" bestFit="1" customWidth="1"/>
    <col min="6665" max="6665" width="13.7109375" bestFit="1" customWidth="1"/>
    <col min="6917" max="6917" width="13" customWidth="1"/>
    <col min="6918" max="6918" width="14.42578125" customWidth="1"/>
    <col min="6919" max="6919" width="10.42578125" bestFit="1" customWidth="1"/>
    <col min="6920" max="6920" width="15.85546875" bestFit="1" customWidth="1"/>
    <col min="6921" max="6921" width="13.7109375" bestFit="1" customWidth="1"/>
    <col min="7173" max="7173" width="13" customWidth="1"/>
    <col min="7174" max="7174" width="14.42578125" customWidth="1"/>
    <col min="7175" max="7175" width="10.42578125" bestFit="1" customWidth="1"/>
    <col min="7176" max="7176" width="15.85546875" bestFit="1" customWidth="1"/>
    <col min="7177" max="7177" width="13.7109375" bestFit="1" customWidth="1"/>
    <col min="7429" max="7429" width="13" customWidth="1"/>
    <col min="7430" max="7430" width="14.42578125" customWidth="1"/>
    <col min="7431" max="7431" width="10.42578125" bestFit="1" customWidth="1"/>
    <col min="7432" max="7432" width="15.85546875" bestFit="1" customWidth="1"/>
    <col min="7433" max="7433" width="13.7109375" bestFit="1" customWidth="1"/>
    <col min="7685" max="7685" width="13" customWidth="1"/>
    <col min="7686" max="7686" width="14.42578125" customWidth="1"/>
    <col min="7687" max="7687" width="10.42578125" bestFit="1" customWidth="1"/>
    <col min="7688" max="7688" width="15.85546875" bestFit="1" customWidth="1"/>
    <col min="7689" max="7689" width="13.7109375" bestFit="1" customWidth="1"/>
    <col min="7941" max="7941" width="13" customWidth="1"/>
    <col min="7942" max="7942" width="14.42578125" customWidth="1"/>
    <col min="7943" max="7943" width="10.42578125" bestFit="1" customWidth="1"/>
    <col min="7944" max="7944" width="15.85546875" bestFit="1" customWidth="1"/>
    <col min="7945" max="7945" width="13.7109375" bestFit="1" customWidth="1"/>
    <col min="8197" max="8197" width="13" customWidth="1"/>
    <col min="8198" max="8198" width="14.42578125" customWidth="1"/>
    <col min="8199" max="8199" width="10.42578125" bestFit="1" customWidth="1"/>
    <col min="8200" max="8200" width="15.85546875" bestFit="1" customWidth="1"/>
    <col min="8201" max="8201" width="13.7109375" bestFit="1" customWidth="1"/>
    <col min="8453" max="8453" width="13" customWidth="1"/>
    <col min="8454" max="8454" width="14.42578125" customWidth="1"/>
    <col min="8455" max="8455" width="10.42578125" bestFit="1" customWidth="1"/>
    <col min="8456" max="8456" width="15.85546875" bestFit="1" customWidth="1"/>
    <col min="8457" max="8457" width="13.7109375" bestFit="1" customWidth="1"/>
    <col min="8709" max="8709" width="13" customWidth="1"/>
    <col min="8710" max="8710" width="14.42578125" customWidth="1"/>
    <col min="8711" max="8711" width="10.42578125" bestFit="1" customWidth="1"/>
    <col min="8712" max="8712" width="15.85546875" bestFit="1" customWidth="1"/>
    <col min="8713" max="8713" width="13.7109375" bestFit="1" customWidth="1"/>
    <col min="8965" max="8965" width="13" customWidth="1"/>
    <col min="8966" max="8966" width="14.42578125" customWidth="1"/>
    <col min="8967" max="8967" width="10.42578125" bestFit="1" customWidth="1"/>
    <col min="8968" max="8968" width="15.85546875" bestFit="1" customWidth="1"/>
    <col min="8969" max="8969" width="13.7109375" bestFit="1" customWidth="1"/>
    <col min="9221" max="9221" width="13" customWidth="1"/>
    <col min="9222" max="9222" width="14.42578125" customWidth="1"/>
    <col min="9223" max="9223" width="10.42578125" bestFit="1" customWidth="1"/>
    <col min="9224" max="9224" width="15.85546875" bestFit="1" customWidth="1"/>
    <col min="9225" max="9225" width="13.7109375" bestFit="1" customWidth="1"/>
    <col min="9477" max="9477" width="13" customWidth="1"/>
    <col min="9478" max="9478" width="14.42578125" customWidth="1"/>
    <col min="9479" max="9479" width="10.42578125" bestFit="1" customWidth="1"/>
    <col min="9480" max="9480" width="15.85546875" bestFit="1" customWidth="1"/>
    <col min="9481" max="9481" width="13.7109375" bestFit="1" customWidth="1"/>
    <col min="9733" max="9733" width="13" customWidth="1"/>
    <col min="9734" max="9734" width="14.42578125" customWidth="1"/>
    <col min="9735" max="9735" width="10.42578125" bestFit="1" customWidth="1"/>
    <col min="9736" max="9736" width="15.85546875" bestFit="1" customWidth="1"/>
    <col min="9737" max="9737" width="13.7109375" bestFit="1" customWidth="1"/>
    <col min="9989" max="9989" width="13" customWidth="1"/>
    <col min="9990" max="9990" width="14.42578125" customWidth="1"/>
    <col min="9991" max="9991" width="10.42578125" bestFit="1" customWidth="1"/>
    <col min="9992" max="9992" width="15.85546875" bestFit="1" customWidth="1"/>
    <col min="9993" max="9993" width="13.7109375" bestFit="1" customWidth="1"/>
    <col min="10245" max="10245" width="13" customWidth="1"/>
    <col min="10246" max="10246" width="14.42578125" customWidth="1"/>
    <col min="10247" max="10247" width="10.42578125" bestFit="1" customWidth="1"/>
    <col min="10248" max="10248" width="15.85546875" bestFit="1" customWidth="1"/>
    <col min="10249" max="10249" width="13.7109375" bestFit="1" customWidth="1"/>
    <col min="10501" max="10501" width="13" customWidth="1"/>
    <col min="10502" max="10502" width="14.42578125" customWidth="1"/>
    <col min="10503" max="10503" width="10.42578125" bestFit="1" customWidth="1"/>
    <col min="10504" max="10504" width="15.85546875" bestFit="1" customWidth="1"/>
    <col min="10505" max="10505" width="13.7109375" bestFit="1" customWidth="1"/>
    <col min="10757" max="10757" width="13" customWidth="1"/>
    <col min="10758" max="10758" width="14.42578125" customWidth="1"/>
    <col min="10759" max="10759" width="10.42578125" bestFit="1" customWidth="1"/>
    <col min="10760" max="10760" width="15.85546875" bestFit="1" customWidth="1"/>
    <col min="10761" max="10761" width="13.7109375" bestFit="1" customWidth="1"/>
    <col min="11013" max="11013" width="13" customWidth="1"/>
    <col min="11014" max="11014" width="14.42578125" customWidth="1"/>
    <col min="11015" max="11015" width="10.42578125" bestFit="1" customWidth="1"/>
    <col min="11016" max="11016" width="15.85546875" bestFit="1" customWidth="1"/>
    <col min="11017" max="11017" width="13.7109375" bestFit="1" customWidth="1"/>
    <col min="11269" max="11269" width="13" customWidth="1"/>
    <col min="11270" max="11270" width="14.42578125" customWidth="1"/>
    <col min="11271" max="11271" width="10.42578125" bestFit="1" customWidth="1"/>
    <col min="11272" max="11272" width="15.85546875" bestFit="1" customWidth="1"/>
    <col min="11273" max="11273" width="13.7109375" bestFit="1" customWidth="1"/>
    <col min="11525" max="11525" width="13" customWidth="1"/>
    <col min="11526" max="11526" width="14.42578125" customWidth="1"/>
    <col min="11527" max="11527" width="10.42578125" bestFit="1" customWidth="1"/>
    <col min="11528" max="11528" width="15.85546875" bestFit="1" customWidth="1"/>
    <col min="11529" max="11529" width="13.7109375" bestFit="1" customWidth="1"/>
    <col min="11781" max="11781" width="13" customWidth="1"/>
    <col min="11782" max="11782" width="14.42578125" customWidth="1"/>
    <col min="11783" max="11783" width="10.42578125" bestFit="1" customWidth="1"/>
    <col min="11784" max="11784" width="15.85546875" bestFit="1" customWidth="1"/>
    <col min="11785" max="11785" width="13.7109375" bestFit="1" customWidth="1"/>
    <col min="12037" max="12037" width="13" customWidth="1"/>
    <col min="12038" max="12038" width="14.42578125" customWidth="1"/>
    <col min="12039" max="12039" width="10.42578125" bestFit="1" customWidth="1"/>
    <col min="12040" max="12040" width="15.85546875" bestFit="1" customWidth="1"/>
    <col min="12041" max="12041" width="13.7109375" bestFit="1" customWidth="1"/>
    <col min="12293" max="12293" width="13" customWidth="1"/>
    <col min="12294" max="12294" width="14.42578125" customWidth="1"/>
    <col min="12295" max="12295" width="10.42578125" bestFit="1" customWidth="1"/>
    <col min="12296" max="12296" width="15.85546875" bestFit="1" customWidth="1"/>
    <col min="12297" max="12297" width="13.7109375" bestFit="1" customWidth="1"/>
    <col min="12549" max="12549" width="13" customWidth="1"/>
    <col min="12550" max="12550" width="14.42578125" customWidth="1"/>
    <col min="12551" max="12551" width="10.42578125" bestFit="1" customWidth="1"/>
    <col min="12552" max="12552" width="15.85546875" bestFit="1" customWidth="1"/>
    <col min="12553" max="12553" width="13.7109375" bestFit="1" customWidth="1"/>
    <col min="12805" max="12805" width="13" customWidth="1"/>
    <col min="12806" max="12806" width="14.42578125" customWidth="1"/>
    <col min="12807" max="12807" width="10.42578125" bestFit="1" customWidth="1"/>
    <col min="12808" max="12808" width="15.85546875" bestFit="1" customWidth="1"/>
    <col min="12809" max="12809" width="13.7109375" bestFit="1" customWidth="1"/>
    <col min="13061" max="13061" width="13" customWidth="1"/>
    <col min="13062" max="13062" width="14.42578125" customWidth="1"/>
    <col min="13063" max="13063" width="10.42578125" bestFit="1" customWidth="1"/>
    <col min="13064" max="13064" width="15.85546875" bestFit="1" customWidth="1"/>
    <col min="13065" max="13065" width="13.7109375" bestFit="1" customWidth="1"/>
    <col min="13317" max="13317" width="13" customWidth="1"/>
    <col min="13318" max="13318" width="14.42578125" customWidth="1"/>
    <col min="13319" max="13319" width="10.42578125" bestFit="1" customWidth="1"/>
    <col min="13320" max="13320" width="15.85546875" bestFit="1" customWidth="1"/>
    <col min="13321" max="13321" width="13.7109375" bestFit="1" customWidth="1"/>
    <col min="13573" max="13573" width="13" customWidth="1"/>
    <col min="13574" max="13574" width="14.42578125" customWidth="1"/>
    <col min="13575" max="13575" width="10.42578125" bestFit="1" customWidth="1"/>
    <col min="13576" max="13576" width="15.85546875" bestFit="1" customWidth="1"/>
    <col min="13577" max="13577" width="13.7109375" bestFit="1" customWidth="1"/>
    <col min="13829" max="13829" width="13" customWidth="1"/>
    <col min="13830" max="13830" width="14.42578125" customWidth="1"/>
    <col min="13831" max="13831" width="10.42578125" bestFit="1" customWidth="1"/>
    <col min="13832" max="13832" width="15.85546875" bestFit="1" customWidth="1"/>
    <col min="13833" max="13833" width="13.7109375" bestFit="1" customWidth="1"/>
    <col min="14085" max="14085" width="13" customWidth="1"/>
    <col min="14086" max="14086" width="14.42578125" customWidth="1"/>
    <col min="14087" max="14087" width="10.42578125" bestFit="1" customWidth="1"/>
    <col min="14088" max="14088" width="15.85546875" bestFit="1" customWidth="1"/>
    <col min="14089" max="14089" width="13.7109375" bestFit="1" customWidth="1"/>
    <col min="14341" max="14341" width="13" customWidth="1"/>
    <col min="14342" max="14342" width="14.42578125" customWidth="1"/>
    <col min="14343" max="14343" width="10.42578125" bestFit="1" customWidth="1"/>
    <col min="14344" max="14344" width="15.85546875" bestFit="1" customWidth="1"/>
    <col min="14345" max="14345" width="13.7109375" bestFit="1" customWidth="1"/>
    <col min="14597" max="14597" width="13" customWidth="1"/>
    <col min="14598" max="14598" width="14.42578125" customWidth="1"/>
    <col min="14599" max="14599" width="10.42578125" bestFit="1" customWidth="1"/>
    <col min="14600" max="14600" width="15.85546875" bestFit="1" customWidth="1"/>
    <col min="14601" max="14601" width="13.7109375" bestFit="1" customWidth="1"/>
    <col min="14853" max="14853" width="13" customWidth="1"/>
    <col min="14854" max="14854" width="14.42578125" customWidth="1"/>
    <col min="14855" max="14855" width="10.42578125" bestFit="1" customWidth="1"/>
    <col min="14856" max="14856" width="15.85546875" bestFit="1" customWidth="1"/>
    <col min="14857" max="14857" width="13.7109375" bestFit="1" customWidth="1"/>
    <col min="15109" max="15109" width="13" customWidth="1"/>
    <col min="15110" max="15110" width="14.42578125" customWidth="1"/>
    <col min="15111" max="15111" width="10.42578125" bestFit="1" customWidth="1"/>
    <col min="15112" max="15112" width="15.85546875" bestFit="1" customWidth="1"/>
    <col min="15113" max="15113" width="13.7109375" bestFit="1" customWidth="1"/>
    <col min="15365" max="15365" width="13" customWidth="1"/>
    <col min="15366" max="15366" width="14.42578125" customWidth="1"/>
    <col min="15367" max="15367" width="10.42578125" bestFit="1" customWidth="1"/>
    <col min="15368" max="15368" width="15.85546875" bestFit="1" customWidth="1"/>
    <col min="15369" max="15369" width="13.7109375" bestFit="1" customWidth="1"/>
    <col min="15621" max="15621" width="13" customWidth="1"/>
    <col min="15622" max="15622" width="14.42578125" customWidth="1"/>
    <col min="15623" max="15623" width="10.42578125" bestFit="1" customWidth="1"/>
    <col min="15624" max="15624" width="15.85546875" bestFit="1" customWidth="1"/>
    <col min="15625" max="15625" width="13.7109375" bestFit="1" customWidth="1"/>
    <col min="15877" max="15877" width="13" customWidth="1"/>
    <col min="15878" max="15878" width="14.42578125" customWidth="1"/>
    <col min="15879" max="15879" width="10.42578125" bestFit="1" customWidth="1"/>
    <col min="15880" max="15880" width="15.85546875" bestFit="1" customWidth="1"/>
    <col min="15881" max="15881" width="13.7109375" bestFit="1" customWidth="1"/>
    <col min="16133" max="16133" width="13" customWidth="1"/>
    <col min="16134" max="16134" width="14.42578125" customWidth="1"/>
    <col min="16135" max="16135" width="10.42578125" bestFit="1" customWidth="1"/>
    <col min="16136" max="16136" width="15.85546875" bestFit="1" customWidth="1"/>
    <col min="16137" max="16137" width="13.7109375" bestFit="1" customWidth="1"/>
  </cols>
  <sheetData>
    <row r="1" spans="1:9" ht="15.75" thickBot="1" x14ac:dyDescent="0.3">
      <c r="B1" s="875" t="s">
        <v>464</v>
      </c>
      <c r="C1" s="876"/>
      <c r="D1" s="876"/>
      <c r="E1" s="876"/>
      <c r="F1" s="876"/>
      <c r="G1" s="877"/>
      <c r="I1" s="441" t="s">
        <v>465</v>
      </c>
    </row>
    <row r="3" spans="1:9" ht="15.75" thickBot="1" x14ac:dyDescent="0.3"/>
    <row r="4" spans="1:9" ht="15.75" thickBot="1" x14ac:dyDescent="0.3">
      <c r="A4" s="840" t="s">
        <v>8</v>
      </c>
      <c r="B4" s="841"/>
      <c r="C4" s="841"/>
      <c r="D4" s="841"/>
      <c r="E4" s="842"/>
      <c r="F4" s="405" t="s">
        <v>364</v>
      </c>
      <c r="G4" s="405" t="s">
        <v>365</v>
      </c>
      <c r="H4" s="406" t="s">
        <v>213</v>
      </c>
      <c r="I4" s="405" t="s">
        <v>366</v>
      </c>
    </row>
    <row r="5" spans="1:9" ht="15.75" thickBot="1" x14ac:dyDescent="0.3">
      <c r="A5" s="858" t="s">
        <v>367</v>
      </c>
      <c r="B5" s="859"/>
      <c r="C5" s="859"/>
      <c r="D5" s="859"/>
      <c r="E5" s="860"/>
      <c r="F5" s="174">
        <f>'[3]bér+járulék'!D30</f>
        <v>26512455</v>
      </c>
      <c r="G5" s="174">
        <v>0</v>
      </c>
      <c r="H5" s="174">
        <f t="shared" ref="H5:H10" si="0">F5+G5</f>
        <v>26512455</v>
      </c>
      <c r="I5" s="174">
        <v>26512455</v>
      </c>
    </row>
    <row r="6" spans="1:9" ht="15.75" thickBot="1" x14ac:dyDescent="0.3">
      <c r="A6" s="858" t="s">
        <v>368</v>
      </c>
      <c r="B6" s="859"/>
      <c r="C6" s="859"/>
      <c r="D6" s="859"/>
      <c r="E6" s="860"/>
      <c r="F6" s="174">
        <f>'[3]bér+járulék'!D31</f>
        <v>800000</v>
      </c>
      <c r="G6" s="174">
        <v>0</v>
      </c>
      <c r="H6" s="174">
        <f t="shared" si="0"/>
        <v>800000</v>
      </c>
      <c r="I6" s="174">
        <v>800000</v>
      </c>
    </row>
    <row r="7" spans="1:9" ht="15.75" thickBot="1" x14ac:dyDescent="0.3">
      <c r="A7" s="858" t="s">
        <v>369</v>
      </c>
      <c r="B7" s="859"/>
      <c r="C7" s="859"/>
      <c r="D7" s="859"/>
      <c r="E7" s="860"/>
      <c r="F7" s="174">
        <f>'[3]bér+járulék'!D33</f>
        <v>1088000</v>
      </c>
      <c r="G7" s="174">
        <v>0</v>
      </c>
      <c r="H7" s="174">
        <f t="shared" si="0"/>
        <v>1088000</v>
      </c>
      <c r="I7" s="174">
        <v>1088000</v>
      </c>
    </row>
    <row r="8" spans="1:9" ht="15.75" thickBot="1" x14ac:dyDescent="0.3">
      <c r="A8" s="858" t="s">
        <v>371</v>
      </c>
      <c r="B8" s="859"/>
      <c r="C8" s="859"/>
      <c r="D8" s="859"/>
      <c r="E8" s="860"/>
      <c r="F8" s="174">
        <f>'[3]bér+járulék'!D32</f>
        <v>274080</v>
      </c>
      <c r="G8" s="174">
        <v>0</v>
      </c>
      <c r="H8" s="174">
        <f t="shared" si="0"/>
        <v>274080</v>
      </c>
      <c r="I8" s="174">
        <v>274080</v>
      </c>
    </row>
    <row r="9" spans="1:9" ht="15.75" thickBot="1" x14ac:dyDescent="0.3">
      <c r="A9" s="858" t="s">
        <v>466</v>
      </c>
      <c r="B9" s="859"/>
      <c r="C9" s="859"/>
      <c r="D9" s="859"/>
      <c r="E9" s="860"/>
      <c r="F9" s="174">
        <f>'[3]bér+járulék'!D34</f>
        <v>150000</v>
      </c>
      <c r="G9" s="174">
        <v>0</v>
      </c>
      <c r="H9" s="174">
        <f t="shared" si="0"/>
        <v>150000</v>
      </c>
      <c r="I9" s="174">
        <v>150000</v>
      </c>
    </row>
    <row r="10" spans="1:9" s="403" customFormat="1" ht="15.75" thickBot="1" x14ac:dyDescent="0.3">
      <c r="A10" s="846" t="s">
        <v>372</v>
      </c>
      <c r="B10" s="847"/>
      <c r="C10" s="847"/>
      <c r="D10" s="847"/>
      <c r="E10" s="848"/>
      <c r="F10" s="407">
        <f>F5+F6+F7+F8+F9</f>
        <v>28824535</v>
      </c>
      <c r="G10" s="407">
        <v>0</v>
      </c>
      <c r="H10" s="407">
        <f t="shared" si="0"/>
        <v>28824535</v>
      </c>
      <c r="I10" s="407">
        <f>G10+H10</f>
        <v>28824535</v>
      </c>
    </row>
    <row r="11" spans="1:9" s="411" customFormat="1" ht="16.5" thickBot="1" x14ac:dyDescent="0.3">
      <c r="A11" s="852" t="s">
        <v>379</v>
      </c>
      <c r="B11" s="853"/>
      <c r="C11" s="853"/>
      <c r="D11" s="853"/>
      <c r="E11" s="854"/>
      <c r="F11" s="410">
        <f>F10</f>
        <v>28824535</v>
      </c>
      <c r="G11" s="410">
        <f>G10</f>
        <v>0</v>
      </c>
      <c r="H11" s="410">
        <f>H10</f>
        <v>28824535</v>
      </c>
      <c r="I11" s="410">
        <f>I10</f>
        <v>28824535</v>
      </c>
    </row>
    <row r="12" spans="1:9" s="411" customFormat="1" ht="16.5" thickBot="1" x14ac:dyDescent="0.3">
      <c r="A12" s="855" t="s">
        <v>380</v>
      </c>
      <c r="B12" s="856"/>
      <c r="C12" s="856"/>
      <c r="D12" s="856"/>
      <c r="E12" s="857"/>
      <c r="F12" s="410">
        <f>'[3]bér+járulék'!D42</f>
        <v>7267872.3500000006</v>
      </c>
      <c r="G12" s="410">
        <f>'[3]bér+járulék'!E42</f>
        <v>0</v>
      </c>
      <c r="H12" s="410">
        <f>F12+G12</f>
        <v>7267872.3500000006</v>
      </c>
      <c r="I12" s="410">
        <v>7267875</v>
      </c>
    </row>
    <row r="13" spans="1:9" ht="15.75" thickBot="1" x14ac:dyDescent="0.3">
      <c r="A13" s="858" t="s">
        <v>467</v>
      </c>
      <c r="B13" s="859"/>
      <c r="C13" s="859"/>
      <c r="D13" s="859"/>
      <c r="E13" s="860"/>
      <c r="F13" s="174">
        <v>56498</v>
      </c>
      <c r="G13" s="174">
        <f>F13*5%</f>
        <v>2824.9</v>
      </c>
      <c r="H13" s="174">
        <f>F13+G13</f>
        <v>59322.9</v>
      </c>
      <c r="I13" s="174">
        <v>59325</v>
      </c>
    </row>
    <row r="14" spans="1:9" ht="15.75" thickBot="1" x14ac:dyDescent="0.3">
      <c r="A14" s="846" t="s">
        <v>383</v>
      </c>
      <c r="B14" s="847"/>
      <c r="C14" s="847"/>
      <c r="D14" s="847"/>
      <c r="E14" s="848"/>
      <c r="F14" s="407">
        <f>F13</f>
        <v>56498</v>
      </c>
      <c r="G14" s="407">
        <f>G13</f>
        <v>2824.9</v>
      </c>
      <c r="H14" s="407">
        <f>H13</f>
        <v>59322.9</v>
      </c>
      <c r="I14" s="407">
        <f>I13</f>
        <v>59325</v>
      </c>
    </row>
    <row r="15" spans="1:9" ht="15.75" thickBot="1" x14ac:dyDescent="0.3">
      <c r="A15" s="849" t="s">
        <v>384</v>
      </c>
      <c r="B15" s="850"/>
      <c r="C15" s="850"/>
      <c r="D15" s="850"/>
      <c r="E15" s="851"/>
      <c r="F15" s="409">
        <v>455000</v>
      </c>
      <c r="G15" s="409">
        <v>0</v>
      </c>
      <c r="H15" s="409">
        <f>F15+G15</f>
        <v>455000</v>
      </c>
      <c r="I15" s="409">
        <v>455000</v>
      </c>
    </row>
    <row r="16" spans="1:9" ht="15.75" thickBot="1" x14ac:dyDescent="0.3">
      <c r="A16" s="849" t="s">
        <v>385</v>
      </c>
      <c r="B16" s="850"/>
      <c r="C16" s="850"/>
      <c r="D16" s="850"/>
      <c r="E16" s="851"/>
      <c r="F16" s="409">
        <v>300000</v>
      </c>
      <c r="G16" s="409">
        <f>F16*27%</f>
        <v>81000</v>
      </c>
      <c r="H16" s="409">
        <f>F16+G16</f>
        <v>381000</v>
      </c>
      <c r="I16" s="409">
        <v>381000</v>
      </c>
    </row>
    <row r="17" spans="1:9" s="403" customFormat="1" ht="15.75" thickBot="1" x14ac:dyDescent="0.3">
      <c r="A17" s="846" t="s">
        <v>389</v>
      </c>
      <c r="B17" s="847"/>
      <c r="C17" s="847"/>
      <c r="D17" s="847"/>
      <c r="E17" s="848"/>
      <c r="F17" s="407">
        <f>F15+F16</f>
        <v>755000</v>
      </c>
      <c r="G17" s="407">
        <f t="shared" ref="G17:I17" si="1">G15+G16</f>
        <v>81000</v>
      </c>
      <c r="H17" s="407">
        <f t="shared" si="1"/>
        <v>836000</v>
      </c>
      <c r="I17" s="407">
        <f t="shared" si="1"/>
        <v>836000</v>
      </c>
    </row>
    <row r="18" spans="1:9" s="403" customFormat="1" ht="15.75" thickBot="1" x14ac:dyDescent="0.3">
      <c r="A18" s="846" t="s">
        <v>390</v>
      </c>
      <c r="B18" s="847"/>
      <c r="C18" s="847"/>
      <c r="D18" s="847"/>
      <c r="E18" s="848"/>
      <c r="F18" s="407">
        <f>F14+F17</f>
        <v>811498</v>
      </c>
      <c r="G18" s="407">
        <f>G14+G17</f>
        <v>83824.899999999994</v>
      </c>
      <c r="H18" s="407">
        <f>H14+H17</f>
        <v>895322.9</v>
      </c>
      <c r="I18" s="407">
        <f>I14+I17</f>
        <v>895325</v>
      </c>
    </row>
    <row r="19" spans="1:9" ht="15.75" thickBot="1" x14ac:dyDescent="0.3">
      <c r="A19" s="849" t="s">
        <v>468</v>
      </c>
      <c r="B19" s="850"/>
      <c r="C19" s="850"/>
      <c r="D19" s="850"/>
      <c r="E19" s="851"/>
      <c r="F19" s="409">
        <v>81600</v>
      </c>
      <c r="G19" s="409">
        <f t="shared" ref="G19:G24" si="2">F19*27%</f>
        <v>22032</v>
      </c>
      <c r="H19" s="409">
        <f t="shared" ref="H19:H25" si="3">F19+G19</f>
        <v>103632</v>
      </c>
      <c r="I19" s="409">
        <v>103635</v>
      </c>
    </row>
    <row r="20" spans="1:9" ht="15.75" thickBot="1" x14ac:dyDescent="0.3">
      <c r="A20" s="849" t="s">
        <v>469</v>
      </c>
      <c r="B20" s="850"/>
      <c r="C20" s="850"/>
      <c r="D20" s="850"/>
      <c r="E20" s="851"/>
      <c r="F20" s="409">
        <v>321504</v>
      </c>
      <c r="G20" s="409">
        <f t="shared" si="2"/>
        <v>86806.080000000002</v>
      </c>
      <c r="H20" s="409">
        <f t="shared" si="3"/>
        <v>408310.08</v>
      </c>
      <c r="I20" s="409">
        <v>408310</v>
      </c>
    </row>
    <row r="21" spans="1:9" ht="15.75" thickBot="1" x14ac:dyDescent="0.3">
      <c r="A21" s="849" t="s">
        <v>470</v>
      </c>
      <c r="B21" s="850"/>
      <c r="C21" s="850"/>
      <c r="D21" s="850"/>
      <c r="E21" s="851"/>
      <c r="F21" s="409">
        <v>180000</v>
      </c>
      <c r="G21" s="409">
        <f t="shared" si="2"/>
        <v>48600</v>
      </c>
      <c r="H21" s="409">
        <f t="shared" si="3"/>
        <v>228600</v>
      </c>
      <c r="I21" s="409">
        <v>228600</v>
      </c>
    </row>
    <row r="22" spans="1:9" ht="15.75" thickBot="1" x14ac:dyDescent="0.3">
      <c r="A22" s="849" t="s">
        <v>471</v>
      </c>
      <c r="B22" s="850"/>
      <c r="C22" s="850"/>
      <c r="D22" s="850"/>
      <c r="E22" s="851"/>
      <c r="F22" s="409">
        <v>132000</v>
      </c>
      <c r="G22" s="409">
        <f t="shared" si="2"/>
        <v>35640</v>
      </c>
      <c r="H22" s="409">
        <f t="shared" si="3"/>
        <v>167640</v>
      </c>
      <c r="I22" s="409">
        <v>167640</v>
      </c>
    </row>
    <row r="23" spans="1:9" ht="15.75" thickBot="1" x14ac:dyDescent="0.3">
      <c r="A23" s="849" t="s">
        <v>472</v>
      </c>
      <c r="B23" s="850"/>
      <c r="C23" s="850"/>
      <c r="D23" s="850"/>
      <c r="E23" s="851"/>
      <c r="F23" s="409">
        <v>200000</v>
      </c>
      <c r="G23" s="409">
        <f t="shared" si="2"/>
        <v>54000</v>
      </c>
      <c r="H23" s="409">
        <f t="shared" si="3"/>
        <v>254000</v>
      </c>
      <c r="I23" s="409">
        <v>254000</v>
      </c>
    </row>
    <row r="24" spans="1:9" ht="15.75" thickBot="1" x14ac:dyDescent="0.3">
      <c r="A24" s="849" t="s">
        <v>614</v>
      </c>
      <c r="B24" s="850"/>
      <c r="C24" s="850"/>
      <c r="D24" s="850"/>
      <c r="E24" s="851"/>
      <c r="F24" s="409">
        <v>18907</v>
      </c>
      <c r="G24" s="409">
        <f t="shared" si="2"/>
        <v>5104.8900000000003</v>
      </c>
      <c r="H24" s="409">
        <f t="shared" ref="H24" si="4">F24+G24</f>
        <v>24011.89</v>
      </c>
      <c r="I24" s="409">
        <v>24015</v>
      </c>
    </row>
    <row r="25" spans="1:9" s="403" customFormat="1" ht="15.75" thickBot="1" x14ac:dyDescent="0.3">
      <c r="A25" s="849" t="s">
        <v>393</v>
      </c>
      <c r="B25" s="850"/>
      <c r="C25" s="850"/>
      <c r="D25" s="850"/>
      <c r="E25" s="851"/>
      <c r="F25" s="409">
        <v>78000</v>
      </c>
      <c r="G25" s="409">
        <f>F25*5%</f>
        <v>3900</v>
      </c>
      <c r="H25" s="409">
        <f t="shared" si="3"/>
        <v>81900</v>
      </c>
      <c r="I25" s="409">
        <v>81900</v>
      </c>
    </row>
    <row r="26" spans="1:9" ht="15.75" thickBot="1" x14ac:dyDescent="0.3">
      <c r="A26" s="846" t="s">
        <v>394</v>
      </c>
      <c r="B26" s="847"/>
      <c r="C26" s="847"/>
      <c r="D26" s="847"/>
      <c r="E26" s="848"/>
      <c r="F26" s="407">
        <f>F19+F20+F21+F22+F25+F23+F24</f>
        <v>1012011</v>
      </c>
      <c r="G26" s="407">
        <f t="shared" ref="G26:I26" si="5">G19+G20+G21+G22+G25+G23+G24</f>
        <v>256082.97000000003</v>
      </c>
      <c r="H26" s="407">
        <f t="shared" si="5"/>
        <v>1268093.97</v>
      </c>
      <c r="I26" s="407">
        <f t="shared" si="5"/>
        <v>1268100</v>
      </c>
    </row>
    <row r="27" spans="1:9" s="403" customFormat="1" ht="15.75" thickBot="1" x14ac:dyDescent="0.3">
      <c r="A27" s="849" t="s">
        <v>395</v>
      </c>
      <c r="B27" s="850"/>
      <c r="C27" s="850"/>
      <c r="D27" s="850"/>
      <c r="E27" s="851"/>
      <c r="F27" s="409">
        <v>354000</v>
      </c>
      <c r="G27" s="409">
        <f>F27*27%</f>
        <v>95580</v>
      </c>
      <c r="H27" s="409">
        <f>F27+G27</f>
        <v>449580</v>
      </c>
      <c r="I27" s="409">
        <v>449580</v>
      </c>
    </row>
    <row r="28" spans="1:9" s="403" customFormat="1" ht="15.75" thickBot="1" x14ac:dyDescent="0.3">
      <c r="A28" s="846" t="s">
        <v>396</v>
      </c>
      <c r="B28" s="847"/>
      <c r="C28" s="847"/>
      <c r="D28" s="847"/>
      <c r="E28" s="848"/>
      <c r="F28" s="407">
        <f>F27</f>
        <v>354000</v>
      </c>
      <c r="G28" s="407">
        <f>G27</f>
        <v>95580</v>
      </c>
      <c r="H28" s="407">
        <f>H27</f>
        <v>449580</v>
      </c>
      <c r="I28" s="407">
        <f>I27</f>
        <v>449580</v>
      </c>
    </row>
    <row r="29" spans="1:9" s="408" customFormat="1" ht="15.75" thickBot="1" x14ac:dyDescent="0.3">
      <c r="A29" s="846" t="s">
        <v>397</v>
      </c>
      <c r="B29" s="847"/>
      <c r="C29" s="847"/>
      <c r="D29" s="847"/>
      <c r="E29" s="848"/>
      <c r="F29" s="407">
        <f>F28+F26</f>
        <v>1366011</v>
      </c>
      <c r="G29" s="407">
        <f>G28+G26</f>
        <v>351662.97000000003</v>
      </c>
      <c r="H29" s="407">
        <f>H28+H26</f>
        <v>1717673.97</v>
      </c>
      <c r="I29" s="407">
        <f>I28+I26</f>
        <v>1717680</v>
      </c>
    </row>
    <row r="30" spans="1:9" s="403" customFormat="1" ht="15.75" thickBot="1" x14ac:dyDescent="0.3">
      <c r="A30" s="837" t="s">
        <v>473</v>
      </c>
      <c r="B30" s="838"/>
      <c r="C30" s="838"/>
      <c r="D30" s="838"/>
      <c r="E30" s="839"/>
      <c r="F30" s="174">
        <v>14400</v>
      </c>
      <c r="G30" s="174">
        <f>F30*27%</f>
        <v>3888.0000000000005</v>
      </c>
      <c r="H30" s="174">
        <f>F30+G30</f>
        <v>18288</v>
      </c>
      <c r="I30" s="174">
        <v>18290</v>
      </c>
    </row>
    <row r="31" spans="1:9" ht="15.75" thickBot="1" x14ac:dyDescent="0.3">
      <c r="A31" s="840" t="s">
        <v>474</v>
      </c>
      <c r="B31" s="841"/>
      <c r="C31" s="841"/>
      <c r="D31" s="841"/>
      <c r="E31" s="842"/>
      <c r="F31" s="407">
        <f>F30</f>
        <v>14400</v>
      </c>
      <c r="G31" s="407">
        <f>G30</f>
        <v>3888.0000000000005</v>
      </c>
      <c r="H31" s="407">
        <f>H30</f>
        <v>18288</v>
      </c>
      <c r="I31" s="407">
        <f>I30</f>
        <v>18290</v>
      </c>
    </row>
    <row r="32" spans="1:9" ht="15.75" thickBot="1" x14ac:dyDescent="0.3">
      <c r="A32" s="843" t="s">
        <v>402</v>
      </c>
      <c r="B32" s="844"/>
      <c r="C32" s="844"/>
      <c r="D32" s="844"/>
      <c r="E32" s="845"/>
      <c r="F32" s="409">
        <v>20000</v>
      </c>
      <c r="G32" s="409">
        <f>F32*27%</f>
        <v>5400</v>
      </c>
      <c r="H32" s="409">
        <f>F32+G32</f>
        <v>25400</v>
      </c>
      <c r="I32" s="409">
        <v>25400</v>
      </c>
    </row>
    <row r="33" spans="1:10" ht="15.75" thickBot="1" x14ac:dyDescent="0.3">
      <c r="A33" s="843" t="s">
        <v>475</v>
      </c>
      <c r="B33" s="844"/>
      <c r="C33" s="844"/>
      <c r="D33" s="844"/>
      <c r="E33" s="845"/>
      <c r="F33" s="409">
        <v>36000</v>
      </c>
      <c r="G33" s="409">
        <v>0</v>
      </c>
      <c r="H33" s="409">
        <f>F33+G33</f>
        <v>36000</v>
      </c>
      <c r="I33" s="409">
        <f>G33+H33</f>
        <v>36000</v>
      </c>
    </row>
    <row r="34" spans="1:10" s="403" customFormat="1" ht="15.75" thickBot="1" x14ac:dyDescent="0.3">
      <c r="A34" s="843" t="s">
        <v>476</v>
      </c>
      <c r="B34" s="844"/>
      <c r="C34" s="844"/>
      <c r="D34" s="844"/>
      <c r="E34" s="845"/>
      <c r="F34" s="409">
        <v>250000</v>
      </c>
      <c r="G34" s="409">
        <f>F34*27%</f>
        <v>67500</v>
      </c>
      <c r="H34" s="409">
        <f>F34+G34</f>
        <v>317500</v>
      </c>
      <c r="I34" s="409">
        <v>317500</v>
      </c>
    </row>
    <row r="35" spans="1:10" s="403" customFormat="1" ht="15.75" thickBot="1" x14ac:dyDescent="0.3">
      <c r="A35" s="843" t="s">
        <v>477</v>
      </c>
      <c r="B35" s="844"/>
      <c r="C35" s="844"/>
      <c r="D35" s="844"/>
      <c r="E35" s="845"/>
      <c r="F35" s="409">
        <v>240000</v>
      </c>
      <c r="G35" s="409">
        <v>0</v>
      </c>
      <c r="H35" s="409">
        <f>F35+G35</f>
        <v>240000</v>
      </c>
      <c r="I35" s="409">
        <v>240000</v>
      </c>
    </row>
    <row r="36" spans="1:10" ht="15.75" thickBot="1" x14ac:dyDescent="0.3">
      <c r="A36" s="840" t="s">
        <v>413</v>
      </c>
      <c r="B36" s="841"/>
      <c r="C36" s="841"/>
      <c r="D36" s="841"/>
      <c r="E36" s="842"/>
      <c r="F36" s="407">
        <f>F34+F35</f>
        <v>490000</v>
      </c>
      <c r="G36" s="407">
        <f t="shared" ref="G36:I36" si="6">G34+G35</f>
        <v>67500</v>
      </c>
      <c r="H36" s="407">
        <f t="shared" si="6"/>
        <v>557500</v>
      </c>
      <c r="I36" s="407">
        <f t="shared" si="6"/>
        <v>557500</v>
      </c>
    </row>
    <row r="37" spans="1:10" s="403" customFormat="1" ht="15.75" thickBot="1" x14ac:dyDescent="0.3">
      <c r="A37" s="840" t="s">
        <v>414</v>
      </c>
      <c r="B37" s="841"/>
      <c r="C37" s="841"/>
      <c r="D37" s="841"/>
      <c r="E37" s="842"/>
      <c r="F37" s="407">
        <f>F32+F33+F36</f>
        <v>546000</v>
      </c>
      <c r="G37" s="407">
        <f t="shared" ref="G37:I37" si="7">G32+G33+G36</f>
        <v>72900</v>
      </c>
      <c r="H37" s="407">
        <f t="shared" si="7"/>
        <v>618900</v>
      </c>
      <c r="I37" s="407">
        <f t="shared" si="7"/>
        <v>618900</v>
      </c>
    </row>
    <row r="38" spans="1:10" ht="15.75" thickBot="1" x14ac:dyDescent="0.3">
      <c r="A38" s="843" t="s">
        <v>415</v>
      </c>
      <c r="B38" s="844"/>
      <c r="C38" s="844"/>
      <c r="D38" s="844"/>
      <c r="E38" s="845"/>
      <c r="F38" s="409">
        <v>40000</v>
      </c>
      <c r="G38" s="409">
        <v>0</v>
      </c>
      <c r="H38" s="174">
        <f>F38+G38</f>
        <v>40000</v>
      </c>
      <c r="I38" s="409">
        <v>40000</v>
      </c>
    </row>
    <row r="39" spans="1:10" ht="15.75" thickBot="1" x14ac:dyDescent="0.3">
      <c r="A39" s="840" t="s">
        <v>417</v>
      </c>
      <c r="B39" s="841"/>
      <c r="C39" s="841"/>
      <c r="D39" s="841"/>
      <c r="E39" s="842"/>
      <c r="F39" s="407">
        <f>F38</f>
        <v>40000</v>
      </c>
      <c r="G39" s="407">
        <f>G38</f>
        <v>0</v>
      </c>
      <c r="H39" s="407">
        <f>H38</f>
        <v>40000</v>
      </c>
      <c r="I39" s="407">
        <f>I38</f>
        <v>40000</v>
      </c>
      <c r="J39" s="601"/>
    </row>
    <row r="40" spans="1:10" s="403" customFormat="1" ht="15.75" thickBot="1" x14ac:dyDescent="0.3">
      <c r="A40" s="843" t="s">
        <v>418</v>
      </c>
      <c r="B40" s="844"/>
      <c r="C40" s="844"/>
      <c r="D40" s="844"/>
      <c r="E40" s="845"/>
      <c r="F40" s="409">
        <v>0</v>
      </c>
      <c r="G40" s="409">
        <f>G18+G29+G37</f>
        <v>508387.87</v>
      </c>
      <c r="H40" s="409">
        <f>G40</f>
        <v>508387.87</v>
      </c>
      <c r="I40" s="409">
        <v>508390</v>
      </c>
    </row>
    <row r="41" spans="1:10" s="403" customFormat="1" ht="15.75" thickBot="1" x14ac:dyDescent="0.3">
      <c r="A41" s="843" t="s">
        <v>421</v>
      </c>
      <c r="B41" s="844"/>
      <c r="C41" s="844"/>
      <c r="D41" s="844"/>
      <c r="E41" s="845"/>
      <c r="F41" s="409">
        <v>50000</v>
      </c>
      <c r="G41" s="409">
        <v>0</v>
      </c>
      <c r="H41" s="409">
        <f>F41+G41</f>
        <v>50000</v>
      </c>
      <c r="I41" s="409">
        <v>50000</v>
      </c>
    </row>
    <row r="42" spans="1:10" s="413" customFormat="1" ht="19.5" thickBot="1" x14ac:dyDescent="0.35">
      <c r="A42" s="840" t="s">
        <v>419</v>
      </c>
      <c r="B42" s="841"/>
      <c r="C42" s="841"/>
      <c r="D42" s="841"/>
      <c r="E42" s="842"/>
      <c r="F42" s="407">
        <f>F40+F41</f>
        <v>50000</v>
      </c>
      <c r="G42" s="407">
        <f>G40</f>
        <v>508387.87</v>
      </c>
      <c r="H42" s="407">
        <f>H40+H41</f>
        <v>558387.87</v>
      </c>
      <c r="I42" s="407">
        <f>I40+I41</f>
        <v>558390</v>
      </c>
    </row>
    <row r="43" spans="1:10" ht="15.75" thickBot="1" x14ac:dyDescent="0.3">
      <c r="A43" s="840" t="s">
        <v>420</v>
      </c>
      <c r="B43" s="841"/>
      <c r="C43" s="841"/>
      <c r="D43" s="841"/>
      <c r="E43" s="842"/>
      <c r="F43" s="407">
        <f>F18+F29+F37+F39+F42</f>
        <v>2813509</v>
      </c>
      <c r="G43" s="407">
        <f>G42</f>
        <v>508387.87</v>
      </c>
      <c r="H43" s="407">
        <f>F43+G43</f>
        <v>3321896.87</v>
      </c>
      <c r="I43" s="407">
        <f>I18+I29+I37+I39+I42-I40</f>
        <v>3321905</v>
      </c>
    </row>
    <row r="44" spans="1:10" s="155" customFormat="1" ht="19.5" thickBot="1" x14ac:dyDescent="0.35">
      <c r="A44" s="834" t="s">
        <v>478</v>
      </c>
      <c r="B44" s="835"/>
      <c r="C44" s="835"/>
      <c r="D44" s="835"/>
      <c r="E44" s="836"/>
      <c r="F44" s="412">
        <f>F43+F12+F11</f>
        <v>38905916.350000001</v>
      </c>
      <c r="G44" s="412">
        <f t="shared" ref="G44:I44" si="8">G43+G12+G11</f>
        <v>508387.87</v>
      </c>
      <c r="H44" s="412">
        <f t="shared" si="8"/>
        <v>39414304.219999999</v>
      </c>
      <c r="I44" s="412">
        <f t="shared" si="8"/>
        <v>39414315</v>
      </c>
    </row>
    <row r="45" spans="1:10" x14ac:dyDescent="0.25">
      <c r="H45" s="402"/>
    </row>
  </sheetData>
  <mergeCells count="42">
    <mergeCell ref="A14:E14"/>
    <mergeCell ref="B1:G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7:E2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4:E24"/>
    <mergeCell ref="A39:E39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40:E40"/>
    <mergeCell ref="A41:E41"/>
    <mergeCell ref="A42:E42"/>
    <mergeCell ref="A43:E43"/>
    <mergeCell ref="A44:E4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1" sqref="E11"/>
    </sheetView>
  </sheetViews>
  <sheetFormatPr defaultRowHeight="15" x14ac:dyDescent="0.25"/>
  <cols>
    <col min="4" max="4" width="16.5703125" customWidth="1"/>
    <col min="5" max="5" width="17.7109375" style="402" customWidth="1"/>
    <col min="260" max="260" width="16.5703125" customWidth="1"/>
    <col min="261" max="261" width="17.7109375" customWidth="1"/>
    <col min="516" max="516" width="16.5703125" customWidth="1"/>
    <col min="517" max="517" width="17.7109375" customWidth="1"/>
    <col min="772" max="772" width="16.5703125" customWidth="1"/>
    <col min="773" max="773" width="17.7109375" customWidth="1"/>
    <col min="1028" max="1028" width="16.5703125" customWidth="1"/>
    <col min="1029" max="1029" width="17.7109375" customWidth="1"/>
    <col min="1284" max="1284" width="16.5703125" customWidth="1"/>
    <col min="1285" max="1285" width="17.7109375" customWidth="1"/>
    <col min="1540" max="1540" width="16.5703125" customWidth="1"/>
    <col min="1541" max="1541" width="17.7109375" customWidth="1"/>
    <col min="1796" max="1796" width="16.5703125" customWidth="1"/>
    <col min="1797" max="1797" width="17.7109375" customWidth="1"/>
    <col min="2052" max="2052" width="16.5703125" customWidth="1"/>
    <col min="2053" max="2053" width="17.7109375" customWidth="1"/>
    <col min="2308" max="2308" width="16.5703125" customWidth="1"/>
    <col min="2309" max="2309" width="17.7109375" customWidth="1"/>
    <col min="2564" max="2564" width="16.5703125" customWidth="1"/>
    <col min="2565" max="2565" width="17.7109375" customWidth="1"/>
    <col min="2820" max="2820" width="16.5703125" customWidth="1"/>
    <col min="2821" max="2821" width="17.7109375" customWidth="1"/>
    <col min="3076" max="3076" width="16.5703125" customWidth="1"/>
    <col min="3077" max="3077" width="17.7109375" customWidth="1"/>
    <col min="3332" max="3332" width="16.5703125" customWidth="1"/>
    <col min="3333" max="3333" width="17.7109375" customWidth="1"/>
    <col min="3588" max="3588" width="16.5703125" customWidth="1"/>
    <col min="3589" max="3589" width="17.7109375" customWidth="1"/>
    <col min="3844" max="3844" width="16.5703125" customWidth="1"/>
    <col min="3845" max="3845" width="17.7109375" customWidth="1"/>
    <col min="4100" max="4100" width="16.5703125" customWidth="1"/>
    <col min="4101" max="4101" width="17.7109375" customWidth="1"/>
    <col min="4356" max="4356" width="16.5703125" customWidth="1"/>
    <col min="4357" max="4357" width="17.7109375" customWidth="1"/>
    <col min="4612" max="4612" width="16.5703125" customWidth="1"/>
    <col min="4613" max="4613" width="17.7109375" customWidth="1"/>
    <col min="4868" max="4868" width="16.5703125" customWidth="1"/>
    <col min="4869" max="4869" width="17.7109375" customWidth="1"/>
    <col min="5124" max="5124" width="16.5703125" customWidth="1"/>
    <col min="5125" max="5125" width="17.7109375" customWidth="1"/>
    <col min="5380" max="5380" width="16.5703125" customWidth="1"/>
    <col min="5381" max="5381" width="17.7109375" customWidth="1"/>
    <col min="5636" max="5636" width="16.5703125" customWidth="1"/>
    <col min="5637" max="5637" width="17.7109375" customWidth="1"/>
    <col min="5892" max="5892" width="16.5703125" customWidth="1"/>
    <col min="5893" max="5893" width="17.7109375" customWidth="1"/>
    <col min="6148" max="6148" width="16.5703125" customWidth="1"/>
    <col min="6149" max="6149" width="17.7109375" customWidth="1"/>
    <col min="6404" max="6404" width="16.5703125" customWidth="1"/>
    <col min="6405" max="6405" width="17.7109375" customWidth="1"/>
    <col min="6660" max="6660" width="16.5703125" customWidth="1"/>
    <col min="6661" max="6661" width="17.7109375" customWidth="1"/>
    <col min="6916" max="6916" width="16.5703125" customWidth="1"/>
    <col min="6917" max="6917" width="17.7109375" customWidth="1"/>
    <col min="7172" max="7172" width="16.5703125" customWidth="1"/>
    <col min="7173" max="7173" width="17.7109375" customWidth="1"/>
    <col min="7428" max="7428" width="16.5703125" customWidth="1"/>
    <col min="7429" max="7429" width="17.7109375" customWidth="1"/>
    <col min="7684" max="7684" width="16.5703125" customWidth="1"/>
    <col min="7685" max="7685" width="17.7109375" customWidth="1"/>
    <col min="7940" max="7940" width="16.5703125" customWidth="1"/>
    <col min="7941" max="7941" width="17.7109375" customWidth="1"/>
    <col min="8196" max="8196" width="16.5703125" customWidth="1"/>
    <col min="8197" max="8197" width="17.7109375" customWidth="1"/>
    <col min="8452" max="8452" width="16.5703125" customWidth="1"/>
    <col min="8453" max="8453" width="17.7109375" customWidth="1"/>
    <col min="8708" max="8708" width="16.5703125" customWidth="1"/>
    <col min="8709" max="8709" width="17.7109375" customWidth="1"/>
    <col min="8964" max="8964" width="16.5703125" customWidth="1"/>
    <col min="8965" max="8965" width="17.7109375" customWidth="1"/>
    <col min="9220" max="9220" width="16.5703125" customWidth="1"/>
    <col min="9221" max="9221" width="17.7109375" customWidth="1"/>
    <col min="9476" max="9476" width="16.5703125" customWidth="1"/>
    <col min="9477" max="9477" width="17.7109375" customWidth="1"/>
    <col min="9732" max="9732" width="16.5703125" customWidth="1"/>
    <col min="9733" max="9733" width="17.7109375" customWidth="1"/>
    <col min="9988" max="9988" width="16.5703125" customWidth="1"/>
    <col min="9989" max="9989" width="17.7109375" customWidth="1"/>
    <col min="10244" max="10244" width="16.5703125" customWidth="1"/>
    <col min="10245" max="10245" width="17.7109375" customWidth="1"/>
    <col min="10500" max="10500" width="16.5703125" customWidth="1"/>
    <col min="10501" max="10501" width="17.7109375" customWidth="1"/>
    <col min="10756" max="10756" width="16.5703125" customWidth="1"/>
    <col min="10757" max="10757" width="17.7109375" customWidth="1"/>
    <col min="11012" max="11012" width="16.5703125" customWidth="1"/>
    <col min="11013" max="11013" width="17.7109375" customWidth="1"/>
    <col min="11268" max="11268" width="16.5703125" customWidth="1"/>
    <col min="11269" max="11269" width="17.7109375" customWidth="1"/>
    <col min="11524" max="11524" width="16.5703125" customWidth="1"/>
    <col min="11525" max="11525" width="17.7109375" customWidth="1"/>
    <col min="11780" max="11780" width="16.5703125" customWidth="1"/>
    <col min="11781" max="11781" width="17.7109375" customWidth="1"/>
    <col min="12036" max="12036" width="16.5703125" customWidth="1"/>
    <col min="12037" max="12037" width="17.7109375" customWidth="1"/>
    <col min="12292" max="12292" width="16.5703125" customWidth="1"/>
    <col min="12293" max="12293" width="17.7109375" customWidth="1"/>
    <col min="12548" max="12548" width="16.5703125" customWidth="1"/>
    <col min="12549" max="12549" width="17.7109375" customWidth="1"/>
    <col min="12804" max="12804" width="16.5703125" customWidth="1"/>
    <col min="12805" max="12805" width="17.7109375" customWidth="1"/>
    <col min="13060" max="13060" width="16.5703125" customWidth="1"/>
    <col min="13061" max="13061" width="17.7109375" customWidth="1"/>
    <col min="13316" max="13316" width="16.5703125" customWidth="1"/>
    <col min="13317" max="13317" width="17.7109375" customWidth="1"/>
    <col min="13572" max="13572" width="16.5703125" customWidth="1"/>
    <col min="13573" max="13573" width="17.7109375" customWidth="1"/>
    <col min="13828" max="13828" width="16.5703125" customWidth="1"/>
    <col min="13829" max="13829" width="17.7109375" customWidth="1"/>
    <col min="14084" max="14084" width="16.5703125" customWidth="1"/>
    <col min="14085" max="14085" width="17.7109375" customWidth="1"/>
    <col min="14340" max="14340" width="16.5703125" customWidth="1"/>
    <col min="14341" max="14341" width="17.7109375" customWidth="1"/>
    <col min="14596" max="14596" width="16.5703125" customWidth="1"/>
    <col min="14597" max="14597" width="17.7109375" customWidth="1"/>
    <col min="14852" max="14852" width="16.5703125" customWidth="1"/>
    <col min="14853" max="14853" width="17.7109375" customWidth="1"/>
    <col min="15108" max="15108" width="16.5703125" customWidth="1"/>
    <col min="15109" max="15109" width="17.7109375" customWidth="1"/>
    <col min="15364" max="15364" width="16.5703125" customWidth="1"/>
    <col min="15365" max="15365" width="17.7109375" customWidth="1"/>
    <col min="15620" max="15620" width="16.5703125" customWidth="1"/>
    <col min="15621" max="15621" width="17.7109375" customWidth="1"/>
    <col min="15876" max="15876" width="16.5703125" customWidth="1"/>
    <col min="15877" max="15877" width="17.7109375" customWidth="1"/>
    <col min="16132" max="16132" width="16.5703125" customWidth="1"/>
    <col min="16133" max="16133" width="17.7109375" customWidth="1"/>
  </cols>
  <sheetData>
    <row r="1" spans="1:7" x14ac:dyDescent="0.25">
      <c r="G1" t="s">
        <v>729</v>
      </c>
    </row>
    <row r="2" spans="1:7" ht="15.75" thickBot="1" x14ac:dyDescent="0.3"/>
    <row r="3" spans="1:7" ht="15.75" thickBot="1" x14ac:dyDescent="0.3">
      <c r="A3" s="843" t="s">
        <v>730</v>
      </c>
      <c r="B3" s="844"/>
      <c r="C3" s="844"/>
      <c r="D3" s="845"/>
      <c r="E3" s="598" t="s">
        <v>364</v>
      </c>
    </row>
    <row r="4" spans="1:7" ht="15.75" thickBot="1" x14ac:dyDescent="0.3">
      <c r="A4" s="843" t="s">
        <v>731</v>
      </c>
      <c r="B4" s="844"/>
      <c r="C4" s="844"/>
      <c r="D4" s="845"/>
      <c r="E4" s="409">
        <v>32334800</v>
      </c>
    </row>
    <row r="5" spans="1:7" ht="15.75" thickBot="1" x14ac:dyDescent="0.3">
      <c r="A5" s="843" t="s">
        <v>732</v>
      </c>
      <c r="B5" s="844"/>
      <c r="C5" s="844"/>
      <c r="D5" s="845"/>
      <c r="E5" s="409">
        <f>E6+E7</f>
        <v>575944</v>
      </c>
    </row>
    <row r="6" spans="1:7" ht="15.75" thickBot="1" x14ac:dyDescent="0.3">
      <c r="A6" s="843" t="s">
        <v>733</v>
      </c>
      <c r="B6" s="844"/>
      <c r="C6" s="844"/>
      <c r="D6" s="845"/>
      <c r="E6" s="599">
        <v>45750</v>
      </c>
    </row>
    <row r="7" spans="1:7" ht="15.75" thickBot="1" x14ac:dyDescent="0.3">
      <c r="A7" s="843" t="s">
        <v>734</v>
      </c>
      <c r="B7" s="844"/>
      <c r="C7" s="844"/>
      <c r="D7" s="845"/>
      <c r="E7" s="599">
        <v>530194</v>
      </c>
    </row>
    <row r="8" spans="1:7" s="413" customFormat="1" ht="19.5" thickBot="1" x14ac:dyDescent="0.35">
      <c r="A8" s="834" t="s">
        <v>735</v>
      </c>
      <c r="B8" s="835"/>
      <c r="C8" s="835"/>
      <c r="D8" s="836"/>
      <c r="E8" s="412">
        <f>E4+E5</f>
        <v>32910744</v>
      </c>
    </row>
    <row r="9" spans="1:7" x14ac:dyDescent="0.25">
      <c r="A9" s="600"/>
      <c r="B9" s="600"/>
      <c r="C9" s="600"/>
      <c r="D9" s="600"/>
    </row>
    <row r="10" spans="1:7" ht="15.75" thickBot="1" x14ac:dyDescent="0.3"/>
    <row r="11" spans="1:7" ht="16.5" thickBot="1" x14ac:dyDescent="0.3">
      <c r="D11" s="588" t="s">
        <v>736</v>
      </c>
      <c r="E11" s="410">
        <v>39414315</v>
      </c>
    </row>
    <row r="13" spans="1:7" ht="15.75" thickBot="1" x14ac:dyDescent="0.3"/>
    <row r="14" spans="1:7" ht="16.5" thickBot="1" x14ac:dyDescent="0.3">
      <c r="D14" s="588" t="s">
        <v>737</v>
      </c>
      <c r="E14" s="410">
        <f>E11-E8</f>
        <v>6503571</v>
      </c>
    </row>
  </sheetData>
  <mergeCells count="6">
    <mergeCell ref="A8:D8"/>
    <mergeCell ref="A3:D3"/>
    <mergeCell ref="A4:D4"/>
    <mergeCell ref="A5:D5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workbookViewId="0">
      <selection activeCell="F19" sqref="F19"/>
    </sheetView>
  </sheetViews>
  <sheetFormatPr defaultRowHeight="15" x14ac:dyDescent="0.25"/>
  <cols>
    <col min="1" max="1" width="39" bestFit="1" customWidth="1"/>
    <col min="2" max="2" width="12" bestFit="1" customWidth="1"/>
    <col min="3" max="13" width="9.85546875" bestFit="1" customWidth="1"/>
    <col min="14" max="14" width="11.85546875" bestFit="1" customWidth="1"/>
    <col min="15" max="15" width="10.7109375" bestFit="1" customWidth="1"/>
  </cols>
  <sheetData>
    <row r="1" spans="1:15" ht="15.75" x14ac:dyDescent="0.25">
      <c r="A1" s="873" t="s">
        <v>479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15" ht="15.75" x14ac:dyDescent="0.25">
      <c r="A2" s="873" t="s">
        <v>319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</row>
    <row r="3" spans="1:15" x14ac:dyDescent="0.25">
      <c r="A3" s="874" t="s">
        <v>480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</row>
    <row r="4" spans="1:15" x14ac:dyDescent="0.25">
      <c r="A4" s="874"/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  <c r="M4" s="874"/>
      <c r="N4" s="874"/>
    </row>
    <row r="5" spans="1:15" ht="15.75" x14ac:dyDescent="0.2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874" t="s">
        <v>438</v>
      </c>
      <c r="N5" s="874"/>
    </row>
    <row r="6" spans="1:15" ht="15.75" x14ac:dyDescent="0.25">
      <c r="A6" s="415" t="s">
        <v>8</v>
      </c>
      <c r="B6" s="416" t="s">
        <v>439</v>
      </c>
      <c r="C6" s="416" t="s">
        <v>440</v>
      </c>
      <c r="D6" s="416" t="s">
        <v>441</v>
      </c>
      <c r="E6" s="416" t="s">
        <v>442</v>
      </c>
      <c r="F6" s="416" t="s">
        <v>443</v>
      </c>
      <c r="G6" s="416" t="s">
        <v>444</v>
      </c>
      <c r="H6" s="416" t="s">
        <v>445</v>
      </c>
      <c r="I6" s="416" t="s">
        <v>446</v>
      </c>
      <c r="J6" s="416" t="s">
        <v>447</v>
      </c>
      <c r="K6" s="416" t="s">
        <v>448</v>
      </c>
      <c r="L6" s="416" t="s">
        <v>449</v>
      </c>
      <c r="M6" s="416" t="s">
        <v>450</v>
      </c>
      <c r="N6" s="415" t="s">
        <v>451</v>
      </c>
    </row>
    <row r="7" spans="1:15" x14ac:dyDescent="0.25">
      <c r="A7" s="417" t="s">
        <v>15</v>
      </c>
      <c r="B7" s="418">
        <v>2402</v>
      </c>
      <c r="C7" s="419">
        <v>2402</v>
      </c>
      <c r="D7" s="419">
        <v>2402</v>
      </c>
      <c r="E7" s="419">
        <v>2402</v>
      </c>
      <c r="F7" s="419">
        <v>2402</v>
      </c>
      <c r="G7" s="419">
        <v>2402</v>
      </c>
      <c r="H7" s="419">
        <v>2402</v>
      </c>
      <c r="I7" s="419">
        <v>2402</v>
      </c>
      <c r="J7" s="419">
        <v>2403</v>
      </c>
      <c r="K7" s="419">
        <v>2402</v>
      </c>
      <c r="L7" s="419">
        <v>2402</v>
      </c>
      <c r="M7" s="419">
        <v>2402</v>
      </c>
      <c r="N7" s="420">
        <f t="shared" ref="N7:N12" si="0">SUM(B7:M7)</f>
        <v>28825</v>
      </c>
      <c r="O7">
        <f>'[1]13'!D10</f>
        <v>28825</v>
      </c>
    </row>
    <row r="8" spans="1:15" x14ac:dyDescent="0.25">
      <c r="A8" s="417" t="s">
        <v>452</v>
      </c>
      <c r="B8" s="418">
        <v>606</v>
      </c>
      <c r="C8" s="419">
        <v>605</v>
      </c>
      <c r="D8" s="419">
        <v>606</v>
      </c>
      <c r="E8" s="419">
        <v>605</v>
      </c>
      <c r="F8" s="419">
        <v>606</v>
      </c>
      <c r="G8" s="419">
        <v>606</v>
      </c>
      <c r="H8" s="419">
        <v>605</v>
      </c>
      <c r="I8" s="419">
        <v>605</v>
      </c>
      <c r="J8" s="419">
        <v>606</v>
      </c>
      <c r="K8" s="419">
        <v>605</v>
      </c>
      <c r="L8" s="419">
        <v>606</v>
      </c>
      <c r="M8" s="419">
        <v>606</v>
      </c>
      <c r="N8" s="420">
        <f t="shared" si="0"/>
        <v>7267</v>
      </c>
      <c r="O8">
        <f>'[1]13'!D11</f>
        <v>7267</v>
      </c>
    </row>
    <row r="9" spans="1:15" x14ac:dyDescent="0.25">
      <c r="A9" s="417" t="s">
        <v>17</v>
      </c>
      <c r="B9" s="418">
        <v>277</v>
      </c>
      <c r="C9" s="418">
        <v>277</v>
      </c>
      <c r="D9" s="418">
        <v>277</v>
      </c>
      <c r="E9" s="418">
        <v>277</v>
      </c>
      <c r="F9" s="418">
        <v>277</v>
      </c>
      <c r="G9" s="418">
        <v>277</v>
      </c>
      <c r="H9" s="418">
        <v>276</v>
      </c>
      <c r="I9" s="418">
        <v>276</v>
      </c>
      <c r="J9" s="418">
        <v>277</v>
      </c>
      <c r="K9" s="418">
        <v>277</v>
      </c>
      <c r="L9" s="418">
        <v>277</v>
      </c>
      <c r="M9" s="418">
        <v>277</v>
      </c>
      <c r="N9" s="420">
        <f t="shared" si="0"/>
        <v>3322</v>
      </c>
      <c r="O9">
        <v>3322</v>
      </c>
    </row>
    <row r="10" spans="1:15" x14ac:dyDescent="0.25">
      <c r="A10" s="417" t="s">
        <v>453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20">
        <f t="shared" si="0"/>
        <v>0</v>
      </c>
    </row>
    <row r="11" spans="1:15" x14ac:dyDescent="0.25">
      <c r="A11" s="417" t="s">
        <v>454</v>
      </c>
      <c r="B11" s="419">
        <f>+O11/12</f>
        <v>0</v>
      </c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20">
        <f t="shared" si="0"/>
        <v>0</v>
      </c>
    </row>
    <row r="12" spans="1:15" x14ac:dyDescent="0.25">
      <c r="A12" s="417" t="s">
        <v>455</v>
      </c>
      <c r="B12" s="419">
        <f>+O12/12</f>
        <v>0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20">
        <f t="shared" si="0"/>
        <v>0</v>
      </c>
    </row>
    <row r="13" spans="1:15" x14ac:dyDescent="0.25">
      <c r="A13" s="417" t="s">
        <v>263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20"/>
    </row>
    <row r="14" spans="1:15" s="30" customFormat="1" ht="12.75" x14ac:dyDescent="0.2">
      <c r="A14" s="424" t="s">
        <v>456</v>
      </c>
      <c r="B14" s="432">
        <f>SUM(B7:B13)</f>
        <v>3285</v>
      </c>
      <c r="C14" s="432">
        <f t="shared" ref="C14:M14" si="1">SUM(C7:C13)</f>
        <v>3284</v>
      </c>
      <c r="D14" s="432">
        <f t="shared" si="1"/>
        <v>3285</v>
      </c>
      <c r="E14" s="432">
        <f t="shared" si="1"/>
        <v>3284</v>
      </c>
      <c r="F14" s="432">
        <f t="shared" si="1"/>
        <v>3285</v>
      </c>
      <c r="G14" s="432">
        <f t="shared" si="1"/>
        <v>3285</v>
      </c>
      <c r="H14" s="432">
        <f t="shared" si="1"/>
        <v>3283</v>
      </c>
      <c r="I14" s="432">
        <f t="shared" si="1"/>
        <v>3283</v>
      </c>
      <c r="J14" s="432">
        <f t="shared" si="1"/>
        <v>3286</v>
      </c>
      <c r="K14" s="432">
        <f t="shared" si="1"/>
        <v>3284</v>
      </c>
      <c r="L14" s="432">
        <f t="shared" si="1"/>
        <v>3285</v>
      </c>
      <c r="M14" s="432">
        <f t="shared" si="1"/>
        <v>3285</v>
      </c>
      <c r="N14" s="420">
        <f>SUM(N7:N13)</f>
        <v>39414</v>
      </c>
      <c r="O14" s="442">
        <f>SUM(O7:O13)</f>
        <v>39414</v>
      </c>
    </row>
    <row r="15" spans="1:15" x14ac:dyDescent="0.25">
      <c r="A15" s="426"/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5" x14ac:dyDescent="0.25">
      <c r="A16" s="417" t="s">
        <v>457</v>
      </c>
      <c r="B16" s="419">
        <f>+O16/12</f>
        <v>0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20">
        <f t="shared" ref="N16:N22" si="2">SUM(B16:M16)</f>
        <v>0</v>
      </c>
    </row>
    <row r="17" spans="1:15" x14ac:dyDescent="0.25">
      <c r="A17" s="417" t="s">
        <v>48</v>
      </c>
      <c r="B17" s="419">
        <f>+O17/12</f>
        <v>0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>
        <f t="shared" si="2"/>
        <v>0</v>
      </c>
    </row>
    <row r="18" spans="1:15" x14ac:dyDescent="0.25">
      <c r="A18" s="429" t="s">
        <v>458</v>
      </c>
      <c r="B18" s="418">
        <v>3236</v>
      </c>
      <c r="C18" s="418">
        <v>3236</v>
      </c>
      <c r="D18" s="418">
        <v>3236</v>
      </c>
      <c r="E18" s="418">
        <v>3236</v>
      </c>
      <c r="F18" s="418">
        <v>3237</v>
      </c>
      <c r="G18" s="418">
        <v>3237</v>
      </c>
      <c r="H18" s="418">
        <v>3236</v>
      </c>
      <c r="I18" s="418">
        <v>3237</v>
      </c>
      <c r="J18" s="418">
        <v>3236</v>
      </c>
      <c r="K18" s="418">
        <v>3237</v>
      </c>
      <c r="L18" s="418">
        <v>3237</v>
      </c>
      <c r="M18" s="418">
        <v>3237</v>
      </c>
      <c r="N18" s="420">
        <f t="shared" si="2"/>
        <v>38838</v>
      </c>
      <c r="O18">
        <v>38838</v>
      </c>
    </row>
    <row r="19" spans="1:15" x14ac:dyDescent="0.25">
      <c r="A19" s="417" t="s">
        <v>459</v>
      </c>
      <c r="B19" s="419"/>
      <c r="C19" s="419"/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20">
        <f t="shared" si="2"/>
        <v>0</v>
      </c>
    </row>
    <row r="20" spans="1:15" x14ac:dyDescent="0.25">
      <c r="A20" s="417" t="s">
        <v>73</v>
      </c>
      <c r="B20" s="419">
        <f>+O20/12</f>
        <v>0</v>
      </c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0">
        <f t="shared" si="2"/>
        <v>0</v>
      </c>
    </row>
    <row r="21" spans="1:15" x14ac:dyDescent="0.25">
      <c r="A21" s="417" t="s">
        <v>97</v>
      </c>
      <c r="B21" s="419">
        <v>576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43">
        <f t="shared" si="2"/>
        <v>576</v>
      </c>
      <c r="O21">
        <f>'[1]13'!D64</f>
        <v>576</v>
      </c>
    </row>
    <row r="22" spans="1:15" s="30" customFormat="1" ht="14.25" x14ac:dyDescent="0.2">
      <c r="A22" s="431" t="s">
        <v>460</v>
      </c>
      <c r="B22" s="432">
        <f>+B16+B17+B18+B19+B20+B21</f>
        <v>3812</v>
      </c>
      <c r="C22" s="432">
        <f>+C16+C17+C18+C19+C20+C21</f>
        <v>3236</v>
      </c>
      <c r="D22" s="432">
        <f t="shared" ref="D22:L22" si="3">+D16+D17+D18+D19+D20+D21</f>
        <v>3236</v>
      </c>
      <c r="E22" s="432">
        <f t="shared" si="3"/>
        <v>3236</v>
      </c>
      <c r="F22" s="432">
        <f t="shared" si="3"/>
        <v>3237</v>
      </c>
      <c r="G22" s="432">
        <f t="shared" si="3"/>
        <v>3237</v>
      </c>
      <c r="H22" s="432">
        <f t="shared" si="3"/>
        <v>3236</v>
      </c>
      <c r="I22" s="432">
        <f t="shared" si="3"/>
        <v>3237</v>
      </c>
      <c r="J22" s="432">
        <f t="shared" si="3"/>
        <v>3236</v>
      </c>
      <c r="K22" s="432">
        <f t="shared" si="3"/>
        <v>3237</v>
      </c>
      <c r="L22" s="432">
        <f t="shared" si="3"/>
        <v>3237</v>
      </c>
      <c r="M22" s="432">
        <f>SUM(M16:M20)+M21</f>
        <v>3237</v>
      </c>
      <c r="N22" s="420">
        <f t="shared" si="2"/>
        <v>39414</v>
      </c>
      <c r="O22" s="30">
        <f>O16+O17+O18+O19+O20+O21</f>
        <v>39414</v>
      </c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19" workbookViewId="0">
      <selection activeCell="B28" sqref="B28:C28"/>
    </sheetView>
  </sheetViews>
  <sheetFormatPr defaultColWidth="9.140625"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19.5703125" style="2" customWidth="1"/>
    <col min="5" max="5" width="19.140625" style="2" customWidth="1"/>
    <col min="6" max="6" width="19" style="2" customWidth="1"/>
    <col min="7" max="7" width="14.85546875" style="11" bestFit="1" customWidth="1"/>
    <col min="8" max="16384" width="9.140625" style="11"/>
  </cols>
  <sheetData>
    <row r="1" spans="1:7" ht="20.100000000000001" customHeight="1" x14ac:dyDescent="0.3">
      <c r="A1" s="639" t="s">
        <v>3</v>
      </c>
      <c r="B1" s="640"/>
      <c r="C1" s="640"/>
      <c r="D1" s="640"/>
      <c r="E1" s="640"/>
      <c r="F1" s="640"/>
    </row>
    <row r="2" spans="1:7" ht="20.100000000000001" customHeight="1" x14ac:dyDescent="0.25">
      <c r="A2" s="603"/>
      <c r="B2" s="603"/>
      <c r="C2" s="603"/>
      <c r="D2" s="603"/>
      <c r="E2" s="603"/>
      <c r="F2" s="603"/>
    </row>
    <row r="3" spans="1:7" ht="20.100000000000001" customHeight="1" x14ac:dyDescent="0.25">
      <c r="A3" s="641" t="s">
        <v>4</v>
      </c>
      <c r="B3" s="641"/>
      <c r="C3" s="641"/>
      <c r="D3" s="641"/>
      <c r="E3" s="641"/>
      <c r="F3" s="641"/>
      <c r="G3" s="93" t="s">
        <v>481</v>
      </c>
    </row>
    <row r="4" spans="1:7" ht="20.100000000000001" customHeight="1" x14ac:dyDescent="0.25">
      <c r="A4" s="603" t="s">
        <v>5</v>
      </c>
      <c r="B4" s="603"/>
      <c r="C4" s="603"/>
      <c r="D4" s="603"/>
      <c r="E4" s="603"/>
      <c r="F4" s="603"/>
    </row>
    <row r="5" spans="1:7" ht="29.25" customHeight="1" thickBot="1" x14ac:dyDescent="0.3">
      <c r="A5" s="93"/>
      <c r="B5" s="93"/>
      <c r="C5" s="93"/>
      <c r="D5" s="93"/>
      <c r="E5" s="93"/>
      <c r="F5" s="93"/>
    </row>
    <row r="6" spans="1:7" ht="20.100000000000001" customHeight="1" x14ac:dyDescent="0.25">
      <c r="A6" s="643" t="s">
        <v>7</v>
      </c>
      <c r="B6" s="646" t="s">
        <v>8</v>
      </c>
      <c r="C6" s="646"/>
      <c r="D6" s="649" t="s">
        <v>482</v>
      </c>
      <c r="E6" s="651" t="s">
        <v>10</v>
      </c>
      <c r="F6" s="651" t="s">
        <v>11</v>
      </c>
      <c r="G6" s="635" t="s">
        <v>12</v>
      </c>
    </row>
    <row r="7" spans="1:7" ht="38.25" customHeight="1" x14ac:dyDescent="0.25">
      <c r="A7" s="644"/>
      <c r="B7" s="647"/>
      <c r="C7" s="647"/>
      <c r="D7" s="650"/>
      <c r="E7" s="652"/>
      <c r="F7" s="652"/>
      <c r="G7" s="636"/>
    </row>
    <row r="8" spans="1:7" ht="22.5" customHeight="1" thickBot="1" x14ac:dyDescent="0.3">
      <c r="A8" s="832"/>
      <c r="B8" s="833"/>
      <c r="C8" s="833"/>
      <c r="D8" s="830" t="s">
        <v>483</v>
      </c>
      <c r="E8" s="650"/>
      <c r="F8" s="650"/>
      <c r="G8" s="374"/>
    </row>
    <row r="9" spans="1:7" ht="15.95" customHeight="1" x14ac:dyDescent="0.25">
      <c r="A9" s="375"/>
      <c r="B9" s="646" t="s">
        <v>14</v>
      </c>
      <c r="C9" s="646"/>
      <c r="D9" s="376"/>
      <c r="E9" s="377"/>
      <c r="F9" s="378"/>
      <c r="G9" s="378"/>
    </row>
    <row r="10" spans="1:7" ht="15.95" customHeight="1" x14ac:dyDescent="0.25">
      <c r="A10" s="9">
        <v>1</v>
      </c>
      <c r="B10" s="620" t="s">
        <v>15</v>
      </c>
      <c r="C10" s="620"/>
      <c r="D10" s="17">
        <v>39294</v>
      </c>
      <c r="E10" s="17">
        <v>39294</v>
      </c>
      <c r="F10" s="18"/>
      <c r="G10" s="19"/>
    </row>
    <row r="11" spans="1:7" ht="15.95" customHeight="1" x14ac:dyDescent="0.25">
      <c r="A11" s="9">
        <v>2</v>
      </c>
      <c r="B11" s="620" t="s">
        <v>16</v>
      </c>
      <c r="C11" s="620"/>
      <c r="D11" s="17">
        <v>9765</v>
      </c>
      <c r="E11" s="17">
        <v>9765</v>
      </c>
      <c r="F11" s="18"/>
      <c r="G11" s="19"/>
    </row>
    <row r="12" spans="1:7" ht="15.95" customHeight="1" x14ac:dyDescent="0.25">
      <c r="A12" s="9">
        <v>3</v>
      </c>
      <c r="B12" s="620" t="s">
        <v>17</v>
      </c>
      <c r="C12" s="620"/>
      <c r="D12" s="17">
        <v>74174</v>
      </c>
      <c r="E12" s="17">
        <v>74174</v>
      </c>
      <c r="F12" s="18"/>
      <c r="G12" s="20"/>
    </row>
    <row r="13" spans="1:7" ht="15.95" customHeight="1" x14ac:dyDescent="0.25">
      <c r="A13" s="9" t="s">
        <v>18</v>
      </c>
      <c r="B13" s="620"/>
      <c r="C13" s="620"/>
      <c r="D13" s="17">
        <f t="shared" ref="D13:D17" si="0">SUM(E13:G13)</f>
        <v>0</v>
      </c>
      <c r="E13" s="25"/>
      <c r="F13" s="18"/>
      <c r="G13" s="21"/>
    </row>
    <row r="14" spans="1:7" ht="15.95" customHeight="1" x14ac:dyDescent="0.25">
      <c r="A14" s="9" t="s">
        <v>20</v>
      </c>
      <c r="B14" s="626" t="s">
        <v>21</v>
      </c>
      <c r="C14" s="626"/>
      <c r="D14" s="17">
        <f>D15+D16+D17+D18+D19</f>
        <v>16759</v>
      </c>
      <c r="E14" s="22">
        <f>+E15+E16+E17+E18+E19</f>
        <v>12953</v>
      </c>
      <c r="F14" s="22">
        <f>+F15+F16+F17+F18+F19</f>
        <v>3806</v>
      </c>
      <c r="G14" s="17"/>
    </row>
    <row r="15" spans="1:7" ht="15.95" customHeight="1" x14ac:dyDescent="0.25">
      <c r="A15" s="9" t="s">
        <v>22</v>
      </c>
      <c r="B15" s="627" t="s">
        <v>133</v>
      </c>
      <c r="C15" s="627"/>
      <c r="D15" s="17">
        <f t="shared" si="0"/>
        <v>0</v>
      </c>
      <c r="E15" s="25"/>
      <c r="F15" s="18"/>
      <c r="G15" s="21"/>
    </row>
    <row r="16" spans="1:7" ht="15.95" customHeight="1" x14ac:dyDescent="0.25">
      <c r="A16" s="9" t="s">
        <v>23</v>
      </c>
      <c r="B16" s="627" t="s">
        <v>24</v>
      </c>
      <c r="C16" s="627"/>
      <c r="D16" s="17">
        <v>5617</v>
      </c>
      <c r="E16" s="25">
        <v>3367</v>
      </c>
      <c r="F16" s="18">
        <v>2250</v>
      </c>
      <c r="G16" s="21"/>
    </row>
    <row r="17" spans="1:7" ht="15.95" customHeight="1" x14ac:dyDescent="0.25">
      <c r="A17" s="9"/>
      <c r="B17" s="628"/>
      <c r="C17" s="629"/>
      <c r="D17" s="17">
        <f t="shared" si="0"/>
        <v>0</v>
      </c>
      <c r="E17" s="25"/>
      <c r="F17" s="18"/>
      <c r="G17" s="21"/>
    </row>
    <row r="18" spans="1:7" ht="15.95" customHeight="1" x14ac:dyDescent="0.25">
      <c r="A18" s="9" t="s">
        <v>25</v>
      </c>
      <c r="B18" s="630" t="s">
        <v>26</v>
      </c>
      <c r="C18" s="630"/>
      <c r="D18" s="17">
        <v>11142</v>
      </c>
      <c r="E18" s="25">
        <v>9586</v>
      </c>
      <c r="F18" s="18">
        <v>1556</v>
      </c>
      <c r="G18" s="21"/>
    </row>
    <row r="19" spans="1:7" ht="15.95" customHeight="1" x14ac:dyDescent="0.25">
      <c r="A19" s="9"/>
      <c r="B19" s="630"/>
      <c r="C19" s="829"/>
      <c r="D19" s="17"/>
      <c r="E19" s="25"/>
      <c r="F19" s="18"/>
      <c r="G19" s="21"/>
    </row>
    <row r="20" spans="1:7" ht="15.95" customHeight="1" x14ac:dyDescent="0.25">
      <c r="A20" s="9"/>
      <c r="B20" s="620"/>
      <c r="C20" s="620"/>
      <c r="D20" s="49">
        <v>0</v>
      </c>
      <c r="E20" s="25"/>
      <c r="F20" s="18"/>
      <c r="G20" s="382"/>
    </row>
    <row r="21" spans="1:7" ht="15.95" customHeight="1" x14ac:dyDescent="0.25">
      <c r="A21" s="9"/>
      <c r="B21" s="620"/>
      <c r="C21" s="620"/>
      <c r="D21" s="23">
        <f>E21+F21+G21</f>
        <v>0</v>
      </c>
      <c r="E21" s="25"/>
      <c r="F21" s="18"/>
      <c r="G21" s="382"/>
    </row>
    <row r="22" spans="1:7" ht="15.95" customHeight="1" x14ac:dyDescent="0.25">
      <c r="A22" s="9"/>
      <c r="B22" s="620" t="s">
        <v>263</v>
      </c>
      <c r="C22" s="620"/>
      <c r="D22" s="26">
        <v>58201</v>
      </c>
      <c r="E22" s="26">
        <v>58201</v>
      </c>
      <c r="F22" s="18"/>
      <c r="G22" s="382"/>
    </row>
    <row r="23" spans="1:7" ht="15.95" customHeight="1" x14ac:dyDescent="0.25">
      <c r="A23" s="9" t="s">
        <v>1</v>
      </c>
      <c r="B23" s="140" t="s">
        <v>30</v>
      </c>
      <c r="C23" s="383"/>
      <c r="D23" s="23">
        <f>+D10+D11+D12+D13+D14+D22+D20+D21</f>
        <v>198193</v>
      </c>
      <c r="E23" s="23">
        <f>+E10+E11+E12+E13+E14+E22+E20+E21</f>
        <v>194387</v>
      </c>
      <c r="F23" s="23">
        <f>+F10+F11+F12+F13+F14+F22+F20+F21</f>
        <v>3806</v>
      </c>
      <c r="G23" s="17"/>
    </row>
    <row r="24" spans="1:7" ht="15.95" customHeight="1" x14ac:dyDescent="0.25">
      <c r="A24" s="9" t="s">
        <v>31</v>
      </c>
      <c r="B24" s="620" t="s">
        <v>32</v>
      </c>
      <c r="C24" s="620"/>
      <c r="D24" s="23">
        <v>290982</v>
      </c>
      <c r="E24" s="33">
        <v>290982</v>
      </c>
      <c r="F24" s="18"/>
      <c r="G24" s="19"/>
    </row>
    <row r="25" spans="1:7" ht="15.95" customHeight="1" x14ac:dyDescent="0.25">
      <c r="A25" s="9" t="s">
        <v>33</v>
      </c>
      <c r="B25" s="620" t="s">
        <v>34</v>
      </c>
      <c r="C25" s="620"/>
      <c r="D25" s="23">
        <v>11609</v>
      </c>
      <c r="E25" s="33">
        <v>11609</v>
      </c>
      <c r="F25" s="18"/>
      <c r="G25" s="19"/>
    </row>
    <row r="26" spans="1:7" ht="15.95" customHeight="1" x14ac:dyDescent="0.25">
      <c r="A26" s="9" t="s">
        <v>35</v>
      </c>
      <c r="B26" s="620" t="s">
        <v>36</v>
      </c>
      <c r="C26" s="620"/>
      <c r="D26" s="23">
        <v>0</v>
      </c>
      <c r="E26" s="33"/>
      <c r="F26" s="18"/>
      <c r="G26" s="19"/>
    </row>
    <row r="27" spans="1:7" ht="15.95" customHeight="1" x14ac:dyDescent="0.25">
      <c r="A27" s="9" t="s">
        <v>37</v>
      </c>
      <c r="B27" s="620" t="s">
        <v>38</v>
      </c>
      <c r="C27" s="620"/>
      <c r="D27" s="26">
        <f>+D24+D25+D26</f>
        <v>302591</v>
      </c>
      <c r="E27" s="26">
        <f t="shared" ref="E27" si="1">+E24+E25+E26</f>
        <v>302591</v>
      </c>
      <c r="F27" s="26"/>
      <c r="G27" s="19"/>
    </row>
    <row r="28" spans="1:7" ht="15.95" customHeight="1" x14ac:dyDescent="0.25">
      <c r="A28" s="9" t="s">
        <v>39</v>
      </c>
      <c r="B28" s="620" t="s">
        <v>484</v>
      </c>
      <c r="C28" s="620"/>
      <c r="D28" s="26">
        <v>94374</v>
      </c>
      <c r="E28" s="33">
        <v>94374</v>
      </c>
      <c r="F28" s="18"/>
      <c r="G28" s="19"/>
    </row>
    <row r="29" spans="1:7" ht="15.95" customHeight="1" x14ac:dyDescent="0.25">
      <c r="A29" s="9" t="s">
        <v>40</v>
      </c>
      <c r="B29" s="622"/>
      <c r="C29" s="622"/>
      <c r="D29" s="34"/>
      <c r="E29" s="35"/>
      <c r="F29" s="18">
        <f>+D29+E29</f>
        <v>0</v>
      </c>
      <c r="G29" s="19"/>
    </row>
    <row r="30" spans="1:7" ht="15.95" customHeight="1" x14ac:dyDescent="0.25">
      <c r="A30" s="9" t="s">
        <v>41</v>
      </c>
      <c r="B30" s="622"/>
      <c r="C30" s="622"/>
      <c r="D30" s="34"/>
      <c r="E30" s="36"/>
      <c r="F30" s="18">
        <f>+D30+E30</f>
        <v>0</v>
      </c>
      <c r="G30" s="19"/>
    </row>
    <row r="31" spans="1:7" ht="15.95" customHeight="1" x14ac:dyDescent="0.3">
      <c r="A31" s="37" t="s">
        <v>42</v>
      </c>
      <c r="B31" s="616" t="s">
        <v>351</v>
      </c>
      <c r="C31" s="616"/>
      <c r="D31" s="387">
        <f>D11+D10+D12+D14+D22+D27+D28+D19</f>
        <v>595158</v>
      </c>
      <c r="E31" s="387">
        <f>E11+E10+E12+E14+E22+E27+E28+E19</f>
        <v>591352</v>
      </c>
      <c r="F31" s="69">
        <f t="shared" ref="F31:G31" si="2">+F23+F27+F28+F29+F30</f>
        <v>3806</v>
      </c>
      <c r="G31" s="70">
        <f t="shared" si="2"/>
        <v>0</v>
      </c>
    </row>
    <row r="32" spans="1:7" ht="15.95" customHeight="1" x14ac:dyDescent="0.25">
      <c r="A32" s="41"/>
      <c r="B32" s="664"/>
      <c r="C32" s="664"/>
      <c r="D32" s="444"/>
      <c r="E32" s="100"/>
      <c r="F32" s="388"/>
      <c r="G32" s="100"/>
    </row>
    <row r="33" spans="1:7" ht="15.95" customHeight="1" x14ac:dyDescent="0.25">
      <c r="A33" s="9"/>
      <c r="B33" s="691" t="s">
        <v>44</v>
      </c>
      <c r="C33" s="691"/>
      <c r="D33" s="26"/>
      <c r="E33" s="445"/>
      <c r="F33" s="18"/>
      <c r="G33" s="19"/>
    </row>
    <row r="34" spans="1:7" ht="15.95" customHeight="1" x14ac:dyDescent="0.25">
      <c r="A34" s="9" t="s">
        <v>45</v>
      </c>
      <c r="B34" s="614" t="s">
        <v>46</v>
      </c>
      <c r="C34" s="614"/>
      <c r="D34" s="49">
        <v>11135</v>
      </c>
      <c r="E34" s="50">
        <v>11135</v>
      </c>
      <c r="F34" s="446"/>
      <c r="G34" s="51">
        <v>0</v>
      </c>
    </row>
    <row r="35" spans="1:7" ht="15.95" customHeight="1" x14ac:dyDescent="0.25">
      <c r="A35" s="9" t="s">
        <v>47</v>
      </c>
      <c r="B35" s="614" t="s">
        <v>48</v>
      </c>
      <c r="C35" s="614"/>
      <c r="D35" s="49">
        <v>39316</v>
      </c>
      <c r="E35" s="50">
        <v>39316</v>
      </c>
      <c r="F35" s="447">
        <f>SUM(F36:F38)</f>
        <v>0</v>
      </c>
      <c r="G35" s="51"/>
    </row>
    <row r="36" spans="1:7" ht="15.95" customHeight="1" x14ac:dyDescent="0.25">
      <c r="A36" s="9"/>
      <c r="B36" s="52" t="s">
        <v>49</v>
      </c>
      <c r="C36" s="53" t="s">
        <v>50</v>
      </c>
      <c r="D36" s="49">
        <v>34616</v>
      </c>
      <c r="E36" s="50">
        <v>34616</v>
      </c>
      <c r="F36" s="446"/>
      <c r="G36" s="51"/>
    </row>
    <row r="37" spans="1:7" ht="15.95" customHeight="1" x14ac:dyDescent="0.25">
      <c r="A37" s="9"/>
      <c r="B37" s="52" t="s">
        <v>51</v>
      </c>
      <c r="C37" s="53" t="s">
        <v>52</v>
      </c>
      <c r="D37" s="49">
        <v>4500</v>
      </c>
      <c r="E37" s="448">
        <v>4500</v>
      </c>
      <c r="F37" s="446"/>
      <c r="G37" s="51"/>
    </row>
    <row r="38" spans="1:7" ht="15.95" customHeight="1" x14ac:dyDescent="0.25">
      <c r="A38" s="9"/>
      <c r="B38" s="52" t="s">
        <v>53</v>
      </c>
      <c r="C38" s="53" t="s">
        <v>54</v>
      </c>
      <c r="D38" s="49">
        <v>200</v>
      </c>
      <c r="E38" s="50">
        <v>200</v>
      </c>
      <c r="F38" s="446"/>
      <c r="G38" s="51"/>
    </row>
    <row r="39" spans="1:7" ht="15.95" customHeight="1" x14ac:dyDescent="0.25">
      <c r="A39" s="9" t="s">
        <v>55</v>
      </c>
      <c r="B39" s="614" t="s">
        <v>56</v>
      </c>
      <c r="C39" s="614"/>
      <c r="D39" s="54">
        <f>D40+D41+D42</f>
        <v>139240</v>
      </c>
      <c r="E39" s="54">
        <f>E40+E41+E42</f>
        <v>139240</v>
      </c>
      <c r="F39" s="446">
        <f>SUM(F40:F42)</f>
        <v>0</v>
      </c>
      <c r="G39" s="51"/>
    </row>
    <row r="40" spans="1:7" ht="15.95" customHeight="1" x14ac:dyDescent="0.25">
      <c r="A40" s="9"/>
      <c r="B40" s="56" t="s">
        <v>57</v>
      </c>
      <c r="C40" s="57" t="s">
        <v>58</v>
      </c>
      <c r="D40" s="54">
        <v>137816</v>
      </c>
      <c r="E40" s="50">
        <v>137816</v>
      </c>
      <c r="F40" s="446"/>
      <c r="G40" s="51"/>
    </row>
    <row r="41" spans="1:7" ht="15.95" customHeight="1" x14ac:dyDescent="0.25">
      <c r="A41" s="9"/>
      <c r="B41" s="56" t="s">
        <v>59</v>
      </c>
      <c r="C41" s="57" t="s">
        <v>60</v>
      </c>
      <c r="D41" s="54">
        <f t="shared" ref="D41" si="3">SUM(E41:G41)</f>
        <v>0</v>
      </c>
      <c r="E41" s="50"/>
      <c r="F41" s="446"/>
      <c r="G41" s="51"/>
    </row>
    <row r="42" spans="1:7" ht="15.95" customHeight="1" x14ac:dyDescent="0.25">
      <c r="A42" s="9"/>
      <c r="B42" s="56" t="s">
        <v>61</v>
      </c>
      <c r="C42" s="57" t="s">
        <v>62</v>
      </c>
      <c r="D42" s="54">
        <v>1424</v>
      </c>
      <c r="E42" s="50">
        <v>1424</v>
      </c>
      <c r="F42" s="446"/>
      <c r="G42" s="51"/>
    </row>
    <row r="43" spans="1:7" ht="15.95" customHeight="1" x14ac:dyDescent="0.25">
      <c r="A43" s="9" t="s">
        <v>18</v>
      </c>
      <c r="B43" s="614" t="s">
        <v>63</v>
      </c>
      <c r="C43" s="614"/>
      <c r="D43" s="54">
        <f>SUM(D44:D47)</f>
        <v>13632</v>
      </c>
      <c r="E43" s="50">
        <f>SUM(E44:E47)</f>
        <v>13632</v>
      </c>
      <c r="F43" s="50">
        <f>SUM(F44:F47)</f>
        <v>0</v>
      </c>
      <c r="G43" s="51"/>
    </row>
    <row r="44" spans="1:7" ht="15.95" customHeight="1" x14ac:dyDescent="0.25">
      <c r="A44" s="9"/>
      <c r="B44" s="56" t="s">
        <v>64</v>
      </c>
      <c r="C44" s="57" t="s">
        <v>65</v>
      </c>
      <c r="D44" s="54">
        <v>11933</v>
      </c>
      <c r="E44" s="50">
        <v>11933</v>
      </c>
      <c r="F44" s="446"/>
      <c r="G44" s="51"/>
    </row>
    <row r="45" spans="1:7" ht="15.95" customHeight="1" x14ac:dyDescent="0.25">
      <c r="A45" s="9"/>
      <c r="B45" s="56" t="s">
        <v>66</v>
      </c>
      <c r="C45" s="57" t="s">
        <v>67</v>
      </c>
      <c r="D45" s="54"/>
      <c r="E45" s="447"/>
      <c r="F45" s="446"/>
      <c r="G45" s="51"/>
    </row>
    <row r="46" spans="1:7" ht="15.95" customHeight="1" x14ac:dyDescent="0.25">
      <c r="A46" s="9"/>
      <c r="B46" s="56" t="s">
        <v>68</v>
      </c>
      <c r="C46" s="57" t="s">
        <v>69</v>
      </c>
      <c r="D46" s="54">
        <v>1699</v>
      </c>
      <c r="E46" s="448">
        <v>1699</v>
      </c>
      <c r="F46" s="446"/>
      <c r="G46" s="51"/>
    </row>
    <row r="47" spans="1:7" ht="15.95" customHeight="1" x14ac:dyDescent="0.25">
      <c r="A47" s="9"/>
      <c r="B47" s="56" t="s">
        <v>70</v>
      </c>
      <c r="C47" s="57" t="s">
        <v>71</v>
      </c>
      <c r="D47" s="54"/>
      <c r="E47" s="50"/>
      <c r="F47" s="55">
        <f>SUM(D47:D47)</f>
        <v>0</v>
      </c>
      <c r="G47" s="51"/>
    </row>
    <row r="48" spans="1:7" s="450" customFormat="1" ht="15.95" customHeight="1" x14ac:dyDescent="0.25">
      <c r="A48" s="27" t="s">
        <v>1</v>
      </c>
      <c r="B48" s="618" t="s">
        <v>72</v>
      </c>
      <c r="C48" s="618"/>
      <c r="D48" s="54">
        <f t="shared" ref="D48:G48" si="4">+D34+D35+D39+D43</f>
        <v>203323</v>
      </c>
      <c r="E48" s="54">
        <f t="shared" si="4"/>
        <v>203323</v>
      </c>
      <c r="F48" s="54">
        <f t="shared" si="4"/>
        <v>0</v>
      </c>
      <c r="G48" s="449">
        <f t="shared" si="4"/>
        <v>0</v>
      </c>
    </row>
    <row r="49" spans="1:7" ht="15.95" customHeight="1" x14ac:dyDescent="0.25">
      <c r="A49" s="9" t="s">
        <v>20</v>
      </c>
      <c r="B49" s="614" t="s">
        <v>73</v>
      </c>
      <c r="C49" s="614"/>
      <c r="D49" s="50">
        <f>SUM(D50:D51)</f>
        <v>7061</v>
      </c>
      <c r="E49" s="50">
        <f>SUM(E50:E51)</f>
        <v>7061</v>
      </c>
      <c r="F49" s="50"/>
      <c r="G49" s="51"/>
    </row>
    <row r="50" spans="1:7" ht="15.95" customHeight="1" x14ac:dyDescent="0.25">
      <c r="A50" s="9"/>
      <c r="B50" s="56" t="s">
        <v>74</v>
      </c>
      <c r="C50" s="57" t="s">
        <v>75</v>
      </c>
      <c r="D50" s="54">
        <v>2712</v>
      </c>
      <c r="E50" s="50">
        <v>2712</v>
      </c>
      <c r="F50" s="55"/>
      <c r="G50" s="51"/>
    </row>
    <row r="51" spans="1:7" ht="15.95" customHeight="1" x14ac:dyDescent="0.25">
      <c r="A51" s="9"/>
      <c r="B51" s="56" t="s">
        <v>76</v>
      </c>
      <c r="C51" s="57" t="s">
        <v>77</v>
      </c>
      <c r="D51" s="54">
        <v>4349</v>
      </c>
      <c r="E51" s="50">
        <v>4349</v>
      </c>
      <c r="F51" s="55"/>
      <c r="G51" s="51"/>
    </row>
    <row r="52" spans="1:7" ht="15.95" customHeight="1" x14ac:dyDescent="0.25">
      <c r="A52" s="9" t="s">
        <v>31</v>
      </c>
      <c r="B52" s="614" t="s">
        <v>78</v>
      </c>
      <c r="C52" s="614"/>
      <c r="D52" s="54">
        <f>SUM(D53:D54)</f>
        <v>0</v>
      </c>
      <c r="E52" s="50">
        <f>SUM(E53:E54)</f>
        <v>0</v>
      </c>
      <c r="F52" s="55">
        <f t="shared" ref="F52:F58" si="5">SUM(D52:D52)</f>
        <v>0</v>
      </c>
      <c r="G52" s="51"/>
    </row>
    <row r="53" spans="1:7" ht="15.95" customHeight="1" x14ac:dyDescent="0.25">
      <c r="A53" s="9"/>
      <c r="B53" s="56" t="s">
        <v>79</v>
      </c>
      <c r="C53" s="57" t="s">
        <v>80</v>
      </c>
      <c r="D53" s="54"/>
      <c r="E53" s="50"/>
      <c r="F53" s="55">
        <f t="shared" si="5"/>
        <v>0</v>
      </c>
      <c r="G53" s="51"/>
    </row>
    <row r="54" spans="1:7" ht="15.95" customHeight="1" x14ac:dyDescent="0.25">
      <c r="A54" s="9"/>
      <c r="B54" s="56" t="s">
        <v>81</v>
      </c>
      <c r="C54" s="57" t="s">
        <v>82</v>
      </c>
      <c r="D54" s="54">
        <v>0</v>
      </c>
      <c r="E54" s="50"/>
      <c r="F54" s="55">
        <f t="shared" si="5"/>
        <v>0</v>
      </c>
      <c r="G54" s="51"/>
    </row>
    <row r="55" spans="1:7" ht="15.95" customHeight="1" x14ac:dyDescent="0.25">
      <c r="A55" s="9" t="s">
        <v>33</v>
      </c>
      <c r="B55" s="614" t="s">
        <v>83</v>
      </c>
      <c r="C55" s="614"/>
      <c r="D55" s="54">
        <f>SUM(D56:D58)</f>
        <v>134948</v>
      </c>
      <c r="E55" s="50">
        <f>SUM(E56:E58)</f>
        <v>134948</v>
      </c>
      <c r="F55" s="55">
        <f>SUM(F56:F58)</f>
        <v>0</v>
      </c>
      <c r="G55" s="51"/>
    </row>
    <row r="56" spans="1:7" ht="15.95" customHeight="1" x14ac:dyDescent="0.25">
      <c r="A56" s="9"/>
      <c r="B56" s="56" t="s">
        <v>84</v>
      </c>
      <c r="C56" s="57" t="s">
        <v>85</v>
      </c>
      <c r="D56" s="54"/>
      <c r="E56" s="50"/>
      <c r="F56" s="55"/>
      <c r="G56" s="51"/>
    </row>
    <row r="57" spans="1:7" ht="15.95" customHeight="1" x14ac:dyDescent="0.25">
      <c r="A57" s="9"/>
      <c r="B57" s="56" t="s">
        <v>86</v>
      </c>
      <c r="C57" s="57" t="s">
        <v>87</v>
      </c>
      <c r="D57" s="54">
        <v>134948</v>
      </c>
      <c r="E57" s="50">
        <v>134948</v>
      </c>
      <c r="F57" s="55">
        <v>0</v>
      </c>
      <c r="G57" s="51"/>
    </row>
    <row r="58" spans="1:7" ht="15.95" customHeight="1" x14ac:dyDescent="0.25">
      <c r="A58" s="9"/>
      <c r="B58" s="56" t="s">
        <v>88</v>
      </c>
      <c r="C58" s="57" t="s">
        <v>89</v>
      </c>
      <c r="D58" s="54"/>
      <c r="E58" s="50"/>
      <c r="F58" s="55">
        <f t="shared" si="5"/>
        <v>0</v>
      </c>
      <c r="G58" s="51"/>
    </row>
    <row r="59" spans="1:7" s="450" customFormat="1" ht="15.95" customHeight="1" x14ac:dyDescent="0.25">
      <c r="A59" s="27" t="s">
        <v>37</v>
      </c>
      <c r="B59" s="618" t="s">
        <v>90</v>
      </c>
      <c r="C59" s="618"/>
      <c r="D59" s="54">
        <f t="shared" ref="D59:G59" si="6">+D49+D52+D55</f>
        <v>142009</v>
      </c>
      <c r="E59" s="451">
        <f t="shared" si="6"/>
        <v>142009</v>
      </c>
      <c r="F59" s="54">
        <f t="shared" si="6"/>
        <v>0</v>
      </c>
      <c r="G59" s="452">
        <f t="shared" si="6"/>
        <v>0</v>
      </c>
    </row>
    <row r="60" spans="1:7" s="450" customFormat="1" ht="15.95" customHeight="1" x14ac:dyDescent="0.25">
      <c r="A60" s="27" t="s">
        <v>39</v>
      </c>
      <c r="B60" s="618" t="s">
        <v>91</v>
      </c>
      <c r="C60" s="618"/>
      <c r="D60" s="62"/>
      <c r="E60" s="63"/>
      <c r="F60" s="64"/>
      <c r="G60" s="65"/>
    </row>
    <row r="61" spans="1:7" s="450" customFormat="1" ht="15.95" customHeight="1" x14ac:dyDescent="0.25">
      <c r="A61" s="27" t="s">
        <v>40</v>
      </c>
      <c r="B61" s="618" t="s">
        <v>92</v>
      </c>
      <c r="C61" s="618"/>
      <c r="D61" s="62"/>
      <c r="E61" s="63"/>
      <c r="F61" s="64"/>
      <c r="G61" s="65"/>
    </row>
    <row r="62" spans="1:7" s="456" customFormat="1" ht="15.95" customHeight="1" x14ac:dyDescent="0.3">
      <c r="A62" s="37" t="s">
        <v>93</v>
      </c>
      <c r="B62" s="611" t="s">
        <v>94</v>
      </c>
      <c r="C62" s="611"/>
      <c r="D62" s="453">
        <f t="shared" ref="D62:G62" si="7">+D48+D59+D60+D61</f>
        <v>345332</v>
      </c>
      <c r="E62" s="454">
        <f t="shared" si="7"/>
        <v>345332</v>
      </c>
      <c r="F62" s="453">
        <f t="shared" si="7"/>
        <v>0</v>
      </c>
      <c r="G62" s="455">
        <f t="shared" si="7"/>
        <v>0</v>
      </c>
    </row>
    <row r="63" spans="1:7" s="456" customFormat="1" ht="15.95" customHeight="1" x14ac:dyDescent="0.3">
      <c r="A63" s="37"/>
      <c r="B63" s="611" t="s">
        <v>95</v>
      </c>
      <c r="C63" s="611"/>
      <c r="D63" s="69">
        <f t="shared" ref="D63:G63" si="8">+D31-D62</f>
        <v>249826</v>
      </c>
      <c r="E63" s="69">
        <f t="shared" si="8"/>
        <v>246020</v>
      </c>
      <c r="F63" s="69">
        <f t="shared" si="8"/>
        <v>3806</v>
      </c>
      <c r="G63" s="70">
        <f t="shared" si="8"/>
        <v>0</v>
      </c>
    </row>
    <row r="64" spans="1:7" s="456" customFormat="1" ht="15.95" customHeight="1" x14ac:dyDescent="0.3">
      <c r="A64" s="37"/>
      <c r="B64" s="618" t="s">
        <v>96</v>
      </c>
      <c r="C64" s="618"/>
      <c r="D64" s="69"/>
      <c r="E64" s="69"/>
      <c r="F64" s="69"/>
      <c r="G64" s="70"/>
    </row>
    <row r="65" spans="1:7" ht="15.95" customHeight="1" x14ac:dyDescent="0.25">
      <c r="A65" s="27" t="s">
        <v>41</v>
      </c>
      <c r="B65" s="618" t="s">
        <v>97</v>
      </c>
      <c r="C65" s="618"/>
      <c r="D65" s="26">
        <f>D66+D67</f>
        <v>251920</v>
      </c>
      <c r="E65" s="26">
        <f>E66+E67</f>
        <v>251920</v>
      </c>
      <c r="F65" s="26">
        <f>SUM(F66:F67)</f>
        <v>0</v>
      </c>
      <c r="G65" s="21"/>
    </row>
    <row r="66" spans="1:7" s="456" customFormat="1" ht="15.95" customHeight="1" x14ac:dyDescent="0.3">
      <c r="A66" s="37"/>
      <c r="B66" s="71" t="s">
        <v>45</v>
      </c>
      <c r="C66" s="57" t="s">
        <v>98</v>
      </c>
      <c r="D66" s="26">
        <v>13634</v>
      </c>
      <c r="E66" s="73">
        <v>13634</v>
      </c>
      <c r="F66" s="80"/>
      <c r="G66" s="72"/>
    </row>
    <row r="67" spans="1:7" s="456" customFormat="1" ht="15.95" customHeight="1" x14ac:dyDescent="0.3">
      <c r="A67" s="37"/>
      <c r="B67" s="71" t="s">
        <v>47</v>
      </c>
      <c r="C67" s="57" t="s">
        <v>99</v>
      </c>
      <c r="D67" s="26">
        <v>238286</v>
      </c>
      <c r="E67" s="457">
        <v>238286</v>
      </c>
      <c r="F67" s="18"/>
      <c r="G67" s="72"/>
    </row>
    <row r="68" spans="1:7" s="456" customFormat="1" ht="39.75" customHeight="1" x14ac:dyDescent="0.3">
      <c r="A68" s="37" t="s">
        <v>100</v>
      </c>
      <c r="B68" s="616" t="s">
        <v>101</v>
      </c>
      <c r="C68" s="616"/>
      <c r="D68" s="69">
        <f>D65</f>
        <v>251920</v>
      </c>
      <c r="E68" s="69">
        <f>E65</f>
        <v>251920</v>
      </c>
      <c r="F68" s="69">
        <f>+F65</f>
        <v>0</v>
      </c>
      <c r="G68" s="72"/>
    </row>
    <row r="69" spans="1:7" s="456" customFormat="1" ht="15.95" customHeight="1" x14ac:dyDescent="0.3">
      <c r="A69" s="9" t="s">
        <v>102</v>
      </c>
      <c r="B69" s="614" t="s">
        <v>103</v>
      </c>
      <c r="C69" s="614"/>
      <c r="D69" s="69"/>
      <c r="E69" s="75"/>
      <c r="F69" s="76">
        <f t="shared" ref="F69:F80" si="9">SUM(D69:E69)</f>
        <v>0</v>
      </c>
      <c r="G69" s="77"/>
    </row>
    <row r="70" spans="1:7" s="456" customFormat="1" ht="15.95" customHeight="1" x14ac:dyDescent="0.3">
      <c r="A70" s="9" t="s">
        <v>104</v>
      </c>
      <c r="B70" s="614" t="s">
        <v>146</v>
      </c>
      <c r="C70" s="614"/>
      <c r="D70" s="69">
        <f>SUM(D71:D74)</f>
        <v>0</v>
      </c>
      <c r="E70" s="75"/>
      <c r="F70" s="76">
        <f t="shared" si="9"/>
        <v>0</v>
      </c>
      <c r="G70" s="77"/>
    </row>
    <row r="71" spans="1:7" s="456" customFormat="1" ht="15.95" customHeight="1" x14ac:dyDescent="0.3">
      <c r="A71" s="9"/>
      <c r="B71" s="56" t="s">
        <v>45</v>
      </c>
      <c r="C71" s="57" t="s">
        <v>106</v>
      </c>
      <c r="D71" s="78"/>
      <c r="E71" s="79"/>
      <c r="F71" s="80">
        <f t="shared" si="9"/>
        <v>0</v>
      </c>
      <c r="G71" s="77"/>
    </row>
    <row r="72" spans="1:7" s="456" customFormat="1" ht="15.95" customHeight="1" x14ac:dyDescent="0.3">
      <c r="A72" s="9"/>
      <c r="B72" s="56" t="s">
        <v>47</v>
      </c>
      <c r="C72" s="57" t="s">
        <v>107</v>
      </c>
      <c r="D72" s="69"/>
      <c r="E72" s="75"/>
      <c r="F72" s="76">
        <f t="shared" si="9"/>
        <v>0</v>
      </c>
      <c r="G72" s="77"/>
    </row>
    <row r="73" spans="1:7" s="456" customFormat="1" ht="15.95" customHeight="1" x14ac:dyDescent="0.3">
      <c r="A73" s="9"/>
      <c r="B73" s="56" t="s">
        <v>55</v>
      </c>
      <c r="C73" s="57" t="s">
        <v>108</v>
      </c>
      <c r="D73" s="78"/>
      <c r="E73" s="75"/>
      <c r="F73" s="76"/>
      <c r="G73" s="77"/>
    </row>
    <row r="74" spans="1:7" s="456" customFormat="1" ht="15.95" customHeight="1" x14ac:dyDescent="0.3">
      <c r="A74" s="9"/>
      <c r="B74" s="56" t="s">
        <v>18</v>
      </c>
      <c r="C74" s="57" t="s">
        <v>109</v>
      </c>
      <c r="D74" s="78"/>
      <c r="E74" s="75"/>
      <c r="F74" s="76"/>
      <c r="G74" s="77"/>
    </row>
    <row r="75" spans="1:7" s="456" customFormat="1" ht="33" customHeight="1" x14ac:dyDescent="0.3">
      <c r="A75" s="37" t="s">
        <v>110</v>
      </c>
      <c r="B75" s="615" t="s">
        <v>111</v>
      </c>
      <c r="C75" s="615"/>
      <c r="D75" s="69">
        <f>+D69+D70</f>
        <v>0</v>
      </c>
      <c r="E75" s="75"/>
      <c r="F75" s="76">
        <f t="shared" si="9"/>
        <v>0</v>
      </c>
      <c r="G75" s="77"/>
    </row>
    <row r="76" spans="1:7" s="456" customFormat="1" ht="15.95" customHeight="1" x14ac:dyDescent="0.3">
      <c r="A76" s="37" t="s">
        <v>112</v>
      </c>
      <c r="B76" s="611" t="s">
        <v>113</v>
      </c>
      <c r="C76" s="611"/>
      <c r="D76" s="69">
        <f>+D68+D75</f>
        <v>251920</v>
      </c>
      <c r="E76" s="75">
        <f>+E68+E75</f>
        <v>251920</v>
      </c>
      <c r="F76" s="75">
        <f>+F68+F75</f>
        <v>0</v>
      </c>
      <c r="G76" s="77"/>
    </row>
    <row r="77" spans="1:7" s="456" customFormat="1" ht="15.95" customHeight="1" x14ac:dyDescent="0.3">
      <c r="A77" s="9" t="s">
        <v>114</v>
      </c>
      <c r="B77" s="614" t="s">
        <v>115</v>
      </c>
      <c r="C77" s="614"/>
      <c r="D77" s="69"/>
      <c r="E77" s="75"/>
      <c r="F77" s="76"/>
      <c r="G77" s="77"/>
    </row>
    <row r="78" spans="1:7" s="456" customFormat="1" ht="15.95" customHeight="1" x14ac:dyDescent="0.3">
      <c r="A78" s="9" t="s">
        <v>116</v>
      </c>
      <c r="B78" s="614" t="s">
        <v>146</v>
      </c>
      <c r="C78" s="614"/>
      <c r="D78" s="78">
        <f>E78+F78</f>
        <v>0</v>
      </c>
      <c r="E78" s="79">
        <f>E79+E80</f>
        <v>0</v>
      </c>
      <c r="F78" s="79">
        <f>F79+F80</f>
        <v>0</v>
      </c>
      <c r="G78" s="77"/>
    </row>
    <row r="79" spans="1:7" s="456" customFormat="1" ht="15.95" customHeight="1" x14ac:dyDescent="0.3">
      <c r="A79" s="9"/>
      <c r="B79" s="56" t="s">
        <v>45</v>
      </c>
      <c r="C79" s="57" t="s">
        <v>118</v>
      </c>
      <c r="D79" s="78"/>
      <c r="E79" s="79"/>
      <c r="F79" s="80">
        <f t="shared" si="9"/>
        <v>0</v>
      </c>
      <c r="G79" s="77"/>
    </row>
    <row r="80" spans="1:7" s="456" customFormat="1" ht="15.95" customHeight="1" x14ac:dyDescent="0.3">
      <c r="A80" s="9"/>
      <c r="B80" s="56" t="s">
        <v>47</v>
      </c>
      <c r="C80" s="57" t="s">
        <v>119</v>
      </c>
      <c r="D80" s="78"/>
      <c r="E80" s="79"/>
      <c r="F80" s="80">
        <f t="shared" si="9"/>
        <v>0</v>
      </c>
      <c r="G80" s="77"/>
    </row>
    <row r="81" spans="1:7" s="456" customFormat="1" ht="15.95" customHeight="1" x14ac:dyDescent="0.3">
      <c r="A81" s="9" t="s">
        <v>121</v>
      </c>
      <c r="B81" s="609" t="s">
        <v>612</v>
      </c>
      <c r="C81" s="610"/>
      <c r="D81" s="78">
        <v>2806</v>
      </c>
      <c r="E81" s="79">
        <v>2806</v>
      </c>
      <c r="F81" s="80">
        <v>0</v>
      </c>
      <c r="G81" s="77"/>
    </row>
    <row r="82" spans="1:7" s="456" customFormat="1" ht="15.95" customHeight="1" x14ac:dyDescent="0.3">
      <c r="A82" s="37" t="s">
        <v>122</v>
      </c>
      <c r="B82" s="611" t="s">
        <v>357</v>
      </c>
      <c r="C82" s="611"/>
      <c r="D82" s="78"/>
      <c r="E82" s="75"/>
      <c r="F82" s="75">
        <f>+F77+F78+F81</f>
        <v>0</v>
      </c>
      <c r="G82" s="77"/>
    </row>
    <row r="83" spans="1:7" s="456" customFormat="1" ht="15.95" customHeight="1" x14ac:dyDescent="0.3">
      <c r="A83" s="37" t="s">
        <v>124</v>
      </c>
      <c r="B83" s="611" t="s">
        <v>125</v>
      </c>
      <c r="C83" s="611"/>
      <c r="D83" s="458">
        <f>+D31+D81</f>
        <v>597964</v>
      </c>
      <c r="E83" s="458">
        <f>+E31+E81</f>
        <v>594158</v>
      </c>
      <c r="F83" s="394">
        <f t="shared" ref="F83:G83" si="10">+F31+F82</f>
        <v>3806</v>
      </c>
      <c r="G83" s="394">
        <f t="shared" si="10"/>
        <v>0</v>
      </c>
    </row>
    <row r="84" spans="1:7" s="456" customFormat="1" ht="15.95" customHeight="1" thickBot="1" x14ac:dyDescent="0.35">
      <c r="A84" s="395" t="s">
        <v>126</v>
      </c>
      <c r="B84" s="396" t="s">
        <v>127</v>
      </c>
      <c r="C84" s="396"/>
      <c r="D84" s="397">
        <v>597964</v>
      </c>
      <c r="E84" s="397">
        <v>597964</v>
      </c>
      <c r="F84" s="397">
        <f t="shared" ref="F84:G84" si="11">+F62+F76</f>
        <v>0</v>
      </c>
      <c r="G84" s="397">
        <f t="shared" si="11"/>
        <v>0</v>
      </c>
    </row>
    <row r="85" spans="1:7" ht="20.100000000000001" customHeight="1" x14ac:dyDescent="0.25">
      <c r="B85" s="89"/>
      <c r="C85" s="89"/>
      <c r="D85" s="91"/>
      <c r="E85" s="90"/>
      <c r="F85" s="90"/>
    </row>
    <row r="86" spans="1:7" ht="20.100000000000001" hidden="1" customHeight="1" x14ac:dyDescent="0.25">
      <c r="B86" s="89"/>
      <c r="C86" s="89"/>
      <c r="D86" s="91">
        <f t="shared" ref="D86:G86" si="12">+D84-D83</f>
        <v>0</v>
      </c>
      <c r="E86" s="91">
        <f t="shared" si="12"/>
        <v>3806</v>
      </c>
      <c r="F86" s="91">
        <f t="shared" si="12"/>
        <v>-3806</v>
      </c>
      <c r="G86" s="91">
        <f t="shared" si="12"/>
        <v>0</v>
      </c>
    </row>
    <row r="87" spans="1:7" ht="20.100000000000001" customHeight="1" x14ac:dyDescent="0.25">
      <c r="B87" s="89"/>
      <c r="C87" s="89"/>
      <c r="D87" s="90"/>
      <c r="E87" s="90"/>
      <c r="F87" s="90"/>
    </row>
    <row r="88" spans="1:7" ht="20.100000000000001" customHeight="1" x14ac:dyDescent="0.25">
      <c r="B88" s="89"/>
      <c r="C88" s="89"/>
      <c r="D88" s="90"/>
      <c r="E88" s="90"/>
      <c r="F88" s="90"/>
    </row>
    <row r="89" spans="1:7" ht="20.100000000000001" customHeight="1" x14ac:dyDescent="0.25">
      <c r="B89" s="89"/>
      <c r="C89" s="89"/>
      <c r="D89" s="90"/>
      <c r="E89" s="90"/>
      <c r="F89" s="90"/>
    </row>
    <row r="90" spans="1:7" ht="20.100000000000001" customHeight="1" x14ac:dyDescent="0.25">
      <c r="B90" s="89"/>
      <c r="C90" s="89"/>
      <c r="D90" s="90"/>
      <c r="E90" s="90"/>
      <c r="F90" s="90"/>
    </row>
    <row r="91" spans="1:7" ht="20.100000000000001" customHeight="1" x14ac:dyDescent="0.25">
      <c r="B91" s="89"/>
      <c r="C91" s="89"/>
      <c r="D91" s="90"/>
      <c r="E91" s="90"/>
      <c r="F91" s="90"/>
    </row>
    <row r="92" spans="1:7" ht="20.100000000000001" customHeight="1" x14ac:dyDescent="0.25">
      <c r="B92" s="89"/>
      <c r="C92" s="89"/>
      <c r="D92" s="90"/>
      <c r="E92" s="90"/>
      <c r="F92" s="90"/>
    </row>
    <row r="93" spans="1:7" ht="20.100000000000001" customHeight="1" x14ac:dyDescent="0.25">
      <c r="B93" s="89"/>
      <c r="C93" s="89"/>
      <c r="D93" s="90"/>
      <c r="E93" s="90"/>
      <c r="F93" s="90"/>
    </row>
    <row r="94" spans="1:7" ht="20.100000000000001" customHeight="1" x14ac:dyDescent="0.25">
      <c r="B94" s="89"/>
      <c r="C94" s="89"/>
      <c r="D94" s="90"/>
      <c r="E94" s="90"/>
      <c r="F94" s="90"/>
    </row>
    <row r="95" spans="1:7" ht="20.100000000000001" customHeight="1" x14ac:dyDescent="0.25">
      <c r="B95" s="89"/>
      <c r="C95" s="89"/>
      <c r="D95" s="90"/>
      <c r="E95" s="90"/>
      <c r="F95" s="90"/>
    </row>
    <row r="96" spans="1:7" ht="20.100000000000001" customHeight="1" x14ac:dyDescent="0.25">
      <c r="B96" s="89"/>
      <c r="C96" s="89"/>
      <c r="D96" s="90"/>
      <c r="E96" s="90"/>
      <c r="F96" s="90"/>
    </row>
    <row r="97" spans="2:6" x14ac:dyDescent="0.25">
      <c r="B97" s="89"/>
      <c r="C97" s="89"/>
      <c r="D97" s="90"/>
      <c r="E97" s="90"/>
      <c r="F97" s="90"/>
    </row>
    <row r="98" spans="2:6" x14ac:dyDescent="0.25">
      <c r="B98" s="89"/>
      <c r="C98" s="89"/>
      <c r="D98" s="90"/>
      <c r="E98" s="90"/>
      <c r="F98" s="90"/>
    </row>
    <row r="99" spans="2:6" x14ac:dyDescent="0.25">
      <c r="B99" s="89"/>
      <c r="C99" s="89"/>
      <c r="D99" s="90"/>
      <c r="E99" s="90"/>
      <c r="F99" s="90"/>
    </row>
    <row r="100" spans="2:6" x14ac:dyDescent="0.25">
      <c r="B100" s="89"/>
      <c r="C100" s="89"/>
      <c r="D100" s="90"/>
      <c r="E100" s="90"/>
      <c r="F100" s="90"/>
    </row>
    <row r="101" spans="2:6" x14ac:dyDescent="0.25">
      <c r="B101" s="89"/>
      <c r="C101" s="89"/>
      <c r="D101" s="90"/>
      <c r="E101" s="90"/>
      <c r="F101" s="90"/>
    </row>
    <row r="102" spans="2:6" x14ac:dyDescent="0.25">
      <c r="B102" s="89"/>
      <c r="C102" s="89"/>
      <c r="D102" s="90"/>
      <c r="E102" s="90"/>
      <c r="F102" s="90"/>
    </row>
    <row r="103" spans="2:6" x14ac:dyDescent="0.25">
      <c r="B103" s="89"/>
      <c r="C103" s="89"/>
      <c r="D103" s="90"/>
      <c r="E103" s="90"/>
      <c r="F103" s="90"/>
    </row>
    <row r="104" spans="2:6" x14ac:dyDescent="0.25">
      <c r="B104" s="89"/>
      <c r="C104" s="89"/>
      <c r="D104" s="90"/>
      <c r="E104" s="90"/>
      <c r="F104" s="90"/>
    </row>
    <row r="105" spans="2:6" x14ac:dyDescent="0.25">
      <c r="B105" s="89"/>
      <c r="C105" s="89"/>
      <c r="D105" s="90"/>
      <c r="E105" s="90"/>
      <c r="F105" s="90"/>
    </row>
    <row r="106" spans="2:6" x14ac:dyDescent="0.25">
      <c r="B106" s="89"/>
      <c r="C106" s="89"/>
      <c r="D106" s="90"/>
      <c r="E106" s="90"/>
      <c r="F106" s="90"/>
    </row>
  </sheetData>
  <mergeCells count="60">
    <mergeCell ref="B12:C12"/>
    <mergeCell ref="A1:F1"/>
    <mergeCell ref="A2:F2"/>
    <mergeCell ref="A3:F3"/>
    <mergeCell ref="A4:F4"/>
    <mergeCell ref="A6:A8"/>
    <mergeCell ref="B6:C8"/>
    <mergeCell ref="D6:D7"/>
    <mergeCell ref="E6:E7"/>
    <mergeCell ref="F6:F7"/>
    <mergeCell ref="G6:G7"/>
    <mergeCell ref="D8:F8"/>
    <mergeCell ref="B9:C9"/>
    <mergeCell ref="B10:C10"/>
    <mergeCell ref="B11:C11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4:C24"/>
    <mergeCell ref="B43:C43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9:C39"/>
    <mergeCell ref="B68:C68"/>
    <mergeCell ref="B48:C48"/>
    <mergeCell ref="B49:C49"/>
    <mergeCell ref="B52:C52"/>
    <mergeCell ref="B55:C55"/>
    <mergeCell ref="B59:C59"/>
    <mergeCell ref="B60:C60"/>
    <mergeCell ref="B61:C61"/>
    <mergeCell ref="B62:C62"/>
    <mergeCell ref="B63:C63"/>
    <mergeCell ref="B64:C64"/>
    <mergeCell ref="B65:C65"/>
    <mergeCell ref="B81:C81"/>
    <mergeCell ref="B82:C82"/>
    <mergeCell ref="B83:C83"/>
    <mergeCell ref="B69:C69"/>
    <mergeCell ref="B70:C70"/>
    <mergeCell ref="B75:C75"/>
    <mergeCell ref="B76:C76"/>
    <mergeCell ref="B77:C77"/>
    <mergeCell ref="B78:C7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B7" workbookViewId="0">
      <selection activeCell="O28" sqref="O28"/>
    </sheetView>
  </sheetViews>
  <sheetFormatPr defaultColWidth="9.140625" defaultRowHeight="15.75" x14ac:dyDescent="0.25"/>
  <cols>
    <col min="1" max="1" width="38.42578125" style="468" customWidth="1"/>
    <col min="2" max="2" width="12.42578125" style="468" customWidth="1"/>
    <col min="3" max="6" width="12.28515625" style="468" bestFit="1" customWidth="1"/>
    <col min="7" max="7" width="13.42578125" style="468" customWidth="1"/>
    <col min="8" max="8" width="12.28515625" style="468" bestFit="1" customWidth="1"/>
    <col min="9" max="9" width="13.28515625" style="468" customWidth="1"/>
    <col min="10" max="13" width="12.28515625" style="468" bestFit="1" customWidth="1"/>
    <col min="14" max="14" width="13.28515625" style="468" bestFit="1" customWidth="1"/>
    <col min="15" max="15" width="11.28515625" style="459" customWidth="1"/>
    <col min="16" max="16384" width="9.140625" style="460"/>
  </cols>
  <sheetData>
    <row r="1" spans="1:15" x14ac:dyDescent="0.25">
      <c r="A1" s="873" t="s">
        <v>479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15" x14ac:dyDescent="0.25">
      <c r="A2" s="873" t="s">
        <v>485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</row>
    <row r="3" spans="1:15" ht="11.25" x14ac:dyDescent="0.25">
      <c r="A3" s="874" t="s">
        <v>486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</row>
    <row r="4" spans="1:15" ht="11.25" x14ac:dyDescent="0.25">
      <c r="A4" s="874"/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  <c r="M4" s="874"/>
      <c r="N4" s="874"/>
    </row>
    <row r="5" spans="1:15" x14ac:dyDescent="0.2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874" t="s">
        <v>438</v>
      </c>
      <c r="N5" s="874"/>
    </row>
    <row r="6" spans="1:15" x14ac:dyDescent="0.25">
      <c r="A6" s="415" t="s">
        <v>8</v>
      </c>
      <c r="B6" s="416" t="s">
        <v>439</v>
      </c>
      <c r="C6" s="416" t="s">
        <v>440</v>
      </c>
      <c r="D6" s="416" t="s">
        <v>441</v>
      </c>
      <c r="E6" s="416" t="s">
        <v>442</v>
      </c>
      <c r="F6" s="416" t="s">
        <v>443</v>
      </c>
      <c r="G6" s="416" t="s">
        <v>444</v>
      </c>
      <c r="H6" s="416" t="s">
        <v>445</v>
      </c>
      <c r="I6" s="416" t="s">
        <v>446</v>
      </c>
      <c r="J6" s="416" t="s">
        <v>447</v>
      </c>
      <c r="K6" s="416" t="s">
        <v>448</v>
      </c>
      <c r="L6" s="416" t="s">
        <v>449</v>
      </c>
      <c r="M6" s="416" t="s">
        <v>450</v>
      </c>
      <c r="N6" s="415" t="s">
        <v>451</v>
      </c>
    </row>
    <row r="7" spans="1:15" ht="12.75" x14ac:dyDescent="0.25">
      <c r="A7" s="417" t="s">
        <v>15</v>
      </c>
      <c r="B7" s="418">
        <v>3275</v>
      </c>
      <c r="C7" s="419">
        <v>3275</v>
      </c>
      <c r="D7" s="419">
        <v>3275</v>
      </c>
      <c r="E7" s="419">
        <v>3275</v>
      </c>
      <c r="F7" s="419">
        <v>3274</v>
      </c>
      <c r="G7" s="419">
        <v>3274</v>
      </c>
      <c r="H7" s="419">
        <v>3275</v>
      </c>
      <c r="I7" s="419">
        <v>3274</v>
      </c>
      <c r="J7" s="419">
        <v>3275</v>
      </c>
      <c r="K7" s="419">
        <v>3274</v>
      </c>
      <c r="L7" s="419">
        <v>3274</v>
      </c>
      <c r="M7" s="419">
        <v>3274</v>
      </c>
      <c r="N7" s="420">
        <f t="shared" ref="N7:N17" si="0">SUM(B7:M7)</f>
        <v>39294</v>
      </c>
      <c r="O7" s="461">
        <v>39294</v>
      </c>
    </row>
    <row r="8" spans="1:15" ht="12.75" x14ac:dyDescent="0.25">
      <c r="A8" s="417" t="s">
        <v>452</v>
      </c>
      <c r="B8" s="418">
        <v>814</v>
      </c>
      <c r="C8" s="419">
        <v>813</v>
      </c>
      <c r="D8" s="419">
        <v>814</v>
      </c>
      <c r="E8" s="419">
        <v>814</v>
      </c>
      <c r="F8" s="419">
        <v>814</v>
      </c>
      <c r="G8" s="419">
        <v>814</v>
      </c>
      <c r="H8" s="419">
        <v>814</v>
      </c>
      <c r="I8" s="419">
        <v>814</v>
      </c>
      <c r="J8" s="419">
        <v>814</v>
      </c>
      <c r="K8" s="419">
        <v>814</v>
      </c>
      <c r="L8" s="419">
        <v>813</v>
      </c>
      <c r="M8" s="419">
        <v>813</v>
      </c>
      <c r="N8" s="420">
        <f t="shared" si="0"/>
        <v>9765</v>
      </c>
      <c r="O8" s="461">
        <v>9765</v>
      </c>
    </row>
    <row r="9" spans="1:15" ht="12.75" x14ac:dyDescent="0.25">
      <c r="A9" s="417" t="s">
        <v>17</v>
      </c>
      <c r="B9" s="418">
        <v>6182</v>
      </c>
      <c r="C9" s="418">
        <v>6182</v>
      </c>
      <c r="D9" s="418">
        <v>6181</v>
      </c>
      <c r="E9" s="418">
        <v>6181</v>
      </c>
      <c r="F9" s="418">
        <v>6181</v>
      </c>
      <c r="G9" s="418">
        <v>6181</v>
      </c>
      <c r="H9" s="418">
        <v>6181</v>
      </c>
      <c r="I9" s="418">
        <v>6181</v>
      </c>
      <c r="J9" s="418">
        <v>6181</v>
      </c>
      <c r="K9" s="418">
        <v>6181</v>
      </c>
      <c r="L9" s="418">
        <v>6181</v>
      </c>
      <c r="M9" s="418">
        <v>6181</v>
      </c>
      <c r="N9" s="420">
        <f t="shared" si="0"/>
        <v>74174</v>
      </c>
      <c r="O9" s="461">
        <v>74174</v>
      </c>
    </row>
    <row r="10" spans="1:15" ht="12.75" x14ac:dyDescent="0.25">
      <c r="A10" s="417" t="s">
        <v>453</v>
      </c>
      <c r="B10" s="418">
        <v>468</v>
      </c>
      <c r="C10" s="419">
        <v>468</v>
      </c>
      <c r="D10" s="419">
        <v>468</v>
      </c>
      <c r="E10" s="419">
        <v>468</v>
      </c>
      <c r="F10" s="419">
        <v>468</v>
      </c>
      <c r="G10" s="419">
        <v>468</v>
      </c>
      <c r="H10" s="419">
        <v>468</v>
      </c>
      <c r="I10" s="419">
        <v>468</v>
      </c>
      <c r="J10" s="419">
        <v>468</v>
      </c>
      <c r="K10" s="419">
        <v>468</v>
      </c>
      <c r="L10" s="419">
        <v>468</v>
      </c>
      <c r="M10" s="419">
        <v>469</v>
      </c>
      <c r="N10" s="420">
        <f t="shared" si="0"/>
        <v>5617</v>
      </c>
      <c r="O10" s="461">
        <v>5617</v>
      </c>
    </row>
    <row r="11" spans="1:15" ht="12.75" x14ac:dyDescent="0.25">
      <c r="A11" s="417" t="s">
        <v>454</v>
      </c>
      <c r="B11" s="418">
        <v>928</v>
      </c>
      <c r="C11" s="419">
        <v>928</v>
      </c>
      <c r="D11" s="419">
        <v>929</v>
      </c>
      <c r="E11" s="419">
        <v>929</v>
      </c>
      <c r="F11" s="419">
        <v>929</v>
      </c>
      <c r="G11" s="419">
        <v>929</v>
      </c>
      <c r="H11" s="419">
        <v>929</v>
      </c>
      <c r="I11" s="419">
        <v>929</v>
      </c>
      <c r="J11" s="419">
        <v>928</v>
      </c>
      <c r="K11" s="419">
        <v>928</v>
      </c>
      <c r="L11" s="419">
        <v>928</v>
      </c>
      <c r="M11" s="419">
        <v>928</v>
      </c>
      <c r="N11" s="420">
        <f t="shared" si="0"/>
        <v>11142</v>
      </c>
      <c r="O11" s="461">
        <v>11142</v>
      </c>
    </row>
    <row r="12" spans="1:15" ht="12.75" x14ac:dyDescent="0.25">
      <c r="A12" s="417" t="s">
        <v>487</v>
      </c>
      <c r="B12" s="418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20">
        <f t="shared" si="0"/>
        <v>0</v>
      </c>
      <c r="O12" s="461"/>
    </row>
    <row r="13" spans="1:15" ht="12.75" x14ac:dyDescent="0.25">
      <c r="A13" s="417" t="s">
        <v>455</v>
      </c>
      <c r="B13" s="418">
        <v>25216</v>
      </c>
      <c r="C13" s="418">
        <v>25216</v>
      </c>
      <c r="D13" s="418">
        <v>25216</v>
      </c>
      <c r="E13" s="418">
        <v>25216</v>
      </c>
      <c r="F13" s="418">
        <v>25216</v>
      </c>
      <c r="G13" s="418">
        <v>25216</v>
      </c>
      <c r="H13" s="418">
        <v>25216</v>
      </c>
      <c r="I13" s="418">
        <v>25216</v>
      </c>
      <c r="J13" s="418">
        <v>25216</v>
      </c>
      <c r="K13" s="418">
        <v>25216</v>
      </c>
      <c r="L13" s="418">
        <v>25215</v>
      </c>
      <c r="M13" s="418">
        <v>25216</v>
      </c>
      <c r="N13" s="420">
        <f t="shared" si="0"/>
        <v>302591</v>
      </c>
      <c r="O13" s="461">
        <v>302591</v>
      </c>
    </row>
    <row r="14" spans="1:15" ht="12.75" x14ac:dyDescent="0.25">
      <c r="A14" s="417" t="s">
        <v>263</v>
      </c>
      <c r="B14" s="418">
        <v>4850</v>
      </c>
      <c r="C14" s="418">
        <v>4850</v>
      </c>
      <c r="D14" s="418">
        <v>4850</v>
      </c>
      <c r="E14" s="418">
        <v>4850</v>
      </c>
      <c r="F14" s="418">
        <v>4850</v>
      </c>
      <c r="G14" s="418">
        <v>4850</v>
      </c>
      <c r="H14" s="418">
        <v>4850</v>
      </c>
      <c r="I14" s="418">
        <v>4850</v>
      </c>
      <c r="J14" s="418">
        <v>4850</v>
      </c>
      <c r="K14" s="418">
        <v>4850</v>
      </c>
      <c r="L14" s="418">
        <v>4851</v>
      </c>
      <c r="M14" s="418">
        <v>4850</v>
      </c>
      <c r="N14" s="420">
        <f t="shared" si="0"/>
        <v>58201</v>
      </c>
      <c r="O14" s="461">
        <v>58201</v>
      </c>
    </row>
    <row r="15" spans="1:15" ht="12.75" x14ac:dyDescent="0.2">
      <c r="A15" s="462" t="s">
        <v>612</v>
      </c>
      <c r="B15" s="418">
        <v>2806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>
        <f t="shared" si="0"/>
        <v>2806</v>
      </c>
      <c r="O15" s="461">
        <v>2806</v>
      </c>
    </row>
    <row r="16" spans="1:15" ht="12.75" x14ac:dyDescent="0.25">
      <c r="A16" s="417" t="s">
        <v>488</v>
      </c>
      <c r="B16" s="418">
        <v>7864</v>
      </c>
      <c r="C16" s="418">
        <v>7864</v>
      </c>
      <c r="D16" s="418">
        <v>7864</v>
      </c>
      <c r="E16" s="418">
        <v>7864</v>
      </c>
      <c r="F16" s="418">
        <v>7864</v>
      </c>
      <c r="G16" s="418">
        <v>7864</v>
      </c>
      <c r="H16" s="418">
        <v>7865</v>
      </c>
      <c r="I16" s="418">
        <v>7865</v>
      </c>
      <c r="J16" s="418">
        <v>7865</v>
      </c>
      <c r="K16" s="418">
        <v>7865</v>
      </c>
      <c r="L16" s="418">
        <v>7865</v>
      </c>
      <c r="M16" s="418">
        <v>7865</v>
      </c>
      <c r="N16" s="420">
        <f t="shared" si="0"/>
        <v>94374</v>
      </c>
      <c r="O16" s="461">
        <v>94374</v>
      </c>
    </row>
    <row r="17" spans="1:16" ht="12.75" x14ac:dyDescent="0.25">
      <c r="A17" s="417" t="s">
        <v>489</v>
      </c>
      <c r="B17" s="418"/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>
        <f t="shared" si="0"/>
        <v>0</v>
      </c>
      <c r="O17" s="461"/>
    </row>
    <row r="18" spans="1:16" ht="12.75" x14ac:dyDescent="0.25">
      <c r="A18" s="424" t="s">
        <v>456</v>
      </c>
      <c r="B18" s="418">
        <f>SUM(B7:B17)</f>
        <v>52403</v>
      </c>
      <c r="C18" s="419">
        <f t="shared" ref="C18:K18" si="1">SUM(C7:C16)</f>
        <v>49596</v>
      </c>
      <c r="D18" s="419">
        <f t="shared" si="1"/>
        <v>49597</v>
      </c>
      <c r="E18" s="419">
        <f t="shared" si="1"/>
        <v>49597</v>
      </c>
      <c r="F18" s="419">
        <f t="shared" si="1"/>
        <v>49596</v>
      </c>
      <c r="G18" s="419">
        <f t="shared" si="1"/>
        <v>49596</v>
      </c>
      <c r="H18" s="419">
        <f>SUM(H7:H17)</f>
        <v>49598</v>
      </c>
      <c r="I18" s="419">
        <f t="shared" si="1"/>
        <v>49597</v>
      </c>
      <c r="J18" s="419">
        <f t="shared" si="1"/>
        <v>49597</v>
      </c>
      <c r="K18" s="419">
        <f t="shared" si="1"/>
        <v>49596</v>
      </c>
      <c r="L18" s="419">
        <f>SUM(L7:L16)</f>
        <v>49595</v>
      </c>
      <c r="M18" s="419">
        <f>SUM(M7:M16)</f>
        <v>49596</v>
      </c>
      <c r="N18" s="420">
        <f>SUM(N7:N17)</f>
        <v>597964</v>
      </c>
      <c r="O18" s="463">
        <f>SUM(O7:O17)</f>
        <v>597964</v>
      </c>
    </row>
    <row r="19" spans="1:16" ht="15" x14ac:dyDescent="0.25">
      <c r="A19" s="426"/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8"/>
    </row>
    <row r="20" spans="1:16" ht="12.75" x14ac:dyDescent="0.25">
      <c r="A20" s="417" t="s">
        <v>457</v>
      </c>
      <c r="B20" s="419">
        <v>928</v>
      </c>
      <c r="C20" s="419">
        <v>928</v>
      </c>
      <c r="D20" s="419">
        <v>928</v>
      </c>
      <c r="E20" s="419">
        <v>928</v>
      </c>
      <c r="F20" s="419">
        <v>928</v>
      </c>
      <c r="G20" s="419">
        <v>928</v>
      </c>
      <c r="H20" s="419">
        <v>928</v>
      </c>
      <c r="I20" s="419">
        <v>928</v>
      </c>
      <c r="J20" s="419">
        <v>928</v>
      </c>
      <c r="K20" s="419">
        <v>928</v>
      </c>
      <c r="L20" s="419">
        <v>927</v>
      </c>
      <c r="M20" s="419">
        <v>928</v>
      </c>
      <c r="N20" s="420">
        <f t="shared" ref="N20:N26" si="2">SUM(B20:M20)</f>
        <v>11135</v>
      </c>
      <c r="O20" s="459">
        <v>11135</v>
      </c>
    </row>
    <row r="21" spans="1:16" ht="12.75" x14ac:dyDescent="0.25">
      <c r="A21" s="417" t="s">
        <v>48</v>
      </c>
      <c r="B21" s="419">
        <v>3275</v>
      </c>
      <c r="C21" s="419">
        <v>3275</v>
      </c>
      <c r="D21" s="419">
        <v>3276</v>
      </c>
      <c r="E21" s="419">
        <v>3276</v>
      </c>
      <c r="F21" s="419">
        <v>3278</v>
      </c>
      <c r="G21" s="419">
        <v>3276</v>
      </c>
      <c r="H21" s="419">
        <v>3276</v>
      </c>
      <c r="I21" s="419">
        <v>3277</v>
      </c>
      <c r="J21" s="419">
        <v>3277</v>
      </c>
      <c r="K21" s="419">
        <v>3277</v>
      </c>
      <c r="L21" s="419">
        <v>3277</v>
      </c>
      <c r="M21" s="419">
        <v>3276</v>
      </c>
      <c r="N21" s="420">
        <f t="shared" si="2"/>
        <v>39316</v>
      </c>
      <c r="O21" s="459">
        <v>39316</v>
      </c>
    </row>
    <row r="22" spans="1:16" ht="12.75" x14ac:dyDescent="0.25">
      <c r="A22" s="429" t="s">
        <v>56</v>
      </c>
      <c r="B22" s="418">
        <v>11603</v>
      </c>
      <c r="C22" s="419">
        <v>11603</v>
      </c>
      <c r="D22" s="419">
        <v>11603</v>
      </c>
      <c r="E22" s="419">
        <v>11603</v>
      </c>
      <c r="F22" s="419">
        <v>11603</v>
      </c>
      <c r="G22" s="419">
        <v>11604</v>
      </c>
      <c r="H22" s="419">
        <v>11604</v>
      </c>
      <c r="I22" s="419">
        <v>11604</v>
      </c>
      <c r="J22" s="419">
        <v>11604</v>
      </c>
      <c r="K22" s="419">
        <v>11603</v>
      </c>
      <c r="L22" s="419">
        <v>11603</v>
      </c>
      <c r="M22" s="419">
        <v>11603</v>
      </c>
      <c r="N22" s="420">
        <f t="shared" si="2"/>
        <v>139240</v>
      </c>
      <c r="O22" s="459">
        <v>139240</v>
      </c>
    </row>
    <row r="23" spans="1:16" ht="12.75" x14ac:dyDescent="0.25">
      <c r="A23" s="417" t="s">
        <v>459</v>
      </c>
      <c r="B23" s="418">
        <v>1136</v>
      </c>
      <c r="C23" s="419">
        <v>1136</v>
      </c>
      <c r="D23" s="419">
        <v>1136</v>
      </c>
      <c r="E23" s="419">
        <v>1136</v>
      </c>
      <c r="F23" s="419">
        <v>1136</v>
      </c>
      <c r="G23" s="419">
        <v>1136</v>
      </c>
      <c r="H23" s="419">
        <v>1136</v>
      </c>
      <c r="I23" s="419">
        <v>1136</v>
      </c>
      <c r="J23" s="419">
        <v>1136</v>
      </c>
      <c r="K23" s="419">
        <v>1136</v>
      </c>
      <c r="L23" s="419">
        <v>1136</v>
      </c>
      <c r="M23" s="419">
        <v>1136</v>
      </c>
      <c r="N23" s="420">
        <f t="shared" si="2"/>
        <v>13632</v>
      </c>
      <c r="O23" s="459">
        <v>13632</v>
      </c>
      <c r="P23" s="464"/>
    </row>
    <row r="24" spans="1:16" ht="12.75" x14ac:dyDescent="0.25">
      <c r="A24" s="417" t="s">
        <v>73</v>
      </c>
      <c r="B24" s="418">
        <v>588</v>
      </c>
      <c r="C24" s="418">
        <v>588</v>
      </c>
      <c r="D24" s="418">
        <v>588</v>
      </c>
      <c r="E24" s="418">
        <v>588</v>
      </c>
      <c r="F24" s="418">
        <v>588</v>
      </c>
      <c r="G24" s="418">
        <v>588</v>
      </c>
      <c r="H24" s="418">
        <v>588</v>
      </c>
      <c r="I24" s="418">
        <v>589</v>
      </c>
      <c r="J24" s="418">
        <v>589</v>
      </c>
      <c r="K24" s="418">
        <v>589</v>
      </c>
      <c r="L24" s="418">
        <v>589</v>
      </c>
      <c r="M24" s="418">
        <v>589</v>
      </c>
      <c r="N24" s="420">
        <f t="shared" si="2"/>
        <v>7061</v>
      </c>
      <c r="O24" s="459">
        <v>7061</v>
      </c>
    </row>
    <row r="25" spans="1:16" ht="12.75" x14ac:dyDescent="0.25">
      <c r="A25" s="417" t="s">
        <v>83</v>
      </c>
      <c r="B25" s="418">
        <v>11246</v>
      </c>
      <c r="C25" s="418">
        <v>11246</v>
      </c>
      <c r="D25" s="418">
        <v>11246</v>
      </c>
      <c r="E25" s="418">
        <v>11246</v>
      </c>
      <c r="F25" s="418">
        <v>11246</v>
      </c>
      <c r="G25" s="418">
        <v>11246</v>
      </c>
      <c r="H25" s="418">
        <v>11246</v>
      </c>
      <c r="I25" s="418">
        <v>11246</v>
      </c>
      <c r="J25" s="418">
        <v>11245</v>
      </c>
      <c r="K25" s="418">
        <v>11245</v>
      </c>
      <c r="L25" s="418">
        <v>11245</v>
      </c>
      <c r="M25" s="418">
        <v>11245</v>
      </c>
      <c r="N25" s="420">
        <f t="shared" si="2"/>
        <v>134948</v>
      </c>
      <c r="O25" s="459">
        <v>134948</v>
      </c>
    </row>
    <row r="26" spans="1:16" ht="12.75" x14ac:dyDescent="0.25">
      <c r="A26" s="417" t="s">
        <v>97</v>
      </c>
      <c r="B26" s="418">
        <v>21053</v>
      </c>
      <c r="C26" s="419">
        <v>21053</v>
      </c>
      <c r="D26" s="419">
        <v>21053</v>
      </c>
      <c r="E26" s="419">
        <v>21052</v>
      </c>
      <c r="F26" s="419">
        <v>21053</v>
      </c>
      <c r="G26" s="419">
        <v>21053</v>
      </c>
      <c r="H26" s="419">
        <v>21052</v>
      </c>
      <c r="I26" s="419">
        <v>21053</v>
      </c>
      <c r="J26" s="419">
        <v>21052</v>
      </c>
      <c r="K26" s="419">
        <v>21053</v>
      </c>
      <c r="L26" s="419">
        <v>21052</v>
      </c>
      <c r="M26" s="419">
        <v>21053</v>
      </c>
      <c r="N26" s="420">
        <f t="shared" si="2"/>
        <v>252632</v>
      </c>
      <c r="O26" s="459">
        <v>252632</v>
      </c>
    </row>
    <row r="27" spans="1:16" ht="12.75" x14ac:dyDescent="0.25">
      <c r="A27" s="417" t="s">
        <v>489</v>
      </c>
      <c r="B27" s="418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20">
        <v>0</v>
      </c>
    </row>
    <row r="28" spans="1:16" ht="14.25" x14ac:dyDescent="0.25">
      <c r="A28" s="431" t="s">
        <v>460</v>
      </c>
      <c r="B28" s="432">
        <f>+B20+B21+B22+B23+B24+B26+B25</f>
        <v>49829</v>
      </c>
      <c r="C28" s="432">
        <f t="shared" ref="C28:L28" si="3">+C20+C21+C22+C23+C24+C26+C25</f>
        <v>49829</v>
      </c>
      <c r="D28" s="432">
        <f t="shared" si="3"/>
        <v>49830</v>
      </c>
      <c r="E28" s="432">
        <f t="shared" si="3"/>
        <v>49829</v>
      </c>
      <c r="F28" s="432">
        <f t="shared" si="3"/>
        <v>49832</v>
      </c>
      <c r="G28" s="432">
        <f t="shared" si="3"/>
        <v>49831</v>
      </c>
      <c r="H28" s="432">
        <f t="shared" si="3"/>
        <v>49830</v>
      </c>
      <c r="I28" s="432">
        <f t="shared" si="3"/>
        <v>49833</v>
      </c>
      <c r="J28" s="432">
        <f t="shared" si="3"/>
        <v>49831</v>
      </c>
      <c r="K28" s="432">
        <f t="shared" si="3"/>
        <v>49831</v>
      </c>
      <c r="L28" s="432">
        <f t="shared" si="3"/>
        <v>49829</v>
      </c>
      <c r="M28" s="432">
        <f>+M20+M21+M22+M23+M24+M26+M25+M27</f>
        <v>49830</v>
      </c>
      <c r="N28" s="420">
        <v>597964</v>
      </c>
      <c r="O28" s="420">
        <f>O20+O21+O22+O23+O24+O25+O26+O27</f>
        <v>597964</v>
      </c>
    </row>
    <row r="29" spans="1:16" ht="14.25" hidden="1" x14ac:dyDescent="0.25">
      <c r="A29" s="465"/>
      <c r="B29" s="466">
        <f t="shared" ref="B29:M29" si="4">+B18-B28</f>
        <v>2574</v>
      </c>
      <c r="C29" s="466">
        <f t="shared" si="4"/>
        <v>-233</v>
      </c>
      <c r="D29" s="466">
        <f t="shared" si="4"/>
        <v>-233</v>
      </c>
      <c r="E29" s="466">
        <f t="shared" si="4"/>
        <v>-232</v>
      </c>
      <c r="F29" s="466">
        <f t="shared" si="4"/>
        <v>-236</v>
      </c>
      <c r="G29" s="466">
        <f t="shared" si="4"/>
        <v>-235</v>
      </c>
      <c r="H29" s="466">
        <f t="shared" si="4"/>
        <v>-232</v>
      </c>
      <c r="I29" s="466">
        <f t="shared" si="4"/>
        <v>-236</v>
      </c>
      <c r="J29" s="466">
        <f t="shared" si="4"/>
        <v>-234</v>
      </c>
      <c r="K29" s="466">
        <f t="shared" si="4"/>
        <v>-235</v>
      </c>
      <c r="L29" s="466">
        <f t="shared" si="4"/>
        <v>-234</v>
      </c>
      <c r="M29" s="466">
        <f t="shared" si="4"/>
        <v>-234</v>
      </c>
      <c r="N29" s="467">
        <f>SUM(N20:N27)</f>
        <v>597964</v>
      </c>
    </row>
    <row r="30" spans="1:16" ht="14.25" x14ac:dyDescent="0.25">
      <c r="A30" s="465"/>
      <c r="B30" s="466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  <c r="N30" s="467"/>
    </row>
    <row r="31" spans="1:16" ht="14.25" x14ac:dyDescent="0.25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66"/>
      <c r="L31" s="466"/>
      <c r="M31" s="466"/>
      <c r="N31" s="467"/>
    </row>
    <row r="32" spans="1:16" ht="14.25" x14ac:dyDescent="0.25">
      <c r="A32" s="465"/>
      <c r="B32" s="466"/>
      <c r="C32" s="466"/>
      <c r="D32" s="466"/>
      <c r="E32" s="466"/>
      <c r="F32" s="466"/>
      <c r="G32" s="466"/>
      <c r="H32" s="466"/>
      <c r="I32" s="466"/>
      <c r="J32" s="466"/>
      <c r="K32" s="466"/>
      <c r="L32" s="466"/>
      <c r="M32" s="466"/>
      <c r="N32" s="467"/>
    </row>
    <row r="33" spans="1:14" ht="14.25" x14ac:dyDescent="0.25">
      <c r="A33" s="465"/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7"/>
    </row>
    <row r="34" spans="1:14" ht="14.25" x14ac:dyDescent="0.25">
      <c r="A34" s="465"/>
      <c r="B34" s="466"/>
      <c r="C34" s="466"/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7"/>
    </row>
    <row r="35" spans="1:14" ht="14.25" x14ac:dyDescent="0.25">
      <c r="A35" s="465"/>
      <c r="B35" s="466"/>
      <c r="C35" s="466"/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7"/>
    </row>
    <row r="36" spans="1:14" ht="14.25" x14ac:dyDescent="0.25">
      <c r="A36" s="465"/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7"/>
    </row>
    <row r="37" spans="1:14" ht="14.25" x14ac:dyDescent="0.25">
      <c r="A37" s="465"/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7"/>
    </row>
    <row r="38" spans="1:14" x14ac:dyDescent="0.25"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</row>
    <row r="44" spans="1:14" x14ac:dyDescent="0.25">
      <c r="A44" s="470"/>
    </row>
    <row r="45" spans="1:14" x14ac:dyDescent="0.25">
      <c r="A45" s="470"/>
    </row>
    <row r="46" spans="1:14" x14ac:dyDescent="0.25">
      <c r="A46" s="470"/>
    </row>
    <row r="47" spans="1:14" x14ac:dyDescent="0.25">
      <c r="A47" s="470"/>
    </row>
    <row r="48" spans="1:14" x14ac:dyDescent="0.25">
      <c r="A48" s="470"/>
    </row>
    <row r="49" spans="1:17" x14ac:dyDescent="0.25">
      <c r="A49" s="470"/>
    </row>
    <row r="50" spans="1:17" x14ac:dyDescent="0.25">
      <c r="A50" s="470"/>
    </row>
    <row r="51" spans="1:17" x14ac:dyDescent="0.25">
      <c r="A51" s="470"/>
    </row>
    <row r="52" spans="1:17" x14ac:dyDescent="0.25">
      <c r="A52" s="470"/>
    </row>
    <row r="53" spans="1:17" x14ac:dyDescent="0.25">
      <c r="A53" s="470"/>
    </row>
    <row r="54" spans="1:17" x14ac:dyDescent="0.25">
      <c r="A54" s="470"/>
    </row>
    <row r="55" spans="1:17" x14ac:dyDescent="0.25">
      <c r="A55" s="470"/>
      <c r="Q55" s="460">
        <f>+O55+O45</f>
        <v>0</v>
      </c>
    </row>
    <row r="56" spans="1:17" x14ac:dyDescent="0.25">
      <c r="A56" s="470"/>
    </row>
    <row r="57" spans="1:17" x14ac:dyDescent="0.25">
      <c r="A57" s="470"/>
    </row>
    <row r="58" spans="1:17" x14ac:dyDescent="0.25">
      <c r="A58" s="470"/>
    </row>
    <row r="59" spans="1:17" x14ac:dyDescent="0.25">
      <c r="A59" s="470"/>
    </row>
    <row r="60" spans="1:17" x14ac:dyDescent="0.25">
      <c r="A60" s="470"/>
    </row>
    <row r="61" spans="1:17" x14ac:dyDescent="0.25">
      <c r="A61" s="470"/>
    </row>
    <row r="62" spans="1:17" x14ac:dyDescent="0.25">
      <c r="A62" s="470"/>
    </row>
    <row r="63" spans="1:17" x14ac:dyDescent="0.25">
      <c r="A63" s="470"/>
    </row>
    <row r="64" spans="1:17" x14ac:dyDescent="0.25">
      <c r="A64" s="470"/>
    </row>
    <row r="68" spans="12:12" x14ac:dyDescent="0.25">
      <c r="L68" s="471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opLeftCell="A28" workbookViewId="0">
      <selection activeCell="AA38" sqref="AA38"/>
    </sheetView>
  </sheetViews>
  <sheetFormatPr defaultRowHeight="15" x14ac:dyDescent="0.25"/>
  <cols>
    <col min="5" max="5" width="9.140625" customWidth="1"/>
    <col min="6" max="6" width="3.7109375" customWidth="1"/>
    <col min="7" max="19" width="9.140625" hidden="1" customWidth="1"/>
    <col min="22" max="22" width="10.140625" bestFit="1" customWidth="1"/>
    <col min="24" max="24" width="10.140625" style="402" bestFit="1" customWidth="1"/>
  </cols>
  <sheetData>
    <row r="1" spans="1:25" ht="18.75" x14ac:dyDescent="0.25">
      <c r="A1" s="472"/>
      <c r="B1" s="473"/>
      <c r="C1" s="529" t="s">
        <v>214</v>
      </c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Y1" t="s">
        <v>490</v>
      </c>
    </row>
    <row r="2" spans="1:25" ht="18.75" x14ac:dyDescent="0.25">
      <c r="A2" s="473"/>
      <c r="B2" s="473"/>
      <c r="C2" s="529" t="s">
        <v>4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</row>
    <row r="3" spans="1:25" ht="16.5" thickBot="1" x14ac:dyDescent="0.3">
      <c r="A3" s="473"/>
      <c r="B3" s="473"/>
      <c r="C3" s="474" t="s">
        <v>491</v>
      </c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</row>
    <row r="4" spans="1:25" ht="15.75" thickBot="1" x14ac:dyDescent="0.3">
      <c r="A4" s="473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6"/>
      <c r="W4" s="530"/>
      <c r="X4" s="533"/>
    </row>
    <row r="5" spans="1:25" x14ac:dyDescent="0.25">
      <c r="A5" s="894" t="s">
        <v>8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6"/>
      <c r="T5" s="900" t="s">
        <v>7</v>
      </c>
      <c r="U5" s="901"/>
      <c r="V5" s="477" t="s">
        <v>492</v>
      </c>
      <c r="W5" s="532"/>
      <c r="X5" s="534"/>
    </row>
    <row r="6" spans="1:25" ht="30" x14ac:dyDescent="0.25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9"/>
      <c r="T6" s="902"/>
      <c r="U6" s="903"/>
      <c r="V6" s="477" t="s">
        <v>492</v>
      </c>
      <c r="W6" s="531" t="s">
        <v>493</v>
      </c>
      <c r="X6" s="531" t="s">
        <v>613</v>
      </c>
    </row>
    <row r="7" spans="1:25" x14ac:dyDescent="0.25">
      <c r="A7" s="886" t="s">
        <v>494</v>
      </c>
      <c r="B7" s="887"/>
      <c r="C7" s="887"/>
      <c r="D7" s="887"/>
      <c r="E7" s="887"/>
      <c r="F7" s="887"/>
      <c r="G7" s="887"/>
      <c r="H7" s="887"/>
      <c r="I7" s="887"/>
      <c r="J7" s="887"/>
      <c r="K7" s="887"/>
      <c r="L7" s="887"/>
      <c r="M7" s="887"/>
      <c r="N7" s="887"/>
      <c r="O7" s="887"/>
      <c r="P7" s="887"/>
      <c r="Q7" s="887"/>
      <c r="R7" s="887"/>
      <c r="S7" s="888"/>
      <c r="T7" s="881" t="s">
        <v>495</v>
      </c>
      <c r="U7" s="882"/>
      <c r="V7" s="478" t="s">
        <v>496</v>
      </c>
      <c r="W7" s="535"/>
      <c r="X7" s="536">
        <v>82000</v>
      </c>
    </row>
    <row r="8" spans="1:25" ht="12.75" customHeight="1" x14ac:dyDescent="0.25">
      <c r="A8" s="886" t="s">
        <v>497</v>
      </c>
      <c r="B8" s="887"/>
      <c r="C8" s="887"/>
      <c r="D8" s="887"/>
      <c r="E8" s="887"/>
      <c r="F8" s="887"/>
      <c r="G8" s="887"/>
      <c r="H8" s="887"/>
      <c r="I8" s="887"/>
      <c r="J8" s="887"/>
      <c r="K8" s="887"/>
      <c r="L8" s="887"/>
      <c r="M8" s="887"/>
      <c r="N8" s="887"/>
      <c r="O8" s="887"/>
      <c r="P8" s="887"/>
      <c r="Q8" s="887"/>
      <c r="R8" s="887"/>
      <c r="S8" s="888"/>
      <c r="T8" s="881" t="s">
        <v>498</v>
      </c>
      <c r="U8" s="882"/>
      <c r="V8" s="479" t="s">
        <v>499</v>
      </c>
      <c r="W8" s="535" t="s">
        <v>500</v>
      </c>
      <c r="X8" s="536">
        <v>4725000</v>
      </c>
    </row>
    <row r="9" spans="1:25" ht="12.75" customHeight="1" x14ac:dyDescent="0.25">
      <c r="A9" s="886" t="s">
        <v>501</v>
      </c>
      <c r="B9" s="887"/>
      <c r="C9" s="887"/>
      <c r="D9" s="887"/>
      <c r="E9" s="887"/>
      <c r="F9" s="887"/>
      <c r="G9" s="887"/>
      <c r="H9" s="887"/>
      <c r="I9" s="887"/>
      <c r="J9" s="887"/>
      <c r="K9" s="887"/>
      <c r="L9" s="887"/>
      <c r="M9" s="887"/>
      <c r="N9" s="887"/>
      <c r="O9" s="887"/>
      <c r="P9" s="887"/>
      <c r="Q9" s="887"/>
      <c r="R9" s="887"/>
      <c r="S9" s="888"/>
      <c r="T9" s="881" t="s">
        <v>502</v>
      </c>
      <c r="U9" s="882"/>
      <c r="V9" s="479" t="s">
        <v>503</v>
      </c>
      <c r="W9" s="535" t="s">
        <v>504</v>
      </c>
      <c r="X9" s="536">
        <v>0</v>
      </c>
    </row>
    <row r="10" spans="1:25" ht="12.75" customHeight="1" x14ac:dyDescent="0.25">
      <c r="A10" s="878" t="s">
        <v>505</v>
      </c>
      <c r="B10" s="879"/>
      <c r="C10" s="879"/>
      <c r="D10" s="879"/>
      <c r="E10" s="879"/>
      <c r="F10" s="879"/>
      <c r="G10" s="879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80"/>
      <c r="T10" s="881" t="s">
        <v>506</v>
      </c>
      <c r="U10" s="882"/>
      <c r="V10" s="479"/>
      <c r="W10" s="535" t="s">
        <v>507</v>
      </c>
      <c r="X10" s="536">
        <v>4807000</v>
      </c>
    </row>
    <row r="11" spans="1:25" ht="15.75" customHeight="1" x14ac:dyDescent="0.25">
      <c r="A11" s="886" t="s">
        <v>508</v>
      </c>
      <c r="B11" s="887"/>
      <c r="C11" s="887"/>
      <c r="D11" s="887"/>
      <c r="E11" s="887"/>
      <c r="F11" s="887"/>
      <c r="G11" s="887"/>
      <c r="H11" s="887"/>
      <c r="I11" s="887"/>
      <c r="J11" s="887"/>
      <c r="K11" s="887"/>
      <c r="L11" s="887"/>
      <c r="M11" s="887"/>
      <c r="N11" s="887"/>
      <c r="O11" s="887"/>
      <c r="P11" s="887"/>
      <c r="Q11" s="887"/>
      <c r="R11" s="887"/>
      <c r="S11" s="888"/>
      <c r="T11" s="881" t="s">
        <v>509</v>
      </c>
      <c r="U11" s="882"/>
      <c r="V11" s="479" t="s">
        <v>510</v>
      </c>
      <c r="W11" s="535"/>
      <c r="X11" s="536">
        <v>0</v>
      </c>
    </row>
    <row r="12" spans="1:25" ht="12.75" customHeight="1" x14ac:dyDescent="0.25">
      <c r="A12" s="886" t="s">
        <v>511</v>
      </c>
      <c r="B12" s="887"/>
      <c r="C12" s="887"/>
      <c r="D12" s="887"/>
      <c r="E12" s="887"/>
      <c r="F12" s="887"/>
      <c r="G12" s="887"/>
      <c r="H12" s="887"/>
      <c r="I12" s="887"/>
      <c r="J12" s="887"/>
      <c r="K12" s="887"/>
      <c r="L12" s="887"/>
      <c r="M12" s="887"/>
      <c r="N12" s="887"/>
      <c r="O12" s="887"/>
      <c r="P12" s="887"/>
      <c r="Q12" s="887"/>
      <c r="R12" s="887"/>
      <c r="S12" s="888"/>
      <c r="T12" s="881" t="s">
        <v>512</v>
      </c>
      <c r="U12" s="882"/>
      <c r="V12" s="479" t="s">
        <v>513</v>
      </c>
      <c r="W12" s="535"/>
      <c r="X12" s="536">
        <v>386000</v>
      </c>
    </row>
    <row r="13" spans="1:25" ht="12.75" customHeight="1" x14ac:dyDescent="0.25">
      <c r="A13" s="878" t="s">
        <v>514</v>
      </c>
      <c r="B13" s="879"/>
      <c r="C13" s="879"/>
      <c r="D13" s="879"/>
      <c r="E13" s="879"/>
      <c r="F13" s="879"/>
      <c r="G13" s="879"/>
      <c r="H13" s="879"/>
      <c r="I13" s="879"/>
      <c r="J13" s="879"/>
      <c r="K13" s="879"/>
      <c r="L13" s="879"/>
      <c r="M13" s="879"/>
      <c r="N13" s="879"/>
      <c r="O13" s="879"/>
      <c r="P13" s="879"/>
      <c r="Q13" s="879"/>
      <c r="R13" s="879"/>
      <c r="S13" s="880"/>
      <c r="T13" s="881" t="s">
        <v>515</v>
      </c>
      <c r="U13" s="882"/>
      <c r="V13" s="479"/>
      <c r="W13" s="535"/>
      <c r="X13" s="536">
        <v>386000</v>
      </c>
    </row>
    <row r="14" spans="1:25" ht="15.75" customHeight="1" x14ac:dyDescent="0.25">
      <c r="A14" s="886" t="s">
        <v>516</v>
      </c>
      <c r="B14" s="887"/>
      <c r="C14" s="887"/>
      <c r="D14" s="887"/>
      <c r="E14" s="887"/>
      <c r="F14" s="887"/>
      <c r="G14" s="887"/>
      <c r="H14" s="887"/>
      <c r="I14" s="887"/>
      <c r="J14" s="887"/>
      <c r="K14" s="887"/>
      <c r="L14" s="887"/>
      <c r="M14" s="887"/>
      <c r="N14" s="887"/>
      <c r="O14" s="887"/>
      <c r="P14" s="887"/>
      <c r="Q14" s="887"/>
      <c r="R14" s="887"/>
      <c r="S14" s="888"/>
      <c r="T14" s="881" t="s">
        <v>517</v>
      </c>
      <c r="U14" s="882"/>
      <c r="V14" s="479" t="s">
        <v>518</v>
      </c>
      <c r="W14" s="535"/>
      <c r="X14" s="536">
        <v>3825000</v>
      </c>
    </row>
    <row r="15" spans="1:25" ht="12.75" customHeight="1" x14ac:dyDescent="0.25">
      <c r="A15" s="886" t="s">
        <v>519</v>
      </c>
      <c r="B15" s="887"/>
      <c r="C15" s="887"/>
      <c r="D15" s="887"/>
      <c r="E15" s="887"/>
      <c r="F15" s="887"/>
      <c r="G15" s="887"/>
      <c r="H15" s="887"/>
      <c r="I15" s="887"/>
      <c r="J15" s="887"/>
      <c r="K15" s="887"/>
      <c r="L15" s="887"/>
      <c r="M15" s="887"/>
      <c r="N15" s="887"/>
      <c r="O15" s="887"/>
      <c r="P15" s="887"/>
      <c r="Q15" s="887"/>
      <c r="R15" s="887"/>
      <c r="S15" s="888"/>
      <c r="T15" s="881" t="s">
        <v>520</v>
      </c>
      <c r="U15" s="882"/>
      <c r="V15" s="479" t="s">
        <v>521</v>
      </c>
      <c r="W15" s="535" t="s">
        <v>522</v>
      </c>
      <c r="X15" s="536">
        <v>22960000</v>
      </c>
    </row>
    <row r="16" spans="1:25" ht="12.75" customHeight="1" x14ac:dyDescent="0.25">
      <c r="A16" s="886" t="s">
        <v>523</v>
      </c>
      <c r="B16" s="887"/>
      <c r="C16" s="887"/>
      <c r="D16" s="887"/>
      <c r="E16" s="887"/>
      <c r="F16" s="887"/>
      <c r="G16" s="887"/>
      <c r="H16" s="887"/>
      <c r="I16" s="887"/>
      <c r="J16" s="887"/>
      <c r="K16" s="887"/>
      <c r="L16" s="887"/>
      <c r="M16" s="887"/>
      <c r="N16" s="887"/>
      <c r="O16" s="887"/>
      <c r="P16" s="887"/>
      <c r="Q16" s="887"/>
      <c r="R16" s="887"/>
      <c r="S16" s="888"/>
      <c r="T16" s="881" t="s">
        <v>524</v>
      </c>
      <c r="U16" s="882"/>
      <c r="V16" s="479" t="s">
        <v>525</v>
      </c>
      <c r="W16" s="535"/>
      <c r="X16" s="536">
        <v>1370000</v>
      </c>
    </row>
    <row r="17" spans="1:24" ht="15.75" customHeight="1" x14ac:dyDescent="0.25">
      <c r="A17" s="883" t="s">
        <v>526</v>
      </c>
      <c r="B17" s="884"/>
      <c r="C17" s="884"/>
      <c r="D17" s="884"/>
      <c r="E17" s="884"/>
      <c r="F17" s="884"/>
      <c r="G17" s="884"/>
      <c r="H17" s="884"/>
      <c r="I17" s="884"/>
      <c r="J17" s="884"/>
      <c r="K17" s="884"/>
      <c r="L17" s="884"/>
      <c r="M17" s="884"/>
      <c r="N17" s="884"/>
      <c r="O17" s="884"/>
      <c r="P17" s="884"/>
      <c r="Q17" s="884"/>
      <c r="R17" s="884"/>
      <c r="S17" s="885"/>
      <c r="T17" s="881" t="s">
        <v>527</v>
      </c>
      <c r="U17" s="882"/>
      <c r="V17" s="480"/>
      <c r="W17" s="535" t="s">
        <v>528</v>
      </c>
      <c r="X17" s="536">
        <v>0</v>
      </c>
    </row>
    <row r="18" spans="1:24" ht="15.75" customHeight="1" x14ac:dyDescent="0.25">
      <c r="A18" s="886" t="s">
        <v>529</v>
      </c>
      <c r="B18" s="887"/>
      <c r="C18" s="887"/>
      <c r="D18" s="887"/>
      <c r="E18" s="887"/>
      <c r="F18" s="887"/>
      <c r="G18" s="887"/>
      <c r="H18" s="887"/>
      <c r="I18" s="887"/>
      <c r="J18" s="887"/>
      <c r="K18" s="887"/>
      <c r="L18" s="887"/>
      <c r="M18" s="887"/>
      <c r="N18" s="887"/>
      <c r="O18" s="887"/>
      <c r="P18" s="887"/>
      <c r="Q18" s="887"/>
      <c r="R18" s="887"/>
      <c r="S18" s="888"/>
      <c r="T18" s="881" t="s">
        <v>530</v>
      </c>
      <c r="U18" s="882"/>
      <c r="V18" s="479" t="s">
        <v>531</v>
      </c>
      <c r="W18" s="535"/>
      <c r="X18" s="536">
        <v>5702307</v>
      </c>
    </row>
    <row r="19" spans="1:24" ht="15.75" customHeight="1" x14ac:dyDescent="0.25">
      <c r="A19" s="886" t="s">
        <v>532</v>
      </c>
      <c r="B19" s="887"/>
      <c r="C19" s="887"/>
      <c r="D19" s="887"/>
      <c r="E19" s="887"/>
      <c r="F19" s="887"/>
      <c r="G19" s="887"/>
      <c r="H19" s="887"/>
      <c r="I19" s="887"/>
      <c r="J19" s="887"/>
      <c r="K19" s="887"/>
      <c r="L19" s="887"/>
      <c r="M19" s="887"/>
      <c r="N19" s="887"/>
      <c r="O19" s="887"/>
      <c r="P19" s="887"/>
      <c r="Q19" s="887"/>
      <c r="R19" s="887"/>
      <c r="S19" s="888"/>
      <c r="T19" s="881" t="s">
        <v>533</v>
      </c>
      <c r="U19" s="882"/>
      <c r="V19" s="479" t="s">
        <v>534</v>
      </c>
      <c r="W19" s="535" t="s">
        <v>535</v>
      </c>
      <c r="X19" s="536">
        <v>0</v>
      </c>
    </row>
    <row r="20" spans="1:24" ht="15.75" customHeight="1" x14ac:dyDescent="0.25">
      <c r="A20" s="883" t="s">
        <v>536</v>
      </c>
      <c r="B20" s="884"/>
      <c r="C20" s="884"/>
      <c r="D20" s="884"/>
      <c r="E20" s="884"/>
      <c r="F20" s="884"/>
      <c r="G20" s="884"/>
      <c r="H20" s="884"/>
      <c r="I20" s="884"/>
      <c r="J20" s="884"/>
      <c r="K20" s="884"/>
      <c r="L20" s="884"/>
      <c r="M20" s="884"/>
      <c r="N20" s="884"/>
      <c r="O20" s="884"/>
      <c r="P20" s="884"/>
      <c r="Q20" s="884"/>
      <c r="R20" s="884"/>
      <c r="S20" s="885"/>
      <c r="T20" s="881" t="s">
        <v>537</v>
      </c>
      <c r="U20" s="882"/>
      <c r="V20" s="479"/>
      <c r="W20" s="535" t="s">
        <v>504</v>
      </c>
      <c r="X20" s="536">
        <v>0</v>
      </c>
    </row>
    <row r="21" spans="1:24" ht="15.75" customHeight="1" x14ac:dyDescent="0.25">
      <c r="A21" s="758" t="s">
        <v>538</v>
      </c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  <c r="M21" s="759"/>
      <c r="N21" s="759"/>
      <c r="O21" s="759"/>
      <c r="P21" s="759"/>
      <c r="Q21" s="759"/>
      <c r="R21" s="759"/>
      <c r="S21" s="760"/>
      <c r="T21" s="892" t="s">
        <v>539</v>
      </c>
      <c r="U21" s="893"/>
      <c r="V21" s="481" t="s">
        <v>540</v>
      </c>
      <c r="W21" s="535"/>
      <c r="X21" s="536">
        <v>0</v>
      </c>
    </row>
    <row r="22" spans="1:24" ht="15.75" customHeight="1" x14ac:dyDescent="0.25">
      <c r="A22" s="886" t="s">
        <v>541</v>
      </c>
      <c r="B22" s="887"/>
      <c r="C22" s="887"/>
      <c r="D22" s="887"/>
      <c r="E22" s="887"/>
      <c r="F22" s="887"/>
      <c r="G22" s="887"/>
      <c r="H22" s="887"/>
      <c r="I22" s="887"/>
      <c r="J22" s="887"/>
      <c r="K22" s="887"/>
      <c r="L22" s="887"/>
      <c r="M22" s="887"/>
      <c r="N22" s="887"/>
      <c r="O22" s="887"/>
      <c r="P22" s="887"/>
      <c r="Q22" s="887"/>
      <c r="R22" s="887"/>
      <c r="S22" s="888"/>
      <c r="T22" s="881" t="s">
        <v>542</v>
      </c>
      <c r="U22" s="882"/>
      <c r="V22" s="479" t="s">
        <v>543</v>
      </c>
      <c r="W22" s="535" t="s">
        <v>544</v>
      </c>
      <c r="X22" s="536">
        <v>13188100</v>
      </c>
    </row>
    <row r="23" spans="1:24" ht="15.75" customHeight="1" x14ac:dyDescent="0.25">
      <c r="A23" s="878" t="s">
        <v>545</v>
      </c>
      <c r="B23" s="879"/>
      <c r="C23" s="879"/>
      <c r="D23" s="879"/>
      <c r="E23" s="879"/>
      <c r="F23" s="879"/>
      <c r="G23" s="879"/>
      <c r="H23" s="879"/>
      <c r="I23" s="879"/>
      <c r="J23" s="879"/>
      <c r="K23" s="879"/>
      <c r="L23" s="879"/>
      <c r="M23" s="879"/>
      <c r="N23" s="879"/>
      <c r="O23" s="879"/>
      <c r="P23" s="879"/>
      <c r="Q23" s="879"/>
      <c r="R23" s="879"/>
      <c r="S23" s="880"/>
      <c r="T23" s="881" t="s">
        <v>546</v>
      </c>
      <c r="U23" s="882"/>
      <c r="V23" s="479"/>
      <c r="W23" s="535"/>
      <c r="X23" s="536">
        <v>47045407</v>
      </c>
    </row>
    <row r="24" spans="1:24" ht="16.5" customHeight="1" x14ac:dyDescent="0.25">
      <c r="A24" s="886" t="s">
        <v>547</v>
      </c>
      <c r="B24" s="887"/>
      <c r="C24" s="887"/>
      <c r="D24" s="887"/>
      <c r="E24" s="887"/>
      <c r="F24" s="887"/>
      <c r="G24" s="887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8"/>
      <c r="T24" s="881" t="s">
        <v>548</v>
      </c>
      <c r="U24" s="882"/>
      <c r="V24" s="479" t="s">
        <v>549</v>
      </c>
      <c r="W24" s="535"/>
      <c r="X24" s="536">
        <v>234000</v>
      </c>
    </row>
    <row r="25" spans="1:24" ht="15.75" customHeight="1" x14ac:dyDescent="0.25">
      <c r="A25" s="758" t="s">
        <v>550</v>
      </c>
      <c r="B25" s="759"/>
      <c r="C25" s="759"/>
      <c r="D25" s="759"/>
      <c r="E25" s="759"/>
      <c r="F25" s="759"/>
      <c r="G25" s="759"/>
      <c r="H25" s="759"/>
      <c r="I25" s="759"/>
      <c r="J25" s="759"/>
      <c r="K25" s="759"/>
      <c r="L25" s="759"/>
      <c r="M25" s="759"/>
      <c r="N25" s="759"/>
      <c r="O25" s="759"/>
      <c r="P25" s="759"/>
      <c r="Q25" s="759"/>
      <c r="R25" s="759"/>
      <c r="S25" s="760"/>
      <c r="T25" s="881" t="s">
        <v>551</v>
      </c>
      <c r="U25" s="882"/>
      <c r="V25" s="481" t="s">
        <v>552</v>
      </c>
      <c r="W25" s="535"/>
      <c r="X25" s="536">
        <v>330000</v>
      </c>
    </row>
    <row r="26" spans="1:24" ht="15.75" customHeight="1" x14ac:dyDescent="0.25">
      <c r="A26" s="878" t="s">
        <v>553</v>
      </c>
      <c r="B26" s="879"/>
      <c r="C26" s="879"/>
      <c r="D26" s="879"/>
      <c r="E26" s="879"/>
      <c r="F26" s="879"/>
      <c r="G26" s="879"/>
      <c r="H26" s="879"/>
      <c r="I26" s="879"/>
      <c r="J26" s="879"/>
      <c r="K26" s="879"/>
      <c r="L26" s="879"/>
      <c r="M26" s="879"/>
      <c r="N26" s="879"/>
      <c r="O26" s="879"/>
      <c r="P26" s="879"/>
      <c r="Q26" s="879"/>
      <c r="R26" s="879"/>
      <c r="S26" s="880"/>
      <c r="T26" s="881" t="s">
        <v>554</v>
      </c>
      <c r="U26" s="882"/>
      <c r="V26" s="479"/>
      <c r="W26" s="535" t="s">
        <v>555</v>
      </c>
      <c r="X26" s="536">
        <v>564000</v>
      </c>
    </row>
    <row r="27" spans="1:24" ht="16.5" customHeight="1" x14ac:dyDescent="0.25">
      <c r="A27" s="886" t="s">
        <v>556</v>
      </c>
      <c r="B27" s="887"/>
      <c r="C27" s="887"/>
      <c r="D27" s="887"/>
      <c r="E27" s="887"/>
      <c r="F27" s="887"/>
      <c r="G27" s="887"/>
      <c r="H27" s="887"/>
      <c r="I27" s="887"/>
      <c r="J27" s="887"/>
      <c r="K27" s="887"/>
      <c r="L27" s="887"/>
      <c r="M27" s="887"/>
      <c r="N27" s="887"/>
      <c r="O27" s="887"/>
      <c r="P27" s="887"/>
      <c r="Q27" s="887"/>
      <c r="R27" s="887"/>
      <c r="S27" s="888"/>
      <c r="T27" s="881" t="s">
        <v>557</v>
      </c>
      <c r="U27" s="882"/>
      <c r="V27" s="479" t="s">
        <v>558</v>
      </c>
      <c r="W27" s="535" t="s">
        <v>559</v>
      </c>
      <c r="X27" s="536">
        <v>15005603</v>
      </c>
    </row>
    <row r="28" spans="1:24" ht="15.75" customHeight="1" x14ac:dyDescent="0.25">
      <c r="A28" s="889" t="s">
        <v>560</v>
      </c>
      <c r="B28" s="890"/>
      <c r="C28" s="890"/>
      <c r="D28" s="890"/>
      <c r="E28" s="890"/>
      <c r="F28" s="890"/>
      <c r="G28" s="890"/>
      <c r="H28" s="890"/>
      <c r="I28" s="890"/>
      <c r="J28" s="890"/>
      <c r="K28" s="890"/>
      <c r="L28" s="890"/>
      <c r="M28" s="890"/>
      <c r="N28" s="890"/>
      <c r="O28" s="890"/>
      <c r="P28" s="890"/>
      <c r="Q28" s="890"/>
      <c r="R28" s="890"/>
      <c r="S28" s="891"/>
      <c r="T28" s="881" t="s">
        <v>561</v>
      </c>
      <c r="U28" s="882"/>
      <c r="V28" s="481" t="s">
        <v>562</v>
      </c>
      <c r="W28" s="535"/>
      <c r="X28" s="536">
        <v>0</v>
      </c>
    </row>
    <row r="29" spans="1:24" ht="15.75" x14ac:dyDescent="0.25">
      <c r="A29" s="878" t="s">
        <v>563</v>
      </c>
      <c r="B29" s="879"/>
      <c r="C29" s="879"/>
      <c r="D29" s="879"/>
      <c r="E29" s="879"/>
      <c r="F29" s="879"/>
      <c r="G29" s="879"/>
      <c r="H29" s="879"/>
      <c r="I29" s="879"/>
      <c r="J29" s="879"/>
      <c r="K29" s="879"/>
      <c r="L29" s="879"/>
      <c r="M29" s="879"/>
      <c r="N29" s="879"/>
      <c r="O29" s="879"/>
      <c r="P29" s="879"/>
      <c r="Q29" s="879"/>
      <c r="R29" s="879"/>
      <c r="S29" s="880"/>
      <c r="T29" s="881" t="s">
        <v>564</v>
      </c>
      <c r="U29" s="882"/>
      <c r="V29" s="479" t="s">
        <v>565</v>
      </c>
      <c r="W29" s="535"/>
      <c r="X29" s="536">
        <v>0</v>
      </c>
    </row>
    <row r="30" spans="1:24" ht="16.5" customHeight="1" x14ac:dyDescent="0.25">
      <c r="A30" s="883" t="s">
        <v>566</v>
      </c>
      <c r="B30" s="884"/>
      <c r="C30" s="884"/>
      <c r="D30" s="884"/>
      <c r="E30" s="884"/>
      <c r="F30" s="884"/>
      <c r="G30" s="884"/>
      <c r="H30" s="884"/>
      <c r="I30" s="884"/>
      <c r="J30" s="884"/>
      <c r="K30" s="884"/>
      <c r="L30" s="884"/>
      <c r="M30" s="884"/>
      <c r="N30" s="884"/>
      <c r="O30" s="884"/>
      <c r="P30" s="884"/>
      <c r="Q30" s="884"/>
      <c r="R30" s="884"/>
      <c r="S30" s="885"/>
      <c r="T30" s="881" t="s">
        <v>567</v>
      </c>
      <c r="U30" s="882"/>
      <c r="V30" s="479" t="s">
        <v>565</v>
      </c>
      <c r="W30" s="535" t="s">
        <v>568</v>
      </c>
      <c r="X30" s="536">
        <v>0</v>
      </c>
    </row>
    <row r="31" spans="1:24" ht="15.75" customHeight="1" x14ac:dyDescent="0.25">
      <c r="A31" s="883" t="s">
        <v>569</v>
      </c>
      <c r="B31" s="884"/>
      <c r="C31" s="884"/>
      <c r="D31" s="884"/>
      <c r="E31" s="884"/>
      <c r="F31" s="884"/>
      <c r="G31" s="884"/>
      <c r="H31" s="884"/>
      <c r="I31" s="884"/>
      <c r="J31" s="884"/>
      <c r="K31" s="884"/>
      <c r="L31" s="884"/>
      <c r="M31" s="884"/>
      <c r="N31" s="884"/>
      <c r="O31" s="884"/>
      <c r="P31" s="884"/>
      <c r="Q31" s="884"/>
      <c r="R31" s="884"/>
      <c r="S31" s="885"/>
      <c r="T31" s="881" t="s">
        <v>570</v>
      </c>
      <c r="U31" s="882"/>
      <c r="V31" s="479" t="s">
        <v>565</v>
      </c>
      <c r="W31" s="535" t="s">
        <v>571</v>
      </c>
      <c r="X31" s="536">
        <v>0</v>
      </c>
    </row>
    <row r="32" spans="1:24" ht="15.75" customHeight="1" x14ac:dyDescent="0.25">
      <c r="A32" s="878" t="s">
        <v>572</v>
      </c>
      <c r="B32" s="879"/>
      <c r="C32" s="879"/>
      <c r="D32" s="879"/>
      <c r="E32" s="879"/>
      <c r="F32" s="879"/>
      <c r="G32" s="879"/>
      <c r="H32" s="879"/>
      <c r="I32" s="879"/>
      <c r="J32" s="879"/>
      <c r="K32" s="879"/>
      <c r="L32" s="879"/>
      <c r="M32" s="879"/>
      <c r="N32" s="879"/>
      <c r="O32" s="879"/>
      <c r="P32" s="879"/>
      <c r="Q32" s="879"/>
      <c r="R32" s="879"/>
      <c r="S32" s="880"/>
      <c r="T32" s="881" t="s">
        <v>573</v>
      </c>
      <c r="U32" s="882"/>
      <c r="V32" s="479" t="s">
        <v>574</v>
      </c>
      <c r="W32" s="535"/>
      <c r="X32" s="536">
        <v>0</v>
      </c>
    </row>
    <row r="33" spans="1:24" ht="16.5" customHeight="1" x14ac:dyDescent="0.25">
      <c r="A33" s="883" t="s">
        <v>575</v>
      </c>
      <c r="B33" s="884"/>
      <c r="C33" s="884"/>
      <c r="D33" s="884"/>
      <c r="E33" s="884"/>
      <c r="F33" s="884"/>
      <c r="G33" s="884"/>
      <c r="H33" s="884"/>
      <c r="I33" s="884"/>
      <c r="J33" s="884"/>
      <c r="K33" s="884"/>
      <c r="L33" s="884"/>
      <c r="M33" s="884"/>
      <c r="N33" s="884"/>
      <c r="O33" s="884"/>
      <c r="P33" s="884"/>
      <c r="Q33" s="884"/>
      <c r="R33" s="884"/>
      <c r="S33" s="885"/>
      <c r="T33" s="881" t="s">
        <v>576</v>
      </c>
      <c r="U33" s="882"/>
      <c r="V33" s="479" t="s">
        <v>574</v>
      </c>
      <c r="W33" s="535" t="s">
        <v>577</v>
      </c>
      <c r="X33" s="536">
        <v>0</v>
      </c>
    </row>
    <row r="34" spans="1:24" ht="15.75" customHeight="1" x14ac:dyDescent="0.25">
      <c r="A34" s="883" t="s">
        <v>578</v>
      </c>
      <c r="B34" s="884"/>
      <c r="C34" s="884"/>
      <c r="D34" s="884"/>
      <c r="E34" s="884"/>
      <c r="F34" s="884"/>
      <c r="G34" s="884"/>
      <c r="H34" s="884"/>
      <c r="I34" s="884"/>
      <c r="J34" s="884"/>
      <c r="K34" s="884"/>
      <c r="L34" s="884"/>
      <c r="M34" s="884"/>
      <c r="N34" s="884"/>
      <c r="O34" s="884"/>
      <c r="P34" s="884"/>
      <c r="Q34" s="884"/>
      <c r="R34" s="884"/>
      <c r="S34" s="885"/>
      <c r="T34" s="881" t="s">
        <v>579</v>
      </c>
      <c r="U34" s="882"/>
      <c r="V34" s="479" t="s">
        <v>574</v>
      </c>
      <c r="W34" s="535" t="s">
        <v>580</v>
      </c>
      <c r="X34" s="536">
        <v>0</v>
      </c>
    </row>
    <row r="35" spans="1:24" ht="15.75" customHeight="1" x14ac:dyDescent="0.25">
      <c r="A35" s="883" t="s">
        <v>581</v>
      </c>
      <c r="B35" s="884"/>
      <c r="C35" s="884"/>
      <c r="D35" s="884"/>
      <c r="E35" s="884"/>
      <c r="F35" s="884"/>
      <c r="G35" s="884"/>
      <c r="H35" s="884"/>
      <c r="I35" s="884"/>
      <c r="J35" s="884"/>
      <c r="K35" s="884"/>
      <c r="L35" s="884"/>
      <c r="M35" s="884"/>
      <c r="N35" s="884"/>
      <c r="O35" s="884"/>
      <c r="P35" s="884"/>
      <c r="Q35" s="884"/>
      <c r="R35" s="884"/>
      <c r="S35" s="885"/>
      <c r="T35" s="881" t="s">
        <v>582</v>
      </c>
      <c r="U35" s="882"/>
      <c r="V35" s="479" t="s">
        <v>574</v>
      </c>
      <c r="W35" s="535" t="s">
        <v>583</v>
      </c>
      <c r="X35" s="536">
        <v>0</v>
      </c>
    </row>
    <row r="36" spans="1:24" ht="15.75" customHeight="1" x14ac:dyDescent="0.25">
      <c r="A36" s="886" t="s">
        <v>584</v>
      </c>
      <c r="B36" s="887"/>
      <c r="C36" s="887"/>
      <c r="D36" s="887"/>
      <c r="E36" s="887"/>
      <c r="F36" s="887"/>
      <c r="G36" s="887"/>
      <c r="H36" s="887"/>
      <c r="I36" s="887"/>
      <c r="J36" s="887"/>
      <c r="K36" s="887"/>
      <c r="L36" s="887"/>
      <c r="M36" s="887"/>
      <c r="N36" s="887"/>
      <c r="O36" s="887"/>
      <c r="P36" s="887"/>
      <c r="Q36" s="887"/>
      <c r="R36" s="887"/>
      <c r="S36" s="888"/>
      <c r="T36" s="881" t="s">
        <v>585</v>
      </c>
      <c r="U36" s="882"/>
      <c r="V36" s="479" t="s">
        <v>586</v>
      </c>
      <c r="W36" s="535"/>
      <c r="X36" s="536">
        <v>6366000</v>
      </c>
    </row>
    <row r="37" spans="1:24" ht="15.75" customHeight="1" x14ac:dyDescent="0.25">
      <c r="A37" s="878" t="s">
        <v>587</v>
      </c>
      <c r="B37" s="879"/>
      <c r="C37" s="879"/>
      <c r="D37" s="879"/>
      <c r="E37" s="879"/>
      <c r="F37" s="879"/>
      <c r="G37" s="879"/>
      <c r="H37" s="879"/>
      <c r="I37" s="879"/>
      <c r="J37" s="879"/>
      <c r="K37" s="879"/>
      <c r="L37" s="879"/>
      <c r="M37" s="879"/>
      <c r="N37" s="879"/>
      <c r="O37" s="879"/>
      <c r="P37" s="879"/>
      <c r="Q37" s="879"/>
      <c r="R37" s="879"/>
      <c r="S37" s="880"/>
      <c r="T37" s="881" t="s">
        <v>588</v>
      </c>
      <c r="U37" s="882"/>
      <c r="V37" s="479"/>
      <c r="W37" s="535"/>
      <c r="X37" s="536">
        <v>21371603</v>
      </c>
    </row>
    <row r="38" spans="1:24" ht="16.5" customHeight="1" x14ac:dyDescent="0.25">
      <c r="A38" s="878" t="s">
        <v>589</v>
      </c>
      <c r="B38" s="879"/>
      <c r="C38" s="879"/>
      <c r="D38" s="879"/>
      <c r="E38" s="879"/>
      <c r="F38" s="879"/>
      <c r="G38" s="879"/>
      <c r="H38" s="879"/>
      <c r="I38" s="879"/>
      <c r="J38" s="879"/>
      <c r="K38" s="879"/>
      <c r="L38" s="879"/>
      <c r="M38" s="879"/>
      <c r="N38" s="879"/>
      <c r="O38" s="879"/>
      <c r="P38" s="879"/>
      <c r="Q38" s="879"/>
      <c r="R38" s="879"/>
      <c r="S38" s="880"/>
      <c r="T38" s="881" t="s">
        <v>590</v>
      </c>
      <c r="U38" s="882"/>
      <c r="V38" s="479"/>
      <c r="W38" s="535"/>
      <c r="X38" s="537">
        <v>74174010</v>
      </c>
    </row>
    <row r="39" spans="1:24" ht="15.75" x14ac:dyDescent="0.25">
      <c r="A39" s="878" t="s">
        <v>589</v>
      </c>
      <c r="B39" s="879"/>
      <c r="C39" s="879"/>
      <c r="D39" s="879"/>
      <c r="E39" s="879"/>
      <c r="F39" s="879"/>
      <c r="G39" s="879"/>
      <c r="H39" s="879"/>
      <c r="I39" s="879"/>
      <c r="J39" s="879"/>
      <c r="K39" s="879"/>
      <c r="L39" s="879"/>
      <c r="M39" s="879"/>
      <c r="N39" s="879"/>
      <c r="O39" s="879"/>
      <c r="P39" s="879"/>
      <c r="Q39" s="879"/>
      <c r="R39" s="879"/>
      <c r="S39" s="880"/>
      <c r="T39" s="881" t="s">
        <v>590</v>
      </c>
      <c r="U39" s="882"/>
      <c r="V39" s="479"/>
      <c r="W39" s="535"/>
      <c r="X39" s="537">
        <v>74174010</v>
      </c>
    </row>
    <row r="40" spans="1:24" x14ac:dyDescent="0.25">
      <c r="X40"/>
    </row>
    <row r="41" spans="1:24" x14ac:dyDescent="0.25">
      <c r="W41" s="402"/>
      <c r="X41"/>
    </row>
    <row r="42" spans="1:24" x14ac:dyDescent="0.25">
      <c r="W42" s="402"/>
      <c r="X42"/>
    </row>
  </sheetData>
  <mergeCells count="68">
    <mergeCell ref="A5:S6"/>
    <mergeCell ref="T5:U6"/>
    <mergeCell ref="A7:S7"/>
    <mergeCell ref="T7:U7"/>
    <mergeCell ref="A8:S8"/>
    <mergeCell ref="T8:U8"/>
    <mergeCell ref="A9:S9"/>
    <mergeCell ref="T9:U9"/>
    <mergeCell ref="A10:S10"/>
    <mergeCell ref="T10:U10"/>
    <mergeCell ref="A11:S11"/>
    <mergeCell ref="T11:U11"/>
    <mergeCell ref="A12:S12"/>
    <mergeCell ref="T12:U12"/>
    <mergeCell ref="A13:S13"/>
    <mergeCell ref="T13:U13"/>
    <mergeCell ref="A14:S14"/>
    <mergeCell ref="T14:U14"/>
    <mergeCell ref="A15:S15"/>
    <mergeCell ref="T15:U15"/>
    <mergeCell ref="A16:S16"/>
    <mergeCell ref="T16:U16"/>
    <mergeCell ref="A17:S17"/>
    <mergeCell ref="T17:U17"/>
    <mergeCell ref="A18:S18"/>
    <mergeCell ref="T18:U18"/>
    <mergeCell ref="A19:S19"/>
    <mergeCell ref="T19:U19"/>
    <mergeCell ref="A20:S20"/>
    <mergeCell ref="T20:U20"/>
    <mergeCell ref="A21:S21"/>
    <mergeCell ref="T21:U21"/>
    <mergeCell ref="A22:S22"/>
    <mergeCell ref="T22:U22"/>
    <mergeCell ref="A23:S23"/>
    <mergeCell ref="T23:U23"/>
    <mergeCell ref="A24:S24"/>
    <mergeCell ref="T24:U24"/>
    <mergeCell ref="A25:S25"/>
    <mergeCell ref="T25:U25"/>
    <mergeCell ref="A26:S26"/>
    <mergeCell ref="T26:U26"/>
    <mergeCell ref="A27:S27"/>
    <mergeCell ref="T27:U27"/>
    <mergeCell ref="A28:S28"/>
    <mergeCell ref="T28:U28"/>
    <mergeCell ref="A29:S29"/>
    <mergeCell ref="T29:U29"/>
    <mergeCell ref="A30:S30"/>
    <mergeCell ref="T30:U30"/>
    <mergeCell ref="A31:S31"/>
    <mergeCell ref="T31:U31"/>
    <mergeCell ref="A32:S32"/>
    <mergeCell ref="T32:U32"/>
    <mergeCell ref="A33:S33"/>
    <mergeCell ref="T33:U33"/>
    <mergeCell ref="A34:S34"/>
    <mergeCell ref="T34:U34"/>
    <mergeCell ref="A38:S38"/>
    <mergeCell ref="T38:U38"/>
    <mergeCell ref="A39:S39"/>
    <mergeCell ref="T39:U39"/>
    <mergeCell ref="A35:S35"/>
    <mergeCell ref="T35:U35"/>
    <mergeCell ref="A36:S36"/>
    <mergeCell ref="T36:U36"/>
    <mergeCell ref="A37:S37"/>
    <mergeCell ref="T37:U3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L12" sqref="L12"/>
    </sheetView>
  </sheetViews>
  <sheetFormatPr defaultRowHeight="15" x14ac:dyDescent="0.25"/>
  <cols>
    <col min="6" max="6" width="11.28515625" bestFit="1" customWidth="1"/>
    <col min="8" max="8" width="13.85546875" bestFit="1" customWidth="1"/>
    <col min="9" max="9" width="12.7109375" bestFit="1" customWidth="1"/>
    <col min="10" max="10" width="11.5703125" bestFit="1" customWidth="1"/>
    <col min="262" max="262" width="11.28515625" bestFit="1" customWidth="1"/>
    <col min="264" max="264" width="13.85546875" bestFit="1" customWidth="1"/>
    <col min="265" max="265" width="11.28515625" bestFit="1" customWidth="1"/>
    <col min="518" max="518" width="11.28515625" bestFit="1" customWidth="1"/>
    <col min="520" max="520" width="13.85546875" bestFit="1" customWidth="1"/>
    <col min="521" max="521" width="11.28515625" bestFit="1" customWidth="1"/>
    <col min="774" max="774" width="11.28515625" bestFit="1" customWidth="1"/>
    <col min="776" max="776" width="13.85546875" bestFit="1" customWidth="1"/>
    <col min="777" max="777" width="11.28515625" bestFit="1" customWidth="1"/>
    <col min="1030" max="1030" width="11.28515625" bestFit="1" customWidth="1"/>
    <col min="1032" max="1032" width="13.85546875" bestFit="1" customWidth="1"/>
    <col min="1033" max="1033" width="11.28515625" bestFit="1" customWidth="1"/>
    <col min="1286" max="1286" width="11.28515625" bestFit="1" customWidth="1"/>
    <col min="1288" max="1288" width="13.85546875" bestFit="1" customWidth="1"/>
    <col min="1289" max="1289" width="11.28515625" bestFit="1" customWidth="1"/>
    <col min="1542" max="1542" width="11.28515625" bestFit="1" customWidth="1"/>
    <col min="1544" max="1544" width="13.85546875" bestFit="1" customWidth="1"/>
    <col min="1545" max="1545" width="11.28515625" bestFit="1" customWidth="1"/>
    <col min="1798" max="1798" width="11.28515625" bestFit="1" customWidth="1"/>
    <col min="1800" max="1800" width="13.85546875" bestFit="1" customWidth="1"/>
    <col min="1801" max="1801" width="11.28515625" bestFit="1" customWidth="1"/>
    <col min="2054" max="2054" width="11.28515625" bestFit="1" customWidth="1"/>
    <col min="2056" max="2056" width="13.85546875" bestFit="1" customWidth="1"/>
    <col min="2057" max="2057" width="11.28515625" bestFit="1" customWidth="1"/>
    <col min="2310" max="2310" width="11.28515625" bestFit="1" customWidth="1"/>
    <col min="2312" max="2312" width="13.85546875" bestFit="1" customWidth="1"/>
    <col min="2313" max="2313" width="11.28515625" bestFit="1" customWidth="1"/>
    <col min="2566" max="2566" width="11.28515625" bestFit="1" customWidth="1"/>
    <col min="2568" max="2568" width="13.85546875" bestFit="1" customWidth="1"/>
    <col min="2569" max="2569" width="11.28515625" bestFit="1" customWidth="1"/>
    <col min="2822" max="2822" width="11.28515625" bestFit="1" customWidth="1"/>
    <col min="2824" max="2824" width="13.85546875" bestFit="1" customWidth="1"/>
    <col min="2825" max="2825" width="11.28515625" bestFit="1" customWidth="1"/>
    <col min="3078" max="3078" width="11.28515625" bestFit="1" customWidth="1"/>
    <col min="3080" max="3080" width="13.85546875" bestFit="1" customWidth="1"/>
    <col min="3081" max="3081" width="11.28515625" bestFit="1" customWidth="1"/>
    <col min="3334" max="3334" width="11.28515625" bestFit="1" customWidth="1"/>
    <col min="3336" max="3336" width="13.85546875" bestFit="1" customWidth="1"/>
    <col min="3337" max="3337" width="11.28515625" bestFit="1" customWidth="1"/>
    <col min="3590" max="3590" width="11.28515625" bestFit="1" customWidth="1"/>
    <col min="3592" max="3592" width="13.85546875" bestFit="1" customWidth="1"/>
    <col min="3593" max="3593" width="11.28515625" bestFit="1" customWidth="1"/>
    <col min="3846" max="3846" width="11.28515625" bestFit="1" customWidth="1"/>
    <col min="3848" max="3848" width="13.85546875" bestFit="1" customWidth="1"/>
    <col min="3849" max="3849" width="11.28515625" bestFit="1" customWidth="1"/>
    <col min="4102" max="4102" width="11.28515625" bestFit="1" customWidth="1"/>
    <col min="4104" max="4104" width="13.85546875" bestFit="1" customWidth="1"/>
    <col min="4105" max="4105" width="11.28515625" bestFit="1" customWidth="1"/>
    <col min="4358" max="4358" width="11.28515625" bestFit="1" customWidth="1"/>
    <col min="4360" max="4360" width="13.85546875" bestFit="1" customWidth="1"/>
    <col min="4361" max="4361" width="11.28515625" bestFit="1" customWidth="1"/>
    <col min="4614" max="4614" width="11.28515625" bestFit="1" customWidth="1"/>
    <col min="4616" max="4616" width="13.85546875" bestFit="1" customWidth="1"/>
    <col min="4617" max="4617" width="11.28515625" bestFit="1" customWidth="1"/>
    <col min="4870" max="4870" width="11.28515625" bestFit="1" customWidth="1"/>
    <col min="4872" max="4872" width="13.85546875" bestFit="1" customWidth="1"/>
    <col min="4873" max="4873" width="11.28515625" bestFit="1" customWidth="1"/>
    <col min="5126" max="5126" width="11.28515625" bestFit="1" customWidth="1"/>
    <col min="5128" max="5128" width="13.85546875" bestFit="1" customWidth="1"/>
    <col min="5129" max="5129" width="11.28515625" bestFit="1" customWidth="1"/>
    <col min="5382" max="5382" width="11.28515625" bestFit="1" customWidth="1"/>
    <col min="5384" max="5384" width="13.85546875" bestFit="1" customWidth="1"/>
    <col min="5385" max="5385" width="11.28515625" bestFit="1" customWidth="1"/>
    <col min="5638" max="5638" width="11.28515625" bestFit="1" customWidth="1"/>
    <col min="5640" max="5640" width="13.85546875" bestFit="1" customWidth="1"/>
    <col min="5641" max="5641" width="11.28515625" bestFit="1" customWidth="1"/>
    <col min="5894" max="5894" width="11.28515625" bestFit="1" customWidth="1"/>
    <col min="5896" max="5896" width="13.85546875" bestFit="1" customWidth="1"/>
    <col min="5897" max="5897" width="11.28515625" bestFit="1" customWidth="1"/>
    <col min="6150" max="6150" width="11.28515625" bestFit="1" customWidth="1"/>
    <col min="6152" max="6152" width="13.85546875" bestFit="1" customWidth="1"/>
    <col min="6153" max="6153" width="11.28515625" bestFit="1" customWidth="1"/>
    <col min="6406" max="6406" width="11.28515625" bestFit="1" customWidth="1"/>
    <col min="6408" max="6408" width="13.85546875" bestFit="1" customWidth="1"/>
    <col min="6409" max="6409" width="11.28515625" bestFit="1" customWidth="1"/>
    <col min="6662" max="6662" width="11.28515625" bestFit="1" customWidth="1"/>
    <col min="6664" max="6664" width="13.85546875" bestFit="1" customWidth="1"/>
    <col min="6665" max="6665" width="11.28515625" bestFit="1" customWidth="1"/>
    <col min="6918" max="6918" width="11.28515625" bestFit="1" customWidth="1"/>
    <col min="6920" max="6920" width="13.85546875" bestFit="1" customWidth="1"/>
    <col min="6921" max="6921" width="11.28515625" bestFit="1" customWidth="1"/>
    <col min="7174" max="7174" width="11.28515625" bestFit="1" customWidth="1"/>
    <col min="7176" max="7176" width="13.85546875" bestFit="1" customWidth="1"/>
    <col min="7177" max="7177" width="11.28515625" bestFit="1" customWidth="1"/>
    <col min="7430" max="7430" width="11.28515625" bestFit="1" customWidth="1"/>
    <col min="7432" max="7432" width="13.85546875" bestFit="1" customWidth="1"/>
    <col min="7433" max="7433" width="11.28515625" bestFit="1" customWidth="1"/>
    <col min="7686" max="7686" width="11.28515625" bestFit="1" customWidth="1"/>
    <col min="7688" max="7688" width="13.85546875" bestFit="1" customWidth="1"/>
    <col min="7689" max="7689" width="11.28515625" bestFit="1" customWidth="1"/>
    <col min="7942" max="7942" width="11.28515625" bestFit="1" customWidth="1"/>
    <col min="7944" max="7944" width="13.85546875" bestFit="1" customWidth="1"/>
    <col min="7945" max="7945" width="11.28515625" bestFit="1" customWidth="1"/>
    <col min="8198" max="8198" width="11.28515625" bestFit="1" customWidth="1"/>
    <col min="8200" max="8200" width="13.85546875" bestFit="1" customWidth="1"/>
    <col min="8201" max="8201" width="11.28515625" bestFit="1" customWidth="1"/>
    <col min="8454" max="8454" width="11.28515625" bestFit="1" customWidth="1"/>
    <col min="8456" max="8456" width="13.85546875" bestFit="1" customWidth="1"/>
    <col min="8457" max="8457" width="11.28515625" bestFit="1" customWidth="1"/>
    <col min="8710" max="8710" width="11.28515625" bestFit="1" customWidth="1"/>
    <col min="8712" max="8712" width="13.85546875" bestFit="1" customWidth="1"/>
    <col min="8713" max="8713" width="11.28515625" bestFit="1" customWidth="1"/>
    <col min="8966" max="8966" width="11.28515625" bestFit="1" customWidth="1"/>
    <col min="8968" max="8968" width="13.85546875" bestFit="1" customWidth="1"/>
    <col min="8969" max="8969" width="11.28515625" bestFit="1" customWidth="1"/>
    <col min="9222" max="9222" width="11.28515625" bestFit="1" customWidth="1"/>
    <col min="9224" max="9224" width="13.85546875" bestFit="1" customWidth="1"/>
    <col min="9225" max="9225" width="11.28515625" bestFit="1" customWidth="1"/>
    <col min="9478" max="9478" width="11.28515625" bestFit="1" customWidth="1"/>
    <col min="9480" max="9480" width="13.85546875" bestFit="1" customWidth="1"/>
    <col min="9481" max="9481" width="11.28515625" bestFit="1" customWidth="1"/>
    <col min="9734" max="9734" width="11.28515625" bestFit="1" customWidth="1"/>
    <col min="9736" max="9736" width="13.85546875" bestFit="1" customWidth="1"/>
    <col min="9737" max="9737" width="11.28515625" bestFit="1" customWidth="1"/>
    <col min="9990" max="9990" width="11.28515625" bestFit="1" customWidth="1"/>
    <col min="9992" max="9992" width="13.85546875" bestFit="1" customWidth="1"/>
    <col min="9993" max="9993" width="11.28515625" bestFit="1" customWidth="1"/>
    <col min="10246" max="10246" width="11.28515625" bestFit="1" customWidth="1"/>
    <col min="10248" max="10248" width="13.85546875" bestFit="1" customWidth="1"/>
    <col min="10249" max="10249" width="11.28515625" bestFit="1" customWidth="1"/>
    <col min="10502" max="10502" width="11.28515625" bestFit="1" customWidth="1"/>
    <col min="10504" max="10504" width="13.85546875" bestFit="1" customWidth="1"/>
    <col min="10505" max="10505" width="11.28515625" bestFit="1" customWidth="1"/>
    <col min="10758" max="10758" width="11.28515625" bestFit="1" customWidth="1"/>
    <col min="10760" max="10760" width="13.85546875" bestFit="1" customWidth="1"/>
    <col min="10761" max="10761" width="11.28515625" bestFit="1" customWidth="1"/>
    <col min="11014" max="11014" width="11.28515625" bestFit="1" customWidth="1"/>
    <col min="11016" max="11016" width="13.85546875" bestFit="1" customWidth="1"/>
    <col min="11017" max="11017" width="11.28515625" bestFit="1" customWidth="1"/>
    <col min="11270" max="11270" width="11.28515625" bestFit="1" customWidth="1"/>
    <col min="11272" max="11272" width="13.85546875" bestFit="1" customWidth="1"/>
    <col min="11273" max="11273" width="11.28515625" bestFit="1" customWidth="1"/>
    <col min="11526" max="11526" width="11.28515625" bestFit="1" customWidth="1"/>
    <col min="11528" max="11528" width="13.85546875" bestFit="1" customWidth="1"/>
    <col min="11529" max="11529" width="11.28515625" bestFit="1" customWidth="1"/>
    <col min="11782" max="11782" width="11.28515625" bestFit="1" customWidth="1"/>
    <col min="11784" max="11784" width="13.85546875" bestFit="1" customWidth="1"/>
    <col min="11785" max="11785" width="11.28515625" bestFit="1" customWidth="1"/>
    <col min="12038" max="12038" width="11.28515625" bestFit="1" customWidth="1"/>
    <col min="12040" max="12040" width="13.85546875" bestFit="1" customWidth="1"/>
    <col min="12041" max="12041" width="11.28515625" bestFit="1" customWidth="1"/>
    <col min="12294" max="12294" width="11.28515625" bestFit="1" customWidth="1"/>
    <col min="12296" max="12296" width="13.85546875" bestFit="1" customWidth="1"/>
    <col min="12297" max="12297" width="11.28515625" bestFit="1" customWidth="1"/>
    <col min="12550" max="12550" width="11.28515625" bestFit="1" customWidth="1"/>
    <col min="12552" max="12552" width="13.85546875" bestFit="1" customWidth="1"/>
    <col min="12553" max="12553" width="11.28515625" bestFit="1" customWidth="1"/>
    <col min="12806" max="12806" width="11.28515625" bestFit="1" customWidth="1"/>
    <col min="12808" max="12808" width="13.85546875" bestFit="1" customWidth="1"/>
    <col min="12809" max="12809" width="11.28515625" bestFit="1" customWidth="1"/>
    <col min="13062" max="13062" width="11.28515625" bestFit="1" customWidth="1"/>
    <col min="13064" max="13064" width="13.85546875" bestFit="1" customWidth="1"/>
    <col min="13065" max="13065" width="11.28515625" bestFit="1" customWidth="1"/>
    <col min="13318" max="13318" width="11.28515625" bestFit="1" customWidth="1"/>
    <col min="13320" max="13320" width="13.85546875" bestFit="1" customWidth="1"/>
    <col min="13321" max="13321" width="11.28515625" bestFit="1" customWidth="1"/>
    <col min="13574" max="13574" width="11.28515625" bestFit="1" customWidth="1"/>
    <col min="13576" max="13576" width="13.85546875" bestFit="1" customWidth="1"/>
    <col min="13577" max="13577" width="11.28515625" bestFit="1" customWidth="1"/>
    <col min="13830" max="13830" width="11.28515625" bestFit="1" customWidth="1"/>
    <col min="13832" max="13832" width="13.85546875" bestFit="1" customWidth="1"/>
    <col min="13833" max="13833" width="11.28515625" bestFit="1" customWidth="1"/>
    <col min="14086" max="14086" width="11.28515625" bestFit="1" customWidth="1"/>
    <col min="14088" max="14088" width="13.85546875" bestFit="1" customWidth="1"/>
    <col min="14089" max="14089" width="11.28515625" bestFit="1" customWidth="1"/>
    <col min="14342" max="14342" width="11.28515625" bestFit="1" customWidth="1"/>
    <col min="14344" max="14344" width="13.85546875" bestFit="1" customWidth="1"/>
    <col min="14345" max="14345" width="11.28515625" bestFit="1" customWidth="1"/>
    <col min="14598" max="14598" width="11.28515625" bestFit="1" customWidth="1"/>
    <col min="14600" max="14600" width="13.85546875" bestFit="1" customWidth="1"/>
    <col min="14601" max="14601" width="11.28515625" bestFit="1" customWidth="1"/>
    <col min="14854" max="14854" width="11.28515625" bestFit="1" customWidth="1"/>
    <col min="14856" max="14856" width="13.85546875" bestFit="1" customWidth="1"/>
    <col min="14857" max="14857" width="11.28515625" bestFit="1" customWidth="1"/>
    <col min="15110" max="15110" width="11.28515625" bestFit="1" customWidth="1"/>
    <col min="15112" max="15112" width="13.85546875" bestFit="1" customWidth="1"/>
    <col min="15113" max="15113" width="11.28515625" bestFit="1" customWidth="1"/>
    <col min="15366" max="15366" width="11.28515625" bestFit="1" customWidth="1"/>
    <col min="15368" max="15368" width="13.85546875" bestFit="1" customWidth="1"/>
    <col min="15369" max="15369" width="11.28515625" bestFit="1" customWidth="1"/>
    <col min="15622" max="15622" width="11.28515625" bestFit="1" customWidth="1"/>
    <col min="15624" max="15624" width="13.85546875" bestFit="1" customWidth="1"/>
    <col min="15625" max="15625" width="11.28515625" bestFit="1" customWidth="1"/>
    <col min="15878" max="15878" width="11.28515625" bestFit="1" customWidth="1"/>
    <col min="15880" max="15880" width="13.85546875" bestFit="1" customWidth="1"/>
    <col min="15881" max="15881" width="11.28515625" bestFit="1" customWidth="1"/>
    <col min="16134" max="16134" width="11.28515625" bestFit="1" customWidth="1"/>
    <col min="16136" max="16136" width="13.85546875" bestFit="1" customWidth="1"/>
    <col min="16137" max="16137" width="11.28515625" bestFit="1" customWidth="1"/>
  </cols>
  <sheetData>
    <row r="1" spans="1:9" s="403" customFormat="1" ht="15.75" x14ac:dyDescent="0.25">
      <c r="B1" s="910" t="s">
        <v>711</v>
      </c>
      <c r="C1" s="910"/>
      <c r="D1" s="910"/>
      <c r="E1" s="910"/>
      <c r="F1" s="910"/>
      <c r="G1" s="910"/>
      <c r="H1" s="910"/>
    </row>
    <row r="2" spans="1:9" x14ac:dyDescent="0.25">
      <c r="I2" s="584" t="s">
        <v>591</v>
      </c>
    </row>
    <row r="3" spans="1:9" x14ac:dyDescent="0.25">
      <c r="H3" t="s">
        <v>153</v>
      </c>
    </row>
    <row r="4" spans="1:9" ht="15.75" thickBot="1" x14ac:dyDescent="0.3"/>
    <row r="5" spans="1:9" ht="15.75" thickBot="1" x14ac:dyDescent="0.3">
      <c r="A5" s="840" t="s">
        <v>8</v>
      </c>
      <c r="B5" s="841"/>
      <c r="C5" s="841"/>
      <c r="D5" s="841"/>
      <c r="E5" s="842"/>
      <c r="F5" s="405" t="s">
        <v>364</v>
      </c>
      <c r="G5" s="405" t="s">
        <v>365</v>
      </c>
      <c r="H5" s="406" t="s">
        <v>213</v>
      </c>
      <c r="I5" s="405" t="s">
        <v>366</v>
      </c>
    </row>
    <row r="6" spans="1:9" ht="15.75" thickBot="1" x14ac:dyDescent="0.3">
      <c r="A6" s="858" t="s">
        <v>367</v>
      </c>
      <c r="B6" s="859"/>
      <c r="C6" s="859"/>
      <c r="D6" s="859"/>
      <c r="E6" s="860"/>
      <c r="F6" s="174">
        <f>'[4]bér+jár'!E18+'[4]bér+jár'!M18+'[4]bér+jár'!Q18+'[4]bér+jár'!M19+'[4]bér+jár'!M20+'[4]bér+jár'!C18+'[4]bér+jár'!M22</f>
        <v>26608114</v>
      </c>
      <c r="G6" s="174">
        <v>0</v>
      </c>
      <c r="H6" s="174">
        <f t="shared" ref="H6:I12" si="0">F6+G6</f>
        <v>26608114</v>
      </c>
      <c r="I6" s="174">
        <f t="shared" si="0"/>
        <v>26608114</v>
      </c>
    </row>
    <row r="7" spans="1:9" ht="15.75" thickBot="1" x14ac:dyDescent="0.3">
      <c r="A7" s="858" t="s">
        <v>368</v>
      </c>
      <c r="B7" s="859"/>
      <c r="C7" s="859"/>
      <c r="D7" s="859"/>
      <c r="E7" s="860"/>
      <c r="F7" s="174">
        <f>'[4]bér+jár'!E20+'[4]bér+jár'!J20+'[4]bér+jár'!M21+'[4]bér+jár'!Q21-'[4]bér+jár'!$J$20</f>
        <v>900000</v>
      </c>
      <c r="G7" s="174">
        <v>0</v>
      </c>
      <c r="H7" s="174">
        <f t="shared" si="0"/>
        <v>900000</v>
      </c>
      <c r="I7" s="174">
        <f t="shared" si="0"/>
        <v>900000</v>
      </c>
    </row>
    <row r="8" spans="1:9" ht="15.75" thickBot="1" x14ac:dyDescent="0.3">
      <c r="A8" s="858" t="s">
        <v>369</v>
      </c>
      <c r="B8" s="859"/>
      <c r="C8" s="859"/>
      <c r="D8" s="859"/>
      <c r="E8" s="860"/>
      <c r="F8" s="174">
        <f>'[4]bér+jár'!E19+'[4]bér+jár'!J19+'[4]bér+jár'!M23+'[4]bér+jár'!Q23+'[4]bér+jár'!E23+'[4]bér+jár'!M24-'[4]bér+jár'!$J$19</f>
        <v>598000</v>
      </c>
      <c r="G8" s="174">
        <v>0</v>
      </c>
      <c r="H8" s="174">
        <f t="shared" si="0"/>
        <v>598000</v>
      </c>
      <c r="I8" s="174">
        <f t="shared" si="0"/>
        <v>598000</v>
      </c>
    </row>
    <row r="9" spans="1:9" ht="15.75" thickBot="1" x14ac:dyDescent="0.3">
      <c r="A9" s="858" t="s">
        <v>371</v>
      </c>
      <c r="B9" s="859"/>
      <c r="C9" s="859"/>
      <c r="D9" s="859"/>
      <c r="E9" s="860"/>
      <c r="F9" s="174">
        <f>'[4]bér+jár'!J21-'[4]bér+jár'!$J$21</f>
        <v>0</v>
      </c>
      <c r="G9" s="174">
        <v>0</v>
      </c>
      <c r="H9" s="174">
        <f t="shared" si="0"/>
        <v>0</v>
      </c>
      <c r="I9" s="174">
        <f t="shared" si="0"/>
        <v>0</v>
      </c>
    </row>
    <row r="10" spans="1:9" ht="15.75" thickBot="1" x14ac:dyDescent="0.3">
      <c r="A10" s="858" t="s">
        <v>466</v>
      </c>
      <c r="B10" s="859"/>
      <c r="C10" s="859"/>
      <c r="D10" s="859"/>
      <c r="E10" s="860"/>
      <c r="F10" s="174">
        <f>'[5]bér+jár'!D23+'[5]bér+jár'!D28</f>
        <v>142595</v>
      </c>
      <c r="G10" s="174">
        <v>0</v>
      </c>
      <c r="H10" s="174">
        <f t="shared" si="0"/>
        <v>142595</v>
      </c>
      <c r="I10" s="174">
        <v>142595</v>
      </c>
    </row>
    <row r="11" spans="1:9" s="403" customFormat="1" ht="15.75" thickBot="1" x14ac:dyDescent="0.3">
      <c r="A11" s="846" t="s">
        <v>372</v>
      </c>
      <c r="B11" s="847"/>
      <c r="C11" s="847"/>
      <c r="D11" s="847"/>
      <c r="E11" s="848"/>
      <c r="F11" s="407">
        <f>F6+F7+F8+F9+F10</f>
        <v>28248709</v>
      </c>
      <c r="G11" s="407">
        <v>0</v>
      </c>
      <c r="H11" s="407">
        <f t="shared" si="0"/>
        <v>28248709</v>
      </c>
      <c r="I11" s="407">
        <f t="shared" si="0"/>
        <v>28248709</v>
      </c>
    </row>
    <row r="12" spans="1:9" s="408" customFormat="1" ht="15.75" thickBot="1" x14ac:dyDescent="0.3">
      <c r="A12" s="837" t="s">
        <v>592</v>
      </c>
      <c r="B12" s="838"/>
      <c r="C12" s="838"/>
      <c r="D12" s="838"/>
      <c r="E12" s="839"/>
      <c r="F12" s="174">
        <f>'[4]bér+jár'!J23+'[4]bér+jár'!J18+'[4]bér+jár'!$J$19+'[4]bér+jár'!$J$20+'[4]bér+jár'!$J$21</f>
        <v>10445700</v>
      </c>
      <c r="G12" s="174">
        <v>0</v>
      </c>
      <c r="H12" s="174">
        <f t="shared" si="0"/>
        <v>10445700</v>
      </c>
      <c r="I12" s="174">
        <v>9248220</v>
      </c>
    </row>
    <row r="13" spans="1:9" s="408" customFormat="1" ht="15.75" thickBot="1" x14ac:dyDescent="0.3">
      <c r="A13" s="837" t="s">
        <v>593</v>
      </c>
      <c r="B13" s="838"/>
      <c r="C13" s="838"/>
      <c r="D13" s="838"/>
      <c r="E13" s="839"/>
      <c r="F13" s="174">
        <v>600000</v>
      </c>
      <c r="G13" s="174">
        <v>0</v>
      </c>
      <c r="H13" s="174">
        <v>600000</v>
      </c>
      <c r="I13" s="174">
        <v>600000</v>
      </c>
    </row>
    <row r="14" spans="1:9" s="403" customFormat="1" ht="15.75" thickBot="1" x14ac:dyDescent="0.3">
      <c r="A14" s="840" t="s">
        <v>594</v>
      </c>
      <c r="B14" s="841"/>
      <c r="C14" s="841"/>
      <c r="D14" s="841"/>
      <c r="E14" s="842"/>
      <c r="F14" s="407">
        <f>F12+F13</f>
        <v>11045700</v>
      </c>
      <c r="G14" s="407">
        <f>G12+G13</f>
        <v>0</v>
      </c>
      <c r="H14" s="407">
        <f>H12+H13</f>
        <v>11045700</v>
      </c>
      <c r="I14" s="407">
        <f>I12+I13</f>
        <v>9848220</v>
      </c>
    </row>
    <row r="15" spans="1:9" s="411" customFormat="1" ht="16.5" thickBot="1" x14ac:dyDescent="0.3">
      <c r="A15" s="852" t="s">
        <v>379</v>
      </c>
      <c r="B15" s="853"/>
      <c r="C15" s="853"/>
      <c r="D15" s="853"/>
      <c r="E15" s="854"/>
      <c r="F15" s="410">
        <f>F14+F11</f>
        <v>39294409</v>
      </c>
      <c r="G15" s="410">
        <f>G14+G11</f>
        <v>0</v>
      </c>
      <c r="H15" s="410">
        <f>H14+H11</f>
        <v>39294409</v>
      </c>
      <c r="I15" s="410">
        <f>I14+I11</f>
        <v>38096929</v>
      </c>
    </row>
    <row r="16" spans="1:9" s="583" customFormat="1" ht="16.5" thickBot="1" x14ac:dyDescent="0.3">
      <c r="A16" s="904" t="s">
        <v>595</v>
      </c>
      <c r="B16" s="905"/>
      <c r="C16" s="905"/>
      <c r="D16" s="905"/>
      <c r="E16" s="906"/>
      <c r="F16" s="482">
        <f>F15*19.5%</f>
        <v>7662409.7549999999</v>
      </c>
      <c r="G16" s="482">
        <v>0</v>
      </c>
      <c r="H16" s="482">
        <f t="shared" ref="H16:I18" si="1">F16+G16</f>
        <v>7662409.7549999999</v>
      </c>
      <c r="I16" s="482">
        <f t="shared" si="1"/>
        <v>7662409.7549999999</v>
      </c>
    </row>
    <row r="17" spans="1:9" s="583" customFormat="1" ht="16.5" thickBot="1" x14ac:dyDescent="0.3">
      <c r="A17" s="904" t="s">
        <v>596</v>
      </c>
      <c r="B17" s="905"/>
      <c r="C17" s="905"/>
      <c r="D17" s="905"/>
      <c r="E17" s="906"/>
      <c r="F17" s="482">
        <f>F15*1.5%</f>
        <v>589416.13500000001</v>
      </c>
      <c r="G17" s="482">
        <v>0</v>
      </c>
      <c r="H17" s="482">
        <f t="shared" si="1"/>
        <v>589416.13500000001</v>
      </c>
      <c r="I17" s="482">
        <f t="shared" si="1"/>
        <v>589416.13500000001</v>
      </c>
    </row>
    <row r="18" spans="1:9" s="583" customFormat="1" ht="16.5" thickBot="1" x14ac:dyDescent="0.3">
      <c r="A18" s="904" t="s">
        <v>597</v>
      </c>
      <c r="B18" s="905"/>
      <c r="C18" s="905"/>
      <c r="D18" s="905"/>
      <c r="E18" s="906"/>
      <c r="F18" s="482">
        <f>'[4]bér+jár'!E29+'[4]bér+jár'!J29+'[4]bér+jár'!M29+'[4]bér+jár'!Q29+'[4]bér+jár'!C29</f>
        <v>1317600</v>
      </c>
      <c r="G18" s="482">
        <v>0</v>
      </c>
      <c r="H18" s="482">
        <f t="shared" si="1"/>
        <v>1317600</v>
      </c>
      <c r="I18" s="482">
        <f t="shared" si="1"/>
        <v>1317600</v>
      </c>
    </row>
    <row r="19" spans="1:9" s="583" customFormat="1" ht="16.5" thickBot="1" x14ac:dyDescent="0.3">
      <c r="A19" s="904" t="s">
        <v>598</v>
      </c>
      <c r="B19" s="905"/>
      <c r="C19" s="905"/>
      <c r="D19" s="905"/>
      <c r="E19" s="906"/>
      <c r="F19" s="482">
        <v>195955</v>
      </c>
      <c r="G19" s="482">
        <v>0</v>
      </c>
      <c r="H19" s="482">
        <f>F19+G19</f>
        <v>195955</v>
      </c>
      <c r="I19" s="482">
        <v>195955</v>
      </c>
    </row>
    <row r="20" spans="1:9" s="411" customFormat="1" ht="16.5" thickBot="1" x14ac:dyDescent="0.3">
      <c r="A20" s="907" t="s">
        <v>380</v>
      </c>
      <c r="B20" s="908"/>
      <c r="C20" s="908"/>
      <c r="D20" s="908"/>
      <c r="E20" s="909"/>
      <c r="F20" s="410">
        <f>F16+F17+F18+F19</f>
        <v>9765380.8900000006</v>
      </c>
      <c r="G20" s="410">
        <f>'[3]bér+járulék'!E42</f>
        <v>0</v>
      </c>
      <c r="H20" s="410">
        <f>F20+G20</f>
        <v>9765380.8900000006</v>
      </c>
      <c r="I20" s="410">
        <f>G20+H20</f>
        <v>9765380.8900000006</v>
      </c>
    </row>
    <row r="22" spans="1:9" ht="16.5" customHeight="1" x14ac:dyDescent="0.25"/>
  </sheetData>
  <mergeCells count="17">
    <mergeCell ref="A15:E15"/>
    <mergeCell ref="B1:H1"/>
    <mergeCell ref="A7:E7"/>
    <mergeCell ref="A8:E8"/>
    <mergeCell ref="A9:E9"/>
    <mergeCell ref="A10:E10"/>
    <mergeCell ref="A11:E11"/>
    <mergeCell ref="A12:E12"/>
    <mergeCell ref="A13:E13"/>
    <mergeCell ref="A14:E14"/>
    <mergeCell ref="A5:E5"/>
    <mergeCell ref="A6:E6"/>
    <mergeCell ref="A16:E16"/>
    <mergeCell ref="A17:E17"/>
    <mergeCell ref="A18:E18"/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opLeftCell="A13" workbookViewId="0">
      <selection activeCell="E25" sqref="E25"/>
    </sheetView>
  </sheetViews>
  <sheetFormatPr defaultRowHeight="15" x14ac:dyDescent="0.25"/>
  <cols>
    <col min="1" max="1" width="91.140625" customWidth="1"/>
    <col min="2" max="2" width="22.28515625" style="143" bestFit="1" customWidth="1"/>
    <col min="3" max="3" width="4" customWidth="1"/>
    <col min="5" max="5" width="10" bestFit="1" customWidth="1"/>
    <col min="7" max="7" width="13.7109375" bestFit="1" customWidth="1"/>
  </cols>
  <sheetData>
    <row r="1" spans="1:34" x14ac:dyDescent="0.25">
      <c r="A1" s="911" t="s">
        <v>639</v>
      </c>
      <c r="B1" s="911"/>
      <c r="C1" s="911"/>
      <c r="D1" s="911"/>
      <c r="E1" s="911"/>
      <c r="F1" s="911"/>
    </row>
    <row r="3" spans="1:34" x14ac:dyDescent="0.25">
      <c r="A3" t="s">
        <v>615</v>
      </c>
      <c r="B3" s="143">
        <v>59286596</v>
      </c>
      <c r="D3" t="s">
        <v>616</v>
      </c>
    </row>
    <row r="4" spans="1:34" x14ac:dyDescent="0.25">
      <c r="A4" t="s">
        <v>617</v>
      </c>
      <c r="B4" s="143">
        <v>28443451</v>
      </c>
      <c r="D4" t="s">
        <v>618</v>
      </c>
    </row>
    <row r="5" spans="1:34" x14ac:dyDescent="0.25">
      <c r="A5" t="s">
        <v>619</v>
      </c>
      <c r="B5" s="143">
        <v>47913900</v>
      </c>
      <c r="D5" t="s">
        <v>620</v>
      </c>
    </row>
    <row r="6" spans="1:34" x14ac:dyDescent="0.25">
      <c r="A6" t="s">
        <v>621</v>
      </c>
      <c r="B6" s="143">
        <v>2171950</v>
      </c>
      <c r="D6" t="s">
        <v>622</v>
      </c>
    </row>
    <row r="7" spans="1:34" ht="15.75" x14ac:dyDescent="0.25">
      <c r="B7" s="554">
        <f>SUM(B3:B6)</f>
        <v>137815897</v>
      </c>
    </row>
    <row r="8" spans="1:34" x14ac:dyDescent="0.25">
      <c r="A8" t="s">
        <v>623</v>
      </c>
    </row>
    <row r="9" spans="1:34" s="541" customFormat="1" x14ac:dyDescent="0.25">
      <c r="A9" s="538" t="s">
        <v>624</v>
      </c>
      <c r="B9" s="539">
        <f>(24000*1.27)+(264000*1.22)</f>
        <v>352560</v>
      </c>
      <c r="C9" s="540"/>
      <c r="D9" s="540" t="s">
        <v>625</v>
      </c>
      <c r="E9" s="540"/>
      <c r="F9" s="540"/>
      <c r="G9" s="540"/>
      <c r="H9" s="540"/>
      <c r="I9" s="540"/>
      <c r="J9" s="540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0"/>
    </row>
    <row r="10" spans="1:34" s="541" customFormat="1" x14ac:dyDescent="0.25">
      <c r="A10" s="538" t="s">
        <v>626</v>
      </c>
      <c r="B10" s="539">
        <f>(24400*1.27)+(268400*1.22)</f>
        <v>358436</v>
      </c>
      <c r="C10" s="540"/>
      <c r="D10" s="540" t="s">
        <v>625</v>
      </c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0"/>
      <c r="T10" s="540"/>
      <c r="U10" s="540"/>
      <c r="V10" s="540"/>
      <c r="W10" s="540"/>
      <c r="X10" s="540"/>
      <c r="Y10" s="540"/>
      <c r="Z10" s="540"/>
      <c r="AA10" s="540"/>
      <c r="AB10" s="540"/>
      <c r="AC10" s="540"/>
      <c r="AD10" s="540"/>
      <c r="AE10" s="540"/>
      <c r="AF10" s="540"/>
      <c r="AG10" s="540"/>
      <c r="AH10" s="540"/>
    </row>
    <row r="11" spans="1:34" s="541" customFormat="1" x14ac:dyDescent="0.25">
      <c r="A11" s="538" t="s">
        <v>627</v>
      </c>
      <c r="B11" s="539">
        <f>8110*1.27+12165*1.22*11</f>
        <v>173554</v>
      </c>
      <c r="C11" s="540"/>
      <c r="D11" s="540" t="s">
        <v>620</v>
      </c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  <c r="W11" s="540"/>
      <c r="X11" s="540"/>
      <c r="Y11" s="540"/>
      <c r="Z11" s="540"/>
      <c r="AA11" s="540"/>
      <c r="AB11" s="540"/>
      <c r="AC11" s="540"/>
      <c r="AD11" s="540"/>
      <c r="AE11" s="540"/>
      <c r="AF11" s="540"/>
      <c r="AG11" s="540"/>
      <c r="AH11" s="540"/>
    </row>
    <row r="12" spans="1:34" s="541" customFormat="1" x14ac:dyDescent="0.25">
      <c r="A12" s="538" t="s">
        <v>628</v>
      </c>
      <c r="B12" s="539">
        <f>39418*11*1.22+8500*1.27</f>
        <v>539784.55999999994</v>
      </c>
      <c r="C12" s="540"/>
      <c r="D12" s="540" t="s">
        <v>625</v>
      </c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40"/>
      <c r="U12" s="540"/>
      <c r="V12" s="540"/>
      <c r="W12" s="540"/>
      <c r="X12" s="540"/>
      <c r="Y12" s="540"/>
      <c r="Z12" s="540"/>
      <c r="AA12" s="540"/>
      <c r="AB12" s="540"/>
      <c r="AC12" s="540"/>
      <c r="AD12" s="540"/>
      <c r="AE12" s="540"/>
      <c r="AF12" s="540"/>
      <c r="AG12" s="540"/>
      <c r="AH12" s="540"/>
    </row>
    <row r="13" spans="1:34" ht="15.75" x14ac:dyDescent="0.25">
      <c r="B13" s="554">
        <f>SUM(B9:B12)</f>
        <v>1424334.56</v>
      </c>
    </row>
    <row r="14" spans="1:34" ht="15.75" x14ac:dyDescent="0.25">
      <c r="B14" s="542"/>
    </row>
    <row r="15" spans="1:34" ht="15.75" x14ac:dyDescent="0.25">
      <c r="B15" s="542"/>
    </row>
    <row r="17" spans="1:7" x14ac:dyDescent="0.25">
      <c r="B17" s="543"/>
    </row>
    <row r="18" spans="1:7" x14ac:dyDescent="0.25">
      <c r="A18" t="s">
        <v>629</v>
      </c>
      <c r="B18" s="544">
        <f>270000*4</f>
        <v>1080000</v>
      </c>
      <c r="D18" s="545" t="s">
        <v>630</v>
      </c>
      <c r="E18">
        <v>922999000</v>
      </c>
    </row>
    <row r="19" spans="1:7" x14ac:dyDescent="0.25">
      <c r="A19" t="s">
        <v>631</v>
      </c>
      <c r="B19" s="544">
        <v>5086622</v>
      </c>
      <c r="D19" s="545" t="s">
        <v>632</v>
      </c>
      <c r="E19">
        <v>922999000</v>
      </c>
      <c r="G19" s="160"/>
    </row>
    <row r="20" spans="1:7" x14ac:dyDescent="0.25">
      <c r="A20" t="s">
        <v>633</v>
      </c>
      <c r="B20" s="143">
        <v>4791600</v>
      </c>
      <c r="D20" s="545" t="s">
        <v>634</v>
      </c>
      <c r="E20">
        <v>922999000</v>
      </c>
    </row>
    <row r="21" spans="1:7" x14ac:dyDescent="0.25">
      <c r="A21" t="s">
        <v>635</v>
      </c>
      <c r="B21" s="544">
        <v>974400</v>
      </c>
      <c r="D21" t="s">
        <v>636</v>
      </c>
      <c r="E21">
        <v>922999000</v>
      </c>
      <c r="G21" s="160"/>
    </row>
    <row r="22" spans="1:7" ht="15.75" x14ac:dyDescent="0.25">
      <c r="B22" s="554">
        <f>SUM(B18:B21)</f>
        <v>11932622</v>
      </c>
      <c r="D22" s="546"/>
    </row>
    <row r="23" spans="1:7" ht="15.75" x14ac:dyDescent="0.25">
      <c r="B23" s="542"/>
    </row>
    <row r="24" spans="1:7" x14ac:dyDescent="0.25">
      <c r="A24" s="547" t="s">
        <v>637</v>
      </c>
      <c r="B24" s="548"/>
    </row>
    <row r="25" spans="1:7" x14ac:dyDescent="0.25">
      <c r="A25" s="549" t="s">
        <v>605</v>
      </c>
      <c r="B25" s="143">
        <v>9538913</v>
      </c>
      <c r="D25" t="s">
        <v>739</v>
      </c>
    </row>
    <row r="26" spans="1:7" x14ac:dyDescent="0.25">
      <c r="A26" s="550" t="s">
        <v>606</v>
      </c>
      <c r="B26" s="143">
        <v>91864899</v>
      </c>
      <c r="C26" s="143"/>
      <c r="D26" t="s">
        <v>738</v>
      </c>
    </row>
    <row r="27" spans="1:7" ht="25.5" x14ac:dyDescent="0.25">
      <c r="A27" s="551" t="s">
        <v>607</v>
      </c>
      <c r="B27" s="544">
        <v>18070416</v>
      </c>
      <c r="D27" t="s">
        <v>738</v>
      </c>
    </row>
    <row r="28" spans="1:7" ht="15.75" thickBot="1" x14ac:dyDescent="0.3">
      <c r="A28" s="555" t="s">
        <v>608</v>
      </c>
      <c r="B28" s="143">
        <v>15473382</v>
      </c>
      <c r="D28" t="s">
        <v>738</v>
      </c>
    </row>
    <row r="29" spans="1:7" s="552" customFormat="1" ht="16.5" thickBot="1" x14ac:dyDescent="0.3">
      <c r="A29" s="556" t="s">
        <v>638</v>
      </c>
      <c r="B29" s="558">
        <f>B25+B26+B27+B28</f>
        <v>134947610</v>
      </c>
    </row>
    <row r="30" spans="1:7" ht="18" x14ac:dyDescent="0.25">
      <c r="B30" s="557"/>
      <c r="E30" s="553"/>
    </row>
    <row r="36" spans="2:3" x14ac:dyDescent="0.25">
      <c r="C36" s="143"/>
    </row>
    <row r="37" spans="2:3" x14ac:dyDescent="0.25">
      <c r="C37" s="143"/>
    </row>
    <row r="38" spans="2:3" x14ac:dyDescent="0.25">
      <c r="B38" s="548"/>
      <c r="C38" s="548"/>
    </row>
    <row r="39" spans="2:3" x14ac:dyDescent="0.25">
      <c r="B39" s="548"/>
      <c r="C39" s="548"/>
    </row>
    <row r="40" spans="2:3" x14ac:dyDescent="0.25">
      <c r="C40" s="143"/>
    </row>
    <row r="41" spans="2:3" x14ac:dyDescent="0.25">
      <c r="C41" s="143"/>
    </row>
    <row r="42" spans="2:3" x14ac:dyDescent="0.25">
      <c r="C42" s="143"/>
    </row>
    <row r="43" spans="2:3" x14ac:dyDescent="0.25">
      <c r="C43" s="143"/>
    </row>
    <row r="44" spans="2:3" x14ac:dyDescent="0.25">
      <c r="B44" s="548"/>
      <c r="C44" s="548"/>
    </row>
    <row r="45" spans="2:3" x14ac:dyDescent="0.25">
      <c r="B45" s="548"/>
      <c r="C45" s="548"/>
    </row>
    <row r="46" spans="2:3" x14ac:dyDescent="0.25">
      <c r="C46" s="143"/>
    </row>
    <row r="47" spans="2:3" x14ac:dyDescent="0.25">
      <c r="C47" s="143"/>
    </row>
    <row r="48" spans="2:3" x14ac:dyDescent="0.25">
      <c r="B48" s="548"/>
      <c r="C48" s="548"/>
    </row>
    <row r="49" spans="3:3" x14ac:dyDescent="0.25">
      <c r="C49" s="14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9"/>
  <sheetViews>
    <sheetView topLeftCell="A13" workbookViewId="0">
      <selection activeCell="D56" sqref="D56"/>
    </sheetView>
  </sheetViews>
  <sheetFormatPr defaultRowHeight="15" x14ac:dyDescent="0.25"/>
  <cols>
    <col min="1" max="1" width="50.42578125" bestFit="1" customWidth="1"/>
    <col min="2" max="2" width="24.5703125" style="143" bestFit="1" customWidth="1"/>
    <col min="3" max="3" width="15.7109375" style="143" bestFit="1" customWidth="1"/>
    <col min="4" max="4" width="17.28515625" style="143" bestFit="1" customWidth="1"/>
    <col min="6" max="6" width="2.28515625" customWidth="1"/>
    <col min="7" max="7" width="8.7109375" customWidth="1"/>
    <col min="8" max="8" width="3" customWidth="1"/>
    <col min="9" max="9" width="3.5703125" customWidth="1"/>
    <col min="10" max="10" width="14.85546875" bestFit="1" customWidth="1"/>
    <col min="11" max="11" width="17" style="143" customWidth="1"/>
    <col min="13" max="13" width="15.28515625" bestFit="1" customWidth="1"/>
  </cols>
  <sheetData>
    <row r="2" spans="1:10" x14ac:dyDescent="0.25">
      <c r="A2" s="911" t="s">
        <v>640</v>
      </c>
      <c r="B2" s="640"/>
      <c r="C2" s="640"/>
      <c r="D2" s="640"/>
      <c r="E2" s="640"/>
      <c r="F2" s="640"/>
      <c r="G2" s="640"/>
    </row>
    <row r="5" spans="1:10" x14ac:dyDescent="0.25">
      <c r="A5" t="s">
        <v>641</v>
      </c>
      <c r="B5" s="143" t="s">
        <v>642</v>
      </c>
      <c r="C5" s="143" t="s">
        <v>365</v>
      </c>
      <c r="D5" s="143" t="s">
        <v>643</v>
      </c>
    </row>
    <row r="6" spans="1:10" x14ac:dyDescent="0.25">
      <c r="A6" t="s">
        <v>644</v>
      </c>
      <c r="B6" s="143">
        <v>30000</v>
      </c>
      <c r="D6" s="143">
        <f>B6</f>
        <v>30000</v>
      </c>
      <c r="E6" s="640" t="s">
        <v>645</v>
      </c>
      <c r="F6" s="640"/>
      <c r="G6" s="640" t="s">
        <v>365</v>
      </c>
      <c r="H6" s="640"/>
    </row>
    <row r="7" spans="1:10" x14ac:dyDescent="0.25">
      <c r="A7" t="s">
        <v>646</v>
      </c>
      <c r="B7" s="559">
        <v>36000</v>
      </c>
      <c r="C7" s="560"/>
      <c r="D7" s="143">
        <f>B7</f>
        <v>36000</v>
      </c>
      <c r="E7" s="527" t="s">
        <v>647</v>
      </c>
      <c r="F7" s="527"/>
      <c r="G7" s="527"/>
      <c r="H7" s="527"/>
      <c r="J7" s="92"/>
    </row>
    <row r="8" spans="1:10" x14ac:dyDescent="0.25">
      <c r="A8" t="s">
        <v>648</v>
      </c>
      <c r="B8" s="561">
        <v>600000</v>
      </c>
      <c r="C8" s="560"/>
      <c r="D8" s="143">
        <f>B8</f>
        <v>600000</v>
      </c>
      <c r="E8" s="527" t="s">
        <v>647</v>
      </c>
      <c r="F8" s="527"/>
      <c r="G8" s="527"/>
      <c r="H8" s="527"/>
    </row>
    <row r="9" spans="1:10" x14ac:dyDescent="0.25">
      <c r="A9" t="s">
        <v>649</v>
      </c>
      <c r="B9" s="544">
        <v>737008</v>
      </c>
      <c r="C9" s="544">
        <f>B9*0.27</f>
        <v>198992.16</v>
      </c>
      <c r="D9" s="143">
        <f>B9+C9</f>
        <v>936000.16</v>
      </c>
      <c r="E9" s="527" t="s">
        <v>647</v>
      </c>
      <c r="F9" s="527"/>
      <c r="G9" s="527" t="s">
        <v>650</v>
      </c>
      <c r="H9" s="527"/>
    </row>
    <row r="10" spans="1:10" x14ac:dyDescent="0.25">
      <c r="A10" t="s">
        <v>651</v>
      </c>
      <c r="B10" s="544">
        <v>104700</v>
      </c>
      <c r="C10" s="560"/>
      <c r="D10" s="143">
        <f>B10</f>
        <v>104700</v>
      </c>
      <c r="E10" s="527" t="s">
        <v>647</v>
      </c>
      <c r="F10" s="527"/>
      <c r="G10" s="527"/>
      <c r="H10" s="527"/>
    </row>
    <row r="11" spans="1:10" x14ac:dyDescent="0.25">
      <c r="A11" t="s">
        <v>652</v>
      </c>
      <c r="B11" s="544">
        <v>200000</v>
      </c>
      <c r="C11" s="560"/>
      <c r="D11" s="143">
        <f>B11</f>
        <v>200000</v>
      </c>
      <c r="E11" s="527" t="s">
        <v>647</v>
      </c>
      <c r="F11" s="527"/>
      <c r="G11" s="527"/>
      <c r="H11" s="527"/>
    </row>
    <row r="12" spans="1:10" x14ac:dyDescent="0.25">
      <c r="A12" t="s">
        <v>653</v>
      </c>
      <c r="B12" s="544">
        <v>200000</v>
      </c>
      <c r="C12" s="560"/>
      <c r="D12" s="143">
        <v>200000</v>
      </c>
      <c r="E12" s="527" t="s">
        <v>647</v>
      </c>
      <c r="F12" s="527"/>
      <c r="G12" s="527"/>
      <c r="H12" s="527"/>
    </row>
    <row r="13" spans="1:10" x14ac:dyDescent="0.25">
      <c r="A13" t="s">
        <v>654</v>
      </c>
      <c r="B13" s="544">
        <v>1300000</v>
      </c>
      <c r="C13" s="560"/>
      <c r="D13" s="143">
        <v>1300000</v>
      </c>
      <c r="E13" s="527"/>
      <c r="F13" s="527"/>
      <c r="G13" s="527"/>
      <c r="H13" s="527"/>
    </row>
    <row r="14" spans="1:10" ht="15.75" x14ac:dyDescent="0.25">
      <c r="B14" s="554">
        <f>SUM(B6:B13)</f>
        <v>3207708</v>
      </c>
      <c r="C14" s="554">
        <f>SUM(C7:C12)</f>
        <v>198992.16</v>
      </c>
      <c r="D14" s="554">
        <f>SUM(D6:D13)</f>
        <v>3406700.16</v>
      </c>
      <c r="E14" s="527"/>
      <c r="F14" s="527"/>
      <c r="G14" s="527"/>
      <c r="H14" s="527"/>
    </row>
    <row r="15" spans="1:10" x14ac:dyDescent="0.25">
      <c r="E15" s="527"/>
      <c r="F15" s="527"/>
      <c r="G15" s="527"/>
      <c r="H15" s="527"/>
    </row>
    <row r="16" spans="1:10" x14ac:dyDescent="0.25">
      <c r="E16" s="640" t="s">
        <v>645</v>
      </c>
      <c r="F16" s="640"/>
      <c r="G16" s="640" t="s">
        <v>365</v>
      </c>
      <c r="H16" s="640"/>
    </row>
    <row r="17" spans="1:11" x14ac:dyDescent="0.25">
      <c r="A17" t="s">
        <v>655</v>
      </c>
      <c r="B17" s="544">
        <v>201936</v>
      </c>
      <c r="C17" s="544">
        <v>54523</v>
      </c>
      <c r="D17" s="544">
        <f>+B17+C17</f>
        <v>256459</v>
      </c>
      <c r="E17" s="527" t="s">
        <v>656</v>
      </c>
      <c r="F17" s="527"/>
      <c r="G17" s="527" t="s">
        <v>650</v>
      </c>
      <c r="H17" s="527"/>
    </row>
    <row r="18" spans="1:11" x14ac:dyDescent="0.25">
      <c r="A18" t="s">
        <v>657</v>
      </c>
      <c r="B18" s="544">
        <v>1794500</v>
      </c>
      <c r="C18" s="544">
        <v>484515</v>
      </c>
      <c r="D18" s="544">
        <f>+B18+C18</f>
        <v>2279015</v>
      </c>
      <c r="E18" s="527" t="s">
        <v>656</v>
      </c>
      <c r="F18" s="527"/>
      <c r="G18" s="527" t="s">
        <v>650</v>
      </c>
      <c r="H18" s="527"/>
    </row>
    <row r="19" spans="1:11" x14ac:dyDescent="0.25">
      <c r="A19" t="s">
        <v>658</v>
      </c>
      <c r="B19" s="544">
        <v>4088968</v>
      </c>
      <c r="C19" s="544">
        <v>1104032</v>
      </c>
      <c r="D19" s="143">
        <f>SUM(B19:C19)</f>
        <v>5193000</v>
      </c>
      <c r="E19" s="527" t="s">
        <v>656</v>
      </c>
      <c r="F19" s="527"/>
      <c r="G19" s="527" t="s">
        <v>650</v>
      </c>
      <c r="H19" s="527"/>
    </row>
    <row r="20" spans="1:11" ht="15.75" thickBot="1" x14ac:dyDescent="0.3">
      <c r="A20" t="s">
        <v>659</v>
      </c>
    </row>
    <row r="21" spans="1:11" ht="16.5" thickBot="1" x14ac:dyDescent="0.3">
      <c r="A21" t="s">
        <v>705</v>
      </c>
      <c r="B21" s="580">
        <f>SUM(B17:B20)</f>
        <v>6085404</v>
      </c>
      <c r="C21" s="580">
        <f>SUM(C17:C20)</f>
        <v>1643070</v>
      </c>
      <c r="D21" s="580">
        <f>SUM(D17:D20)</f>
        <v>7728474</v>
      </c>
    </row>
    <row r="22" spans="1:11" ht="15.75" x14ac:dyDescent="0.25">
      <c r="D22" s="562">
        <f>+D21+D14</f>
        <v>11135174.16</v>
      </c>
      <c r="K22" s="563"/>
    </row>
    <row r="23" spans="1:11" ht="15" customHeight="1" x14ac:dyDescent="0.25">
      <c r="D23" s="542"/>
    </row>
    <row r="25" spans="1:11" x14ac:dyDescent="0.25">
      <c r="A25" t="s">
        <v>560</v>
      </c>
      <c r="D25" s="143">
        <f>+C14+C21+C36</f>
        <v>1842062.16</v>
      </c>
      <c r="E25" t="s">
        <v>650</v>
      </c>
    </row>
    <row r="26" spans="1:11" x14ac:dyDescent="0.25">
      <c r="A26" t="s">
        <v>660</v>
      </c>
    </row>
    <row r="27" spans="1:11" x14ac:dyDescent="0.25">
      <c r="A27" t="s">
        <v>661</v>
      </c>
      <c r="D27" s="143">
        <v>3316277</v>
      </c>
    </row>
    <row r="28" spans="1:11" x14ac:dyDescent="0.25">
      <c r="A28" t="s">
        <v>662</v>
      </c>
      <c r="C28" s="143">
        <f>+C27-C25</f>
        <v>0</v>
      </c>
      <c r="D28" s="564">
        <f>D27-D25</f>
        <v>1474214.84</v>
      </c>
      <c r="E28" s="565" t="s">
        <v>663</v>
      </c>
    </row>
    <row r="29" spans="1:11" x14ac:dyDescent="0.25">
      <c r="A29" t="s">
        <v>664</v>
      </c>
      <c r="D29" s="544">
        <v>225048</v>
      </c>
    </row>
    <row r="30" spans="1:11" ht="15.75" x14ac:dyDescent="0.25">
      <c r="A30" t="s">
        <v>665</v>
      </c>
      <c r="D30" s="562">
        <f>D29+D28</f>
        <v>1699262.84</v>
      </c>
    </row>
    <row r="31" spans="1:11" ht="15.75" x14ac:dyDescent="0.25">
      <c r="D31" s="542"/>
    </row>
    <row r="32" spans="1:11" x14ac:dyDescent="0.25">
      <c r="A32" t="s">
        <v>666</v>
      </c>
      <c r="B32" s="143">
        <v>1500000</v>
      </c>
      <c r="D32" s="143">
        <f>+B32+C32</f>
        <v>1500000</v>
      </c>
      <c r="E32" t="s">
        <v>667</v>
      </c>
    </row>
    <row r="33" spans="1:11" x14ac:dyDescent="0.25">
      <c r="A33" t="s">
        <v>668</v>
      </c>
      <c r="B33" s="143">
        <v>1900000</v>
      </c>
      <c r="D33" s="143">
        <f>+B33+C33</f>
        <v>1900000</v>
      </c>
      <c r="E33" t="s">
        <v>669</v>
      </c>
    </row>
    <row r="34" spans="1:11" x14ac:dyDescent="0.25">
      <c r="A34" t="s">
        <v>670</v>
      </c>
      <c r="C34" s="143">
        <f>+B34*0.27</f>
        <v>0</v>
      </c>
      <c r="D34" s="143">
        <f>+B34+C34</f>
        <v>0</v>
      </c>
      <c r="E34" t="s">
        <v>669</v>
      </c>
      <c r="G34" t="s">
        <v>650</v>
      </c>
    </row>
    <row r="35" spans="1:11" x14ac:dyDescent="0.25">
      <c r="A35" t="s">
        <v>671</v>
      </c>
      <c r="B35" s="143">
        <v>949298</v>
      </c>
      <c r="D35" s="143">
        <f>+B35+C35</f>
        <v>949298</v>
      </c>
      <c r="E35" t="s">
        <v>669</v>
      </c>
      <c r="J35" s="160"/>
    </row>
    <row r="36" spans="1:11" s="30" customFormat="1" x14ac:dyDescent="0.25">
      <c r="A36" s="566" t="s">
        <v>672</v>
      </c>
      <c r="B36" s="567">
        <f>SUM(B32:B35)</f>
        <v>4349298</v>
      </c>
      <c r="C36" s="568">
        <f>SUM(C32:C35)</f>
        <v>0</v>
      </c>
      <c r="D36" s="569">
        <f>SUM(D32:D35)</f>
        <v>4349298</v>
      </c>
      <c r="K36" s="548"/>
    </row>
    <row r="37" spans="1:11" s="30" customFormat="1" x14ac:dyDescent="0.25">
      <c r="A37" s="566"/>
      <c r="B37" s="581"/>
      <c r="C37" s="568"/>
      <c r="D37" s="569"/>
      <c r="K37" s="548"/>
    </row>
    <row r="38" spans="1:11" ht="15.75" x14ac:dyDescent="0.25">
      <c r="A38" s="570"/>
      <c r="D38" s="571"/>
    </row>
    <row r="39" spans="1:11" ht="15.75" x14ac:dyDescent="0.25">
      <c r="A39" s="572" t="s">
        <v>673</v>
      </c>
      <c r="B39" s="562">
        <f>B40+B41</f>
        <v>252632612</v>
      </c>
      <c r="C39" s="143" t="s">
        <v>674</v>
      </c>
      <c r="D39" s="143">
        <v>942</v>
      </c>
    </row>
    <row r="40" spans="1:11" ht="15.75" x14ac:dyDescent="0.25">
      <c r="A40" t="s">
        <v>675</v>
      </c>
      <c r="B40" s="542">
        <f>135155+855+71120+45750</f>
        <v>252880</v>
      </c>
    </row>
    <row r="41" spans="1:11" x14ac:dyDescent="0.25">
      <c r="A41" t="s">
        <v>676</v>
      </c>
      <c r="B41" s="143">
        <f>251784005+65533+530194</f>
        <v>252379732</v>
      </c>
    </row>
    <row r="45" spans="1:11" ht="15.75" thickBot="1" x14ac:dyDescent="0.3">
      <c r="A45" t="s">
        <v>677</v>
      </c>
      <c r="C45" s="143" t="s">
        <v>678</v>
      </c>
      <c r="D45" s="143">
        <v>9233</v>
      </c>
    </row>
    <row r="46" spans="1:11" x14ac:dyDescent="0.25">
      <c r="A46" s="30" t="s">
        <v>679</v>
      </c>
      <c r="B46" s="573">
        <f>B47+B48+B49+B50</f>
        <v>2712650</v>
      </c>
      <c r="C46" s="574"/>
    </row>
    <row r="47" spans="1:11" x14ac:dyDescent="0.25">
      <c r="A47" t="s">
        <v>680</v>
      </c>
      <c r="B47" s="575">
        <v>1376000</v>
      </c>
    </row>
    <row r="48" spans="1:11" x14ac:dyDescent="0.25">
      <c r="A48" t="s">
        <v>681</v>
      </c>
      <c r="B48" s="575">
        <v>570600</v>
      </c>
    </row>
    <row r="49" spans="1:4" x14ac:dyDescent="0.25">
      <c r="A49" t="s">
        <v>682</v>
      </c>
      <c r="B49" s="575">
        <v>466050</v>
      </c>
    </row>
    <row r="50" spans="1:4" x14ac:dyDescent="0.25">
      <c r="A50" t="s">
        <v>683</v>
      </c>
      <c r="B50" s="576">
        <v>300000</v>
      </c>
    </row>
    <row r="51" spans="1:4" x14ac:dyDescent="0.25">
      <c r="B51" s="561"/>
    </row>
    <row r="53" spans="1:4" x14ac:dyDescent="0.25">
      <c r="A53" s="577" t="s">
        <v>684</v>
      </c>
      <c r="B53" s="578">
        <v>2805940</v>
      </c>
    </row>
    <row r="55" spans="1:4" x14ac:dyDescent="0.25">
      <c r="A55" s="143" t="s">
        <v>50</v>
      </c>
      <c r="C55"/>
      <c r="D55"/>
    </row>
    <row r="56" spans="1:4" x14ac:dyDescent="0.25">
      <c r="A56" t="s">
        <v>685</v>
      </c>
      <c r="B56" s="143">
        <v>3500000</v>
      </c>
      <c r="C56" t="s">
        <v>686</v>
      </c>
    </row>
    <row r="57" spans="1:4" x14ac:dyDescent="0.25">
      <c r="A57" t="s">
        <v>687</v>
      </c>
      <c r="B57" s="143">
        <v>7800000</v>
      </c>
      <c r="C57" t="s">
        <v>688</v>
      </c>
    </row>
    <row r="58" spans="1:4" x14ac:dyDescent="0.25">
      <c r="A58" t="s">
        <v>689</v>
      </c>
      <c r="B58" s="143">
        <v>22000000</v>
      </c>
      <c r="C58" t="s">
        <v>690</v>
      </c>
    </row>
    <row r="59" spans="1:4" x14ac:dyDescent="0.25">
      <c r="A59" t="s">
        <v>691</v>
      </c>
      <c r="B59" s="143">
        <v>500000</v>
      </c>
      <c r="C59" t="s">
        <v>692</v>
      </c>
    </row>
    <row r="60" spans="1:4" x14ac:dyDescent="0.25">
      <c r="A60" t="s">
        <v>693</v>
      </c>
      <c r="B60" s="143">
        <v>4500000</v>
      </c>
      <c r="C60" t="s">
        <v>694</v>
      </c>
    </row>
    <row r="61" spans="1:4" x14ac:dyDescent="0.25">
      <c r="A61" t="s">
        <v>695</v>
      </c>
      <c r="B61" s="143">
        <v>6000</v>
      </c>
      <c r="C61" t="s">
        <v>696</v>
      </c>
    </row>
    <row r="62" spans="1:4" x14ac:dyDescent="0.25">
      <c r="A62" t="s">
        <v>697</v>
      </c>
      <c r="B62" s="143">
        <v>0</v>
      </c>
      <c r="C62" t="s">
        <v>698</v>
      </c>
    </row>
    <row r="63" spans="1:4" x14ac:dyDescent="0.25">
      <c r="A63" t="s">
        <v>699</v>
      </c>
      <c r="B63" s="143">
        <v>200000</v>
      </c>
      <c r="C63" t="s">
        <v>698</v>
      </c>
    </row>
    <row r="64" spans="1:4" x14ac:dyDescent="0.25">
      <c r="A64" t="s">
        <v>700</v>
      </c>
      <c r="B64" s="143">
        <v>10000</v>
      </c>
      <c r="C64" t="s">
        <v>701</v>
      </c>
    </row>
    <row r="65" spans="1:4" x14ac:dyDescent="0.25">
      <c r="A65" t="s">
        <v>702</v>
      </c>
      <c r="B65" s="544">
        <v>0</v>
      </c>
      <c r="C65" t="s">
        <v>698</v>
      </c>
    </row>
    <row r="66" spans="1:4" x14ac:dyDescent="0.25">
      <c r="A66" t="s">
        <v>703</v>
      </c>
      <c r="B66" s="544">
        <v>800000</v>
      </c>
      <c r="C66" t="s">
        <v>692</v>
      </c>
    </row>
    <row r="67" spans="1:4" ht="15.75" x14ac:dyDescent="0.25">
      <c r="A67" s="30" t="s">
        <v>704</v>
      </c>
      <c r="B67" s="554">
        <f>SUM(B56:B66)</f>
        <v>39316000</v>
      </c>
      <c r="C67" s="579"/>
      <c r="D67" s="568">
        <f>SUM(D56:D65)</f>
        <v>0</v>
      </c>
    </row>
    <row r="68" spans="1:4" ht="15.75" x14ac:dyDescent="0.25">
      <c r="B68" s="542">
        <f>B67+D67</f>
        <v>39316000</v>
      </c>
      <c r="C68"/>
      <c r="D68"/>
    </row>
    <row r="69" spans="1:4" x14ac:dyDescent="0.25">
      <c r="B69" s="143">
        <f>B67+D67-B60-D60-B63-D63-B65-D65</f>
        <v>34616000</v>
      </c>
      <c r="C69"/>
      <c r="D69"/>
    </row>
  </sheetData>
  <mergeCells count="5">
    <mergeCell ref="A2:G2"/>
    <mergeCell ref="E6:F6"/>
    <mergeCell ref="G6:H6"/>
    <mergeCell ref="E16:F16"/>
    <mergeCell ref="G16:H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67" workbookViewId="0">
      <selection activeCell="I81" sqref="I81"/>
    </sheetView>
  </sheetViews>
  <sheetFormatPr defaultRowHeight="15" x14ac:dyDescent="0.25"/>
  <cols>
    <col min="3" max="3" width="60.7109375" bestFit="1" customWidth="1"/>
    <col min="4" max="6" width="19.140625" bestFit="1" customWidth="1"/>
  </cols>
  <sheetData>
    <row r="1" spans="1:6" ht="18.75" x14ac:dyDescent="0.3">
      <c r="A1" s="639" t="s">
        <v>3</v>
      </c>
      <c r="B1" s="640"/>
      <c r="C1" s="640"/>
      <c r="D1" s="640"/>
      <c r="E1" s="640"/>
      <c r="F1" s="640"/>
    </row>
    <row r="2" spans="1:6" ht="15.75" x14ac:dyDescent="0.25">
      <c r="A2" s="603"/>
      <c r="B2" s="603"/>
      <c r="C2" s="603"/>
      <c r="D2" s="603"/>
      <c r="E2" s="603"/>
      <c r="F2" s="603"/>
    </row>
    <row r="3" spans="1:6" ht="15.75" x14ac:dyDescent="0.25">
      <c r="A3" s="641" t="s">
        <v>4</v>
      </c>
      <c r="B3" s="641"/>
      <c r="C3" s="641"/>
      <c r="D3" s="641"/>
      <c r="E3" s="641"/>
      <c r="F3" s="641"/>
    </row>
    <row r="4" spans="1:6" ht="15.75" x14ac:dyDescent="0.25">
      <c r="A4" s="603" t="s">
        <v>599</v>
      </c>
      <c r="B4" s="603"/>
      <c r="C4" s="603"/>
      <c r="D4" s="603"/>
      <c r="E4" s="603"/>
      <c r="F4" s="603"/>
    </row>
    <row r="5" spans="1:6" ht="16.5" thickBot="1" x14ac:dyDescent="0.3">
      <c r="A5" s="642" t="s">
        <v>600</v>
      </c>
      <c r="B5" s="642"/>
      <c r="C5" s="642"/>
      <c r="D5" s="642"/>
      <c r="E5" s="642"/>
      <c r="F5" s="642"/>
    </row>
    <row r="6" spans="1:6" ht="12.75" customHeight="1" x14ac:dyDescent="0.25">
      <c r="A6" s="643" t="s">
        <v>7</v>
      </c>
      <c r="B6" s="646" t="s">
        <v>8</v>
      </c>
      <c r="C6" s="646"/>
      <c r="D6" s="912">
        <v>2018</v>
      </c>
      <c r="E6" s="651">
        <v>2019</v>
      </c>
      <c r="F6" s="635">
        <v>2020</v>
      </c>
    </row>
    <row r="7" spans="1:6" ht="35.25" customHeight="1" x14ac:dyDescent="0.25">
      <c r="A7" s="644"/>
      <c r="B7" s="647"/>
      <c r="C7" s="647"/>
      <c r="D7" s="913"/>
      <c r="E7" s="652"/>
      <c r="F7" s="636"/>
    </row>
    <row r="8" spans="1:6" ht="21" customHeight="1" thickBot="1" x14ac:dyDescent="0.3">
      <c r="A8" s="832"/>
      <c r="B8" s="833"/>
      <c r="C8" s="833"/>
      <c r="D8" s="830" t="s">
        <v>601</v>
      </c>
      <c r="E8" s="650"/>
      <c r="F8" s="914"/>
    </row>
    <row r="9" spans="1:6" ht="15.75" x14ac:dyDescent="0.25">
      <c r="A9" s="375"/>
      <c r="B9" s="646" t="s">
        <v>14</v>
      </c>
      <c r="C9" s="646"/>
      <c r="D9" s="378"/>
      <c r="E9" s="378"/>
      <c r="F9" s="483"/>
    </row>
    <row r="10" spans="1:6" ht="15.75" x14ac:dyDescent="0.25">
      <c r="A10" s="9">
        <v>1</v>
      </c>
      <c r="B10" s="620" t="s">
        <v>15</v>
      </c>
      <c r="C10" s="620"/>
      <c r="D10" s="23">
        <v>102333664</v>
      </c>
      <c r="E10" s="23">
        <v>102333664</v>
      </c>
      <c r="F10" s="23">
        <v>102333664</v>
      </c>
    </row>
    <row r="11" spans="1:6" ht="15.75" x14ac:dyDescent="0.25">
      <c r="A11" s="9">
        <v>2</v>
      </c>
      <c r="B11" s="620" t="s">
        <v>16</v>
      </c>
      <c r="C11" s="620"/>
      <c r="D11" s="23">
        <v>25490024</v>
      </c>
      <c r="E11" s="23">
        <v>25490024</v>
      </c>
      <c r="F11" s="23">
        <v>25490024</v>
      </c>
    </row>
    <row r="12" spans="1:6" ht="15.75" x14ac:dyDescent="0.25">
      <c r="A12" s="9">
        <v>3</v>
      </c>
      <c r="B12" s="620" t="s">
        <v>17</v>
      </c>
      <c r="C12" s="620"/>
      <c r="D12" s="23">
        <v>88165850</v>
      </c>
      <c r="E12" s="23">
        <v>88165850</v>
      </c>
      <c r="F12" s="23">
        <v>88165850</v>
      </c>
    </row>
    <row r="13" spans="1:6" ht="15.75" x14ac:dyDescent="0.25">
      <c r="A13" s="9" t="s">
        <v>18</v>
      </c>
      <c r="B13" s="620" t="s">
        <v>19</v>
      </c>
      <c r="C13" s="620"/>
      <c r="D13" s="23"/>
      <c r="E13" s="23"/>
      <c r="F13" s="23"/>
    </row>
    <row r="14" spans="1:6" ht="15.75" x14ac:dyDescent="0.25">
      <c r="A14" s="9" t="s">
        <v>20</v>
      </c>
      <c r="B14" s="626" t="s">
        <v>21</v>
      </c>
      <c r="C14" s="626"/>
      <c r="D14" s="23">
        <f>+D15+D16+D17+D18+D19</f>
        <v>16759214</v>
      </c>
      <c r="E14" s="23">
        <f>+E15+E16+E17+E18+E19</f>
        <v>16759214</v>
      </c>
      <c r="F14" s="23">
        <f>+F15+F16+F17+F18+F19</f>
        <v>16759214</v>
      </c>
    </row>
    <row r="15" spans="1:6" ht="15.75" x14ac:dyDescent="0.25">
      <c r="A15" s="9" t="s">
        <v>22</v>
      </c>
      <c r="B15" s="627" t="s">
        <v>133</v>
      </c>
      <c r="C15" s="627"/>
      <c r="D15" s="23"/>
      <c r="E15" s="23"/>
      <c r="F15" s="23"/>
    </row>
    <row r="16" spans="1:6" ht="15.75" x14ac:dyDescent="0.25">
      <c r="A16" s="9" t="s">
        <v>23</v>
      </c>
      <c r="B16" s="627" t="s">
        <v>24</v>
      </c>
      <c r="C16" s="627"/>
      <c r="D16" s="23">
        <v>5617214</v>
      </c>
      <c r="E16" s="23">
        <v>5617214</v>
      </c>
      <c r="F16" s="23">
        <v>5617214</v>
      </c>
    </row>
    <row r="17" spans="1:6" ht="15.75" x14ac:dyDescent="0.25">
      <c r="A17" s="9"/>
      <c r="B17" s="628"/>
      <c r="C17" s="629"/>
      <c r="D17" s="23"/>
      <c r="E17" s="23"/>
      <c r="F17" s="23"/>
    </row>
    <row r="18" spans="1:6" ht="15.75" x14ac:dyDescent="0.25">
      <c r="A18" s="9" t="s">
        <v>25</v>
      </c>
      <c r="B18" s="630" t="s">
        <v>26</v>
      </c>
      <c r="C18" s="630"/>
      <c r="D18" s="23">
        <v>11142000</v>
      </c>
      <c r="E18" s="23">
        <v>11142000</v>
      </c>
      <c r="F18" s="23">
        <v>11142000</v>
      </c>
    </row>
    <row r="19" spans="1:6" ht="15.75" x14ac:dyDescent="0.25">
      <c r="A19" s="9" t="s">
        <v>27</v>
      </c>
      <c r="B19" s="630" t="s">
        <v>135</v>
      </c>
      <c r="C19" s="829"/>
      <c r="D19" s="23"/>
      <c r="E19" s="23"/>
      <c r="F19" s="23"/>
    </row>
    <row r="20" spans="1:6" ht="15.75" x14ac:dyDescent="0.25">
      <c r="A20" s="9"/>
      <c r="B20" s="620" t="s">
        <v>602</v>
      </c>
      <c r="C20" s="620"/>
      <c r="D20" s="23">
        <v>25796636</v>
      </c>
      <c r="E20" s="23">
        <f>25796636+2805940</f>
        <v>28602576</v>
      </c>
      <c r="F20" s="23">
        <f>25796636+2805940</f>
        <v>28602576</v>
      </c>
    </row>
    <row r="21" spans="1:6" ht="15.75" x14ac:dyDescent="0.25">
      <c r="A21" s="9"/>
      <c r="B21" s="620" t="s">
        <v>603</v>
      </c>
      <c r="C21" s="620"/>
      <c r="D21" s="26">
        <v>32404950</v>
      </c>
      <c r="E21" s="26">
        <v>32404950</v>
      </c>
      <c r="F21" s="26">
        <v>32404950</v>
      </c>
    </row>
    <row r="22" spans="1:6" ht="15.75" x14ac:dyDescent="0.25">
      <c r="A22" s="9" t="s">
        <v>1</v>
      </c>
      <c r="B22" s="140" t="s">
        <v>30</v>
      </c>
      <c r="C22" s="383"/>
      <c r="D22" s="23">
        <f>+D10+D11+D12+D13+D14+D21+D20</f>
        <v>290950338</v>
      </c>
      <c r="E22" s="23">
        <f>+E10+E11+E12+E13+E14+E21+E20</f>
        <v>293756278</v>
      </c>
      <c r="F22" s="23">
        <f>+F10+F11+F12+F13+F14+F21+F20</f>
        <v>293756278</v>
      </c>
    </row>
    <row r="23" spans="1:6" ht="15.75" x14ac:dyDescent="0.25">
      <c r="A23" s="9" t="s">
        <v>31</v>
      </c>
      <c r="B23" s="620" t="s">
        <v>32</v>
      </c>
      <c r="C23" s="620"/>
      <c r="D23" s="33">
        <v>292599594</v>
      </c>
      <c r="E23" s="33">
        <v>292599594</v>
      </c>
      <c r="F23" s="33">
        <v>292599594</v>
      </c>
    </row>
    <row r="24" spans="1:6" ht="15.75" x14ac:dyDescent="0.25">
      <c r="A24" s="9" t="s">
        <v>33</v>
      </c>
      <c r="B24" s="620" t="s">
        <v>34</v>
      </c>
      <c r="C24" s="620"/>
      <c r="D24" s="33">
        <v>11609589</v>
      </c>
      <c r="E24" s="33">
        <v>11609589</v>
      </c>
      <c r="F24" s="33">
        <v>11609589</v>
      </c>
    </row>
    <row r="25" spans="1:6" ht="15.75" x14ac:dyDescent="0.25">
      <c r="A25" s="9" t="s">
        <v>35</v>
      </c>
      <c r="B25" s="620" t="s">
        <v>36</v>
      </c>
      <c r="C25" s="620"/>
      <c r="D25" s="33"/>
      <c r="E25" s="33"/>
      <c r="F25" s="33"/>
    </row>
    <row r="26" spans="1:6" ht="15.75" x14ac:dyDescent="0.25">
      <c r="A26" s="9" t="s">
        <v>37</v>
      </c>
      <c r="B26" s="620" t="s">
        <v>38</v>
      </c>
      <c r="C26" s="620"/>
      <c r="D26" s="33">
        <f>SUM(D23:D25)</f>
        <v>304209183</v>
      </c>
      <c r="E26" s="33">
        <f>SUM(E23:E25)</f>
        <v>304209183</v>
      </c>
      <c r="F26" s="33">
        <f>SUM(F23:F25)</f>
        <v>304209183</v>
      </c>
    </row>
    <row r="27" spans="1:6" ht="15.75" x14ac:dyDescent="0.25">
      <c r="A27" s="9" t="s">
        <v>39</v>
      </c>
      <c r="B27" s="620"/>
      <c r="C27" s="620"/>
      <c r="D27" s="33"/>
      <c r="E27" s="33"/>
      <c r="F27" s="33"/>
    </row>
    <row r="28" spans="1:6" ht="15.75" x14ac:dyDescent="0.25">
      <c r="A28" s="9" t="s">
        <v>40</v>
      </c>
      <c r="B28" s="622"/>
      <c r="C28" s="622"/>
      <c r="D28" s="35"/>
      <c r="E28" s="35"/>
      <c r="F28" s="35"/>
    </row>
    <row r="29" spans="1:6" ht="15.75" x14ac:dyDescent="0.25">
      <c r="A29" s="9" t="s">
        <v>41</v>
      </c>
      <c r="B29" s="622"/>
      <c r="C29" s="622"/>
      <c r="D29" s="36"/>
      <c r="E29" s="36"/>
      <c r="F29" s="36"/>
    </row>
    <row r="30" spans="1:6" ht="19.5" x14ac:dyDescent="0.3">
      <c r="A30" s="37" t="s">
        <v>42</v>
      </c>
      <c r="B30" s="616" t="s">
        <v>351</v>
      </c>
      <c r="C30" s="616"/>
      <c r="D30" s="69">
        <f>+D22+D26+D27+D28+D29</f>
        <v>595159521</v>
      </c>
      <c r="E30" s="69">
        <f>+E22+E26+E27+E28+E29</f>
        <v>597965461</v>
      </c>
      <c r="F30" s="69">
        <f>+F22+F26+F27+F28+F29</f>
        <v>597965461</v>
      </c>
    </row>
    <row r="31" spans="1:6" ht="15.75" x14ac:dyDescent="0.25">
      <c r="A31" s="41"/>
      <c r="B31" s="664"/>
      <c r="C31" s="664"/>
      <c r="D31" s="444"/>
      <c r="E31" s="444"/>
      <c r="F31" s="444"/>
    </row>
    <row r="32" spans="1:6" ht="15.75" x14ac:dyDescent="0.25">
      <c r="A32" s="9"/>
      <c r="B32" s="691" t="s">
        <v>44</v>
      </c>
      <c r="C32" s="691"/>
      <c r="D32" s="26"/>
      <c r="E32" s="26"/>
      <c r="F32" s="26"/>
    </row>
    <row r="33" spans="1:6" ht="15.75" x14ac:dyDescent="0.25">
      <c r="A33" s="9" t="s">
        <v>45</v>
      </c>
      <c r="B33" s="614" t="s">
        <v>46</v>
      </c>
      <c r="C33" s="614"/>
      <c r="D33" s="49">
        <v>11135174</v>
      </c>
      <c r="E33" s="49">
        <v>11135174</v>
      </c>
      <c r="F33" s="49">
        <v>11135174</v>
      </c>
    </row>
    <row r="34" spans="1:6" ht="15.75" x14ac:dyDescent="0.25">
      <c r="A34" s="9" t="s">
        <v>47</v>
      </c>
      <c r="B34" s="614" t="s">
        <v>48</v>
      </c>
      <c r="C34" s="614"/>
      <c r="D34" s="49">
        <f>SUM(D35:D37)</f>
        <v>39316000</v>
      </c>
      <c r="E34" s="49">
        <f>SUM(E35:E37)</f>
        <v>39316000</v>
      </c>
      <c r="F34" s="49">
        <f>SUM(F35:F37)</f>
        <v>39316000</v>
      </c>
    </row>
    <row r="35" spans="1:6" ht="15.75" x14ac:dyDescent="0.25">
      <c r="A35" s="9"/>
      <c r="B35" s="52" t="s">
        <v>49</v>
      </c>
      <c r="C35" s="53" t="s">
        <v>50</v>
      </c>
      <c r="D35" s="49">
        <v>34616000</v>
      </c>
      <c r="E35" s="49">
        <v>34616000</v>
      </c>
      <c r="F35" s="49">
        <v>34616000</v>
      </c>
    </row>
    <row r="36" spans="1:6" ht="15.75" x14ac:dyDescent="0.25">
      <c r="A36" s="9"/>
      <c r="B36" s="52" t="s">
        <v>51</v>
      </c>
      <c r="C36" s="53" t="s">
        <v>52</v>
      </c>
      <c r="D36" s="49">
        <v>4500000</v>
      </c>
      <c r="E36" s="49">
        <v>4500000</v>
      </c>
      <c r="F36" s="49">
        <v>4500000</v>
      </c>
    </row>
    <row r="37" spans="1:6" ht="15.75" x14ac:dyDescent="0.25">
      <c r="A37" s="9"/>
      <c r="B37" s="52" t="s">
        <v>53</v>
      </c>
      <c r="C37" s="53" t="s">
        <v>54</v>
      </c>
      <c r="D37" s="49">
        <v>200000</v>
      </c>
      <c r="E37" s="49">
        <v>200000</v>
      </c>
      <c r="F37" s="49">
        <v>200000</v>
      </c>
    </row>
    <row r="38" spans="1:6" ht="15.75" x14ac:dyDescent="0.25">
      <c r="A38" s="9" t="s">
        <v>55</v>
      </c>
      <c r="B38" s="614" t="s">
        <v>56</v>
      </c>
      <c r="C38" s="614"/>
      <c r="D38" s="54">
        <f>SUM(D39:D41)</f>
        <v>139240232</v>
      </c>
      <c r="E38" s="54">
        <f>SUM(E39:E41)</f>
        <v>139240232</v>
      </c>
      <c r="F38" s="54">
        <f>SUM(F39:F41)</f>
        <v>139240232</v>
      </c>
    </row>
    <row r="39" spans="1:6" ht="15.75" x14ac:dyDescent="0.25">
      <c r="A39" s="9"/>
      <c r="B39" s="56" t="s">
        <v>57</v>
      </c>
      <c r="C39" s="57" t="s">
        <v>58</v>
      </c>
      <c r="D39" s="54">
        <v>137815897</v>
      </c>
      <c r="E39" s="54">
        <v>137815897</v>
      </c>
      <c r="F39" s="54">
        <v>137815897</v>
      </c>
    </row>
    <row r="40" spans="1:6" ht="15.75" x14ac:dyDescent="0.25">
      <c r="A40" s="9"/>
      <c r="B40" s="56" t="s">
        <v>59</v>
      </c>
      <c r="C40" s="57" t="s">
        <v>60</v>
      </c>
      <c r="D40" s="54">
        <f>SUM(E40:F40)</f>
        <v>0</v>
      </c>
      <c r="E40" s="54">
        <f>SUM(F40:G40)</f>
        <v>0</v>
      </c>
      <c r="F40" s="54">
        <f>SUM(G40:H40)</f>
        <v>0</v>
      </c>
    </row>
    <row r="41" spans="1:6" ht="15.75" x14ac:dyDescent="0.25">
      <c r="A41" s="9"/>
      <c r="B41" s="56" t="s">
        <v>61</v>
      </c>
      <c r="C41" s="57" t="s">
        <v>62</v>
      </c>
      <c r="D41" s="54">
        <v>1424335</v>
      </c>
      <c r="E41" s="54">
        <v>1424335</v>
      </c>
      <c r="F41" s="54">
        <v>1424335</v>
      </c>
    </row>
    <row r="42" spans="1:6" ht="15.75" x14ac:dyDescent="0.25">
      <c r="A42" s="9" t="s">
        <v>18</v>
      </c>
      <c r="B42" s="614" t="s">
        <v>63</v>
      </c>
      <c r="C42" s="614"/>
      <c r="D42" s="50">
        <f>D44+D43+D45</f>
        <v>13631885</v>
      </c>
      <c r="E42" s="50">
        <f>E44+E43+E45</f>
        <v>13631885</v>
      </c>
      <c r="F42" s="50">
        <f>F44+F43+F45</f>
        <v>13631885</v>
      </c>
    </row>
    <row r="43" spans="1:6" ht="15.75" x14ac:dyDescent="0.25">
      <c r="A43" s="9"/>
      <c r="B43" s="56" t="s">
        <v>64</v>
      </c>
      <c r="C43" s="57" t="s">
        <v>65</v>
      </c>
      <c r="D43" s="54">
        <v>11932622</v>
      </c>
      <c r="E43" s="54">
        <v>11932622</v>
      </c>
      <c r="F43" s="54">
        <v>11932622</v>
      </c>
    </row>
    <row r="44" spans="1:6" ht="15.75" x14ac:dyDescent="0.25">
      <c r="A44" s="9"/>
      <c r="B44" s="56" t="s">
        <v>66</v>
      </c>
      <c r="C44" s="57" t="s">
        <v>67</v>
      </c>
      <c r="D44" s="54"/>
      <c r="E44" s="54"/>
      <c r="F44" s="54"/>
    </row>
    <row r="45" spans="1:6" ht="15.75" x14ac:dyDescent="0.25">
      <c r="A45" s="9"/>
      <c r="B45" s="56" t="s">
        <v>68</v>
      </c>
      <c r="C45" s="57" t="s">
        <v>69</v>
      </c>
      <c r="D45" s="54">
        <v>1699263</v>
      </c>
      <c r="E45" s="54">
        <v>1699263</v>
      </c>
      <c r="F45" s="54">
        <v>1699263</v>
      </c>
    </row>
    <row r="46" spans="1:6" ht="15.75" x14ac:dyDescent="0.25">
      <c r="A46" s="9"/>
      <c r="B46" s="56" t="s">
        <v>70</v>
      </c>
      <c r="C46" s="57" t="s">
        <v>71</v>
      </c>
      <c r="D46" s="54"/>
      <c r="E46" s="54"/>
      <c r="F46" s="54"/>
    </row>
    <row r="47" spans="1:6" s="30" customFormat="1" ht="15.75" x14ac:dyDescent="0.25">
      <c r="A47" s="27" t="s">
        <v>1</v>
      </c>
      <c r="B47" s="618" t="s">
        <v>72</v>
      </c>
      <c r="C47" s="618"/>
      <c r="D47" s="62">
        <f>+D33+D34+D38+D42</f>
        <v>203323291</v>
      </c>
      <c r="E47" s="62">
        <f>+E33+E34+E38+E42</f>
        <v>203323291</v>
      </c>
      <c r="F47" s="62">
        <f>+F33+F34+F38+F42</f>
        <v>203323291</v>
      </c>
    </row>
    <row r="48" spans="1:6" ht="15.75" x14ac:dyDescent="0.25">
      <c r="A48" s="9" t="s">
        <v>20</v>
      </c>
      <c r="B48" s="614" t="s">
        <v>73</v>
      </c>
      <c r="C48" s="614"/>
      <c r="D48" s="50">
        <f>D49+D50</f>
        <v>7061948</v>
      </c>
      <c r="E48" s="50">
        <f>E49+E50</f>
        <v>7061948</v>
      </c>
      <c r="F48" s="50">
        <f>F49+F50</f>
        <v>7061948</v>
      </c>
    </row>
    <row r="49" spans="1:6" ht="15.75" x14ac:dyDescent="0.25">
      <c r="A49" s="9"/>
      <c r="B49" s="56" t="s">
        <v>74</v>
      </c>
      <c r="C49" s="57" t="s">
        <v>75</v>
      </c>
      <c r="D49" s="54">
        <v>2712650</v>
      </c>
      <c r="E49" s="54">
        <v>2712650</v>
      </c>
      <c r="F49" s="54">
        <v>2712650</v>
      </c>
    </row>
    <row r="50" spans="1:6" ht="15.75" x14ac:dyDescent="0.25">
      <c r="A50" s="9"/>
      <c r="B50" s="56" t="s">
        <v>76</v>
      </c>
      <c r="C50" s="57" t="s">
        <v>77</v>
      </c>
      <c r="D50" s="54">
        <v>4349298</v>
      </c>
      <c r="E50" s="54">
        <v>4349298</v>
      </c>
      <c r="F50" s="54">
        <v>4349298</v>
      </c>
    </row>
    <row r="51" spans="1:6" ht="15.75" x14ac:dyDescent="0.25">
      <c r="A51" s="9" t="s">
        <v>31</v>
      </c>
      <c r="B51" s="614" t="s">
        <v>78</v>
      </c>
      <c r="C51" s="614"/>
      <c r="D51" s="54">
        <f>SUM(D52:D53)</f>
        <v>0</v>
      </c>
      <c r="E51" s="54">
        <f>SUM(E52:E53)</f>
        <v>0</v>
      </c>
      <c r="F51" s="54">
        <f>SUM(F52:F53)</f>
        <v>0</v>
      </c>
    </row>
    <row r="52" spans="1:6" ht="15.75" x14ac:dyDescent="0.25">
      <c r="A52" s="9"/>
      <c r="B52" s="56" t="s">
        <v>79</v>
      </c>
      <c r="C52" s="57" t="s">
        <v>80</v>
      </c>
      <c r="D52" s="54"/>
      <c r="E52" s="54"/>
      <c r="F52" s="54"/>
    </row>
    <row r="53" spans="1:6" ht="15.75" x14ac:dyDescent="0.25">
      <c r="A53" s="9"/>
      <c r="B53" s="56" t="s">
        <v>81</v>
      </c>
      <c r="C53" s="57" t="s">
        <v>82</v>
      </c>
      <c r="D53" s="54">
        <v>0</v>
      </c>
      <c r="E53" s="54">
        <v>0</v>
      </c>
      <c r="F53" s="54">
        <v>0</v>
      </c>
    </row>
    <row r="54" spans="1:6" ht="15.75" x14ac:dyDescent="0.25">
      <c r="A54" s="9" t="s">
        <v>33</v>
      </c>
      <c r="B54" s="614" t="s">
        <v>83</v>
      </c>
      <c r="C54" s="614"/>
      <c r="D54" s="54">
        <f>SUM(D55:D57)</f>
        <v>134947610</v>
      </c>
      <c r="E54" s="54">
        <f>SUM(E55:E57)</f>
        <v>134947610</v>
      </c>
      <c r="F54" s="54">
        <f>SUM(F55:F57)</f>
        <v>134947610</v>
      </c>
    </row>
    <row r="55" spans="1:6" ht="15.75" x14ac:dyDescent="0.25">
      <c r="A55" s="9"/>
      <c r="B55" s="56" t="s">
        <v>84</v>
      </c>
      <c r="C55" s="57" t="s">
        <v>85</v>
      </c>
      <c r="D55" s="54">
        <v>0</v>
      </c>
      <c r="E55" s="54">
        <v>0</v>
      </c>
      <c r="F55" s="54">
        <v>0</v>
      </c>
    </row>
    <row r="56" spans="1:6" ht="15.75" x14ac:dyDescent="0.25">
      <c r="A56" s="9"/>
      <c r="B56" s="56" t="s">
        <v>86</v>
      </c>
      <c r="C56" s="57" t="s">
        <v>87</v>
      </c>
      <c r="D56" s="54">
        <v>134947610</v>
      </c>
      <c r="E56" s="54">
        <v>134947610</v>
      </c>
      <c r="F56" s="54">
        <v>134947610</v>
      </c>
    </row>
    <row r="57" spans="1:6" ht="15.75" x14ac:dyDescent="0.25">
      <c r="A57" s="9"/>
      <c r="B57" s="56" t="s">
        <v>88</v>
      </c>
      <c r="C57" s="57" t="s">
        <v>89</v>
      </c>
      <c r="D57" s="54"/>
      <c r="E57" s="54"/>
      <c r="F57" s="54"/>
    </row>
    <row r="58" spans="1:6" ht="15.75" x14ac:dyDescent="0.25">
      <c r="A58" s="27" t="s">
        <v>37</v>
      </c>
      <c r="B58" s="618" t="s">
        <v>90</v>
      </c>
      <c r="C58" s="618"/>
      <c r="D58" s="54">
        <f>+D48+D51+D54</f>
        <v>142009558</v>
      </c>
      <c r="E58" s="54">
        <f>+E48+E51+E54</f>
        <v>142009558</v>
      </c>
      <c r="F58" s="54">
        <f>+F48+F51+F54</f>
        <v>142009558</v>
      </c>
    </row>
    <row r="59" spans="1:6" ht="15.75" x14ac:dyDescent="0.25">
      <c r="A59" s="27" t="s">
        <v>39</v>
      </c>
      <c r="B59" s="618" t="s">
        <v>91</v>
      </c>
      <c r="C59" s="618"/>
      <c r="D59" s="62"/>
      <c r="E59" s="62"/>
      <c r="F59" s="62"/>
    </row>
    <row r="60" spans="1:6" ht="15.75" x14ac:dyDescent="0.25">
      <c r="A60" s="27" t="s">
        <v>40</v>
      </c>
      <c r="B60" s="618" t="s">
        <v>92</v>
      </c>
      <c r="C60" s="618"/>
      <c r="D60" s="62"/>
      <c r="E60" s="62"/>
      <c r="F60" s="62"/>
    </row>
    <row r="61" spans="1:6" ht="18.75" x14ac:dyDescent="0.3">
      <c r="A61" s="37" t="s">
        <v>93</v>
      </c>
      <c r="B61" s="611" t="s">
        <v>94</v>
      </c>
      <c r="C61" s="611"/>
      <c r="D61" s="453">
        <f>+D47+D58+D59+D60</f>
        <v>345332849</v>
      </c>
      <c r="E61" s="453">
        <f>+E47+E58+E59+E60</f>
        <v>345332849</v>
      </c>
      <c r="F61" s="453">
        <f>+F47+F58+F59+F60</f>
        <v>345332849</v>
      </c>
    </row>
    <row r="62" spans="1:6" ht="18.75" x14ac:dyDescent="0.3">
      <c r="A62" s="37"/>
      <c r="B62" s="611" t="s">
        <v>95</v>
      </c>
      <c r="C62" s="611"/>
      <c r="D62" s="69">
        <f>+D30-D61</f>
        <v>249826672</v>
      </c>
      <c r="E62" s="69">
        <f>+E30-E61</f>
        <v>252632612</v>
      </c>
      <c r="F62" s="69">
        <f>+F30-F61</f>
        <v>252632612</v>
      </c>
    </row>
    <row r="63" spans="1:6" ht="18.75" x14ac:dyDescent="0.3">
      <c r="A63" s="37"/>
      <c r="B63" s="614" t="s">
        <v>96</v>
      </c>
      <c r="C63" s="614"/>
      <c r="D63" s="78">
        <v>94373628</v>
      </c>
      <c r="E63" s="78">
        <v>94373628</v>
      </c>
      <c r="F63" s="78">
        <v>94373628</v>
      </c>
    </row>
    <row r="64" spans="1:6" ht="15.75" x14ac:dyDescent="0.25">
      <c r="A64" s="27" t="s">
        <v>41</v>
      </c>
      <c r="B64" s="614" t="s">
        <v>97</v>
      </c>
      <c r="C64" s="614"/>
      <c r="D64" s="26">
        <f>SUM(D65:D66)</f>
        <v>252632612</v>
      </c>
      <c r="E64" s="26">
        <f>SUM(E65:E66)</f>
        <v>252632612</v>
      </c>
      <c r="F64" s="26">
        <f>SUM(F65:F66)</f>
        <v>252632612</v>
      </c>
    </row>
    <row r="65" spans="1:6" ht="18.75" x14ac:dyDescent="0.25">
      <c r="A65" s="37"/>
      <c r="B65" s="71" t="s">
        <v>45</v>
      </c>
      <c r="C65" s="57" t="s">
        <v>98</v>
      </c>
      <c r="D65" s="26">
        <v>14347040</v>
      </c>
      <c r="E65" s="26">
        <v>14347040</v>
      </c>
      <c r="F65" s="26">
        <v>14347040</v>
      </c>
    </row>
    <row r="66" spans="1:6" ht="18.75" x14ac:dyDescent="0.3">
      <c r="A66" s="37"/>
      <c r="B66" s="71" t="s">
        <v>47</v>
      </c>
      <c r="C66" s="57" t="s">
        <v>99</v>
      </c>
      <c r="D66" s="78">
        <v>238285572</v>
      </c>
      <c r="E66" s="78">
        <v>238285572</v>
      </c>
      <c r="F66" s="78">
        <v>238285572</v>
      </c>
    </row>
    <row r="67" spans="1:6" ht="18.75" x14ac:dyDescent="0.3">
      <c r="A67" s="37" t="s">
        <v>100</v>
      </c>
      <c r="B67" s="616" t="s">
        <v>101</v>
      </c>
      <c r="C67" s="616"/>
      <c r="D67" s="74">
        <f>D64</f>
        <v>252632612</v>
      </c>
      <c r="E67" s="74">
        <f>E64</f>
        <v>252632612</v>
      </c>
      <c r="F67" s="74">
        <f>F64</f>
        <v>252632612</v>
      </c>
    </row>
    <row r="68" spans="1:6" ht="18.75" x14ac:dyDescent="0.3">
      <c r="A68" s="9" t="s">
        <v>102</v>
      </c>
      <c r="B68" s="614" t="s">
        <v>103</v>
      </c>
      <c r="C68" s="614"/>
      <c r="D68" s="69"/>
      <c r="E68" s="69"/>
      <c r="F68" s="69"/>
    </row>
    <row r="69" spans="1:6" ht="18.75" x14ac:dyDescent="0.3">
      <c r="A69" s="9" t="s">
        <v>104</v>
      </c>
      <c r="B69" s="614" t="s">
        <v>105</v>
      </c>
      <c r="C69" s="614"/>
      <c r="D69" s="69">
        <f>SUM(D70:D73)</f>
        <v>0</v>
      </c>
      <c r="E69" s="69">
        <f>SUM(E70:E73)</f>
        <v>0</v>
      </c>
      <c r="F69" s="69">
        <f>SUM(F70:F73)</f>
        <v>0</v>
      </c>
    </row>
    <row r="70" spans="1:6" ht="18.75" x14ac:dyDescent="0.3">
      <c r="A70" s="9"/>
      <c r="B70" s="56" t="s">
        <v>45</v>
      </c>
      <c r="C70" s="57" t="s">
        <v>353</v>
      </c>
      <c r="D70" s="78"/>
      <c r="E70" s="78"/>
      <c r="F70" s="78"/>
    </row>
    <row r="71" spans="1:6" ht="18.75" x14ac:dyDescent="0.3">
      <c r="A71" s="9"/>
      <c r="B71" s="56" t="s">
        <v>47</v>
      </c>
      <c r="C71" s="57" t="s">
        <v>107</v>
      </c>
      <c r="D71" s="69"/>
      <c r="E71" s="69"/>
      <c r="F71" s="69"/>
    </row>
    <row r="72" spans="1:6" ht="18.75" x14ac:dyDescent="0.3">
      <c r="A72" s="9"/>
      <c r="B72" s="56" t="s">
        <v>55</v>
      </c>
      <c r="C72" s="57" t="s">
        <v>108</v>
      </c>
      <c r="D72" s="78"/>
      <c r="E72" s="78"/>
      <c r="F72" s="78"/>
    </row>
    <row r="73" spans="1:6" ht="18.75" x14ac:dyDescent="0.3">
      <c r="A73" s="9"/>
      <c r="B73" s="56" t="s">
        <v>18</v>
      </c>
      <c r="C73" s="57" t="s">
        <v>109</v>
      </c>
      <c r="D73" s="78"/>
      <c r="E73" s="78"/>
      <c r="F73" s="78"/>
    </row>
    <row r="74" spans="1:6" ht="19.5" x14ac:dyDescent="0.3">
      <c r="A74" s="37" t="s">
        <v>110</v>
      </c>
      <c r="B74" s="615" t="s">
        <v>111</v>
      </c>
      <c r="C74" s="615"/>
      <c r="D74" s="69">
        <f>+D68+D69</f>
        <v>0</v>
      </c>
      <c r="E74" s="69">
        <f>+E68+E69</f>
        <v>0</v>
      </c>
      <c r="F74" s="69">
        <f>+F68+F69</f>
        <v>0</v>
      </c>
    </row>
    <row r="75" spans="1:6" ht="18.75" x14ac:dyDescent="0.3">
      <c r="A75" s="37" t="s">
        <v>112</v>
      </c>
      <c r="B75" s="611" t="s">
        <v>113</v>
      </c>
      <c r="C75" s="611"/>
      <c r="D75" s="69">
        <f>+D67+D74</f>
        <v>252632612</v>
      </c>
      <c r="E75" s="69">
        <f>+E67+E74</f>
        <v>252632612</v>
      </c>
      <c r="F75" s="69">
        <f>+F67+F74</f>
        <v>252632612</v>
      </c>
    </row>
    <row r="76" spans="1:6" ht="18.75" x14ac:dyDescent="0.3">
      <c r="A76" s="9" t="s">
        <v>114</v>
      </c>
      <c r="B76" s="614" t="s">
        <v>115</v>
      </c>
      <c r="C76" s="614"/>
      <c r="D76" s="69">
        <v>94373628</v>
      </c>
      <c r="E76" s="69">
        <v>94373628</v>
      </c>
      <c r="F76" s="69">
        <v>94373628</v>
      </c>
    </row>
    <row r="77" spans="1:6" ht="18.75" x14ac:dyDescent="0.3">
      <c r="A77" s="9" t="s">
        <v>116</v>
      </c>
      <c r="B77" s="614" t="s">
        <v>117</v>
      </c>
      <c r="C77" s="614"/>
      <c r="D77" s="78">
        <f>E77+F77</f>
        <v>0</v>
      </c>
      <c r="E77" s="78">
        <f>F77+G77</f>
        <v>0</v>
      </c>
      <c r="F77" s="78">
        <f>G77+H77</f>
        <v>0</v>
      </c>
    </row>
    <row r="78" spans="1:6" ht="18.75" x14ac:dyDescent="0.3">
      <c r="A78" s="9"/>
      <c r="B78" s="56" t="s">
        <v>45</v>
      </c>
      <c r="C78" s="57" t="s">
        <v>355</v>
      </c>
      <c r="D78" s="78"/>
      <c r="E78" s="78"/>
      <c r="F78" s="78"/>
    </row>
    <row r="79" spans="1:6" ht="18.75" x14ac:dyDescent="0.3">
      <c r="A79" s="9"/>
      <c r="B79" s="56" t="s">
        <v>47</v>
      </c>
      <c r="C79" s="57" t="s">
        <v>356</v>
      </c>
      <c r="D79" s="78"/>
      <c r="E79" s="78"/>
      <c r="F79" s="78"/>
    </row>
    <row r="80" spans="1:6" ht="18.75" x14ac:dyDescent="0.3">
      <c r="A80" s="9" t="s">
        <v>121</v>
      </c>
      <c r="B80" s="609" t="s">
        <v>612</v>
      </c>
      <c r="C80" s="610"/>
      <c r="D80" s="78">
        <v>2805940</v>
      </c>
      <c r="E80" s="78">
        <v>0</v>
      </c>
      <c r="F80" s="78">
        <v>0</v>
      </c>
    </row>
    <row r="81" spans="1:6" ht="18.75" x14ac:dyDescent="0.3">
      <c r="A81" s="37" t="s">
        <v>122</v>
      </c>
      <c r="B81" s="611" t="s">
        <v>357</v>
      </c>
      <c r="C81" s="611"/>
      <c r="D81" s="69">
        <f>+D76+D77+D80</f>
        <v>97179568</v>
      </c>
      <c r="E81" s="69">
        <f>+E76+E77+E80</f>
        <v>94373628</v>
      </c>
      <c r="F81" s="69">
        <f>+F76+F77+F80</f>
        <v>94373628</v>
      </c>
    </row>
    <row r="82" spans="1:6" ht="18.75" x14ac:dyDescent="0.3">
      <c r="A82" s="37" t="s">
        <v>124</v>
      </c>
      <c r="B82" s="611" t="s">
        <v>125</v>
      </c>
      <c r="C82" s="611"/>
      <c r="D82" s="458">
        <f>+D30+D81</f>
        <v>692339089</v>
      </c>
      <c r="E82" s="458">
        <f>+E30+E81</f>
        <v>692339089</v>
      </c>
      <c r="F82" s="458">
        <f>+F30+F81</f>
        <v>692339089</v>
      </c>
    </row>
    <row r="83" spans="1:6" ht="19.5" thickBot="1" x14ac:dyDescent="0.35">
      <c r="A83" s="395" t="s">
        <v>126</v>
      </c>
      <c r="B83" s="396" t="s">
        <v>127</v>
      </c>
      <c r="C83" s="396"/>
      <c r="D83" s="397">
        <f>+D61+D75+D63</f>
        <v>692339089</v>
      </c>
      <c r="E83" s="397">
        <f>+E61+E75+E63</f>
        <v>692339089</v>
      </c>
      <c r="F83" s="397">
        <f>+F61+F75+F63</f>
        <v>692339089</v>
      </c>
    </row>
    <row r="84" spans="1:6" ht="15.75" x14ac:dyDescent="0.25">
      <c r="A84" s="2"/>
      <c r="B84" s="89"/>
      <c r="C84" s="89"/>
      <c r="D84" s="90"/>
      <c r="E84" s="90"/>
      <c r="F84" s="90"/>
    </row>
    <row r="85" spans="1:6" ht="15.75" x14ac:dyDescent="0.25">
      <c r="A85" s="2"/>
      <c r="B85" s="89"/>
      <c r="C85" s="89"/>
      <c r="D85" s="91">
        <f>+D83-D82</f>
        <v>0</v>
      </c>
      <c r="E85" s="91">
        <f>+E83-E82</f>
        <v>0</v>
      </c>
      <c r="F85" s="91">
        <f>+F83-F82</f>
        <v>0</v>
      </c>
    </row>
  </sheetData>
  <mergeCells count="59"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82:C82"/>
    <mergeCell ref="B74:C74"/>
    <mergeCell ref="B75:C75"/>
    <mergeCell ref="B76:C76"/>
    <mergeCell ref="B77:C77"/>
    <mergeCell ref="B80:C80"/>
    <mergeCell ref="B81:C8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5" workbookViewId="0">
      <selection activeCell="F37" sqref="F37:G37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4" width="19.42578125" customWidth="1"/>
    <col min="5" max="5" width="3.85546875" bestFit="1" customWidth="1"/>
    <col min="7" max="7" width="27.7109375" customWidth="1"/>
    <col min="8" max="8" width="19.140625" bestFit="1" customWidth="1"/>
  </cols>
  <sheetData>
    <row r="1" spans="1:8" ht="18.75" x14ac:dyDescent="0.3">
      <c r="B1" s="639" t="s">
        <v>128</v>
      </c>
      <c r="C1" s="639"/>
      <c r="D1" s="639"/>
      <c r="E1" s="639"/>
      <c r="F1" s="639"/>
      <c r="G1" s="639"/>
      <c r="H1" s="639"/>
    </row>
    <row r="2" spans="1:8" ht="15.75" x14ac:dyDescent="0.25">
      <c r="B2" s="641" t="s">
        <v>4</v>
      </c>
      <c r="C2" s="641"/>
      <c r="D2" s="641"/>
      <c r="E2" s="641"/>
      <c r="F2" s="641"/>
      <c r="G2" s="641"/>
      <c r="H2" s="641"/>
    </row>
    <row r="3" spans="1:8" ht="15.75" x14ac:dyDescent="0.25">
      <c r="B3" s="641" t="s">
        <v>129</v>
      </c>
      <c r="C3" s="641"/>
      <c r="D3" s="641"/>
      <c r="E3" s="641"/>
      <c r="F3" s="641"/>
      <c r="G3" s="641"/>
      <c r="H3" s="641"/>
    </row>
    <row r="4" spans="1:8" ht="15.75" x14ac:dyDescent="0.25">
      <c r="B4" s="642" t="s">
        <v>130</v>
      </c>
      <c r="C4" s="642"/>
      <c r="D4" s="642"/>
      <c r="E4" s="642"/>
      <c r="F4" s="642"/>
      <c r="G4" s="642"/>
      <c r="H4" s="642"/>
    </row>
    <row r="5" spans="1:8" ht="16.5" thickBot="1" x14ac:dyDescent="0.3">
      <c r="A5" s="92"/>
      <c r="B5" s="93"/>
      <c r="C5" s="93"/>
      <c r="D5" s="93"/>
      <c r="E5" s="93"/>
      <c r="F5" s="93"/>
      <c r="G5" s="93"/>
      <c r="H5" s="93"/>
    </row>
    <row r="6" spans="1:8" ht="28.5" x14ac:dyDescent="0.25">
      <c r="A6" s="94"/>
      <c r="B6" s="693" t="s">
        <v>7</v>
      </c>
      <c r="C6" s="695" t="s">
        <v>8</v>
      </c>
      <c r="D6" s="95" t="s">
        <v>131</v>
      </c>
      <c r="E6" s="95"/>
      <c r="F6" s="646" t="s">
        <v>8</v>
      </c>
      <c r="G6" s="698"/>
      <c r="H6" s="699" t="s">
        <v>131</v>
      </c>
    </row>
    <row r="7" spans="1:8" x14ac:dyDescent="0.25">
      <c r="A7" s="96"/>
      <c r="B7" s="694"/>
      <c r="C7" s="696"/>
      <c r="D7" s="97"/>
      <c r="E7" s="97"/>
      <c r="F7" s="647"/>
      <c r="G7" s="692"/>
      <c r="H7" s="700"/>
    </row>
    <row r="8" spans="1:8" ht="12.75" customHeight="1" x14ac:dyDescent="0.25">
      <c r="A8" s="96"/>
      <c r="B8" s="694"/>
      <c r="C8" s="697"/>
      <c r="D8" s="97"/>
      <c r="E8" s="97"/>
      <c r="F8" s="647"/>
      <c r="G8" s="692"/>
      <c r="H8" s="487"/>
    </row>
    <row r="9" spans="1:8" ht="15.75" x14ac:dyDescent="0.25">
      <c r="A9" s="96"/>
      <c r="B9" s="691" t="s">
        <v>44</v>
      </c>
      <c r="C9" s="691"/>
      <c r="D9" s="18"/>
      <c r="E9" s="97"/>
      <c r="F9" s="647" t="s">
        <v>14</v>
      </c>
      <c r="G9" s="692"/>
      <c r="H9" s="488"/>
    </row>
    <row r="10" spans="1:8" ht="15.75" x14ac:dyDescent="0.25">
      <c r="A10" s="96" t="s">
        <v>45</v>
      </c>
      <c r="B10" s="614" t="s">
        <v>132</v>
      </c>
      <c r="C10" s="614"/>
      <c r="D10" s="18">
        <v>11135174</v>
      </c>
      <c r="E10" s="98" t="s">
        <v>45</v>
      </c>
      <c r="F10" s="620" t="s">
        <v>15</v>
      </c>
      <c r="G10" s="667"/>
      <c r="H10" s="489">
        <f>28824535+34214720+39294409</f>
        <v>102333664</v>
      </c>
    </row>
    <row r="11" spans="1:8" ht="15.75" x14ac:dyDescent="0.25">
      <c r="A11" s="96" t="s">
        <v>47</v>
      </c>
      <c r="B11" s="614" t="s">
        <v>48</v>
      </c>
      <c r="C11" s="614"/>
      <c r="D11" s="18">
        <v>39316000</v>
      </c>
      <c r="E11" s="98" t="s">
        <v>47</v>
      </c>
      <c r="F11" s="620" t="s">
        <v>16</v>
      </c>
      <c r="G11" s="667"/>
      <c r="H11" s="489">
        <f>7267872+8456771+9765381</f>
        <v>25490024</v>
      </c>
    </row>
    <row r="12" spans="1:8" ht="15.75" x14ac:dyDescent="0.25">
      <c r="A12" s="96" t="s">
        <v>55</v>
      </c>
      <c r="B12" s="614" t="s">
        <v>56</v>
      </c>
      <c r="C12" s="614"/>
      <c r="D12" s="18">
        <v>139240232</v>
      </c>
      <c r="E12" s="98" t="s">
        <v>55</v>
      </c>
      <c r="F12" s="620" t="s">
        <v>17</v>
      </c>
      <c r="G12" s="667"/>
      <c r="H12" s="489">
        <v>88165850</v>
      </c>
    </row>
    <row r="13" spans="1:8" ht="15.75" x14ac:dyDescent="0.25">
      <c r="A13" s="96" t="s">
        <v>18</v>
      </c>
      <c r="B13" s="614" t="s">
        <v>63</v>
      </c>
      <c r="C13" s="614"/>
      <c r="D13" s="18">
        <v>13631885</v>
      </c>
      <c r="E13" s="98" t="s">
        <v>18</v>
      </c>
      <c r="F13" s="626" t="s">
        <v>21</v>
      </c>
      <c r="G13" s="690"/>
      <c r="H13" s="490">
        <f>SUM(H14:H18)</f>
        <v>16759214</v>
      </c>
    </row>
    <row r="14" spans="1:8" ht="15.75" x14ac:dyDescent="0.25">
      <c r="A14" s="99"/>
      <c r="B14" s="684"/>
      <c r="C14" s="684"/>
      <c r="D14" s="100"/>
      <c r="E14" s="98" t="s">
        <v>22</v>
      </c>
      <c r="F14" s="627" t="s">
        <v>133</v>
      </c>
      <c r="G14" s="685"/>
      <c r="H14" s="490"/>
    </row>
    <row r="15" spans="1:8" ht="15.75" x14ac:dyDescent="0.25">
      <c r="A15" s="99"/>
      <c r="B15" s="684"/>
      <c r="C15" s="684"/>
      <c r="D15" s="100"/>
      <c r="E15" s="98" t="s">
        <v>23</v>
      </c>
      <c r="F15" s="627" t="s">
        <v>134</v>
      </c>
      <c r="G15" s="685"/>
      <c r="H15" s="489">
        <v>5617214</v>
      </c>
    </row>
    <row r="16" spans="1:8" ht="15.75" customHeight="1" x14ac:dyDescent="0.25">
      <c r="A16" s="99"/>
      <c r="B16" s="684"/>
      <c r="C16" s="684"/>
      <c r="D16" s="100"/>
      <c r="E16" s="98" t="s">
        <v>25</v>
      </c>
      <c r="F16" s="630" t="s">
        <v>135</v>
      </c>
      <c r="G16" s="686"/>
      <c r="H16" s="490">
        <f>'[1]15'!D19</f>
        <v>0</v>
      </c>
    </row>
    <row r="17" spans="1:8" ht="16.5" x14ac:dyDescent="0.25">
      <c r="A17" s="101"/>
      <c r="B17" s="687"/>
      <c r="C17" s="687"/>
      <c r="D17" s="102"/>
      <c r="E17" s="103" t="s">
        <v>27</v>
      </c>
      <c r="F17" s="688" t="s">
        <v>136</v>
      </c>
      <c r="G17" s="689"/>
      <c r="H17" s="491"/>
    </row>
    <row r="18" spans="1:8" ht="15.75" x14ac:dyDescent="0.25">
      <c r="A18" s="104"/>
      <c r="B18" s="105"/>
      <c r="C18" s="105"/>
      <c r="D18" s="106"/>
      <c r="E18" s="107" t="s">
        <v>20</v>
      </c>
      <c r="F18" s="630" t="s">
        <v>26</v>
      </c>
      <c r="G18" s="679"/>
      <c r="H18" s="491">
        <v>11142000</v>
      </c>
    </row>
    <row r="19" spans="1:8" ht="16.5" customHeight="1" thickBot="1" x14ac:dyDescent="0.3">
      <c r="A19" s="104"/>
      <c r="B19" s="105"/>
      <c r="C19" s="105"/>
      <c r="D19" s="106"/>
      <c r="E19" s="108"/>
      <c r="F19" s="680" t="s">
        <v>28</v>
      </c>
      <c r="G19" s="681"/>
      <c r="H19" s="492">
        <v>58201586</v>
      </c>
    </row>
    <row r="20" spans="1:8" s="113" customFormat="1" ht="15.75" thickBot="1" x14ac:dyDescent="0.3">
      <c r="A20" s="109" t="s">
        <v>42</v>
      </c>
      <c r="B20" s="671" t="s">
        <v>137</v>
      </c>
      <c r="C20" s="671"/>
      <c r="D20" s="110">
        <f>SUM(D10:D18)</f>
        <v>203323291</v>
      </c>
      <c r="E20" s="111" t="s">
        <v>42</v>
      </c>
      <c r="F20" s="112" t="s">
        <v>30</v>
      </c>
      <c r="G20" s="484"/>
      <c r="H20" s="493">
        <f>+H10+H11+H12+H13+H19</f>
        <v>290950338</v>
      </c>
    </row>
    <row r="21" spans="1:8" s="113" customFormat="1" x14ac:dyDescent="0.25">
      <c r="A21" s="114" t="s">
        <v>1</v>
      </c>
      <c r="B21" s="674" t="s">
        <v>138</v>
      </c>
      <c r="C21" s="675"/>
      <c r="D21" s="115">
        <f>D20-H20</f>
        <v>-87627047</v>
      </c>
      <c r="E21" s="116"/>
      <c r="F21" s="117"/>
      <c r="G21" s="485"/>
      <c r="H21" s="494"/>
    </row>
    <row r="22" spans="1:8" ht="15.75" x14ac:dyDescent="0.25">
      <c r="A22" s="118" t="s">
        <v>20</v>
      </c>
      <c r="B22" s="676" t="s">
        <v>73</v>
      </c>
      <c r="C22" s="676"/>
      <c r="D22" s="119">
        <v>7061948</v>
      </c>
      <c r="E22" s="120" t="s">
        <v>31</v>
      </c>
      <c r="F22" s="682" t="s">
        <v>139</v>
      </c>
      <c r="G22" s="683"/>
      <c r="H22" s="495">
        <v>292599594</v>
      </c>
    </row>
    <row r="23" spans="1:8" ht="15.75" x14ac:dyDescent="0.25">
      <c r="A23" s="96" t="s">
        <v>31</v>
      </c>
      <c r="B23" s="614" t="s">
        <v>78</v>
      </c>
      <c r="C23" s="614"/>
      <c r="D23" s="18">
        <v>134947610</v>
      </c>
      <c r="E23" s="98" t="s">
        <v>33</v>
      </c>
      <c r="F23" s="620" t="s">
        <v>34</v>
      </c>
      <c r="G23" s="667"/>
      <c r="H23" s="490">
        <v>11609589</v>
      </c>
    </row>
    <row r="24" spans="1:8" ht="16.5" thickBot="1" x14ac:dyDescent="0.3">
      <c r="A24" s="121" t="s">
        <v>33</v>
      </c>
      <c r="B24" s="668" t="s">
        <v>83</v>
      </c>
      <c r="C24" s="668"/>
      <c r="D24" s="122">
        <v>0</v>
      </c>
      <c r="E24" s="103" t="s">
        <v>35</v>
      </c>
      <c r="F24" s="669" t="s">
        <v>140</v>
      </c>
      <c r="G24" s="670"/>
      <c r="H24" s="491"/>
    </row>
    <row r="25" spans="1:8" s="113" customFormat="1" ht="15.75" thickBot="1" x14ac:dyDescent="0.3">
      <c r="A25" s="109" t="s">
        <v>93</v>
      </c>
      <c r="B25" s="671" t="s">
        <v>90</v>
      </c>
      <c r="C25" s="671"/>
      <c r="D25" s="110">
        <f>SUM(D22:D24)</f>
        <v>142009558</v>
      </c>
      <c r="E25" s="111" t="s">
        <v>93</v>
      </c>
      <c r="F25" s="672" t="s">
        <v>141</v>
      </c>
      <c r="G25" s="673"/>
      <c r="H25" s="496">
        <f>SUM(H22:H24)</f>
        <v>304209183</v>
      </c>
    </row>
    <row r="26" spans="1:8" s="113" customFormat="1" x14ac:dyDescent="0.25">
      <c r="A26" s="114" t="s">
        <v>37</v>
      </c>
      <c r="B26" s="674" t="s">
        <v>142</v>
      </c>
      <c r="C26" s="675"/>
      <c r="D26" s="115">
        <f>+D25-H25</f>
        <v>-162199625</v>
      </c>
      <c r="E26" s="116"/>
      <c r="F26" s="123" t="s">
        <v>611</v>
      </c>
      <c r="G26" s="486"/>
      <c r="H26" s="497">
        <v>2805940</v>
      </c>
    </row>
    <row r="27" spans="1:8" ht="15.75" x14ac:dyDescent="0.25">
      <c r="A27" s="118" t="s">
        <v>35</v>
      </c>
      <c r="B27" s="676" t="s">
        <v>91</v>
      </c>
      <c r="C27" s="676"/>
      <c r="D27" s="119"/>
      <c r="E27" s="124"/>
      <c r="F27" s="666"/>
      <c r="G27" s="659"/>
      <c r="H27" s="498"/>
    </row>
    <row r="28" spans="1:8" ht="15.75" x14ac:dyDescent="0.25">
      <c r="A28" s="96" t="s">
        <v>143</v>
      </c>
      <c r="B28" s="614" t="s">
        <v>97</v>
      </c>
      <c r="C28" s="614"/>
      <c r="D28" s="18">
        <v>252632612</v>
      </c>
      <c r="E28" s="125"/>
      <c r="F28" s="677"/>
      <c r="G28" s="678"/>
      <c r="H28" s="498"/>
    </row>
    <row r="29" spans="1:8" ht="15.75" x14ac:dyDescent="0.25">
      <c r="A29" s="96" t="s">
        <v>144</v>
      </c>
      <c r="B29" s="614" t="s">
        <v>103</v>
      </c>
      <c r="C29" s="614"/>
      <c r="D29" s="18"/>
      <c r="E29" s="124"/>
      <c r="F29" s="666"/>
      <c r="G29" s="659"/>
      <c r="H29" s="498"/>
    </row>
    <row r="30" spans="1:8" ht="15.75" x14ac:dyDescent="0.25">
      <c r="A30" s="96" t="s">
        <v>145</v>
      </c>
      <c r="B30" s="614" t="s">
        <v>146</v>
      </c>
      <c r="C30" s="614"/>
      <c r="D30" s="18"/>
      <c r="E30" s="124"/>
      <c r="F30" s="659"/>
      <c r="G30" s="660"/>
      <c r="H30" s="498"/>
    </row>
    <row r="31" spans="1:8" ht="15.75" x14ac:dyDescent="0.25">
      <c r="A31" s="126" t="s">
        <v>100</v>
      </c>
      <c r="B31" s="661" t="s">
        <v>147</v>
      </c>
      <c r="C31" s="661"/>
      <c r="D31" s="127">
        <f>SUM(D27:D30)</f>
        <v>252632612</v>
      </c>
      <c r="E31" s="128" t="s">
        <v>110</v>
      </c>
      <c r="F31" s="662" t="s">
        <v>148</v>
      </c>
      <c r="G31" s="663"/>
      <c r="H31" s="499">
        <v>94373628</v>
      </c>
    </row>
    <row r="32" spans="1:8" ht="18.75" x14ac:dyDescent="0.3">
      <c r="A32" s="96"/>
      <c r="B32" s="614" t="s">
        <v>115</v>
      </c>
      <c r="C32" s="614"/>
      <c r="D32" s="76">
        <v>94373628</v>
      </c>
      <c r="E32" s="125"/>
      <c r="F32" s="664"/>
      <c r="G32" s="665"/>
      <c r="H32" s="500"/>
    </row>
    <row r="33" spans="1:8" ht="18.75" x14ac:dyDescent="0.3">
      <c r="A33" s="126" t="s">
        <v>110</v>
      </c>
      <c r="B33" s="611" t="s">
        <v>149</v>
      </c>
      <c r="C33" s="611"/>
      <c r="D33" s="76">
        <f>+D20+D25+D31+D32</f>
        <v>692339089</v>
      </c>
      <c r="E33" s="130" t="s">
        <v>112</v>
      </c>
      <c r="F33" s="616" t="s">
        <v>150</v>
      </c>
      <c r="G33" s="655"/>
      <c r="H33" s="501">
        <f>+H20+H25+H29+H31+H27+H26</f>
        <v>692339089</v>
      </c>
    </row>
    <row r="34" spans="1:8" ht="19.5" thickBot="1" x14ac:dyDescent="0.35">
      <c r="A34" s="131"/>
      <c r="B34" s="656" t="s">
        <v>151</v>
      </c>
      <c r="C34" s="656"/>
      <c r="D34" s="132"/>
      <c r="E34" s="133"/>
      <c r="F34" s="657"/>
      <c r="G34" s="658"/>
      <c r="H34" s="502"/>
    </row>
    <row r="35" spans="1:8" ht="15.75" x14ac:dyDescent="0.25">
      <c r="B35" s="134"/>
      <c r="C35" s="134"/>
      <c r="D35" s="134"/>
      <c r="E35" s="134"/>
      <c r="F35" s="654"/>
      <c r="G35" s="654"/>
      <c r="H35" s="135"/>
    </row>
    <row r="36" spans="1:8" ht="15.75" x14ac:dyDescent="0.25">
      <c r="B36" s="134"/>
      <c r="C36" s="134"/>
      <c r="D36" s="136"/>
      <c r="E36" s="134"/>
      <c r="F36" s="654"/>
      <c r="G36" s="654"/>
      <c r="H36" s="135"/>
    </row>
    <row r="37" spans="1:8" ht="15.75" x14ac:dyDescent="0.25">
      <c r="B37" s="134"/>
      <c r="C37" s="134"/>
      <c r="D37" s="134"/>
      <c r="E37" s="134"/>
      <c r="F37" s="654"/>
      <c r="G37" s="654"/>
      <c r="H37" s="135"/>
    </row>
    <row r="38" spans="1:8" ht="15.75" x14ac:dyDescent="0.25">
      <c r="B38" s="134"/>
      <c r="C38" s="134"/>
      <c r="D38" s="134"/>
      <c r="E38" s="134"/>
      <c r="F38" s="654"/>
      <c r="G38" s="654"/>
      <c r="H38" s="135"/>
    </row>
    <row r="39" spans="1:8" ht="15.75" x14ac:dyDescent="0.25">
      <c r="B39" s="134"/>
      <c r="C39" s="134"/>
      <c r="D39" s="134"/>
      <c r="E39" s="134"/>
      <c r="F39" s="654"/>
      <c r="G39" s="654"/>
      <c r="H39" s="135"/>
    </row>
    <row r="40" spans="1:8" ht="15.75" x14ac:dyDescent="0.25">
      <c r="B40" s="134"/>
      <c r="C40" s="134"/>
      <c r="D40" s="134"/>
      <c r="E40" s="134"/>
      <c r="F40" s="654"/>
      <c r="G40" s="654"/>
      <c r="H40" s="135"/>
    </row>
    <row r="41" spans="1:8" ht="15.75" x14ac:dyDescent="0.25">
      <c r="B41" s="134"/>
      <c r="C41" s="134"/>
      <c r="D41" s="134"/>
      <c r="E41" s="134"/>
      <c r="F41" s="654"/>
      <c r="G41" s="654"/>
      <c r="H41" s="135"/>
    </row>
    <row r="42" spans="1:8" ht="15.75" x14ac:dyDescent="0.25">
      <c r="B42" s="134"/>
      <c r="C42" s="134"/>
      <c r="D42" s="134"/>
      <c r="E42" s="134"/>
      <c r="F42" s="654"/>
      <c r="G42" s="654"/>
      <c r="H42" s="135"/>
    </row>
    <row r="43" spans="1:8" ht="15.75" x14ac:dyDescent="0.25">
      <c r="B43" s="134"/>
      <c r="C43" s="134"/>
      <c r="D43" s="134"/>
      <c r="E43" s="134"/>
      <c r="F43" s="654"/>
      <c r="G43" s="654"/>
      <c r="H43" s="135"/>
    </row>
    <row r="44" spans="1:8" ht="15.75" x14ac:dyDescent="0.25">
      <c r="B44" s="134"/>
      <c r="C44" s="134"/>
      <c r="D44" s="134"/>
      <c r="E44" s="134"/>
      <c r="F44" s="654"/>
      <c r="G44" s="654"/>
      <c r="H44" s="135"/>
    </row>
    <row r="45" spans="1:8" ht="15.75" x14ac:dyDescent="0.25">
      <c r="B45" s="134"/>
      <c r="C45" s="134"/>
      <c r="D45" s="134"/>
      <c r="E45" s="134"/>
      <c r="F45" s="654"/>
      <c r="G45" s="654"/>
      <c r="H45" s="135"/>
    </row>
    <row r="46" spans="1:8" ht="15.75" x14ac:dyDescent="0.25">
      <c r="B46" s="134"/>
      <c r="C46" s="134"/>
      <c r="D46" s="134"/>
      <c r="E46" s="134"/>
      <c r="F46" s="654"/>
      <c r="G46" s="654"/>
      <c r="H46" s="135"/>
    </row>
    <row r="47" spans="1:8" ht="15.75" x14ac:dyDescent="0.25">
      <c r="B47" s="134"/>
      <c r="C47" s="134"/>
      <c r="D47" s="134"/>
      <c r="E47" s="134"/>
      <c r="F47" s="654"/>
      <c r="G47" s="654"/>
      <c r="H47" s="135"/>
    </row>
    <row r="48" spans="1:8" ht="18.75" x14ac:dyDescent="0.3">
      <c r="B48" s="134"/>
      <c r="C48" s="134"/>
      <c r="D48" s="134"/>
      <c r="E48" s="134"/>
      <c r="F48" s="654"/>
      <c r="G48" s="654"/>
      <c r="H48" s="137"/>
    </row>
    <row r="49" spans="2:8" ht="18.75" x14ac:dyDescent="0.3">
      <c r="B49" s="138"/>
      <c r="C49" s="138"/>
      <c r="D49" s="138"/>
      <c r="E49" s="138"/>
      <c r="F49" s="653"/>
      <c r="G49" s="653"/>
      <c r="H49" s="137"/>
    </row>
    <row r="50" spans="2:8" ht="18.75" x14ac:dyDescent="0.3">
      <c r="B50" s="134"/>
      <c r="C50" s="134"/>
      <c r="D50" s="134"/>
      <c r="E50" s="134"/>
      <c r="F50" s="653"/>
      <c r="G50" s="653"/>
      <c r="H50" s="139"/>
    </row>
  </sheetData>
  <mergeCells count="71">
    <mergeCell ref="B1:H1"/>
    <mergeCell ref="B2:H2"/>
    <mergeCell ref="B3:H3"/>
    <mergeCell ref="B4:H4"/>
    <mergeCell ref="B6:B8"/>
    <mergeCell ref="C6:C8"/>
    <mergeCell ref="F6:G8"/>
    <mergeCell ref="H6:H7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F18:G18"/>
    <mergeCell ref="F19:G19"/>
    <mergeCell ref="B20:C20"/>
    <mergeCell ref="B21:C21"/>
    <mergeCell ref="B22:C22"/>
    <mergeCell ref="F22:G22"/>
    <mergeCell ref="B29:C29"/>
    <mergeCell ref="F29:G29"/>
    <mergeCell ref="B23:C23"/>
    <mergeCell ref="F23:G23"/>
    <mergeCell ref="B24:C24"/>
    <mergeCell ref="F24:G24"/>
    <mergeCell ref="B25:C25"/>
    <mergeCell ref="F25:G25"/>
    <mergeCell ref="B26:C26"/>
    <mergeCell ref="B27:C27"/>
    <mergeCell ref="F27:G27"/>
    <mergeCell ref="B28:C28"/>
    <mergeCell ref="F28:G28"/>
    <mergeCell ref="B30:C30"/>
    <mergeCell ref="F30:G30"/>
    <mergeCell ref="B31:C31"/>
    <mergeCell ref="F31:G31"/>
    <mergeCell ref="B32:C32"/>
    <mergeCell ref="F32:G32"/>
    <mergeCell ref="F42:G42"/>
    <mergeCell ref="B33:C33"/>
    <mergeCell ref="F33:G33"/>
    <mergeCell ref="B34:C34"/>
    <mergeCell ref="F34:G34"/>
    <mergeCell ref="F35:G35"/>
    <mergeCell ref="F36:G36"/>
    <mergeCell ref="F37:G37"/>
    <mergeCell ref="F38:G38"/>
    <mergeCell ref="F39:G39"/>
    <mergeCell ref="F40:G40"/>
    <mergeCell ref="F41:G41"/>
    <mergeCell ref="F49:G49"/>
    <mergeCell ref="F50:G50"/>
    <mergeCell ref="F43:G43"/>
    <mergeCell ref="F44:G44"/>
    <mergeCell ref="F45:G45"/>
    <mergeCell ref="F46:G46"/>
    <mergeCell ref="F47:G47"/>
    <mergeCell ref="F48:G4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37" workbookViewId="0">
      <selection activeCell="E39" sqref="E39:E44"/>
    </sheetView>
  </sheetViews>
  <sheetFormatPr defaultRowHeight="15" x14ac:dyDescent="0.25"/>
  <cols>
    <col min="1" max="1" width="70.85546875" style="213" bestFit="1" customWidth="1"/>
    <col min="2" max="2" width="18.42578125" style="142" bestFit="1" customWidth="1"/>
    <col min="3" max="3" width="14" style="142" customWidth="1"/>
    <col min="4" max="4" width="15.42578125" style="142" customWidth="1"/>
    <col min="5" max="5" width="22.28515625" style="142" bestFit="1" customWidth="1"/>
    <col min="6" max="6" width="11.5703125" style="142" bestFit="1" customWidth="1"/>
    <col min="7" max="7" width="17.5703125" style="143" customWidth="1"/>
    <col min="8" max="8" width="6.5703125" style="143" customWidth="1"/>
    <col min="9" max="9" width="15.7109375" style="143" bestFit="1" customWidth="1"/>
    <col min="11" max="11" width="14.28515625" customWidth="1"/>
  </cols>
  <sheetData>
    <row r="1" spans="1:11" ht="18.75" x14ac:dyDescent="0.25">
      <c r="A1" s="701" t="s">
        <v>152</v>
      </c>
      <c r="B1" s="701"/>
      <c r="C1" s="701"/>
      <c r="D1" s="701"/>
      <c r="E1" s="701"/>
    </row>
    <row r="2" spans="1:11" ht="18.75" x14ac:dyDescent="0.25">
      <c r="A2" s="701" t="s">
        <v>4</v>
      </c>
      <c r="B2" s="702"/>
      <c r="C2" s="702"/>
      <c r="D2" s="702"/>
      <c r="E2" s="702"/>
      <c r="F2" s="142" t="s">
        <v>153</v>
      </c>
    </row>
    <row r="3" spans="1:11" ht="19.5" thickBot="1" x14ac:dyDescent="0.3">
      <c r="A3" s="701" t="s">
        <v>154</v>
      </c>
      <c r="B3" s="702"/>
      <c r="C3" s="702"/>
      <c r="D3" s="702"/>
      <c r="E3" s="702"/>
      <c r="F3" s="144" t="s">
        <v>155</v>
      </c>
    </row>
    <row r="4" spans="1:11" ht="36.75" thickBot="1" x14ac:dyDescent="0.3">
      <c r="A4" s="145" t="s">
        <v>156</v>
      </c>
      <c r="B4" s="146" t="s">
        <v>157</v>
      </c>
      <c r="C4" s="146" t="s">
        <v>158</v>
      </c>
      <c r="D4" s="146" t="s">
        <v>159</v>
      </c>
      <c r="E4" s="146" t="s">
        <v>160</v>
      </c>
      <c r="F4" s="147" t="s">
        <v>161</v>
      </c>
    </row>
    <row r="5" spans="1:11" ht="15.75" thickBot="1" x14ac:dyDescent="0.3">
      <c r="A5" s="148">
        <v>1</v>
      </c>
      <c r="B5" s="149">
        <v>2</v>
      </c>
      <c r="C5" s="149">
        <v>3</v>
      </c>
      <c r="D5" s="149">
        <v>4</v>
      </c>
      <c r="E5" s="149">
        <v>5</v>
      </c>
      <c r="F5" s="150">
        <v>7</v>
      </c>
    </row>
    <row r="6" spans="1:11" s="155" customFormat="1" ht="20.25" customHeight="1" x14ac:dyDescent="0.25">
      <c r="A6" s="151" t="s">
        <v>162</v>
      </c>
      <c r="B6" s="152">
        <f>B7+B8</f>
        <v>11609589</v>
      </c>
      <c r="C6" s="152">
        <f t="shared" ref="C6:E6" si="0">C7+C8</f>
        <v>0</v>
      </c>
      <c r="D6" s="152">
        <f t="shared" si="0"/>
        <v>0</v>
      </c>
      <c r="E6" s="152">
        <f t="shared" si="0"/>
        <v>11609589</v>
      </c>
      <c r="F6" s="153"/>
      <c r="G6" s="154"/>
      <c r="H6" s="154"/>
      <c r="I6" s="154"/>
    </row>
    <row r="7" spans="1:11" ht="20.25" customHeight="1" x14ac:dyDescent="0.25">
      <c r="A7" s="156" t="s">
        <v>163</v>
      </c>
      <c r="B7" s="157">
        <v>10009590</v>
      </c>
      <c r="C7" s="158"/>
      <c r="D7" s="157"/>
      <c r="E7" s="157">
        <v>10009590</v>
      </c>
      <c r="F7" s="159"/>
      <c r="K7" s="160"/>
    </row>
    <row r="8" spans="1:11" ht="20.25" customHeight="1" thickBot="1" x14ac:dyDescent="0.3">
      <c r="A8" s="161" t="s">
        <v>164</v>
      </c>
      <c r="B8" s="162">
        <v>1599999</v>
      </c>
      <c r="C8" s="163"/>
      <c r="D8" s="162"/>
      <c r="E8" s="162">
        <v>1599999</v>
      </c>
      <c r="F8" s="164"/>
      <c r="K8" s="160"/>
    </row>
    <row r="9" spans="1:11" ht="20.25" customHeight="1" thickBot="1" x14ac:dyDescent="0.3">
      <c r="A9" s="165" t="s">
        <v>165</v>
      </c>
      <c r="B9" s="166">
        <f>B22+B28+B38+B45</f>
        <v>473985045</v>
      </c>
      <c r="C9" s="166">
        <f t="shared" ref="C9:E9" si="1">C22+C28+C38+C45</f>
        <v>0</v>
      </c>
      <c r="D9" s="166">
        <f t="shared" si="1"/>
        <v>0</v>
      </c>
      <c r="E9" s="166">
        <f t="shared" si="1"/>
        <v>292599594</v>
      </c>
      <c r="F9" s="167"/>
      <c r="G9" s="168"/>
      <c r="H9" s="168"/>
      <c r="I9" s="168"/>
    </row>
    <row r="10" spans="1:11" ht="20.25" customHeight="1" thickBot="1" x14ac:dyDescent="0.3">
      <c r="A10" s="169" t="s">
        <v>166</v>
      </c>
      <c r="B10" s="170">
        <v>52500</v>
      </c>
      <c r="C10" s="171"/>
      <c r="D10" s="172"/>
      <c r="E10" s="170">
        <v>52500</v>
      </c>
      <c r="F10" s="173"/>
      <c r="G10" s="168"/>
      <c r="H10" s="168"/>
      <c r="I10" s="168"/>
    </row>
    <row r="11" spans="1:11" ht="20.25" customHeight="1" thickBot="1" x14ac:dyDescent="0.3">
      <c r="A11" s="169" t="s">
        <v>167</v>
      </c>
      <c r="B11" s="174">
        <v>88900</v>
      </c>
      <c r="C11" s="175"/>
      <c r="D11" s="176"/>
      <c r="E11" s="174">
        <v>88900</v>
      </c>
      <c r="F11" s="159"/>
      <c r="G11" s="168"/>
      <c r="H11" s="168"/>
      <c r="I11" s="168"/>
    </row>
    <row r="12" spans="1:11" ht="20.25" customHeight="1" thickBot="1" x14ac:dyDescent="0.3">
      <c r="A12" s="169" t="s">
        <v>168</v>
      </c>
      <c r="B12" s="174">
        <v>15240</v>
      </c>
      <c r="C12" s="175"/>
      <c r="D12" s="176"/>
      <c r="E12" s="174">
        <v>15240</v>
      </c>
      <c r="F12" s="159"/>
      <c r="G12" s="168"/>
      <c r="H12" s="168"/>
      <c r="I12" s="168"/>
    </row>
    <row r="13" spans="1:11" ht="20.25" customHeight="1" thickBot="1" x14ac:dyDescent="0.3">
      <c r="A13" s="169" t="s">
        <v>169</v>
      </c>
      <c r="B13" s="174">
        <v>63500</v>
      </c>
      <c r="C13" s="175"/>
      <c r="D13" s="176"/>
      <c r="E13" s="174">
        <v>63500</v>
      </c>
      <c r="F13" s="159"/>
      <c r="G13" s="168"/>
      <c r="H13" s="168"/>
      <c r="I13" s="168"/>
    </row>
    <row r="14" spans="1:11" ht="20.25" customHeight="1" thickBot="1" x14ac:dyDescent="0.3">
      <c r="A14" s="169" t="s">
        <v>170</v>
      </c>
      <c r="B14" s="174">
        <v>50800</v>
      </c>
      <c r="C14" s="175"/>
      <c r="D14" s="176"/>
      <c r="E14" s="174">
        <v>50800</v>
      </c>
      <c r="F14" s="159"/>
      <c r="G14" s="168"/>
      <c r="H14" s="168"/>
      <c r="I14" s="168"/>
    </row>
    <row r="15" spans="1:11" ht="20.25" customHeight="1" thickBot="1" x14ac:dyDescent="0.3">
      <c r="A15" s="169" t="s">
        <v>171</v>
      </c>
      <c r="B15" s="174">
        <v>12700</v>
      </c>
      <c r="C15" s="175"/>
      <c r="D15" s="176"/>
      <c r="E15" s="174">
        <v>12700</v>
      </c>
      <c r="F15" s="159"/>
      <c r="G15" s="168"/>
      <c r="H15" s="168"/>
      <c r="I15" s="168"/>
    </row>
    <row r="16" spans="1:11" ht="20.25" customHeight="1" thickBot="1" x14ac:dyDescent="0.3">
      <c r="A16" s="169" t="s">
        <v>172</v>
      </c>
      <c r="B16" s="174">
        <v>31750</v>
      </c>
      <c r="C16" s="175"/>
      <c r="D16" s="176"/>
      <c r="E16" s="174">
        <v>31750</v>
      </c>
      <c r="F16" s="159"/>
      <c r="G16" s="168"/>
      <c r="H16" s="168"/>
      <c r="I16" s="168"/>
    </row>
    <row r="17" spans="1:11" ht="20.25" customHeight="1" thickBot="1" x14ac:dyDescent="0.3">
      <c r="A17" s="169" t="s">
        <v>173</v>
      </c>
      <c r="B17" s="174">
        <v>38100</v>
      </c>
      <c r="C17" s="175"/>
      <c r="D17" s="176"/>
      <c r="E17" s="174">
        <v>38100</v>
      </c>
      <c r="F17" s="159"/>
      <c r="G17" s="168"/>
      <c r="H17" s="168"/>
      <c r="I17" s="168"/>
    </row>
    <row r="18" spans="1:11" ht="20.25" customHeight="1" thickBot="1" x14ac:dyDescent="0.3">
      <c r="A18" s="169" t="s">
        <v>174</v>
      </c>
      <c r="B18" s="174">
        <v>101600</v>
      </c>
      <c r="C18" s="175"/>
      <c r="D18" s="176"/>
      <c r="E18" s="174">
        <v>101600</v>
      </c>
      <c r="F18" s="159"/>
      <c r="G18" s="168"/>
      <c r="H18" s="168"/>
      <c r="I18" s="168"/>
    </row>
    <row r="19" spans="1:11" ht="20.25" customHeight="1" thickBot="1" x14ac:dyDescent="0.3">
      <c r="A19" s="169" t="s">
        <v>175</v>
      </c>
      <c r="B19" s="174">
        <v>31750</v>
      </c>
      <c r="C19" s="175"/>
      <c r="D19" s="176"/>
      <c r="E19" s="174">
        <v>31750</v>
      </c>
      <c r="F19" s="159"/>
      <c r="G19" s="168"/>
      <c r="H19" s="168"/>
      <c r="I19" s="168"/>
    </row>
    <row r="20" spans="1:11" ht="20.25" customHeight="1" thickBot="1" x14ac:dyDescent="0.3">
      <c r="A20" s="169" t="s">
        <v>176</v>
      </c>
      <c r="B20" s="174">
        <v>152400</v>
      </c>
      <c r="C20" s="175"/>
      <c r="D20" s="176"/>
      <c r="E20" s="174">
        <v>152400</v>
      </c>
      <c r="F20" s="159"/>
      <c r="G20" s="168"/>
      <c r="H20" s="168"/>
      <c r="I20" s="168"/>
    </row>
    <row r="21" spans="1:11" ht="20.25" customHeight="1" thickBot="1" x14ac:dyDescent="0.3">
      <c r="A21" s="177" t="s">
        <v>177</v>
      </c>
      <c r="B21" s="178">
        <v>127000</v>
      </c>
      <c r="C21" s="179"/>
      <c r="D21" s="180"/>
      <c r="E21" s="178">
        <v>127000</v>
      </c>
      <c r="F21" s="164"/>
      <c r="G21" s="168"/>
      <c r="H21" s="168"/>
      <c r="I21" s="168"/>
    </row>
    <row r="22" spans="1:11" ht="20.25" customHeight="1" thickBot="1" x14ac:dyDescent="0.3">
      <c r="A22" s="181" t="s">
        <v>178</v>
      </c>
      <c r="B22" s="182">
        <f>B10+B11+B12+B13+B15+B14+B16+B17+B18+B19+B20+B21</f>
        <v>766240</v>
      </c>
      <c r="C22" s="183"/>
      <c r="D22" s="184"/>
      <c r="E22" s="185">
        <f>E10+E11+E12+E13+E15+E14+E16+E17+E18+E19+E20+E21</f>
        <v>766240</v>
      </c>
      <c r="F22" s="167"/>
      <c r="G22" s="168"/>
      <c r="H22" s="168"/>
      <c r="I22" s="168"/>
    </row>
    <row r="23" spans="1:11" ht="20.25" customHeight="1" thickBot="1" x14ac:dyDescent="0.3">
      <c r="A23" s="186" t="s">
        <v>179</v>
      </c>
      <c r="B23" s="172">
        <v>63500</v>
      </c>
      <c r="C23" s="171"/>
      <c r="D23" s="187"/>
      <c r="E23" s="188">
        <v>63500</v>
      </c>
      <c r="F23" s="173"/>
      <c r="G23" s="168"/>
      <c r="H23" s="168"/>
      <c r="I23" s="168"/>
    </row>
    <row r="24" spans="1:11" ht="20.25" customHeight="1" thickBot="1" x14ac:dyDescent="0.3">
      <c r="A24" s="169" t="s">
        <v>180</v>
      </c>
      <c r="B24" s="176">
        <v>25400</v>
      </c>
      <c r="C24" s="175"/>
      <c r="D24" s="189"/>
      <c r="E24" s="190">
        <v>25400</v>
      </c>
      <c r="F24" s="159"/>
      <c r="G24" s="168"/>
      <c r="H24" s="168"/>
      <c r="I24" s="168"/>
    </row>
    <row r="25" spans="1:11" ht="20.25" customHeight="1" thickBot="1" x14ac:dyDescent="0.3">
      <c r="A25" s="169" t="s">
        <v>168</v>
      </c>
      <c r="B25" s="176">
        <v>15240</v>
      </c>
      <c r="C25" s="175"/>
      <c r="D25" s="189"/>
      <c r="E25" s="190">
        <v>15240</v>
      </c>
      <c r="F25" s="159"/>
      <c r="G25" s="168"/>
      <c r="H25" s="168"/>
      <c r="I25" s="168"/>
    </row>
    <row r="26" spans="1:11" ht="20.25" customHeight="1" thickBot="1" x14ac:dyDescent="0.3">
      <c r="A26" s="169" t="s">
        <v>181</v>
      </c>
      <c r="B26" s="176">
        <v>63500</v>
      </c>
      <c r="C26" s="175"/>
      <c r="D26" s="189"/>
      <c r="E26" s="190">
        <v>63500</v>
      </c>
      <c r="F26" s="159"/>
      <c r="G26" s="168"/>
      <c r="H26" s="168"/>
      <c r="I26" s="168"/>
    </row>
    <row r="27" spans="1:11" ht="20.25" customHeight="1" thickBot="1" x14ac:dyDescent="0.3">
      <c r="A27" s="177" t="s">
        <v>182</v>
      </c>
      <c r="B27" s="180">
        <v>101600</v>
      </c>
      <c r="C27" s="179"/>
      <c r="D27" s="191"/>
      <c r="E27" s="192">
        <v>101600</v>
      </c>
      <c r="F27" s="164"/>
      <c r="K27" s="160"/>
    </row>
    <row r="28" spans="1:11" ht="20.25" customHeight="1" thickBot="1" x14ac:dyDescent="0.3">
      <c r="A28" s="181" t="s">
        <v>183</v>
      </c>
      <c r="B28" s="182">
        <f>B23+B24+B25+B26+B27</f>
        <v>269240</v>
      </c>
      <c r="C28" s="183"/>
      <c r="D28" s="184"/>
      <c r="E28" s="185">
        <f>E23+E24+E25+E26+E27</f>
        <v>269240</v>
      </c>
      <c r="F28" s="167"/>
      <c r="K28" s="160"/>
    </row>
    <row r="29" spans="1:11" ht="20.25" customHeight="1" x14ac:dyDescent="0.25">
      <c r="A29" s="701" t="s">
        <v>152</v>
      </c>
      <c r="B29" s="701"/>
      <c r="C29" s="701"/>
      <c r="D29" s="701"/>
      <c r="E29" s="701"/>
      <c r="K29" s="160"/>
    </row>
    <row r="30" spans="1:11" ht="20.25" customHeight="1" x14ac:dyDescent="0.25">
      <c r="A30" s="701" t="s">
        <v>4</v>
      </c>
      <c r="B30" s="702"/>
      <c r="C30" s="702"/>
      <c r="D30" s="702"/>
      <c r="E30" s="702"/>
      <c r="F30" s="142" t="s">
        <v>153</v>
      </c>
      <c r="K30" s="160"/>
    </row>
    <row r="31" spans="1:11" ht="20.25" customHeight="1" thickBot="1" x14ac:dyDescent="0.3">
      <c r="A31" s="701" t="s">
        <v>154</v>
      </c>
      <c r="B31" s="702"/>
      <c r="C31" s="702"/>
      <c r="D31" s="702"/>
      <c r="E31" s="702"/>
      <c r="F31" s="144" t="s">
        <v>155</v>
      </c>
      <c r="K31" s="160"/>
    </row>
    <row r="32" spans="1:11" ht="15.75" customHeight="1" thickBot="1" x14ac:dyDescent="0.3">
      <c r="A32" s="169" t="s">
        <v>184</v>
      </c>
      <c r="B32" s="176">
        <v>350000</v>
      </c>
      <c r="C32" s="175"/>
      <c r="D32" s="189"/>
      <c r="E32" s="190">
        <v>350000</v>
      </c>
      <c r="F32" s="167">
        <v>0</v>
      </c>
      <c r="K32" s="160"/>
    </row>
    <row r="33" spans="1:11" ht="20.25" customHeight="1" thickBot="1" x14ac:dyDescent="0.3">
      <c r="A33" s="186" t="s">
        <v>185</v>
      </c>
      <c r="B33" s="172">
        <v>19050</v>
      </c>
      <c r="C33" s="171"/>
      <c r="D33" s="187"/>
      <c r="E33" s="188">
        <v>19050</v>
      </c>
      <c r="F33" s="173"/>
      <c r="K33" s="160"/>
    </row>
    <row r="34" spans="1:11" ht="20.25" customHeight="1" thickBot="1" x14ac:dyDescent="0.3">
      <c r="A34" s="169" t="s">
        <v>186</v>
      </c>
      <c r="B34" s="176">
        <v>22860</v>
      </c>
      <c r="C34" s="175"/>
      <c r="D34" s="189"/>
      <c r="E34" s="190">
        <v>22860</v>
      </c>
      <c r="F34" s="159"/>
      <c r="K34" s="160"/>
    </row>
    <row r="35" spans="1:11" ht="20.25" customHeight="1" thickBot="1" x14ac:dyDescent="0.3">
      <c r="A35" s="169" t="s">
        <v>187</v>
      </c>
      <c r="B35" s="176">
        <v>38100</v>
      </c>
      <c r="C35" s="175"/>
      <c r="D35" s="189"/>
      <c r="E35" s="190">
        <v>38100</v>
      </c>
      <c r="F35" s="159"/>
      <c r="K35" s="160"/>
    </row>
    <row r="36" spans="1:11" ht="20.25" customHeight="1" thickBot="1" x14ac:dyDescent="0.3">
      <c r="A36" s="169" t="s">
        <v>188</v>
      </c>
      <c r="B36" s="176">
        <v>25400</v>
      </c>
      <c r="C36" s="175"/>
      <c r="D36" s="189"/>
      <c r="E36" s="190">
        <v>25400</v>
      </c>
      <c r="F36" s="159"/>
      <c r="K36" s="160"/>
    </row>
    <row r="37" spans="1:11" ht="20.25" customHeight="1" thickBot="1" x14ac:dyDescent="0.3">
      <c r="A37" s="169" t="s">
        <v>189</v>
      </c>
      <c r="B37" s="176">
        <v>127000</v>
      </c>
      <c r="C37" s="175"/>
      <c r="D37" s="189"/>
      <c r="E37" s="175">
        <v>127000</v>
      </c>
      <c r="F37" s="202"/>
      <c r="G37" s="193"/>
      <c r="K37" s="160"/>
    </row>
    <row r="38" spans="1:11" ht="20.25" customHeight="1" thickBot="1" x14ac:dyDescent="0.3">
      <c r="A38" s="194" t="s">
        <v>190</v>
      </c>
      <c r="B38" s="195">
        <f>B32+B33+B34+B35+B36+B37</f>
        <v>582410</v>
      </c>
      <c r="C38" s="196"/>
      <c r="D38" s="197"/>
      <c r="E38" s="513">
        <f>E32+E33+E34+E35+E36+E37</f>
        <v>582410</v>
      </c>
      <c r="F38" s="516"/>
      <c r="K38" s="160"/>
    </row>
    <row r="39" spans="1:11" ht="47.25" customHeight="1" x14ac:dyDescent="0.25">
      <c r="A39" s="198" t="s">
        <v>191</v>
      </c>
      <c r="B39" s="199">
        <v>198571922</v>
      </c>
      <c r="C39" s="200"/>
      <c r="D39" s="157"/>
      <c r="E39" s="201">
        <v>148928941</v>
      </c>
      <c r="F39" s="202"/>
      <c r="K39" s="160"/>
    </row>
    <row r="40" spans="1:11" ht="20.25" customHeight="1" thickBot="1" x14ac:dyDescent="0.3">
      <c r="A40" s="503" t="s">
        <v>192</v>
      </c>
      <c r="B40" s="504">
        <v>1671760</v>
      </c>
      <c r="C40" s="505"/>
      <c r="D40" s="157"/>
      <c r="E40" s="514">
        <v>1671760</v>
      </c>
      <c r="F40" s="202"/>
      <c r="K40" s="160"/>
    </row>
    <row r="41" spans="1:11" ht="40.5" customHeight="1" x14ac:dyDescent="0.25">
      <c r="A41" s="507" t="s">
        <v>605</v>
      </c>
      <c r="B41" s="509">
        <v>58286802</v>
      </c>
      <c r="C41" s="506"/>
      <c r="D41" s="508"/>
      <c r="E41" s="514">
        <v>14972306</v>
      </c>
      <c r="F41" s="202"/>
      <c r="K41" s="160"/>
    </row>
    <row r="42" spans="1:11" ht="29.25" customHeight="1" x14ac:dyDescent="0.25">
      <c r="A42" s="507" t="s">
        <v>606</v>
      </c>
      <c r="B42" s="508">
        <v>162503313</v>
      </c>
      <c r="C42" s="506"/>
      <c r="D42" s="508"/>
      <c r="E42" s="514">
        <v>91864899</v>
      </c>
      <c r="F42" s="202"/>
      <c r="K42" s="160"/>
    </row>
    <row r="43" spans="1:11" ht="51.75" customHeight="1" x14ac:dyDescent="0.25">
      <c r="A43" s="510" t="s">
        <v>607</v>
      </c>
      <c r="B43" s="338">
        <v>19954304</v>
      </c>
      <c r="C43" s="511"/>
      <c r="D43" s="338"/>
      <c r="E43" s="514">
        <v>18070416</v>
      </c>
      <c r="F43" s="202"/>
      <c r="K43" s="160"/>
    </row>
    <row r="44" spans="1:11" ht="42" customHeight="1" thickBot="1" x14ac:dyDescent="0.3">
      <c r="A44" s="338" t="s">
        <v>608</v>
      </c>
      <c r="B44" s="338">
        <v>31379054</v>
      </c>
      <c r="C44" s="511"/>
      <c r="D44" s="338"/>
      <c r="E44" s="514">
        <v>15473382</v>
      </c>
      <c r="F44" s="516"/>
      <c r="K44" s="160"/>
    </row>
    <row r="45" spans="1:11" s="206" customFormat="1" ht="20.25" customHeight="1" thickBot="1" x14ac:dyDescent="0.3">
      <c r="A45" s="203" t="s">
        <v>193</v>
      </c>
      <c r="B45" s="204">
        <f>B39+B40+B41+B42+B43+B44</f>
        <v>472367155</v>
      </c>
      <c r="C45" s="204">
        <f t="shared" ref="C45:E45" si="2">C39+C40+C41+C42+C43+C44</f>
        <v>0</v>
      </c>
      <c r="D45" s="204">
        <f t="shared" si="2"/>
        <v>0</v>
      </c>
      <c r="E45" s="204">
        <f t="shared" si="2"/>
        <v>290981704</v>
      </c>
      <c r="F45" s="512">
        <f t="shared" ref="F45" si="3">F41+F42+F43+F44</f>
        <v>0</v>
      </c>
      <c r="G45" s="205"/>
      <c r="H45" s="205"/>
      <c r="I45" s="205"/>
      <c r="K45" s="207"/>
    </row>
    <row r="46" spans="1:11" s="211" customFormat="1" ht="21" thickBot="1" x14ac:dyDescent="0.35">
      <c r="A46" s="208" t="s">
        <v>194</v>
      </c>
      <c r="B46" s="209">
        <f>B6+B9</f>
        <v>485594634</v>
      </c>
      <c r="C46" s="209">
        <f t="shared" ref="C46:E46" si="4">C6+C9</f>
        <v>0</v>
      </c>
      <c r="D46" s="209">
        <f t="shared" si="4"/>
        <v>0</v>
      </c>
      <c r="E46" s="515">
        <f t="shared" si="4"/>
        <v>304209183</v>
      </c>
      <c r="F46" s="517">
        <f>SUM(F6:F32)</f>
        <v>0</v>
      </c>
      <c r="G46" s="210"/>
      <c r="H46" s="210"/>
      <c r="I46" s="210"/>
      <c r="K46" s="212"/>
    </row>
    <row r="53" spans="1:4" x14ac:dyDescent="0.25">
      <c r="B53" s="214"/>
      <c r="C53" s="214"/>
      <c r="D53" s="214"/>
    </row>
    <row r="54" spans="1:4" ht="15.75" x14ac:dyDescent="0.25">
      <c r="A54" s="215"/>
      <c r="B54" s="216"/>
      <c r="C54" s="217"/>
      <c r="D54" s="218"/>
    </row>
    <row r="55" spans="1:4" ht="15.75" x14ac:dyDescent="0.25">
      <c r="A55" s="215"/>
      <c r="B55" s="219"/>
      <c r="C55" s="220"/>
      <c r="D55" s="218"/>
    </row>
    <row r="56" spans="1:4" ht="15.75" x14ac:dyDescent="0.25">
      <c r="A56" s="221"/>
      <c r="B56" s="219"/>
      <c r="C56" s="220"/>
      <c r="D56" s="218"/>
    </row>
    <row r="57" spans="1:4" ht="15.75" x14ac:dyDescent="0.25">
      <c r="A57" s="215"/>
      <c r="B57" s="219"/>
      <c r="C57" s="220"/>
    </row>
    <row r="58" spans="1:4" x14ac:dyDescent="0.25">
      <c r="A58" s="222"/>
      <c r="B58" s="219"/>
      <c r="C58" s="223"/>
    </row>
    <row r="59" spans="1:4" ht="15.75" x14ac:dyDescent="0.25">
      <c r="A59" s="141"/>
      <c r="B59" s="219"/>
      <c r="C59" s="220"/>
      <c r="D59" s="218"/>
    </row>
    <row r="60" spans="1:4" ht="15.75" x14ac:dyDescent="0.25">
      <c r="A60" s="141"/>
      <c r="C60" s="218"/>
      <c r="D60" s="218"/>
    </row>
    <row r="61" spans="1:4" ht="15.75" x14ac:dyDescent="0.25">
      <c r="A61" s="141"/>
      <c r="C61" s="218"/>
      <c r="D61" s="218"/>
    </row>
  </sheetData>
  <mergeCells count="6">
    <mergeCell ref="A31:E31"/>
    <mergeCell ref="A1:E1"/>
    <mergeCell ref="A2:E2"/>
    <mergeCell ref="A3:E3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opLeftCell="A4" workbookViewId="0">
      <selection activeCell="A7" sqref="A7:V18"/>
    </sheetView>
  </sheetViews>
  <sheetFormatPr defaultRowHeight="12.75" x14ac:dyDescent="0.2"/>
  <cols>
    <col min="1" max="6" width="3.28515625" style="227" customWidth="1"/>
    <col min="7" max="7" width="5.140625" style="227" customWidth="1"/>
    <col min="8" max="11" width="3.28515625" style="227" customWidth="1"/>
    <col min="12" max="12" width="4.28515625" style="227" customWidth="1"/>
    <col min="13" max="14" width="3.28515625" style="227" customWidth="1"/>
    <col min="15" max="15" width="4.42578125" style="227" customWidth="1"/>
    <col min="16" max="19" width="3.28515625" style="227" customWidth="1"/>
    <col min="20" max="20" width="2.42578125" style="227" customWidth="1"/>
    <col min="21" max="21" width="3.28515625" style="227" customWidth="1"/>
    <col min="22" max="22" width="16.5703125" style="230" customWidth="1"/>
    <col min="23" max="25" width="3.28515625" style="227" customWidth="1"/>
    <col min="26" max="26" width="1.85546875" style="227" customWidth="1"/>
    <col min="27" max="27" width="4.5703125" style="227" customWidth="1"/>
    <col min="28" max="35" width="3.28515625" style="227" hidden="1" customWidth="1"/>
    <col min="36" max="16384" width="9.140625" style="227"/>
  </cols>
  <sheetData>
    <row r="1" spans="1:35" s="224" customFormat="1" ht="22.5" customHeight="1" x14ac:dyDescent="0.25">
      <c r="A1" s="729" t="s">
        <v>195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29"/>
      <c r="AA1" s="729"/>
      <c r="AB1" s="729"/>
      <c r="AC1" s="729"/>
      <c r="AD1" s="729"/>
      <c r="AE1" s="729"/>
      <c r="AF1" s="729"/>
      <c r="AG1" s="729"/>
      <c r="AH1" s="729"/>
      <c r="AI1" s="729"/>
    </row>
    <row r="2" spans="1:35" s="224" customFormat="1" ht="15.75" x14ac:dyDescent="0.25">
      <c r="A2" s="729"/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29"/>
      <c r="AH2" s="729"/>
      <c r="AI2" s="729"/>
    </row>
    <row r="3" spans="1:35" s="224" customFormat="1" ht="15.75" x14ac:dyDescent="0.25">
      <c r="A3" s="225"/>
      <c r="B3" s="225"/>
      <c r="C3" s="225"/>
      <c r="D3" s="225"/>
      <c r="E3" s="225"/>
      <c r="F3" s="729" t="s">
        <v>4</v>
      </c>
      <c r="G3" s="730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226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</row>
    <row r="4" spans="1:35" ht="15.75" x14ac:dyDescent="0.2">
      <c r="A4" s="731" t="s">
        <v>196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731"/>
      <c r="AE4" s="731"/>
      <c r="AF4" s="731"/>
      <c r="AG4" s="731"/>
      <c r="AH4" s="731"/>
      <c r="AI4" s="731"/>
    </row>
    <row r="5" spans="1:35" ht="15.75" x14ac:dyDescent="0.2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9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</row>
    <row r="6" spans="1:35" ht="13.5" thickBot="1" x14ac:dyDescent="0.25">
      <c r="X6" s="227" t="s">
        <v>197</v>
      </c>
      <c r="AH6" s="231" t="s">
        <v>198</v>
      </c>
    </row>
    <row r="7" spans="1:35" ht="24.75" customHeight="1" x14ac:dyDescent="0.2">
      <c r="A7" s="732" t="s">
        <v>199</v>
      </c>
      <c r="B7" s="733"/>
      <c r="C7" s="733"/>
      <c r="D7" s="733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  <c r="P7" s="733"/>
      <c r="Q7" s="733"/>
      <c r="R7" s="733"/>
      <c r="S7" s="733"/>
      <c r="T7" s="734">
        <v>1</v>
      </c>
      <c r="U7" s="734"/>
      <c r="V7" s="232">
        <v>4560000</v>
      </c>
      <c r="W7" s="735" t="s">
        <v>200</v>
      </c>
      <c r="X7" s="735"/>
      <c r="Y7" s="735"/>
      <c r="Z7" s="735"/>
      <c r="AA7" s="736"/>
      <c r="AB7" s="710"/>
      <c r="AC7" s="711"/>
      <c r="AD7" s="711"/>
      <c r="AE7" s="711"/>
      <c r="AF7" s="711"/>
      <c r="AG7" s="233"/>
      <c r="AH7" s="233"/>
      <c r="AI7" s="233"/>
    </row>
    <row r="8" spans="1:35" ht="22.5" customHeight="1" x14ac:dyDescent="0.2">
      <c r="A8" s="719" t="s">
        <v>201</v>
      </c>
      <c r="B8" s="720"/>
      <c r="C8" s="720"/>
      <c r="D8" s="720"/>
      <c r="E8" s="720"/>
      <c r="F8" s="720"/>
      <c r="G8" s="720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14">
        <v>2</v>
      </c>
      <c r="U8" s="714"/>
      <c r="V8" s="234">
        <v>192000</v>
      </c>
      <c r="W8" s="725" t="s">
        <v>202</v>
      </c>
      <c r="X8" s="725"/>
      <c r="Y8" s="725"/>
      <c r="Z8" s="725"/>
      <c r="AA8" s="726"/>
      <c r="AB8" s="235"/>
      <c r="AC8" s="233"/>
      <c r="AD8" s="233"/>
      <c r="AE8" s="233"/>
      <c r="AF8" s="233"/>
      <c r="AG8" s="233"/>
      <c r="AH8" s="233"/>
      <c r="AI8" s="233"/>
    </row>
    <row r="9" spans="1:35" ht="19.5" customHeight="1" x14ac:dyDescent="0.2">
      <c r="A9" s="719" t="s">
        <v>203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14">
        <v>3</v>
      </c>
      <c r="U9" s="714"/>
      <c r="V9" s="234">
        <v>0</v>
      </c>
      <c r="W9" s="721"/>
      <c r="X9" s="721"/>
      <c r="Y9" s="721"/>
      <c r="Z9" s="721"/>
      <c r="AA9" s="722"/>
      <c r="AB9" s="710"/>
      <c r="AC9" s="711"/>
      <c r="AD9" s="711"/>
      <c r="AE9" s="711"/>
      <c r="AF9" s="711"/>
      <c r="AG9" s="233"/>
      <c r="AH9" s="233"/>
      <c r="AI9" s="233"/>
    </row>
    <row r="10" spans="1:35" ht="19.5" customHeight="1" x14ac:dyDescent="0.2">
      <c r="A10" s="727" t="s">
        <v>204</v>
      </c>
      <c r="B10" s="728"/>
      <c r="C10" s="728"/>
      <c r="D10" s="728"/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8"/>
      <c r="P10" s="728"/>
      <c r="Q10" s="728"/>
      <c r="R10" s="728"/>
      <c r="S10" s="728"/>
      <c r="T10" s="714">
        <v>4</v>
      </c>
      <c r="U10" s="714"/>
      <c r="V10" s="236">
        <f>SUM(V7:V9)</f>
        <v>4752000</v>
      </c>
      <c r="W10" s="721"/>
      <c r="X10" s="721"/>
      <c r="Y10" s="721"/>
      <c r="Z10" s="721"/>
      <c r="AA10" s="722"/>
      <c r="AB10" s="710"/>
      <c r="AC10" s="711"/>
      <c r="AD10" s="711"/>
      <c r="AE10" s="711"/>
      <c r="AF10" s="711"/>
      <c r="AG10" s="233"/>
      <c r="AH10" s="233"/>
      <c r="AI10" s="233"/>
    </row>
    <row r="11" spans="1:35" ht="19.5" customHeight="1" x14ac:dyDescent="0.2">
      <c r="A11" s="719" t="s">
        <v>205</v>
      </c>
      <c r="B11" s="720"/>
      <c r="C11" s="720"/>
      <c r="D11" s="720"/>
      <c r="E11" s="720"/>
      <c r="F11" s="720"/>
      <c r="G11" s="720"/>
      <c r="H11" s="720"/>
      <c r="I11" s="720"/>
      <c r="J11" s="720"/>
      <c r="K11" s="720"/>
      <c r="L11" s="720"/>
      <c r="M11" s="720"/>
      <c r="N11" s="720"/>
      <c r="O11" s="720"/>
      <c r="P11" s="720"/>
      <c r="Q11" s="720"/>
      <c r="R11" s="720"/>
      <c r="S11" s="720"/>
      <c r="T11" s="714">
        <v>5</v>
      </c>
      <c r="U11" s="714"/>
      <c r="V11" s="234">
        <v>1555600</v>
      </c>
      <c r="W11" s="721" t="s">
        <v>202</v>
      </c>
      <c r="X11" s="721"/>
      <c r="Y11" s="721"/>
      <c r="Z11" s="721"/>
      <c r="AA11" s="722"/>
      <c r="AB11" s="710"/>
      <c r="AC11" s="711"/>
      <c r="AD11" s="711"/>
      <c r="AE11" s="711"/>
      <c r="AF11" s="711"/>
      <c r="AG11" s="233"/>
      <c r="AH11" s="233"/>
      <c r="AI11" s="233"/>
    </row>
    <row r="12" spans="1:35" ht="19.5" customHeight="1" x14ac:dyDescent="0.2">
      <c r="A12" s="719" t="s">
        <v>206</v>
      </c>
      <c r="B12" s="720"/>
      <c r="C12" s="720"/>
      <c r="D12" s="720"/>
      <c r="E12" s="720"/>
      <c r="F12" s="720"/>
      <c r="G12" s="720"/>
      <c r="H12" s="720"/>
      <c r="I12" s="720"/>
      <c r="J12" s="720"/>
      <c r="K12" s="720"/>
      <c r="L12" s="720"/>
      <c r="M12" s="720"/>
      <c r="N12" s="720"/>
      <c r="O12" s="720"/>
      <c r="P12" s="720"/>
      <c r="Q12" s="720"/>
      <c r="R12" s="720"/>
      <c r="S12" s="720"/>
      <c r="T12" s="714">
        <v>6</v>
      </c>
      <c r="U12" s="714"/>
      <c r="V12" s="234">
        <v>1690000</v>
      </c>
      <c r="W12" s="721" t="s">
        <v>202</v>
      </c>
      <c r="X12" s="721"/>
      <c r="Y12" s="721"/>
      <c r="Z12" s="721"/>
      <c r="AA12" s="722"/>
      <c r="AB12" s="710"/>
      <c r="AC12" s="711"/>
      <c r="AD12" s="711"/>
      <c r="AE12" s="711"/>
      <c r="AF12" s="711"/>
      <c r="AG12" s="233"/>
      <c r="AH12" s="233"/>
      <c r="AI12" s="233"/>
    </row>
    <row r="13" spans="1:35" ht="19.5" customHeight="1" x14ac:dyDescent="0.2">
      <c r="A13" s="719" t="s">
        <v>207</v>
      </c>
      <c r="B13" s="720"/>
      <c r="C13" s="720"/>
      <c r="D13" s="720"/>
      <c r="E13" s="720"/>
      <c r="F13" s="720"/>
      <c r="G13" s="720"/>
      <c r="H13" s="720"/>
      <c r="I13" s="720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14">
        <v>7</v>
      </c>
      <c r="U13" s="714"/>
      <c r="V13" s="234">
        <v>1170000</v>
      </c>
      <c r="W13" s="721" t="s">
        <v>202</v>
      </c>
      <c r="X13" s="721"/>
      <c r="Y13" s="721"/>
      <c r="Z13" s="721"/>
      <c r="AA13" s="722"/>
      <c r="AB13" s="710"/>
      <c r="AC13" s="711"/>
      <c r="AD13" s="711"/>
      <c r="AE13" s="711"/>
      <c r="AF13" s="711"/>
      <c r="AG13" s="233"/>
      <c r="AH13" s="233"/>
      <c r="AI13" s="233"/>
    </row>
    <row r="14" spans="1:35" ht="19.5" customHeight="1" x14ac:dyDescent="0.2">
      <c r="A14" s="719" t="s">
        <v>208</v>
      </c>
      <c r="B14" s="720"/>
      <c r="C14" s="720"/>
      <c r="D14" s="720"/>
      <c r="E14" s="720"/>
      <c r="F14" s="720"/>
      <c r="G14" s="720"/>
      <c r="H14" s="720"/>
      <c r="I14" s="720"/>
      <c r="J14" s="720"/>
      <c r="K14" s="720"/>
      <c r="L14" s="720"/>
      <c r="M14" s="720"/>
      <c r="N14" s="720"/>
      <c r="O14" s="720"/>
      <c r="P14" s="720"/>
      <c r="Q14" s="720"/>
      <c r="R14" s="720"/>
      <c r="S14" s="720"/>
      <c r="T14" s="714">
        <v>8</v>
      </c>
      <c r="U14" s="714"/>
      <c r="V14" s="234">
        <v>1000000</v>
      </c>
      <c r="W14" s="721" t="s">
        <v>202</v>
      </c>
      <c r="X14" s="721"/>
      <c r="Y14" s="721"/>
      <c r="Z14" s="721"/>
      <c r="AA14" s="722"/>
      <c r="AB14" s="235"/>
      <c r="AC14" s="233"/>
      <c r="AD14" s="233"/>
      <c r="AE14" s="233"/>
      <c r="AF14" s="233"/>
      <c r="AG14" s="233"/>
      <c r="AH14" s="233"/>
      <c r="AI14" s="233"/>
    </row>
    <row r="15" spans="1:35" ht="19.5" customHeight="1" x14ac:dyDescent="0.2">
      <c r="A15" s="723" t="s">
        <v>209</v>
      </c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14">
        <v>9</v>
      </c>
      <c r="U15" s="714"/>
      <c r="V15" s="236">
        <f>SUM(V11:V14)</f>
        <v>5415600</v>
      </c>
      <c r="W15" s="721"/>
      <c r="X15" s="721"/>
      <c r="Y15" s="721"/>
      <c r="Z15" s="721"/>
      <c r="AA15" s="722"/>
      <c r="AB15" s="710"/>
      <c r="AC15" s="711"/>
      <c r="AD15" s="711"/>
      <c r="AE15" s="711"/>
      <c r="AF15" s="711"/>
      <c r="AG15" s="233"/>
      <c r="AH15" s="233"/>
      <c r="AI15" s="233"/>
    </row>
    <row r="16" spans="1:35" ht="27" customHeight="1" x14ac:dyDescent="0.2">
      <c r="A16" s="712" t="s">
        <v>210</v>
      </c>
      <c r="B16" s="713"/>
      <c r="C16" s="713"/>
      <c r="D16" s="713"/>
      <c r="E16" s="713"/>
      <c r="F16" s="713"/>
      <c r="G16" s="713"/>
      <c r="H16" s="713"/>
      <c r="I16" s="713"/>
      <c r="J16" s="713"/>
      <c r="K16" s="713"/>
      <c r="L16" s="713"/>
      <c r="M16" s="713"/>
      <c r="N16" s="713"/>
      <c r="O16" s="713"/>
      <c r="P16" s="713"/>
      <c r="Q16" s="713"/>
      <c r="R16" s="713"/>
      <c r="S16" s="713"/>
      <c r="T16" s="714">
        <v>10</v>
      </c>
      <c r="U16" s="714"/>
      <c r="V16" s="237">
        <f>V15+V10</f>
        <v>10167600</v>
      </c>
      <c r="W16" s="715"/>
      <c r="X16" s="715"/>
      <c r="Y16" s="715"/>
      <c r="Z16" s="715"/>
      <c r="AA16" s="716"/>
      <c r="AB16" s="717"/>
      <c r="AC16" s="718"/>
      <c r="AD16" s="718"/>
      <c r="AE16" s="718"/>
      <c r="AF16" s="718"/>
      <c r="AG16" s="238"/>
      <c r="AH16" s="238"/>
      <c r="AI16" s="238"/>
    </row>
    <row r="17" spans="1:35" ht="27" customHeight="1" x14ac:dyDescent="0.2">
      <c r="A17" s="719" t="s">
        <v>211</v>
      </c>
      <c r="B17" s="720"/>
      <c r="C17" s="720"/>
      <c r="D17" s="720"/>
      <c r="E17" s="720"/>
      <c r="F17" s="720"/>
      <c r="G17" s="720"/>
      <c r="H17" s="720"/>
      <c r="I17" s="720"/>
      <c r="J17" s="720"/>
      <c r="K17" s="720"/>
      <c r="L17" s="720"/>
      <c r="M17" s="720"/>
      <c r="N17" s="720"/>
      <c r="O17" s="720"/>
      <c r="P17" s="720"/>
      <c r="Q17" s="720"/>
      <c r="R17" s="720"/>
      <c r="S17" s="720"/>
      <c r="T17" s="714">
        <v>11</v>
      </c>
      <c r="U17" s="714"/>
      <c r="V17" s="234">
        <v>974400</v>
      </c>
      <c r="W17" s="721" t="s">
        <v>212</v>
      </c>
      <c r="X17" s="721"/>
      <c r="Y17" s="721"/>
      <c r="Z17" s="721"/>
      <c r="AA17" s="722"/>
      <c r="AB17" s="710"/>
      <c r="AC17" s="711"/>
      <c r="AD17" s="711"/>
      <c r="AE17" s="711"/>
      <c r="AF17" s="711"/>
      <c r="AG17" s="233"/>
      <c r="AH17" s="233"/>
      <c r="AI17" s="233"/>
    </row>
    <row r="18" spans="1:35" s="241" customFormat="1" ht="20.25" customHeight="1" thickBot="1" x14ac:dyDescent="0.3">
      <c r="A18" s="703" t="s">
        <v>213</v>
      </c>
      <c r="B18" s="704"/>
      <c r="C18" s="704"/>
      <c r="D18" s="704"/>
      <c r="E18" s="704"/>
      <c r="F18" s="704"/>
      <c r="G18" s="704"/>
      <c r="H18" s="704"/>
      <c r="I18" s="704"/>
      <c r="J18" s="704"/>
      <c r="K18" s="704"/>
      <c r="L18" s="704"/>
      <c r="M18" s="704"/>
      <c r="N18" s="704"/>
      <c r="O18" s="704"/>
      <c r="P18" s="704"/>
      <c r="Q18" s="704"/>
      <c r="R18" s="704"/>
      <c r="S18" s="704"/>
      <c r="T18" s="705">
        <v>12</v>
      </c>
      <c r="U18" s="705"/>
      <c r="V18" s="239">
        <f>V16+V17</f>
        <v>11142000</v>
      </c>
      <c r="W18" s="706"/>
      <c r="X18" s="706"/>
      <c r="Y18" s="706"/>
      <c r="Z18" s="706"/>
      <c r="AA18" s="707"/>
      <c r="AB18" s="708"/>
      <c r="AC18" s="709"/>
      <c r="AD18" s="709"/>
      <c r="AE18" s="709"/>
      <c r="AF18" s="709"/>
      <c r="AG18" s="240"/>
      <c r="AH18" s="240"/>
      <c r="AI18" s="240"/>
    </row>
    <row r="19" spans="1:35" ht="21.95" customHeight="1" x14ac:dyDescent="0.2"/>
    <row r="20" spans="1:35" ht="21.95" customHeight="1" x14ac:dyDescent="0.2"/>
    <row r="21" spans="1:35" ht="21.95" customHeight="1" x14ac:dyDescent="0.2"/>
    <row r="22" spans="1:35" ht="21.95" customHeight="1" x14ac:dyDescent="0.2"/>
    <row r="23" spans="1:35" ht="21.95" customHeight="1" x14ac:dyDescent="0.2"/>
    <row r="24" spans="1:35" ht="21.95" customHeight="1" x14ac:dyDescent="0.2"/>
    <row r="25" spans="1:35" ht="21.95" customHeight="1" x14ac:dyDescent="0.2"/>
    <row r="26" spans="1:35" ht="21.95" customHeight="1" x14ac:dyDescent="0.2"/>
    <row r="27" spans="1:35" ht="21.95" customHeight="1" x14ac:dyDescent="0.2"/>
    <row r="28" spans="1:35" ht="21.95" customHeight="1" x14ac:dyDescent="0.2"/>
    <row r="29" spans="1:35" ht="21.95" customHeight="1" x14ac:dyDescent="0.2"/>
    <row r="30" spans="1:35" ht="21.95" customHeight="1" x14ac:dyDescent="0.2"/>
    <row r="31" spans="1:35" ht="21.95" customHeight="1" x14ac:dyDescent="0.2"/>
    <row r="32" spans="1:35" ht="21.95" customHeight="1" x14ac:dyDescent="0.2"/>
    <row r="83" spans="1:4" x14ac:dyDescent="0.2">
      <c r="A83" s="242"/>
      <c r="B83" s="242"/>
      <c r="C83" s="242"/>
      <c r="D83" s="242"/>
    </row>
    <row r="84" spans="1:4" x14ac:dyDescent="0.2">
      <c r="A84" s="242"/>
      <c r="B84" s="242"/>
      <c r="C84" s="242"/>
      <c r="D84" s="242"/>
    </row>
    <row r="85" spans="1:4" x14ac:dyDescent="0.2">
      <c r="A85" s="242"/>
      <c r="B85" s="242"/>
      <c r="C85" s="242"/>
      <c r="D85" s="242"/>
    </row>
    <row r="86" spans="1:4" x14ac:dyDescent="0.2">
      <c r="A86" s="242"/>
      <c r="B86" s="242"/>
      <c r="C86" s="242"/>
      <c r="D86" s="242"/>
    </row>
    <row r="87" spans="1:4" x14ac:dyDescent="0.2">
      <c r="A87" s="242"/>
      <c r="B87" s="242"/>
      <c r="C87" s="242"/>
      <c r="D87" s="242"/>
    </row>
    <row r="88" spans="1:4" x14ac:dyDescent="0.2">
      <c r="A88" s="242"/>
      <c r="B88" s="242"/>
      <c r="C88" s="242"/>
      <c r="D88" s="242"/>
    </row>
    <row r="89" spans="1:4" x14ac:dyDescent="0.2">
      <c r="A89" s="242"/>
      <c r="B89" s="242"/>
      <c r="C89" s="242"/>
      <c r="D89" s="242"/>
    </row>
    <row r="90" spans="1:4" x14ac:dyDescent="0.2">
      <c r="A90" s="242"/>
      <c r="B90" s="242"/>
      <c r="C90" s="242"/>
      <c r="D90" s="242"/>
    </row>
    <row r="91" spans="1:4" x14ac:dyDescent="0.2">
      <c r="A91" s="242"/>
      <c r="B91" s="242"/>
      <c r="C91" s="242"/>
      <c r="D91" s="242"/>
    </row>
    <row r="92" spans="1:4" x14ac:dyDescent="0.2">
      <c r="A92" s="242"/>
      <c r="B92" s="242"/>
      <c r="C92" s="242"/>
      <c r="D92" s="242"/>
    </row>
    <row r="93" spans="1:4" x14ac:dyDescent="0.2">
      <c r="A93" s="242"/>
      <c r="B93" s="242"/>
      <c r="C93" s="242"/>
      <c r="D93" s="242"/>
    </row>
    <row r="94" spans="1:4" x14ac:dyDescent="0.2">
      <c r="A94" s="242"/>
      <c r="B94" s="242"/>
      <c r="C94" s="242"/>
      <c r="D94" s="242"/>
    </row>
    <row r="95" spans="1:4" x14ac:dyDescent="0.2">
      <c r="A95" s="242"/>
      <c r="B95" s="242"/>
      <c r="C95" s="242"/>
      <c r="D95" s="242"/>
    </row>
    <row r="96" spans="1:4" x14ac:dyDescent="0.2">
      <c r="A96" s="242"/>
      <c r="B96" s="242"/>
      <c r="C96" s="242"/>
      <c r="D96" s="242"/>
    </row>
    <row r="97" spans="1:4" x14ac:dyDescent="0.2">
      <c r="A97" s="242"/>
      <c r="B97" s="242"/>
      <c r="C97" s="242"/>
      <c r="D97" s="242"/>
    </row>
    <row r="98" spans="1:4" x14ac:dyDescent="0.2">
      <c r="A98" s="242"/>
      <c r="B98" s="242"/>
      <c r="C98" s="242"/>
      <c r="D98" s="242"/>
    </row>
    <row r="99" spans="1:4" x14ac:dyDescent="0.2">
      <c r="A99" s="242"/>
      <c r="B99" s="242"/>
      <c r="C99" s="242"/>
      <c r="D99" s="242"/>
    </row>
    <row r="100" spans="1:4" x14ac:dyDescent="0.2">
      <c r="A100" s="242"/>
      <c r="B100" s="242"/>
      <c r="C100" s="242"/>
      <c r="D100" s="242"/>
    </row>
    <row r="101" spans="1:4" x14ac:dyDescent="0.2">
      <c r="A101" s="242"/>
      <c r="B101" s="242"/>
      <c r="C101" s="242"/>
      <c r="D101" s="242"/>
    </row>
    <row r="102" spans="1:4" x14ac:dyDescent="0.2">
      <c r="A102" s="242"/>
      <c r="B102" s="242"/>
      <c r="C102" s="242"/>
      <c r="D102" s="242"/>
    </row>
    <row r="103" spans="1:4" x14ac:dyDescent="0.2">
      <c r="A103" s="242"/>
      <c r="B103" s="242"/>
      <c r="C103" s="242"/>
      <c r="D103" s="242"/>
    </row>
    <row r="104" spans="1:4" x14ac:dyDescent="0.2">
      <c r="A104" s="242"/>
      <c r="B104" s="242"/>
      <c r="C104" s="242"/>
      <c r="D104" s="242"/>
    </row>
    <row r="105" spans="1:4" x14ac:dyDescent="0.2">
      <c r="A105" s="242"/>
      <c r="B105" s="242"/>
      <c r="C105" s="242"/>
      <c r="D105" s="242"/>
    </row>
    <row r="106" spans="1:4" x14ac:dyDescent="0.2">
      <c r="A106" s="242"/>
      <c r="B106" s="242"/>
      <c r="C106" s="242"/>
      <c r="D106" s="242"/>
    </row>
    <row r="107" spans="1:4" x14ac:dyDescent="0.2">
      <c r="A107" s="242"/>
      <c r="B107" s="242"/>
      <c r="C107" s="242"/>
      <c r="D107" s="242"/>
    </row>
    <row r="108" spans="1:4" x14ac:dyDescent="0.2">
      <c r="A108" s="242"/>
      <c r="B108" s="242"/>
      <c r="C108" s="242"/>
      <c r="D108" s="242"/>
    </row>
    <row r="109" spans="1:4" x14ac:dyDescent="0.2">
      <c r="A109" s="242"/>
      <c r="B109" s="242"/>
      <c r="C109" s="242"/>
      <c r="D109" s="242"/>
    </row>
    <row r="110" spans="1:4" x14ac:dyDescent="0.2">
      <c r="A110" s="242"/>
      <c r="B110" s="242"/>
      <c r="C110" s="242"/>
      <c r="D110" s="242"/>
    </row>
    <row r="111" spans="1:4" x14ac:dyDescent="0.2">
      <c r="A111" s="242"/>
      <c r="B111" s="242"/>
      <c r="C111" s="242"/>
      <c r="D111" s="242"/>
    </row>
    <row r="112" spans="1:4" x14ac:dyDescent="0.2">
      <c r="A112" s="242"/>
      <c r="B112" s="242"/>
      <c r="C112" s="242"/>
      <c r="D112" s="242"/>
    </row>
    <row r="113" spans="1:4" x14ac:dyDescent="0.2">
      <c r="A113" s="242"/>
      <c r="B113" s="242"/>
      <c r="C113" s="242"/>
      <c r="D113" s="242"/>
    </row>
    <row r="114" spans="1:4" x14ac:dyDescent="0.2">
      <c r="A114" s="242"/>
      <c r="B114" s="242"/>
      <c r="C114" s="242"/>
      <c r="D114" s="242"/>
    </row>
    <row r="115" spans="1:4" x14ac:dyDescent="0.2">
      <c r="A115" s="242"/>
      <c r="B115" s="242"/>
      <c r="C115" s="242"/>
      <c r="D115" s="242"/>
    </row>
    <row r="116" spans="1:4" x14ac:dyDescent="0.2">
      <c r="A116" s="242"/>
      <c r="B116" s="242"/>
      <c r="C116" s="242"/>
      <c r="D116" s="242"/>
    </row>
    <row r="117" spans="1:4" x14ac:dyDescent="0.2">
      <c r="A117" s="242"/>
      <c r="B117" s="242"/>
      <c r="C117" s="242"/>
      <c r="D117" s="242"/>
    </row>
    <row r="118" spans="1:4" x14ac:dyDescent="0.2">
      <c r="A118" s="242"/>
      <c r="B118" s="242"/>
      <c r="C118" s="242"/>
      <c r="D118" s="242"/>
    </row>
    <row r="119" spans="1:4" x14ac:dyDescent="0.2">
      <c r="A119" s="242"/>
      <c r="B119" s="242"/>
      <c r="C119" s="242"/>
      <c r="D119" s="242"/>
    </row>
    <row r="120" spans="1:4" x14ac:dyDescent="0.2">
      <c r="A120" s="242"/>
      <c r="B120" s="242"/>
      <c r="C120" s="242"/>
      <c r="D120" s="242"/>
    </row>
    <row r="121" spans="1:4" x14ac:dyDescent="0.2">
      <c r="A121" s="242"/>
      <c r="B121" s="242"/>
      <c r="C121" s="242"/>
      <c r="D121" s="242"/>
    </row>
    <row r="122" spans="1:4" x14ac:dyDescent="0.2">
      <c r="A122" s="242"/>
      <c r="B122" s="242"/>
      <c r="C122" s="242"/>
      <c r="D122" s="242"/>
    </row>
    <row r="123" spans="1:4" x14ac:dyDescent="0.2">
      <c r="A123" s="242"/>
      <c r="B123" s="242"/>
      <c r="C123" s="242"/>
      <c r="D123" s="242"/>
    </row>
    <row r="124" spans="1:4" x14ac:dyDescent="0.2">
      <c r="A124" s="242"/>
      <c r="B124" s="242"/>
      <c r="C124" s="242"/>
      <c r="D124" s="242"/>
    </row>
    <row r="125" spans="1:4" x14ac:dyDescent="0.2">
      <c r="A125" s="242"/>
      <c r="B125" s="242"/>
      <c r="C125" s="242"/>
      <c r="D125" s="242"/>
    </row>
    <row r="126" spans="1:4" x14ac:dyDescent="0.2">
      <c r="A126" s="242"/>
      <c r="B126" s="242"/>
      <c r="C126" s="242"/>
      <c r="D126" s="242"/>
    </row>
    <row r="127" spans="1:4" x14ac:dyDescent="0.2">
      <c r="A127" s="242"/>
      <c r="B127" s="242"/>
      <c r="C127" s="242"/>
      <c r="D127" s="242"/>
    </row>
    <row r="128" spans="1:4" x14ac:dyDescent="0.2">
      <c r="A128" s="242"/>
      <c r="B128" s="242"/>
      <c r="C128" s="242"/>
      <c r="D128" s="242"/>
    </row>
    <row r="129" spans="1:4" x14ac:dyDescent="0.2">
      <c r="A129" s="242"/>
      <c r="B129" s="242"/>
      <c r="C129" s="242"/>
      <c r="D129" s="242"/>
    </row>
    <row r="130" spans="1:4" x14ac:dyDescent="0.2">
      <c r="A130" s="242"/>
      <c r="B130" s="242"/>
      <c r="C130" s="242"/>
      <c r="D130" s="242"/>
    </row>
    <row r="131" spans="1:4" x14ac:dyDescent="0.2">
      <c r="A131" s="242"/>
      <c r="B131" s="242"/>
      <c r="C131" s="242"/>
      <c r="D131" s="242"/>
    </row>
    <row r="132" spans="1:4" x14ac:dyDescent="0.2">
      <c r="A132" s="242"/>
      <c r="B132" s="242"/>
      <c r="C132" s="242"/>
      <c r="D132" s="242"/>
    </row>
    <row r="133" spans="1:4" x14ac:dyDescent="0.2">
      <c r="A133" s="242"/>
      <c r="B133" s="242"/>
      <c r="C133" s="242"/>
      <c r="D133" s="242"/>
    </row>
    <row r="134" spans="1:4" x14ac:dyDescent="0.2">
      <c r="A134" s="242"/>
      <c r="B134" s="242"/>
      <c r="C134" s="242"/>
      <c r="D134" s="242"/>
    </row>
    <row r="135" spans="1:4" x14ac:dyDescent="0.2">
      <c r="A135" s="242"/>
      <c r="B135" s="242"/>
      <c r="C135" s="242"/>
      <c r="D135" s="242"/>
    </row>
    <row r="136" spans="1:4" x14ac:dyDescent="0.2">
      <c r="A136" s="242"/>
      <c r="B136" s="242"/>
      <c r="C136" s="242"/>
      <c r="D136" s="242"/>
    </row>
    <row r="137" spans="1:4" x14ac:dyDescent="0.2">
      <c r="A137" s="242"/>
      <c r="B137" s="242"/>
      <c r="C137" s="242"/>
      <c r="D137" s="242"/>
    </row>
    <row r="138" spans="1:4" x14ac:dyDescent="0.2">
      <c r="A138" s="242"/>
      <c r="B138" s="242"/>
      <c r="C138" s="242"/>
      <c r="D138" s="242"/>
    </row>
    <row r="139" spans="1:4" x14ac:dyDescent="0.2">
      <c r="A139" s="242"/>
      <c r="B139" s="242"/>
      <c r="C139" s="242"/>
      <c r="D139" s="242"/>
    </row>
    <row r="140" spans="1:4" x14ac:dyDescent="0.2">
      <c r="A140" s="242"/>
      <c r="B140" s="242"/>
      <c r="C140" s="242"/>
      <c r="D140" s="242"/>
    </row>
    <row r="141" spans="1:4" x14ac:dyDescent="0.2">
      <c r="A141" s="242"/>
      <c r="B141" s="242"/>
      <c r="C141" s="242"/>
      <c r="D141" s="242"/>
    </row>
    <row r="142" spans="1:4" x14ac:dyDescent="0.2">
      <c r="A142" s="242"/>
      <c r="B142" s="242"/>
      <c r="C142" s="242"/>
      <c r="D142" s="242"/>
    </row>
    <row r="143" spans="1:4" x14ac:dyDescent="0.2">
      <c r="A143" s="242"/>
      <c r="B143" s="242"/>
      <c r="C143" s="242"/>
      <c r="D143" s="242"/>
    </row>
    <row r="144" spans="1:4" x14ac:dyDescent="0.2">
      <c r="A144" s="242"/>
      <c r="B144" s="242"/>
      <c r="C144" s="242"/>
      <c r="D144" s="242"/>
    </row>
    <row r="145" spans="1:4" x14ac:dyDescent="0.2">
      <c r="A145" s="242"/>
      <c r="B145" s="242"/>
      <c r="C145" s="242"/>
      <c r="D145" s="242"/>
    </row>
    <row r="146" spans="1:4" x14ac:dyDescent="0.2">
      <c r="A146" s="242"/>
      <c r="B146" s="242"/>
      <c r="C146" s="242"/>
      <c r="D146" s="242"/>
    </row>
    <row r="147" spans="1:4" x14ac:dyDescent="0.2">
      <c r="A147" s="242"/>
      <c r="B147" s="242"/>
      <c r="C147" s="242"/>
      <c r="D147" s="242"/>
    </row>
    <row r="148" spans="1:4" x14ac:dyDescent="0.2">
      <c r="A148" s="242"/>
      <c r="B148" s="242"/>
      <c r="C148" s="242"/>
      <c r="D148" s="242"/>
    </row>
    <row r="149" spans="1:4" x14ac:dyDescent="0.2">
      <c r="A149" s="242"/>
      <c r="B149" s="242"/>
      <c r="C149" s="242"/>
      <c r="D149" s="242"/>
    </row>
    <row r="150" spans="1:4" x14ac:dyDescent="0.2">
      <c r="A150" s="242"/>
      <c r="B150" s="242"/>
      <c r="C150" s="242"/>
      <c r="D150" s="242"/>
    </row>
    <row r="151" spans="1:4" x14ac:dyDescent="0.2">
      <c r="A151" s="242"/>
      <c r="B151" s="242"/>
      <c r="C151" s="242"/>
      <c r="D151" s="242"/>
    </row>
    <row r="152" spans="1:4" x14ac:dyDescent="0.2">
      <c r="A152" s="242"/>
      <c r="B152" s="242"/>
      <c r="C152" s="242"/>
      <c r="D152" s="242"/>
    </row>
    <row r="153" spans="1:4" x14ac:dyDescent="0.2">
      <c r="A153" s="242"/>
      <c r="B153" s="242"/>
      <c r="C153" s="242"/>
      <c r="D153" s="242"/>
    </row>
    <row r="154" spans="1:4" x14ac:dyDescent="0.2">
      <c r="A154" s="242"/>
      <c r="B154" s="242"/>
      <c r="C154" s="242"/>
      <c r="D154" s="242"/>
    </row>
    <row r="155" spans="1:4" x14ac:dyDescent="0.2">
      <c r="A155" s="242"/>
      <c r="B155" s="242"/>
      <c r="C155" s="242"/>
      <c r="D155" s="242"/>
    </row>
    <row r="156" spans="1:4" x14ac:dyDescent="0.2">
      <c r="A156" s="242"/>
      <c r="B156" s="242"/>
      <c r="C156" s="242"/>
      <c r="D156" s="242"/>
    </row>
    <row r="157" spans="1:4" x14ac:dyDescent="0.2">
      <c r="A157" s="242"/>
      <c r="B157" s="242"/>
      <c r="C157" s="242"/>
      <c r="D157" s="242"/>
    </row>
    <row r="158" spans="1:4" x14ac:dyDescent="0.2">
      <c r="A158" s="242"/>
      <c r="B158" s="242"/>
      <c r="C158" s="242"/>
      <c r="D158" s="242"/>
    </row>
    <row r="159" spans="1:4" x14ac:dyDescent="0.2">
      <c r="A159" s="242"/>
      <c r="B159" s="242"/>
      <c r="C159" s="242"/>
      <c r="D159" s="242"/>
    </row>
    <row r="160" spans="1:4" x14ac:dyDescent="0.2">
      <c r="A160" s="242"/>
      <c r="B160" s="242"/>
      <c r="C160" s="242"/>
      <c r="D160" s="242"/>
    </row>
    <row r="161" spans="1:4" x14ac:dyDescent="0.2">
      <c r="A161" s="242"/>
      <c r="B161" s="242"/>
      <c r="C161" s="242"/>
      <c r="D161" s="242"/>
    </row>
    <row r="162" spans="1:4" x14ac:dyDescent="0.2">
      <c r="A162" s="242"/>
      <c r="B162" s="242"/>
      <c r="C162" s="242"/>
      <c r="D162" s="242"/>
    </row>
    <row r="163" spans="1:4" x14ac:dyDescent="0.2">
      <c r="A163" s="242"/>
      <c r="B163" s="242"/>
      <c r="C163" s="242"/>
      <c r="D163" s="242"/>
    </row>
    <row r="164" spans="1:4" x14ac:dyDescent="0.2">
      <c r="A164" s="242"/>
      <c r="B164" s="242"/>
      <c r="C164" s="242"/>
      <c r="D164" s="242"/>
    </row>
    <row r="165" spans="1:4" x14ac:dyDescent="0.2">
      <c r="A165" s="242"/>
      <c r="B165" s="242"/>
      <c r="C165" s="242"/>
      <c r="D165" s="242"/>
    </row>
  </sheetData>
  <mergeCells count="50">
    <mergeCell ref="A1:AI1"/>
    <mergeCell ref="A2:AI2"/>
    <mergeCell ref="F3:U3"/>
    <mergeCell ref="A4:AI4"/>
    <mergeCell ref="A7:S7"/>
    <mergeCell ref="T7:U7"/>
    <mergeCell ref="W7:AA7"/>
    <mergeCell ref="AB7:AF7"/>
    <mergeCell ref="A11:S11"/>
    <mergeCell ref="T11:U11"/>
    <mergeCell ref="W11:AA11"/>
    <mergeCell ref="AB11:AF11"/>
    <mergeCell ref="A8:S8"/>
    <mergeCell ref="T8:U8"/>
    <mergeCell ref="W8:AA8"/>
    <mergeCell ref="A9:S9"/>
    <mergeCell ref="T9:U9"/>
    <mergeCell ref="W9:AA9"/>
    <mergeCell ref="AB9:AF9"/>
    <mergeCell ref="A10:S10"/>
    <mergeCell ref="T10:U10"/>
    <mergeCell ref="W10:AA10"/>
    <mergeCell ref="AB10:AF10"/>
    <mergeCell ref="A12:S12"/>
    <mergeCell ref="T12:U12"/>
    <mergeCell ref="W12:AA12"/>
    <mergeCell ref="AB12:AF12"/>
    <mergeCell ref="A13:S13"/>
    <mergeCell ref="T13:U13"/>
    <mergeCell ref="W13:AA13"/>
    <mergeCell ref="AB13:AF13"/>
    <mergeCell ref="A14:S14"/>
    <mergeCell ref="T14:U14"/>
    <mergeCell ref="W14:AA14"/>
    <mergeCell ref="A15:S15"/>
    <mergeCell ref="T15:U15"/>
    <mergeCell ref="W15:AA15"/>
    <mergeCell ref="A18:S18"/>
    <mergeCell ref="T18:U18"/>
    <mergeCell ref="W18:AA18"/>
    <mergeCell ref="AB18:AF18"/>
    <mergeCell ref="AB15:AF15"/>
    <mergeCell ref="A16:S16"/>
    <mergeCell ref="T16:U16"/>
    <mergeCell ref="W16:AA16"/>
    <mergeCell ref="AB16:AF16"/>
    <mergeCell ref="A17:S17"/>
    <mergeCell ref="T17:U17"/>
    <mergeCell ref="W17:AA17"/>
    <mergeCell ref="AB17:AF1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topLeftCell="A7" workbookViewId="0">
      <selection activeCell="AK25" sqref="AK25"/>
    </sheetView>
  </sheetViews>
  <sheetFormatPr defaultRowHeight="12.75" x14ac:dyDescent="0.2"/>
  <cols>
    <col min="1" max="1" width="5.28515625" style="227" customWidth="1"/>
    <col min="2" max="7" width="3.28515625" style="227" customWidth="1"/>
    <col min="8" max="8" width="5.140625" style="227" customWidth="1"/>
    <col min="9" max="12" width="3.28515625" style="227" customWidth="1"/>
    <col min="13" max="13" width="4.28515625" style="227" customWidth="1"/>
    <col min="14" max="15" width="3.28515625" style="227" customWidth="1"/>
    <col min="16" max="16" width="4.42578125" style="227" customWidth="1"/>
    <col min="17" max="19" width="3.28515625" style="227" customWidth="1"/>
    <col min="20" max="20" width="6.28515625" style="227" customWidth="1"/>
    <col min="21" max="24" width="3.28515625" style="227" customWidth="1"/>
    <col min="25" max="25" width="6.42578125" style="227" customWidth="1"/>
    <col min="26" max="26" width="3.42578125" style="227" customWidth="1"/>
    <col min="27" max="27" width="5.140625" style="227" customWidth="1"/>
    <col min="28" max="28" width="4.42578125" style="227" customWidth="1"/>
    <col min="29" max="29" width="4.7109375" style="227" customWidth="1"/>
    <col min="30" max="30" width="4" style="227" customWidth="1"/>
    <col min="31" max="31" width="5.140625" style="227" customWidth="1"/>
    <col min="32" max="32" width="2.42578125" style="227" customWidth="1"/>
    <col min="33" max="33" width="2.85546875" style="227" customWidth="1"/>
    <col min="34" max="34" width="4.140625" style="227" customWidth="1"/>
    <col min="35" max="36" width="9.140625" style="227"/>
    <col min="37" max="37" width="11.42578125" style="227" bestFit="1" customWidth="1"/>
    <col min="38" max="16384" width="9.140625" style="227"/>
  </cols>
  <sheetData>
    <row r="1" spans="1:34" x14ac:dyDescent="0.2"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29"/>
      <c r="AA1" s="729"/>
      <c r="AB1" s="729"/>
      <c r="AC1" s="729"/>
      <c r="AD1" s="729"/>
      <c r="AE1" s="729"/>
      <c r="AF1" s="729"/>
      <c r="AG1" s="729"/>
      <c r="AH1" s="729"/>
    </row>
    <row r="2" spans="1:34" x14ac:dyDescent="0.2"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29"/>
      <c r="AH2" s="729"/>
    </row>
    <row r="3" spans="1:34" s="224" customFormat="1" ht="15.75" x14ac:dyDescent="0.25">
      <c r="B3" s="729" t="s">
        <v>214</v>
      </c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  <c r="R3" s="729"/>
      <c r="S3" s="729"/>
      <c r="T3" s="729"/>
      <c r="U3" s="729"/>
      <c r="V3" s="729"/>
      <c r="W3" s="729"/>
      <c r="X3" s="729"/>
      <c r="Y3" s="729"/>
      <c r="Z3" s="729"/>
      <c r="AA3" s="729"/>
      <c r="AB3" s="729"/>
      <c r="AC3" s="729"/>
      <c r="AD3" s="729"/>
      <c r="AE3" s="729"/>
      <c r="AF3" s="729"/>
      <c r="AG3" s="729"/>
      <c r="AH3" s="729"/>
    </row>
    <row r="4" spans="1:34" s="224" customFormat="1" ht="15.75" x14ac:dyDescent="0.25"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</row>
    <row r="5" spans="1:34" s="224" customFormat="1" ht="15.75" x14ac:dyDescent="0.25">
      <c r="B5" s="225"/>
      <c r="C5" s="225"/>
      <c r="D5" s="225"/>
      <c r="E5" s="225"/>
      <c r="F5" s="225"/>
      <c r="G5" s="729" t="s">
        <v>4</v>
      </c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  <c r="T5" s="729"/>
      <c r="U5" s="729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</row>
    <row r="6" spans="1:34" ht="15.75" x14ac:dyDescent="0.2">
      <c r="B6" s="731" t="s">
        <v>215</v>
      </c>
      <c r="C6" s="731"/>
      <c r="D6" s="731"/>
      <c r="E6" s="731"/>
      <c r="F6" s="731"/>
      <c r="G6" s="731"/>
      <c r="H6" s="731"/>
      <c r="I6" s="731"/>
      <c r="J6" s="731"/>
      <c r="K6" s="731"/>
      <c r="L6" s="731"/>
      <c r="M6" s="731"/>
      <c r="N6" s="731"/>
      <c r="O6" s="731"/>
      <c r="P6" s="731"/>
      <c r="Q6" s="731"/>
      <c r="R6" s="731"/>
      <c r="S6" s="731"/>
      <c r="T6" s="731"/>
      <c r="U6" s="731"/>
      <c r="V6" s="731"/>
      <c r="W6" s="731"/>
      <c r="X6" s="731"/>
      <c r="Y6" s="731"/>
      <c r="Z6" s="731"/>
      <c r="AA6" s="731"/>
      <c r="AB6" s="731"/>
      <c r="AC6" s="731"/>
      <c r="AD6" s="731"/>
      <c r="AE6" s="731"/>
      <c r="AF6" s="731"/>
      <c r="AG6" s="731"/>
      <c r="AH6" s="731"/>
    </row>
    <row r="7" spans="1:34" ht="15.75" x14ac:dyDescent="0.2"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</row>
    <row r="8" spans="1:34" x14ac:dyDescent="0.2">
      <c r="V8" s="227" t="s">
        <v>216</v>
      </c>
      <c r="AF8" s="231" t="s">
        <v>217</v>
      </c>
    </row>
    <row r="9" spans="1:34" x14ac:dyDescent="0.2">
      <c r="A9" s="773"/>
      <c r="B9" s="775" t="s">
        <v>8</v>
      </c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7"/>
      <c r="U9" s="778" t="s">
        <v>218</v>
      </c>
      <c r="V9" s="779"/>
      <c r="W9" s="779"/>
      <c r="X9" s="779"/>
      <c r="Y9" s="780"/>
      <c r="Z9" s="778" t="s">
        <v>219</v>
      </c>
      <c r="AA9" s="779"/>
      <c r="AB9" s="779"/>
      <c r="AC9" s="779"/>
      <c r="AD9" s="780"/>
      <c r="AE9" s="778"/>
      <c r="AF9" s="779"/>
      <c r="AG9" s="779"/>
      <c r="AH9" s="780"/>
    </row>
    <row r="10" spans="1:34" x14ac:dyDescent="0.2">
      <c r="A10" s="774"/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781"/>
      <c r="V10" s="782"/>
      <c r="W10" s="782"/>
      <c r="X10" s="782"/>
      <c r="Y10" s="783"/>
      <c r="Z10" s="781"/>
      <c r="AA10" s="782"/>
      <c r="AB10" s="782"/>
      <c r="AC10" s="782"/>
      <c r="AD10" s="783"/>
      <c r="AE10" s="781"/>
      <c r="AF10" s="782"/>
      <c r="AG10" s="782"/>
      <c r="AH10" s="783"/>
    </row>
    <row r="11" spans="1:34" x14ac:dyDescent="0.2">
      <c r="A11" s="244"/>
      <c r="B11" s="761" t="s">
        <v>220</v>
      </c>
      <c r="C11" s="762"/>
      <c r="D11" s="762"/>
      <c r="E11" s="762"/>
      <c r="F11" s="762"/>
      <c r="G11" s="762"/>
      <c r="H11" s="762"/>
      <c r="I11" s="762"/>
      <c r="J11" s="762"/>
      <c r="K11" s="762"/>
      <c r="L11" s="762"/>
      <c r="M11" s="762"/>
      <c r="N11" s="762"/>
      <c r="O11" s="762"/>
      <c r="P11" s="762"/>
      <c r="Q11" s="762"/>
      <c r="R11" s="762"/>
      <c r="S11" s="762"/>
      <c r="T11" s="763"/>
      <c r="U11" s="752"/>
      <c r="V11" s="753"/>
      <c r="W11" s="753"/>
      <c r="X11" s="753"/>
      <c r="Y11" s="754"/>
      <c r="Z11" s="743"/>
      <c r="AA11" s="744"/>
      <c r="AB11" s="744"/>
      <c r="AC11" s="744"/>
      <c r="AD11" s="745"/>
      <c r="AE11" s="743"/>
      <c r="AF11" s="744"/>
      <c r="AG11" s="744"/>
      <c r="AH11" s="745"/>
    </row>
    <row r="12" spans="1:34" x14ac:dyDescent="0.2">
      <c r="A12" s="244"/>
      <c r="B12" s="758" t="s">
        <v>221</v>
      </c>
      <c r="C12" s="759"/>
      <c r="D12" s="759"/>
      <c r="E12" s="759"/>
      <c r="F12" s="759"/>
      <c r="G12" s="759"/>
      <c r="H12" s="759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60"/>
      <c r="U12" s="746">
        <v>387500</v>
      </c>
      <c r="V12" s="747"/>
      <c r="W12" s="747"/>
      <c r="X12" s="747"/>
      <c r="Y12" s="748"/>
      <c r="Z12" s="743" t="s">
        <v>222</v>
      </c>
      <c r="AA12" s="744"/>
      <c r="AB12" s="744"/>
      <c r="AC12" s="744"/>
      <c r="AD12" s="745"/>
      <c r="AE12" s="743"/>
      <c r="AF12" s="744"/>
      <c r="AG12" s="744"/>
      <c r="AH12" s="745"/>
    </row>
    <row r="13" spans="1:34" x14ac:dyDescent="0.2">
      <c r="A13" s="244"/>
      <c r="B13" s="749" t="s">
        <v>223</v>
      </c>
      <c r="C13" s="750"/>
      <c r="D13" s="750"/>
      <c r="E13" s="750"/>
      <c r="F13" s="750"/>
      <c r="G13" s="750"/>
      <c r="H13" s="750"/>
      <c r="I13" s="750"/>
      <c r="J13" s="750"/>
      <c r="K13" s="750"/>
      <c r="L13" s="750"/>
      <c r="M13" s="750"/>
      <c r="N13" s="750"/>
      <c r="O13" s="750"/>
      <c r="P13" s="750"/>
      <c r="Q13" s="750"/>
      <c r="R13" s="750"/>
      <c r="S13" s="750"/>
      <c r="T13" s="751"/>
      <c r="U13" s="764">
        <v>877923</v>
      </c>
      <c r="V13" s="765"/>
      <c r="W13" s="765"/>
      <c r="X13" s="765"/>
      <c r="Y13" s="766"/>
      <c r="Z13" s="743" t="s">
        <v>224</v>
      </c>
      <c r="AA13" s="744"/>
      <c r="AB13" s="744"/>
      <c r="AC13" s="744"/>
      <c r="AD13" s="745"/>
      <c r="AE13" s="743"/>
      <c r="AF13" s="744"/>
      <c r="AG13" s="744"/>
      <c r="AH13" s="745"/>
    </row>
    <row r="14" spans="1:34" x14ac:dyDescent="0.2">
      <c r="A14" s="244"/>
      <c r="B14" s="755" t="s">
        <v>225</v>
      </c>
      <c r="C14" s="756"/>
      <c r="D14" s="756"/>
      <c r="E14" s="756"/>
      <c r="F14" s="756"/>
      <c r="G14" s="756"/>
      <c r="H14" s="756"/>
      <c r="I14" s="756"/>
      <c r="J14" s="756"/>
      <c r="K14" s="756"/>
      <c r="L14" s="756"/>
      <c r="M14" s="756"/>
      <c r="N14" s="756"/>
      <c r="O14" s="756"/>
      <c r="P14" s="756"/>
      <c r="Q14" s="756"/>
      <c r="R14" s="756"/>
      <c r="S14" s="756"/>
      <c r="T14" s="757"/>
      <c r="U14" s="746">
        <v>44875</v>
      </c>
      <c r="V14" s="747"/>
      <c r="W14" s="747"/>
      <c r="X14" s="747"/>
      <c r="Y14" s="748"/>
      <c r="Z14" s="743" t="s">
        <v>226</v>
      </c>
      <c r="AA14" s="744"/>
      <c r="AB14" s="744"/>
      <c r="AC14" s="744"/>
      <c r="AD14" s="745"/>
      <c r="AE14" s="743"/>
      <c r="AF14" s="744"/>
      <c r="AG14" s="744"/>
      <c r="AH14" s="745"/>
    </row>
    <row r="15" spans="1:34" x14ac:dyDescent="0.2">
      <c r="A15" s="244"/>
      <c r="B15" s="749" t="s">
        <v>227</v>
      </c>
      <c r="C15" s="750"/>
      <c r="D15" s="750"/>
      <c r="E15" s="750"/>
      <c r="F15" s="750"/>
      <c r="G15" s="750"/>
      <c r="H15" s="750"/>
      <c r="I15" s="750"/>
      <c r="J15" s="750"/>
      <c r="K15" s="750"/>
      <c r="L15" s="750"/>
      <c r="M15" s="750"/>
      <c r="N15" s="750"/>
      <c r="O15" s="750"/>
      <c r="P15" s="750"/>
      <c r="Q15" s="750"/>
      <c r="R15" s="750"/>
      <c r="S15" s="750"/>
      <c r="T15" s="751"/>
      <c r="U15" s="746">
        <v>1134885</v>
      </c>
      <c r="V15" s="747"/>
      <c r="W15" s="747"/>
      <c r="X15" s="747"/>
      <c r="Y15" s="748"/>
      <c r="Z15" s="743" t="s">
        <v>224</v>
      </c>
      <c r="AA15" s="744"/>
      <c r="AB15" s="744"/>
      <c r="AC15" s="744"/>
      <c r="AD15" s="745"/>
      <c r="AE15" s="743"/>
      <c r="AF15" s="744"/>
      <c r="AG15" s="744"/>
      <c r="AH15" s="745"/>
    </row>
    <row r="16" spans="1:34" x14ac:dyDescent="0.2">
      <c r="A16" s="244"/>
      <c r="B16" s="749" t="s">
        <v>228</v>
      </c>
      <c r="C16" s="750"/>
      <c r="D16" s="750"/>
      <c r="E16" s="750"/>
      <c r="F16" s="750"/>
      <c r="G16" s="750"/>
      <c r="H16" s="750"/>
      <c r="I16" s="750"/>
      <c r="J16" s="750"/>
      <c r="K16" s="750"/>
      <c r="L16" s="750"/>
      <c r="M16" s="750"/>
      <c r="N16" s="750"/>
      <c r="O16" s="750"/>
      <c r="P16" s="750"/>
      <c r="Q16" s="750"/>
      <c r="R16" s="750"/>
      <c r="S16" s="750"/>
      <c r="T16" s="751"/>
      <c r="U16" s="764">
        <v>359000</v>
      </c>
      <c r="V16" s="765"/>
      <c r="W16" s="765"/>
      <c r="X16" s="765"/>
      <c r="Y16" s="766"/>
      <c r="Z16" s="743" t="s">
        <v>224</v>
      </c>
      <c r="AA16" s="744"/>
      <c r="AB16" s="744"/>
      <c r="AC16" s="744"/>
      <c r="AD16" s="745"/>
      <c r="AE16" s="743"/>
      <c r="AF16" s="744"/>
      <c r="AG16" s="744"/>
      <c r="AH16" s="745"/>
    </row>
    <row r="17" spans="1:37" ht="23.25" customHeight="1" x14ac:dyDescent="0.2">
      <c r="A17" s="244"/>
      <c r="B17" s="749" t="s">
        <v>229</v>
      </c>
      <c r="C17" s="750"/>
      <c r="D17" s="750"/>
      <c r="E17" s="750"/>
      <c r="F17" s="750"/>
      <c r="G17" s="750"/>
      <c r="H17" s="750"/>
      <c r="I17" s="750"/>
      <c r="J17" s="750"/>
      <c r="K17" s="750"/>
      <c r="L17" s="750"/>
      <c r="M17" s="750"/>
      <c r="N17" s="750"/>
      <c r="O17" s="750"/>
      <c r="P17" s="750"/>
      <c r="Q17" s="750"/>
      <c r="R17" s="750"/>
      <c r="S17" s="750"/>
      <c r="T17" s="751"/>
      <c r="U17" s="764">
        <v>107700</v>
      </c>
      <c r="V17" s="765"/>
      <c r="W17" s="765"/>
      <c r="X17" s="765"/>
      <c r="Y17" s="766"/>
      <c r="Z17" s="743" t="s">
        <v>224</v>
      </c>
      <c r="AA17" s="744"/>
      <c r="AB17" s="744"/>
      <c r="AC17" s="744"/>
      <c r="AD17" s="745"/>
      <c r="AE17" s="245"/>
      <c r="AF17" s="245"/>
      <c r="AG17" s="245"/>
      <c r="AH17" s="245"/>
    </row>
    <row r="18" spans="1:37" ht="23.25" customHeight="1" x14ac:dyDescent="0.2">
      <c r="A18" s="244"/>
      <c r="B18" s="758" t="s">
        <v>230</v>
      </c>
      <c r="C18" s="759"/>
      <c r="D18" s="759"/>
      <c r="E18" s="759"/>
      <c r="F18" s="759"/>
      <c r="G18" s="759"/>
      <c r="H18" s="759"/>
      <c r="I18" s="759"/>
      <c r="J18" s="759"/>
      <c r="K18" s="759"/>
      <c r="L18" s="759"/>
      <c r="M18" s="759"/>
      <c r="N18" s="759"/>
      <c r="O18" s="759"/>
      <c r="P18" s="759"/>
      <c r="Q18" s="759"/>
      <c r="R18" s="759"/>
      <c r="S18" s="759"/>
      <c r="T18" s="760"/>
      <c r="U18" s="764">
        <v>367731</v>
      </c>
      <c r="V18" s="765"/>
      <c r="W18" s="765"/>
      <c r="X18" s="765"/>
      <c r="Y18" s="766"/>
      <c r="Z18" s="743" t="s">
        <v>224</v>
      </c>
      <c r="AA18" s="744"/>
      <c r="AB18" s="744"/>
      <c r="AC18" s="744"/>
      <c r="AD18" s="745"/>
      <c r="AE18" s="743"/>
      <c r="AF18" s="744"/>
      <c r="AG18" s="744"/>
      <c r="AH18" s="745"/>
    </row>
    <row r="19" spans="1:37" ht="19.5" customHeight="1" x14ac:dyDescent="0.2">
      <c r="A19" s="244"/>
      <c r="B19" s="737" t="s">
        <v>231</v>
      </c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9"/>
      <c r="U19" s="740">
        <f>SUM(U12:Y18)</f>
        <v>3279614</v>
      </c>
      <c r="V19" s="741"/>
      <c r="W19" s="741"/>
      <c r="X19" s="741"/>
      <c r="Y19" s="742"/>
      <c r="Z19" s="743"/>
      <c r="AA19" s="744"/>
      <c r="AB19" s="744"/>
      <c r="AC19" s="744"/>
      <c r="AD19" s="745"/>
      <c r="AE19" s="743"/>
      <c r="AF19" s="744"/>
      <c r="AG19" s="744"/>
      <c r="AH19" s="745"/>
      <c r="AK19" s="246"/>
    </row>
    <row r="20" spans="1:37" ht="19.5" customHeight="1" x14ac:dyDescent="0.2">
      <c r="A20" s="244"/>
      <c r="B20" s="767"/>
      <c r="C20" s="768"/>
      <c r="D20" s="768"/>
      <c r="E20" s="768"/>
      <c r="F20" s="768"/>
      <c r="G20" s="768"/>
      <c r="H20" s="768"/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9"/>
      <c r="U20" s="770"/>
      <c r="V20" s="771"/>
      <c r="W20" s="771"/>
      <c r="X20" s="771"/>
      <c r="Y20" s="772"/>
      <c r="Z20" s="770"/>
      <c r="AA20" s="771"/>
      <c r="AB20" s="771"/>
      <c r="AC20" s="771"/>
      <c r="AD20" s="772"/>
      <c r="AE20" s="743"/>
      <c r="AF20" s="744"/>
      <c r="AG20" s="744"/>
      <c r="AH20" s="745"/>
    </row>
    <row r="21" spans="1:37" ht="19.5" customHeight="1" x14ac:dyDescent="0.2">
      <c r="A21" s="244"/>
      <c r="B21" s="761" t="s">
        <v>232</v>
      </c>
      <c r="C21" s="762"/>
      <c r="D21" s="762"/>
      <c r="E21" s="762"/>
      <c r="F21" s="762"/>
      <c r="G21" s="762"/>
      <c r="H21" s="762"/>
      <c r="I21" s="762"/>
      <c r="J21" s="762"/>
      <c r="K21" s="762"/>
      <c r="L21" s="762"/>
      <c r="M21" s="762"/>
      <c r="N21" s="762"/>
      <c r="O21" s="762"/>
      <c r="P21" s="762"/>
      <c r="Q21" s="762"/>
      <c r="R21" s="762"/>
      <c r="S21" s="762"/>
      <c r="T21" s="763"/>
      <c r="U21" s="752"/>
      <c r="V21" s="753"/>
      <c r="W21" s="753"/>
      <c r="X21" s="753"/>
      <c r="Y21" s="754"/>
      <c r="Z21" s="743"/>
      <c r="AA21" s="744"/>
      <c r="AB21" s="744"/>
      <c r="AC21" s="744"/>
      <c r="AD21" s="745"/>
      <c r="AE21" s="743"/>
      <c r="AF21" s="744"/>
      <c r="AG21" s="744"/>
      <c r="AH21" s="745"/>
    </row>
    <row r="22" spans="1:37" ht="19.5" customHeight="1" x14ac:dyDescent="0.2">
      <c r="A22" s="244"/>
      <c r="B22" s="755" t="s">
        <v>233</v>
      </c>
      <c r="C22" s="756"/>
      <c r="D22" s="756"/>
      <c r="E22" s="756"/>
      <c r="F22" s="756"/>
      <c r="G22" s="756"/>
      <c r="H22" s="756"/>
      <c r="I22" s="756"/>
      <c r="J22" s="756"/>
      <c r="K22" s="756"/>
      <c r="L22" s="756"/>
      <c r="M22" s="756"/>
      <c r="N22" s="756"/>
      <c r="O22" s="756"/>
      <c r="P22" s="756"/>
      <c r="Q22" s="756"/>
      <c r="R22" s="756"/>
      <c r="S22" s="756"/>
      <c r="T22" s="757"/>
      <c r="U22" s="764">
        <v>500000</v>
      </c>
      <c r="V22" s="765"/>
      <c r="W22" s="765"/>
      <c r="X22" s="765"/>
      <c r="Y22" s="766"/>
      <c r="Z22" s="743"/>
      <c r="AA22" s="744"/>
      <c r="AB22" s="744"/>
      <c r="AC22" s="744"/>
      <c r="AD22" s="745"/>
      <c r="AE22" s="743"/>
      <c r="AF22" s="744"/>
      <c r="AG22" s="744"/>
      <c r="AH22" s="745"/>
    </row>
    <row r="23" spans="1:37" ht="19.5" customHeight="1" x14ac:dyDescent="0.2">
      <c r="A23" s="244"/>
      <c r="B23" s="755" t="s">
        <v>234</v>
      </c>
      <c r="C23" s="756"/>
      <c r="D23" s="756"/>
      <c r="E23" s="756"/>
      <c r="F23" s="756"/>
      <c r="G23" s="756"/>
      <c r="H23" s="756"/>
      <c r="I23" s="756"/>
      <c r="J23" s="756"/>
      <c r="K23" s="756"/>
      <c r="L23" s="756"/>
      <c r="M23" s="756"/>
      <c r="N23" s="756"/>
      <c r="O23" s="756"/>
      <c r="P23" s="756"/>
      <c r="Q23" s="756"/>
      <c r="R23" s="756"/>
      <c r="S23" s="756"/>
      <c r="T23" s="757"/>
      <c r="U23" s="752">
        <v>1700000</v>
      </c>
      <c r="V23" s="753"/>
      <c r="W23" s="753"/>
      <c r="X23" s="753"/>
      <c r="Y23" s="754"/>
      <c r="Z23" s="743" t="s">
        <v>235</v>
      </c>
      <c r="AA23" s="744"/>
      <c r="AB23" s="744"/>
      <c r="AC23" s="744"/>
      <c r="AD23" s="745"/>
      <c r="AE23" s="743"/>
      <c r="AF23" s="744"/>
      <c r="AG23" s="744"/>
      <c r="AH23" s="745"/>
    </row>
    <row r="24" spans="1:37" ht="19.5" customHeight="1" x14ac:dyDescent="0.2">
      <c r="A24" s="244"/>
      <c r="B24" s="755" t="s">
        <v>236</v>
      </c>
      <c r="C24" s="756"/>
      <c r="D24" s="756"/>
      <c r="E24" s="756"/>
      <c r="F24" s="756"/>
      <c r="G24" s="756"/>
      <c r="H24" s="756"/>
      <c r="I24" s="756"/>
      <c r="J24" s="756"/>
      <c r="K24" s="756"/>
      <c r="L24" s="756"/>
      <c r="M24" s="756"/>
      <c r="N24" s="756"/>
      <c r="O24" s="756"/>
      <c r="P24" s="756"/>
      <c r="Q24" s="756"/>
      <c r="R24" s="756"/>
      <c r="S24" s="756"/>
      <c r="T24" s="757"/>
      <c r="U24" s="752">
        <v>0</v>
      </c>
      <c r="V24" s="753"/>
      <c r="W24" s="753"/>
      <c r="X24" s="753"/>
      <c r="Y24" s="754"/>
      <c r="Z24" s="743" t="s">
        <v>237</v>
      </c>
      <c r="AA24" s="744"/>
      <c r="AB24" s="744"/>
      <c r="AC24" s="744"/>
      <c r="AD24" s="745"/>
      <c r="AE24" s="743"/>
      <c r="AF24" s="744"/>
      <c r="AG24" s="744"/>
      <c r="AH24" s="745"/>
    </row>
    <row r="25" spans="1:37" ht="19.5" customHeight="1" x14ac:dyDescent="0.2">
      <c r="A25" s="244"/>
      <c r="B25" s="755" t="s">
        <v>238</v>
      </c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56"/>
      <c r="O25" s="756"/>
      <c r="P25" s="756"/>
      <c r="Q25" s="756"/>
      <c r="R25" s="756"/>
      <c r="S25" s="756"/>
      <c r="T25" s="757"/>
      <c r="U25" s="752">
        <v>50000</v>
      </c>
      <c r="V25" s="753"/>
      <c r="W25" s="753"/>
      <c r="X25" s="753"/>
      <c r="Y25" s="754"/>
      <c r="Z25" s="743" t="s">
        <v>237</v>
      </c>
      <c r="AA25" s="744"/>
      <c r="AB25" s="744"/>
      <c r="AC25" s="744"/>
      <c r="AD25" s="745"/>
      <c r="AE25" s="743"/>
      <c r="AF25" s="744"/>
      <c r="AG25" s="744"/>
      <c r="AH25" s="745"/>
    </row>
    <row r="26" spans="1:37" ht="19.5" customHeight="1" x14ac:dyDescent="0.2">
      <c r="A26" s="244"/>
      <c r="B26" s="755"/>
      <c r="C26" s="756"/>
      <c r="D26" s="756"/>
      <c r="E26" s="756"/>
      <c r="F26" s="756"/>
      <c r="G26" s="756"/>
      <c r="H26" s="756"/>
      <c r="I26" s="756"/>
      <c r="J26" s="756"/>
      <c r="K26" s="756"/>
      <c r="L26" s="756"/>
      <c r="M26" s="756"/>
      <c r="N26" s="756"/>
      <c r="O26" s="756"/>
      <c r="P26" s="756"/>
      <c r="Q26" s="756"/>
      <c r="R26" s="756"/>
      <c r="S26" s="756"/>
      <c r="T26" s="757"/>
      <c r="U26" s="752"/>
      <c r="V26" s="753"/>
      <c r="W26" s="753"/>
      <c r="X26" s="753"/>
      <c r="Y26" s="754"/>
      <c r="Z26" s="743"/>
      <c r="AA26" s="744"/>
      <c r="AB26" s="744"/>
      <c r="AC26" s="744"/>
      <c r="AD26" s="745"/>
      <c r="AE26" s="743"/>
      <c r="AF26" s="744"/>
      <c r="AG26" s="744"/>
      <c r="AH26" s="745"/>
    </row>
    <row r="27" spans="1:37" ht="19.5" customHeight="1" x14ac:dyDescent="0.2">
      <c r="A27" s="244"/>
      <c r="B27" s="755" t="s">
        <v>239</v>
      </c>
      <c r="C27" s="756"/>
      <c r="D27" s="756"/>
      <c r="E27" s="756"/>
      <c r="F27" s="756"/>
      <c r="G27" s="756"/>
      <c r="H27" s="756"/>
      <c r="I27" s="756"/>
      <c r="J27" s="756"/>
      <c r="K27" s="756"/>
      <c r="L27" s="756"/>
      <c r="M27" s="756"/>
      <c r="N27" s="756"/>
      <c r="O27" s="756"/>
      <c r="P27" s="756"/>
      <c r="Q27" s="756"/>
      <c r="R27" s="756"/>
      <c r="S27" s="756"/>
      <c r="T27" s="757"/>
      <c r="U27" s="746">
        <v>87600</v>
      </c>
      <c r="V27" s="747"/>
      <c r="W27" s="747"/>
      <c r="X27" s="747"/>
      <c r="Y27" s="748"/>
      <c r="Z27" s="743" t="s">
        <v>240</v>
      </c>
      <c r="AA27" s="744"/>
      <c r="AB27" s="744"/>
      <c r="AC27" s="744"/>
      <c r="AD27" s="745"/>
      <c r="AE27" s="743"/>
      <c r="AF27" s="744"/>
      <c r="AG27" s="744"/>
      <c r="AH27" s="745"/>
    </row>
    <row r="28" spans="1:37" ht="19.5" customHeight="1" x14ac:dyDescent="0.2">
      <c r="A28" s="244"/>
      <c r="B28" s="758"/>
      <c r="C28" s="759"/>
      <c r="D28" s="759"/>
      <c r="E28" s="759"/>
      <c r="F28" s="759"/>
      <c r="G28" s="759"/>
      <c r="H28" s="759"/>
      <c r="I28" s="759"/>
      <c r="J28" s="759"/>
      <c r="K28" s="759"/>
      <c r="L28" s="759"/>
      <c r="M28" s="759"/>
      <c r="N28" s="759"/>
      <c r="O28" s="759"/>
      <c r="P28" s="759"/>
      <c r="Q28" s="759"/>
      <c r="R28" s="759"/>
      <c r="S28" s="759"/>
      <c r="T28" s="760"/>
      <c r="U28" s="752"/>
      <c r="V28" s="753"/>
      <c r="W28" s="753"/>
      <c r="X28" s="753"/>
      <c r="Y28" s="754"/>
      <c r="Z28" s="743"/>
      <c r="AA28" s="744"/>
      <c r="AB28" s="744"/>
      <c r="AC28" s="744"/>
      <c r="AD28" s="745"/>
      <c r="AE28" s="743"/>
      <c r="AF28" s="744"/>
      <c r="AG28" s="744"/>
      <c r="AH28" s="745"/>
    </row>
    <row r="29" spans="1:37" ht="19.5" customHeight="1" x14ac:dyDescent="0.2">
      <c r="A29" s="244"/>
      <c r="B29" s="737" t="s">
        <v>241</v>
      </c>
      <c r="C29" s="738"/>
      <c r="D29" s="738"/>
      <c r="E29" s="738"/>
      <c r="F29" s="738"/>
      <c r="G29" s="738"/>
      <c r="H29" s="738"/>
      <c r="I29" s="738"/>
      <c r="J29" s="738"/>
      <c r="K29" s="738"/>
      <c r="L29" s="738"/>
      <c r="M29" s="738"/>
      <c r="N29" s="738"/>
      <c r="O29" s="738"/>
      <c r="P29" s="738"/>
      <c r="Q29" s="738"/>
      <c r="R29" s="738"/>
      <c r="S29" s="738"/>
      <c r="T29" s="739"/>
      <c r="U29" s="740">
        <f>SUM(U22:Y28)</f>
        <v>2337600</v>
      </c>
      <c r="V29" s="741"/>
      <c r="W29" s="741"/>
      <c r="X29" s="741"/>
      <c r="Y29" s="742"/>
      <c r="Z29" s="743"/>
      <c r="AA29" s="744"/>
      <c r="AB29" s="744"/>
      <c r="AC29" s="744"/>
      <c r="AD29" s="745"/>
      <c r="AE29" s="743"/>
      <c r="AF29" s="744"/>
      <c r="AG29" s="744"/>
      <c r="AH29" s="745"/>
      <c r="AK29" s="246"/>
    </row>
    <row r="30" spans="1:37" ht="19.5" customHeight="1" x14ac:dyDescent="0.2">
      <c r="A30" s="244"/>
      <c r="B30" s="737" t="s">
        <v>242</v>
      </c>
      <c r="C30" s="738"/>
      <c r="D30" s="738"/>
      <c r="E30" s="738"/>
      <c r="F30" s="738"/>
      <c r="G30" s="738"/>
      <c r="H30" s="738"/>
      <c r="I30" s="738"/>
      <c r="J30" s="738"/>
      <c r="K30" s="738"/>
      <c r="L30" s="738"/>
      <c r="M30" s="738"/>
      <c r="N30" s="738"/>
      <c r="O30" s="738"/>
      <c r="P30" s="738"/>
      <c r="Q30" s="738"/>
      <c r="R30" s="738"/>
      <c r="S30" s="738"/>
      <c r="T30" s="739"/>
      <c r="U30" s="740">
        <f>+U29+U19</f>
        <v>5617214</v>
      </c>
      <c r="V30" s="741"/>
      <c r="W30" s="741"/>
      <c r="X30" s="741"/>
      <c r="Y30" s="742"/>
      <c r="Z30" s="743"/>
      <c r="AA30" s="744"/>
      <c r="AB30" s="744"/>
      <c r="AC30" s="744"/>
      <c r="AD30" s="745"/>
      <c r="AE30" s="743"/>
      <c r="AF30" s="744"/>
      <c r="AG30" s="744"/>
      <c r="AH30" s="745"/>
      <c r="AK30" s="246"/>
    </row>
    <row r="31" spans="1:37" ht="19.5" customHeight="1" x14ac:dyDescent="0.2">
      <c r="A31" s="244"/>
      <c r="B31" s="749"/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1"/>
      <c r="U31" s="752"/>
      <c r="V31" s="753"/>
      <c r="W31" s="753"/>
      <c r="X31" s="753"/>
      <c r="Y31" s="754"/>
      <c r="Z31" s="743" t="s">
        <v>243</v>
      </c>
      <c r="AA31" s="744"/>
      <c r="AB31" s="744"/>
      <c r="AC31" s="744"/>
      <c r="AD31" s="745"/>
      <c r="AE31" s="743"/>
      <c r="AF31" s="744"/>
      <c r="AG31" s="744"/>
      <c r="AH31" s="745"/>
      <c r="AK31" s="246"/>
    </row>
    <row r="32" spans="1:37" ht="19.5" customHeight="1" x14ac:dyDescent="0.2">
      <c r="A32" s="244"/>
      <c r="B32" s="749"/>
      <c r="C32" s="750"/>
      <c r="D32" s="750"/>
      <c r="E32" s="750"/>
      <c r="F32" s="750"/>
      <c r="G32" s="750"/>
      <c r="H32" s="750"/>
      <c r="I32" s="750"/>
      <c r="J32" s="750"/>
      <c r="K32" s="750"/>
      <c r="L32" s="750"/>
      <c r="M32" s="750"/>
      <c r="N32" s="750"/>
      <c r="O32" s="750"/>
      <c r="P32" s="750"/>
      <c r="Q32" s="750"/>
      <c r="R32" s="750"/>
      <c r="S32" s="750"/>
      <c r="T32" s="751"/>
      <c r="U32" s="752"/>
      <c r="V32" s="753"/>
      <c r="W32" s="753"/>
      <c r="X32" s="753"/>
      <c r="Y32" s="754"/>
      <c r="Z32" s="743" t="s">
        <v>244</v>
      </c>
      <c r="AA32" s="744"/>
      <c r="AB32" s="744"/>
      <c r="AC32" s="744"/>
      <c r="AD32" s="745"/>
      <c r="AE32" s="743"/>
      <c r="AF32" s="744"/>
      <c r="AG32" s="744"/>
      <c r="AH32" s="745"/>
      <c r="AK32" s="246"/>
    </row>
    <row r="33" spans="1:37" ht="19.5" customHeight="1" x14ac:dyDescent="0.2">
      <c r="A33" s="244"/>
      <c r="B33" s="737" t="s">
        <v>245</v>
      </c>
      <c r="C33" s="738"/>
      <c r="D33" s="738"/>
      <c r="E33" s="738"/>
      <c r="F33" s="738"/>
      <c r="G33" s="738"/>
      <c r="H33" s="738"/>
      <c r="I33" s="738"/>
      <c r="J33" s="738"/>
      <c r="K33" s="738"/>
      <c r="L33" s="738"/>
      <c r="M33" s="738"/>
      <c r="N33" s="738"/>
      <c r="O33" s="738"/>
      <c r="P33" s="738"/>
      <c r="Q33" s="738"/>
      <c r="R33" s="738"/>
      <c r="S33" s="738"/>
      <c r="T33" s="739"/>
      <c r="U33" s="740">
        <f>+U31+U32</f>
        <v>0</v>
      </c>
      <c r="V33" s="741"/>
      <c r="W33" s="741"/>
      <c r="X33" s="741"/>
      <c r="Y33" s="742"/>
      <c r="Z33" s="743"/>
      <c r="AA33" s="744"/>
      <c r="AB33" s="744"/>
      <c r="AC33" s="744"/>
      <c r="AD33" s="745"/>
      <c r="AE33" s="743"/>
      <c r="AF33" s="744"/>
      <c r="AG33" s="744"/>
      <c r="AH33" s="745"/>
      <c r="AK33" s="246"/>
    </row>
    <row r="34" spans="1:37" ht="21.95" customHeight="1" x14ac:dyDescent="0.2">
      <c r="A34" s="743" t="s">
        <v>246</v>
      </c>
      <c r="B34" s="744"/>
      <c r="C34" s="744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5"/>
      <c r="U34" s="746">
        <f>U22+U23+U24+U25</f>
        <v>2250000</v>
      </c>
      <c r="V34" s="747"/>
      <c r="W34" s="747"/>
      <c r="X34" s="747"/>
      <c r="Y34" s="748"/>
      <c r="Z34" s="247"/>
      <c r="AA34" s="247"/>
      <c r="AB34" s="247"/>
      <c r="AC34" s="247"/>
      <c r="AD34" s="248"/>
      <c r="AE34" s="247"/>
      <c r="AF34" s="247"/>
      <c r="AG34" s="247"/>
      <c r="AH34" s="248"/>
    </row>
    <row r="35" spans="1:37" ht="21.95" customHeight="1" x14ac:dyDescent="0.2"/>
    <row r="36" spans="1:37" ht="21.95" customHeight="1" x14ac:dyDescent="0.2"/>
    <row r="37" spans="1:37" ht="21.95" customHeight="1" x14ac:dyDescent="0.2"/>
    <row r="38" spans="1:37" ht="21.95" customHeight="1" x14ac:dyDescent="0.2"/>
    <row r="39" spans="1:37" ht="21.95" customHeight="1" x14ac:dyDescent="0.2"/>
    <row r="40" spans="1:37" ht="21.95" customHeight="1" x14ac:dyDescent="0.2"/>
    <row r="41" spans="1:37" ht="21.95" customHeight="1" x14ac:dyDescent="0.2"/>
    <row r="42" spans="1:37" ht="21.95" customHeight="1" x14ac:dyDescent="0.2"/>
    <row r="43" spans="1:37" ht="21.95" customHeight="1" x14ac:dyDescent="0.2"/>
    <row r="44" spans="1:37" ht="21.95" customHeight="1" x14ac:dyDescent="0.2"/>
    <row r="45" spans="1:37" ht="21.95" customHeight="1" x14ac:dyDescent="0.2"/>
    <row r="46" spans="1:37" ht="21.95" customHeight="1" x14ac:dyDescent="0.2"/>
    <row r="47" spans="1:37" ht="21.95" customHeight="1" x14ac:dyDescent="0.2"/>
    <row r="48" spans="1:37" ht="21.95" customHeight="1" x14ac:dyDescent="0.2"/>
    <row r="99" spans="2:5" x14ac:dyDescent="0.2">
      <c r="B99" s="242"/>
      <c r="C99" s="242"/>
      <c r="D99" s="242"/>
      <c r="E99" s="242"/>
    </row>
    <row r="100" spans="2:5" x14ac:dyDescent="0.2">
      <c r="B100" s="242"/>
      <c r="C100" s="242"/>
      <c r="D100" s="242"/>
      <c r="E100" s="242"/>
    </row>
    <row r="101" spans="2:5" x14ac:dyDescent="0.2">
      <c r="B101" s="242"/>
      <c r="C101" s="242"/>
      <c r="D101" s="242"/>
      <c r="E101" s="242"/>
    </row>
    <row r="102" spans="2:5" x14ac:dyDescent="0.2">
      <c r="B102" s="242"/>
      <c r="C102" s="242"/>
      <c r="D102" s="242"/>
      <c r="E102" s="242"/>
    </row>
    <row r="103" spans="2:5" x14ac:dyDescent="0.2">
      <c r="B103" s="242"/>
      <c r="C103" s="242"/>
      <c r="D103" s="242"/>
      <c r="E103" s="242"/>
    </row>
    <row r="104" spans="2:5" x14ac:dyDescent="0.2">
      <c r="B104" s="242"/>
      <c r="C104" s="242"/>
      <c r="D104" s="242"/>
      <c r="E104" s="242"/>
    </row>
    <row r="105" spans="2:5" x14ac:dyDescent="0.2">
      <c r="B105" s="242"/>
      <c r="C105" s="242"/>
      <c r="D105" s="242"/>
      <c r="E105" s="242"/>
    </row>
    <row r="106" spans="2:5" x14ac:dyDescent="0.2">
      <c r="B106" s="242"/>
      <c r="C106" s="242"/>
      <c r="D106" s="242"/>
      <c r="E106" s="242"/>
    </row>
    <row r="107" spans="2:5" x14ac:dyDescent="0.2">
      <c r="B107" s="242"/>
      <c r="C107" s="242"/>
      <c r="D107" s="242"/>
      <c r="E107" s="242"/>
    </row>
    <row r="108" spans="2:5" x14ac:dyDescent="0.2">
      <c r="B108" s="242"/>
      <c r="C108" s="242"/>
      <c r="D108" s="242"/>
      <c r="E108" s="242"/>
    </row>
    <row r="109" spans="2:5" x14ac:dyDescent="0.2">
      <c r="B109" s="242"/>
      <c r="C109" s="242"/>
      <c r="D109" s="242"/>
      <c r="E109" s="242"/>
    </row>
    <row r="110" spans="2:5" x14ac:dyDescent="0.2">
      <c r="B110" s="242"/>
      <c r="C110" s="242"/>
      <c r="D110" s="242"/>
      <c r="E110" s="242"/>
    </row>
    <row r="111" spans="2:5" x14ac:dyDescent="0.2">
      <c r="B111" s="242"/>
      <c r="C111" s="242"/>
      <c r="D111" s="242"/>
      <c r="E111" s="242"/>
    </row>
    <row r="112" spans="2:5" x14ac:dyDescent="0.2">
      <c r="B112" s="242"/>
      <c r="C112" s="242"/>
      <c r="D112" s="242"/>
      <c r="E112" s="242"/>
    </row>
    <row r="113" spans="2:5" x14ac:dyDescent="0.2">
      <c r="B113" s="242"/>
      <c r="C113" s="242"/>
      <c r="D113" s="242"/>
      <c r="E113" s="242"/>
    </row>
    <row r="114" spans="2:5" x14ac:dyDescent="0.2">
      <c r="B114" s="242"/>
      <c r="C114" s="242"/>
      <c r="D114" s="242"/>
      <c r="E114" s="242"/>
    </row>
    <row r="115" spans="2:5" x14ac:dyDescent="0.2">
      <c r="B115" s="242"/>
      <c r="C115" s="242"/>
      <c r="D115" s="242"/>
      <c r="E115" s="242"/>
    </row>
    <row r="116" spans="2:5" x14ac:dyDescent="0.2">
      <c r="B116" s="242"/>
      <c r="C116" s="242"/>
      <c r="D116" s="242"/>
      <c r="E116" s="242"/>
    </row>
    <row r="117" spans="2:5" x14ac:dyDescent="0.2">
      <c r="B117" s="242"/>
      <c r="C117" s="242"/>
      <c r="D117" s="242"/>
      <c r="E117" s="242"/>
    </row>
    <row r="118" spans="2:5" x14ac:dyDescent="0.2">
      <c r="B118" s="242"/>
      <c r="C118" s="242"/>
      <c r="D118" s="242"/>
      <c r="E118" s="242"/>
    </row>
    <row r="119" spans="2:5" x14ac:dyDescent="0.2">
      <c r="B119" s="242"/>
      <c r="C119" s="242"/>
      <c r="D119" s="242"/>
      <c r="E119" s="242"/>
    </row>
    <row r="120" spans="2:5" x14ac:dyDescent="0.2">
      <c r="B120" s="242"/>
      <c r="C120" s="242"/>
      <c r="D120" s="242"/>
      <c r="E120" s="242"/>
    </row>
    <row r="121" spans="2:5" x14ac:dyDescent="0.2">
      <c r="B121" s="242"/>
      <c r="C121" s="242"/>
      <c r="D121" s="242"/>
      <c r="E121" s="242"/>
    </row>
    <row r="122" spans="2:5" x14ac:dyDescent="0.2">
      <c r="B122" s="242"/>
      <c r="C122" s="242"/>
      <c r="D122" s="242"/>
      <c r="E122" s="242"/>
    </row>
    <row r="123" spans="2:5" x14ac:dyDescent="0.2">
      <c r="B123" s="242"/>
      <c r="C123" s="242"/>
      <c r="D123" s="242"/>
      <c r="E123" s="242"/>
    </row>
    <row r="124" spans="2:5" x14ac:dyDescent="0.2">
      <c r="B124" s="242"/>
      <c r="C124" s="242"/>
      <c r="D124" s="242"/>
      <c r="E124" s="242"/>
    </row>
    <row r="125" spans="2:5" x14ac:dyDescent="0.2">
      <c r="B125" s="242"/>
      <c r="C125" s="242"/>
      <c r="D125" s="242"/>
      <c r="E125" s="242"/>
    </row>
    <row r="126" spans="2:5" x14ac:dyDescent="0.2">
      <c r="B126" s="242"/>
      <c r="C126" s="242"/>
      <c r="D126" s="242"/>
      <c r="E126" s="242"/>
    </row>
    <row r="127" spans="2:5" x14ac:dyDescent="0.2">
      <c r="B127" s="242"/>
      <c r="C127" s="242"/>
      <c r="D127" s="242"/>
      <c r="E127" s="242"/>
    </row>
    <row r="128" spans="2:5" x14ac:dyDescent="0.2">
      <c r="B128" s="242"/>
      <c r="C128" s="242"/>
      <c r="D128" s="242"/>
      <c r="E128" s="242"/>
    </row>
    <row r="129" spans="2:5" x14ac:dyDescent="0.2">
      <c r="B129" s="242"/>
      <c r="C129" s="242"/>
      <c r="D129" s="242"/>
      <c r="E129" s="242"/>
    </row>
    <row r="130" spans="2:5" x14ac:dyDescent="0.2">
      <c r="B130" s="242"/>
      <c r="C130" s="242"/>
      <c r="D130" s="242"/>
      <c r="E130" s="242"/>
    </row>
    <row r="131" spans="2:5" x14ac:dyDescent="0.2">
      <c r="B131" s="242"/>
      <c r="C131" s="242"/>
      <c r="D131" s="242"/>
      <c r="E131" s="242"/>
    </row>
    <row r="132" spans="2:5" x14ac:dyDescent="0.2">
      <c r="B132" s="242"/>
      <c r="C132" s="242"/>
      <c r="D132" s="242"/>
      <c r="E132" s="242"/>
    </row>
    <row r="133" spans="2:5" x14ac:dyDescent="0.2">
      <c r="B133" s="242"/>
      <c r="C133" s="242"/>
      <c r="D133" s="242"/>
      <c r="E133" s="242"/>
    </row>
    <row r="134" spans="2:5" x14ac:dyDescent="0.2">
      <c r="B134" s="242"/>
      <c r="C134" s="242"/>
      <c r="D134" s="242"/>
      <c r="E134" s="242"/>
    </row>
    <row r="135" spans="2:5" x14ac:dyDescent="0.2">
      <c r="B135" s="242"/>
      <c r="C135" s="242"/>
      <c r="D135" s="242"/>
      <c r="E135" s="242"/>
    </row>
    <row r="136" spans="2:5" x14ac:dyDescent="0.2">
      <c r="B136" s="242"/>
      <c r="C136" s="242"/>
      <c r="D136" s="242"/>
      <c r="E136" s="242"/>
    </row>
    <row r="137" spans="2:5" x14ac:dyDescent="0.2">
      <c r="B137" s="242"/>
      <c r="C137" s="242"/>
      <c r="D137" s="242"/>
      <c r="E137" s="242"/>
    </row>
    <row r="138" spans="2:5" x14ac:dyDescent="0.2">
      <c r="B138" s="242"/>
      <c r="C138" s="242"/>
      <c r="D138" s="242"/>
      <c r="E138" s="242"/>
    </row>
    <row r="139" spans="2:5" x14ac:dyDescent="0.2">
      <c r="B139" s="242"/>
      <c r="C139" s="242"/>
      <c r="D139" s="242"/>
      <c r="E139" s="242"/>
    </row>
    <row r="140" spans="2:5" x14ac:dyDescent="0.2">
      <c r="B140" s="242"/>
      <c r="C140" s="242"/>
      <c r="D140" s="242"/>
      <c r="E140" s="242"/>
    </row>
    <row r="141" spans="2:5" x14ac:dyDescent="0.2">
      <c r="B141" s="242"/>
      <c r="C141" s="242"/>
      <c r="D141" s="242"/>
      <c r="E141" s="242"/>
    </row>
    <row r="142" spans="2:5" x14ac:dyDescent="0.2">
      <c r="B142" s="242"/>
      <c r="C142" s="242"/>
      <c r="D142" s="242"/>
      <c r="E142" s="242"/>
    </row>
    <row r="143" spans="2:5" x14ac:dyDescent="0.2">
      <c r="B143" s="242"/>
      <c r="C143" s="242"/>
      <c r="D143" s="242"/>
      <c r="E143" s="242"/>
    </row>
    <row r="144" spans="2:5" x14ac:dyDescent="0.2">
      <c r="B144" s="242"/>
      <c r="C144" s="242"/>
      <c r="D144" s="242"/>
      <c r="E144" s="242"/>
    </row>
    <row r="145" spans="2:5" x14ac:dyDescent="0.2">
      <c r="B145" s="242"/>
      <c r="C145" s="242"/>
      <c r="D145" s="242"/>
      <c r="E145" s="242"/>
    </row>
    <row r="146" spans="2:5" x14ac:dyDescent="0.2">
      <c r="B146" s="242"/>
      <c r="C146" s="242"/>
      <c r="D146" s="242"/>
      <c r="E146" s="242"/>
    </row>
    <row r="147" spans="2:5" x14ac:dyDescent="0.2">
      <c r="B147" s="242"/>
      <c r="C147" s="242"/>
      <c r="D147" s="242"/>
      <c r="E147" s="242"/>
    </row>
    <row r="148" spans="2:5" x14ac:dyDescent="0.2">
      <c r="B148" s="242"/>
      <c r="C148" s="242"/>
      <c r="D148" s="242"/>
      <c r="E148" s="242"/>
    </row>
    <row r="149" spans="2:5" x14ac:dyDescent="0.2">
      <c r="B149" s="242"/>
      <c r="C149" s="242"/>
      <c r="D149" s="242"/>
      <c r="E149" s="242"/>
    </row>
    <row r="150" spans="2:5" x14ac:dyDescent="0.2">
      <c r="B150" s="242"/>
      <c r="C150" s="242"/>
      <c r="D150" s="242"/>
      <c r="E150" s="242"/>
    </row>
    <row r="151" spans="2:5" x14ac:dyDescent="0.2">
      <c r="B151" s="242"/>
      <c r="C151" s="242"/>
      <c r="D151" s="242"/>
      <c r="E151" s="242"/>
    </row>
    <row r="152" spans="2:5" x14ac:dyDescent="0.2">
      <c r="B152" s="242"/>
      <c r="C152" s="242"/>
      <c r="D152" s="242"/>
      <c r="E152" s="242"/>
    </row>
    <row r="153" spans="2:5" x14ac:dyDescent="0.2">
      <c r="B153" s="242"/>
      <c r="C153" s="242"/>
      <c r="D153" s="242"/>
      <c r="E153" s="242"/>
    </row>
    <row r="154" spans="2:5" x14ac:dyDescent="0.2">
      <c r="B154" s="242"/>
      <c r="C154" s="242"/>
      <c r="D154" s="242"/>
      <c r="E154" s="242"/>
    </row>
    <row r="155" spans="2:5" x14ac:dyDescent="0.2">
      <c r="B155" s="242"/>
      <c r="C155" s="242"/>
      <c r="D155" s="242"/>
      <c r="E155" s="242"/>
    </row>
    <row r="156" spans="2:5" x14ac:dyDescent="0.2">
      <c r="B156" s="242"/>
      <c r="C156" s="242"/>
      <c r="D156" s="242"/>
      <c r="E156" s="242"/>
    </row>
    <row r="157" spans="2:5" x14ac:dyDescent="0.2">
      <c r="B157" s="242"/>
      <c r="C157" s="242"/>
      <c r="D157" s="242"/>
      <c r="E157" s="242"/>
    </row>
    <row r="158" spans="2:5" x14ac:dyDescent="0.2">
      <c r="B158" s="242"/>
      <c r="C158" s="242"/>
      <c r="D158" s="242"/>
      <c r="E158" s="242"/>
    </row>
    <row r="159" spans="2:5" x14ac:dyDescent="0.2">
      <c r="B159" s="242"/>
      <c r="C159" s="242"/>
      <c r="D159" s="242"/>
      <c r="E159" s="242"/>
    </row>
    <row r="160" spans="2:5" x14ac:dyDescent="0.2">
      <c r="B160" s="242"/>
      <c r="C160" s="242"/>
      <c r="D160" s="242"/>
      <c r="E160" s="242"/>
    </row>
    <row r="161" spans="2:5" x14ac:dyDescent="0.2">
      <c r="B161" s="242"/>
      <c r="C161" s="242"/>
      <c r="D161" s="242"/>
      <c r="E161" s="242"/>
    </row>
    <row r="162" spans="2:5" x14ac:dyDescent="0.2">
      <c r="B162" s="242"/>
      <c r="C162" s="242"/>
      <c r="D162" s="242"/>
      <c r="E162" s="242"/>
    </row>
    <row r="163" spans="2:5" x14ac:dyDescent="0.2">
      <c r="B163" s="242"/>
      <c r="C163" s="242"/>
      <c r="D163" s="242"/>
      <c r="E163" s="242"/>
    </row>
    <row r="164" spans="2:5" x14ac:dyDescent="0.2">
      <c r="B164" s="242"/>
      <c r="C164" s="242"/>
      <c r="D164" s="242"/>
      <c r="E164" s="242"/>
    </row>
    <row r="165" spans="2:5" x14ac:dyDescent="0.2">
      <c r="B165" s="242"/>
      <c r="C165" s="242"/>
      <c r="D165" s="242"/>
      <c r="E165" s="242"/>
    </row>
    <row r="166" spans="2:5" x14ac:dyDescent="0.2">
      <c r="B166" s="242"/>
      <c r="C166" s="242"/>
      <c r="D166" s="242"/>
      <c r="E166" s="242"/>
    </row>
    <row r="167" spans="2:5" x14ac:dyDescent="0.2">
      <c r="B167" s="242"/>
      <c r="C167" s="242"/>
      <c r="D167" s="242"/>
      <c r="E167" s="242"/>
    </row>
    <row r="168" spans="2:5" x14ac:dyDescent="0.2">
      <c r="B168" s="242"/>
      <c r="C168" s="242"/>
      <c r="D168" s="242"/>
      <c r="E168" s="242"/>
    </row>
    <row r="169" spans="2:5" x14ac:dyDescent="0.2">
      <c r="B169" s="242"/>
      <c r="C169" s="242"/>
      <c r="D169" s="242"/>
      <c r="E169" s="242"/>
    </row>
    <row r="170" spans="2:5" x14ac:dyDescent="0.2">
      <c r="B170" s="242"/>
      <c r="C170" s="242"/>
      <c r="D170" s="242"/>
      <c r="E170" s="242"/>
    </row>
    <row r="171" spans="2:5" x14ac:dyDescent="0.2">
      <c r="B171" s="242"/>
      <c r="C171" s="242"/>
      <c r="D171" s="242"/>
      <c r="E171" s="242"/>
    </row>
    <row r="172" spans="2:5" x14ac:dyDescent="0.2">
      <c r="B172" s="242"/>
      <c r="C172" s="242"/>
      <c r="D172" s="242"/>
      <c r="E172" s="242"/>
    </row>
    <row r="173" spans="2:5" x14ac:dyDescent="0.2">
      <c r="B173" s="242"/>
      <c r="C173" s="242"/>
      <c r="D173" s="242"/>
      <c r="E173" s="242"/>
    </row>
    <row r="174" spans="2:5" x14ac:dyDescent="0.2">
      <c r="B174" s="242"/>
      <c r="C174" s="242"/>
      <c r="D174" s="242"/>
      <c r="E174" s="242"/>
    </row>
    <row r="175" spans="2:5" x14ac:dyDescent="0.2">
      <c r="B175" s="242"/>
      <c r="C175" s="242"/>
      <c r="D175" s="242"/>
      <c r="E175" s="242"/>
    </row>
    <row r="176" spans="2:5" x14ac:dyDescent="0.2">
      <c r="B176" s="242"/>
      <c r="C176" s="242"/>
      <c r="D176" s="242"/>
      <c r="E176" s="242"/>
    </row>
    <row r="177" spans="2:5" x14ac:dyDescent="0.2">
      <c r="B177" s="242"/>
      <c r="C177" s="242"/>
      <c r="D177" s="242"/>
      <c r="E177" s="242"/>
    </row>
    <row r="178" spans="2:5" x14ac:dyDescent="0.2">
      <c r="B178" s="242"/>
      <c r="C178" s="242"/>
      <c r="D178" s="242"/>
      <c r="E178" s="242"/>
    </row>
    <row r="179" spans="2:5" x14ac:dyDescent="0.2">
      <c r="B179" s="242"/>
      <c r="C179" s="242"/>
      <c r="D179" s="242"/>
      <c r="E179" s="242"/>
    </row>
    <row r="180" spans="2:5" x14ac:dyDescent="0.2">
      <c r="B180" s="242"/>
      <c r="C180" s="242"/>
      <c r="D180" s="242"/>
      <c r="E180" s="242"/>
    </row>
    <row r="181" spans="2:5" x14ac:dyDescent="0.2">
      <c r="B181" s="242"/>
      <c r="C181" s="242"/>
      <c r="D181" s="242"/>
      <c r="E181" s="242"/>
    </row>
  </sheetData>
  <mergeCells count="103">
    <mergeCell ref="A9:A10"/>
    <mergeCell ref="B9:T9"/>
    <mergeCell ref="U9:Y10"/>
    <mergeCell ref="Z9:AD10"/>
    <mergeCell ref="AE9:AH10"/>
    <mergeCell ref="B11:T11"/>
    <mergeCell ref="U11:Y11"/>
    <mergeCell ref="Z11:AD11"/>
    <mergeCell ref="AE11:AH11"/>
    <mergeCell ref="B12:T12"/>
    <mergeCell ref="U12:Y12"/>
    <mergeCell ref="Z12:AD12"/>
    <mergeCell ref="AE12:AH12"/>
    <mergeCell ref="B1:AH2"/>
    <mergeCell ref="B3:AH3"/>
    <mergeCell ref="B4:AH4"/>
    <mergeCell ref="G5:U5"/>
    <mergeCell ref="B6:AH6"/>
    <mergeCell ref="AE15:AH15"/>
    <mergeCell ref="B16:T16"/>
    <mergeCell ref="U16:Y16"/>
    <mergeCell ref="Z16:AD16"/>
    <mergeCell ref="AE16:AH16"/>
    <mergeCell ref="B13:T13"/>
    <mergeCell ref="U13:Y13"/>
    <mergeCell ref="Z13:AD13"/>
    <mergeCell ref="AE13:AH13"/>
    <mergeCell ref="B14:T14"/>
    <mergeCell ref="U14:Y14"/>
    <mergeCell ref="Z14:AD14"/>
    <mergeCell ref="AE14:AH14"/>
    <mergeCell ref="B17:T17"/>
    <mergeCell ref="U17:Y17"/>
    <mergeCell ref="Z17:AD17"/>
    <mergeCell ref="B18:T18"/>
    <mergeCell ref="U18:Y18"/>
    <mergeCell ref="Z18:AD18"/>
    <mergeCell ref="B15:T15"/>
    <mergeCell ref="U15:Y15"/>
    <mergeCell ref="Z15:AD15"/>
    <mergeCell ref="B21:T21"/>
    <mergeCell ref="U21:Y21"/>
    <mergeCell ref="Z21:AD21"/>
    <mergeCell ref="AE21:AH21"/>
    <mergeCell ref="B22:T22"/>
    <mergeCell ref="U22:Y22"/>
    <mergeCell ref="Z22:AD22"/>
    <mergeCell ref="AE22:AH22"/>
    <mergeCell ref="AE18:AH18"/>
    <mergeCell ref="B19:T19"/>
    <mergeCell ref="U19:Y19"/>
    <mergeCell ref="Z19:AD19"/>
    <mergeCell ref="AE19:AH19"/>
    <mergeCell ref="B20:T20"/>
    <mergeCell ref="U20:Y20"/>
    <mergeCell ref="Z20:AD20"/>
    <mergeCell ref="AE20:AH20"/>
    <mergeCell ref="B25:T25"/>
    <mergeCell ref="U25:Y25"/>
    <mergeCell ref="Z25:AD25"/>
    <mergeCell ref="AE25:AH25"/>
    <mergeCell ref="B26:T26"/>
    <mergeCell ref="U26:Y26"/>
    <mergeCell ref="Z26:AD26"/>
    <mergeCell ref="AE26:AH26"/>
    <mergeCell ref="B23:T23"/>
    <mergeCell ref="U23:Y23"/>
    <mergeCell ref="Z23:AD23"/>
    <mergeCell ref="AE23:AH23"/>
    <mergeCell ref="B24:T24"/>
    <mergeCell ref="U24:Y24"/>
    <mergeCell ref="Z24:AD24"/>
    <mergeCell ref="AE24:AH24"/>
    <mergeCell ref="B29:T29"/>
    <mergeCell ref="U29:Y29"/>
    <mergeCell ref="Z29:AD29"/>
    <mergeCell ref="AE29:AH29"/>
    <mergeCell ref="B30:T30"/>
    <mergeCell ref="U30:Y30"/>
    <mergeCell ref="Z30:AD30"/>
    <mergeCell ref="AE30:AH30"/>
    <mergeCell ref="B27:T27"/>
    <mergeCell ref="U27:Y27"/>
    <mergeCell ref="Z27:AD27"/>
    <mergeCell ref="AE27:AH27"/>
    <mergeCell ref="B28:T28"/>
    <mergeCell ref="U28:Y28"/>
    <mergeCell ref="Z28:AD28"/>
    <mergeCell ref="AE28:AH28"/>
    <mergeCell ref="B33:T33"/>
    <mergeCell ref="U33:Y33"/>
    <mergeCell ref="Z33:AD33"/>
    <mergeCell ref="AE33:AH33"/>
    <mergeCell ref="A34:T34"/>
    <mergeCell ref="U34:Y34"/>
    <mergeCell ref="B31:T31"/>
    <mergeCell ref="U31:Y31"/>
    <mergeCell ref="Z31:AD31"/>
    <mergeCell ref="AE31:AH31"/>
    <mergeCell ref="B32:T32"/>
    <mergeCell ref="U32:Y32"/>
    <mergeCell ref="Z32:AD32"/>
    <mergeCell ref="AE32:AH3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opLeftCell="A115" workbookViewId="0">
      <selection activeCell="C73" sqref="C73"/>
    </sheetView>
  </sheetViews>
  <sheetFormatPr defaultRowHeight="15" x14ac:dyDescent="0.25"/>
  <cols>
    <col min="1" max="1" width="38.140625" style="249" customWidth="1"/>
    <col min="2" max="2" width="16.7109375" style="252" bestFit="1" customWidth="1"/>
    <col min="3" max="3" width="18" style="252" bestFit="1" customWidth="1"/>
    <col min="4" max="4" width="15.5703125" style="252" bestFit="1" customWidth="1"/>
    <col min="5" max="5" width="18" style="252" bestFit="1" customWidth="1"/>
    <col min="6" max="7" width="9.140625" style="249" customWidth="1"/>
  </cols>
  <sheetData>
    <row r="1" spans="1:5" ht="18" x14ac:dyDescent="0.25">
      <c r="A1" s="784" t="s">
        <v>152</v>
      </c>
      <c r="B1" s="784"/>
      <c r="C1" s="784"/>
      <c r="D1" s="784"/>
      <c r="E1" s="784"/>
    </row>
    <row r="2" spans="1:5" ht="18.75" x14ac:dyDescent="0.3">
      <c r="A2" s="785" t="s">
        <v>4</v>
      </c>
      <c r="B2" s="785"/>
      <c r="C2" s="785"/>
      <c r="D2" s="785"/>
      <c r="E2" s="785"/>
    </row>
    <row r="4" spans="1:5" ht="45" customHeight="1" x14ac:dyDescent="0.25">
      <c r="A4" s="786" t="s">
        <v>247</v>
      </c>
      <c r="B4" s="786"/>
      <c r="C4" s="786"/>
      <c r="D4" s="786"/>
      <c r="E4" s="786"/>
    </row>
    <row r="5" spans="1:5" ht="29.25" customHeight="1" x14ac:dyDescent="0.25"/>
    <row r="6" spans="1:5" ht="18" customHeight="1" x14ac:dyDescent="0.25"/>
    <row r="7" spans="1:5" ht="15.75" x14ac:dyDescent="0.25">
      <c r="B7" s="787"/>
      <c r="C7" s="787"/>
      <c r="D7" s="787"/>
      <c r="E7" s="787"/>
    </row>
    <row r="8" spans="1:5" ht="33.75" customHeight="1" x14ac:dyDescent="0.25">
      <c r="A8" s="253" t="s">
        <v>248</v>
      </c>
      <c r="B8" s="788" t="s">
        <v>608</v>
      </c>
      <c r="C8" s="789"/>
      <c r="D8" s="789"/>
      <c r="E8" s="790"/>
    </row>
    <row r="9" spans="1:5" ht="15.75" thickBot="1" x14ac:dyDescent="0.3">
      <c r="E9" s="252" t="s">
        <v>264</v>
      </c>
    </row>
    <row r="10" spans="1:5" ht="16.5" thickBot="1" x14ac:dyDescent="0.3">
      <c r="A10" s="254" t="s">
        <v>250</v>
      </c>
      <c r="B10" s="255">
        <v>2018</v>
      </c>
      <c r="C10" s="255">
        <v>2019</v>
      </c>
      <c r="D10" s="255">
        <v>2020</v>
      </c>
      <c r="E10" s="256" t="s">
        <v>251</v>
      </c>
    </row>
    <row r="11" spans="1:5" ht="15.75" x14ac:dyDescent="0.25">
      <c r="A11" s="257" t="s">
        <v>252</v>
      </c>
      <c r="B11" s="258"/>
      <c r="C11" s="258"/>
      <c r="D11" s="258"/>
      <c r="E11" s="259">
        <f t="shared" ref="E11:E17" si="0">SUM(B11:D11)</f>
        <v>0</v>
      </c>
    </row>
    <row r="12" spans="1:5" ht="15.75" x14ac:dyDescent="0.25">
      <c r="A12" s="260" t="s">
        <v>253</v>
      </c>
      <c r="B12" s="261"/>
      <c r="C12" s="261"/>
      <c r="D12" s="261"/>
      <c r="E12" s="259">
        <f t="shared" si="0"/>
        <v>0</v>
      </c>
    </row>
    <row r="13" spans="1:5" ht="15.75" x14ac:dyDescent="0.25">
      <c r="A13" s="262" t="s">
        <v>254</v>
      </c>
      <c r="B13" s="261">
        <v>15473382</v>
      </c>
      <c r="C13" s="261">
        <v>15905672</v>
      </c>
      <c r="D13" s="261"/>
      <c r="E13" s="259">
        <f t="shared" si="0"/>
        <v>31379054</v>
      </c>
    </row>
    <row r="14" spans="1:5" ht="15.75" x14ac:dyDescent="0.25">
      <c r="A14" s="262" t="s">
        <v>255</v>
      </c>
      <c r="B14" s="261"/>
      <c r="C14" s="261"/>
      <c r="D14" s="261"/>
      <c r="E14" s="259">
        <f t="shared" si="0"/>
        <v>0</v>
      </c>
    </row>
    <row r="15" spans="1:5" ht="15.75" x14ac:dyDescent="0.25">
      <c r="A15" s="262" t="s">
        <v>256</v>
      </c>
      <c r="B15" s="261"/>
      <c r="C15" s="261"/>
      <c r="D15" s="261"/>
      <c r="E15" s="259">
        <f t="shared" si="0"/>
        <v>0</v>
      </c>
    </row>
    <row r="16" spans="1:5" ht="16.5" thickBot="1" x14ac:dyDescent="0.3">
      <c r="A16" s="263" t="s">
        <v>257</v>
      </c>
      <c r="B16" s="264"/>
      <c r="C16" s="264"/>
      <c r="D16" s="264"/>
      <c r="E16" s="265">
        <f t="shared" si="0"/>
        <v>0</v>
      </c>
    </row>
    <row r="17" spans="1:5" ht="16.5" thickBot="1" x14ac:dyDescent="0.3">
      <c r="A17" s="254" t="s">
        <v>258</v>
      </c>
      <c r="B17" s="266">
        <f>SUM(B11:B16)</f>
        <v>15473382</v>
      </c>
      <c r="C17" s="266">
        <f>SUM(C11:C16)</f>
        <v>15905672</v>
      </c>
      <c r="D17" s="266">
        <f>SUM(D11:D16)</f>
        <v>0</v>
      </c>
      <c r="E17" s="267">
        <f t="shared" si="0"/>
        <v>31379054</v>
      </c>
    </row>
    <row r="18" spans="1:5" ht="16.5" thickBot="1" x14ac:dyDescent="0.3">
      <c r="A18" s="268"/>
      <c r="B18" s="269"/>
      <c r="C18" s="269"/>
      <c r="D18" s="269"/>
      <c r="E18" s="269"/>
    </row>
    <row r="19" spans="1:5" ht="16.5" thickBot="1" x14ac:dyDescent="0.3">
      <c r="A19" s="254" t="s">
        <v>259</v>
      </c>
      <c r="B19" s="255">
        <v>2018</v>
      </c>
      <c r="C19" s="255">
        <v>2019</v>
      </c>
      <c r="D19" s="255">
        <v>2020</v>
      </c>
      <c r="E19" s="256" t="s">
        <v>251</v>
      </c>
    </row>
    <row r="20" spans="1:5" ht="15.75" x14ac:dyDescent="0.25">
      <c r="A20" s="257" t="s">
        <v>260</v>
      </c>
      <c r="B20" s="258">
        <v>7272490</v>
      </c>
      <c r="C20" s="258">
        <v>7475666</v>
      </c>
      <c r="D20" s="258"/>
      <c r="E20" s="259">
        <f>B20+C20+D20</f>
        <v>14748156</v>
      </c>
    </row>
    <row r="21" spans="1:5" ht="15.75" x14ac:dyDescent="0.25">
      <c r="A21" s="262" t="s">
        <v>261</v>
      </c>
      <c r="B21" s="261">
        <v>8200892</v>
      </c>
      <c r="C21" s="261">
        <v>8430006</v>
      </c>
      <c r="D21" s="261"/>
      <c r="E21" s="259">
        <f>B21+C21+D21</f>
        <v>16630898</v>
      </c>
    </row>
    <row r="22" spans="1:5" ht="15.75" x14ac:dyDescent="0.25">
      <c r="A22" s="262" t="s">
        <v>262</v>
      </c>
      <c r="B22" s="261"/>
      <c r="C22" s="261"/>
      <c r="D22" s="261"/>
      <c r="E22" s="259"/>
    </row>
    <row r="23" spans="1:5" ht="16.5" thickBot="1" x14ac:dyDescent="0.3">
      <c r="A23" s="263" t="s">
        <v>263</v>
      </c>
      <c r="B23" s="264"/>
      <c r="C23" s="264"/>
      <c r="D23" s="264"/>
      <c r="E23" s="265">
        <f>SUM(B23:D23)</f>
        <v>0</v>
      </c>
    </row>
    <row r="24" spans="1:5" ht="16.5" thickBot="1" x14ac:dyDescent="0.3">
      <c r="A24" s="254" t="s">
        <v>251</v>
      </c>
      <c r="B24" s="266">
        <f>SUM(B20:B23)</f>
        <v>15473382</v>
      </c>
      <c r="C24" s="266">
        <f>SUM(C20:C23)</f>
        <v>15905672</v>
      </c>
      <c r="D24" s="266">
        <f>SUM(D20:D23)</f>
        <v>0</v>
      </c>
      <c r="E24" s="267">
        <f>SUM(B24:D24)</f>
        <v>31379054</v>
      </c>
    </row>
    <row r="26" spans="1:5" ht="18" x14ac:dyDescent="0.25">
      <c r="A26" s="784" t="s">
        <v>152</v>
      </c>
      <c r="B26" s="784"/>
      <c r="C26" s="784"/>
      <c r="D26" s="784"/>
      <c r="E26" s="784"/>
    </row>
    <row r="27" spans="1:5" ht="18.75" x14ac:dyDescent="0.3">
      <c r="A27" s="785" t="s">
        <v>4</v>
      </c>
      <c r="B27" s="785"/>
      <c r="C27" s="785"/>
      <c r="D27" s="785"/>
      <c r="E27" s="785"/>
    </row>
    <row r="29" spans="1:5" ht="45" customHeight="1" x14ac:dyDescent="0.25">
      <c r="A29" s="786" t="s">
        <v>247</v>
      </c>
      <c r="B29" s="786"/>
      <c r="C29" s="786"/>
      <c r="D29" s="786"/>
      <c r="E29" s="786"/>
    </row>
    <row r="31" spans="1:5" ht="31.5" customHeight="1" x14ac:dyDescent="0.25">
      <c r="A31" s="253" t="s">
        <v>248</v>
      </c>
      <c r="B31" s="788" t="s">
        <v>607</v>
      </c>
      <c r="C31" s="789"/>
      <c r="D31" s="789"/>
      <c r="E31" s="790"/>
    </row>
    <row r="32" spans="1:5" ht="15.75" thickBot="1" x14ac:dyDescent="0.3">
      <c r="E32" s="252" t="s">
        <v>264</v>
      </c>
    </row>
    <row r="33" spans="1:5" ht="16.5" thickBot="1" x14ac:dyDescent="0.3">
      <c r="A33" s="254" t="s">
        <v>250</v>
      </c>
      <c r="B33" s="255">
        <v>2018</v>
      </c>
      <c r="C33" s="255">
        <v>2019</v>
      </c>
      <c r="D33" s="255">
        <v>2020</v>
      </c>
      <c r="E33" s="256" t="s">
        <v>251</v>
      </c>
    </row>
    <row r="34" spans="1:5" ht="15.75" x14ac:dyDescent="0.25">
      <c r="A34" s="257" t="s">
        <v>252</v>
      </c>
      <c r="B34" s="258"/>
      <c r="C34" s="258"/>
      <c r="D34" s="258"/>
      <c r="E34" s="259">
        <f t="shared" ref="E34:E40" si="1">SUM(B34:D34)</f>
        <v>0</v>
      </c>
    </row>
    <row r="35" spans="1:5" ht="15.75" x14ac:dyDescent="0.25">
      <c r="A35" s="260" t="s">
        <v>253</v>
      </c>
      <c r="B35" s="261"/>
      <c r="C35" s="261"/>
      <c r="D35" s="261"/>
      <c r="E35" s="259">
        <f t="shared" si="1"/>
        <v>0</v>
      </c>
    </row>
    <row r="36" spans="1:5" ht="15.75" x14ac:dyDescent="0.25">
      <c r="A36" s="262" t="s">
        <v>254</v>
      </c>
      <c r="B36" s="261">
        <v>18070416</v>
      </c>
      <c r="C36" s="261">
        <v>1883888</v>
      </c>
      <c r="D36" s="261"/>
      <c r="E36" s="259">
        <f t="shared" si="1"/>
        <v>19954304</v>
      </c>
    </row>
    <row r="37" spans="1:5" ht="15.75" x14ac:dyDescent="0.25">
      <c r="A37" s="262" t="s">
        <v>255</v>
      </c>
      <c r="B37" s="261"/>
      <c r="C37" s="261"/>
      <c r="D37" s="261"/>
      <c r="E37" s="259">
        <f t="shared" si="1"/>
        <v>0</v>
      </c>
    </row>
    <row r="38" spans="1:5" ht="15.75" x14ac:dyDescent="0.25">
      <c r="A38" s="262" t="s">
        <v>256</v>
      </c>
      <c r="B38" s="261"/>
      <c r="C38" s="261"/>
      <c r="D38" s="261"/>
      <c r="E38" s="259">
        <f t="shared" si="1"/>
        <v>0</v>
      </c>
    </row>
    <row r="39" spans="1:5" ht="16.5" thickBot="1" x14ac:dyDescent="0.3">
      <c r="A39" s="263" t="s">
        <v>257</v>
      </c>
      <c r="B39" s="264"/>
      <c r="C39" s="264"/>
      <c r="D39" s="264"/>
      <c r="E39" s="265">
        <f t="shared" si="1"/>
        <v>0</v>
      </c>
    </row>
    <row r="40" spans="1:5" ht="16.5" thickBot="1" x14ac:dyDescent="0.3">
      <c r="A40" s="254" t="s">
        <v>258</v>
      </c>
      <c r="B40" s="266">
        <f>SUM(B34:B39)</f>
        <v>18070416</v>
      </c>
      <c r="C40" s="266">
        <f>SUM(C34:C39)</f>
        <v>1883888</v>
      </c>
      <c r="D40" s="266">
        <f>SUM(D34:D39)</f>
        <v>0</v>
      </c>
      <c r="E40" s="267">
        <f t="shared" si="1"/>
        <v>19954304</v>
      </c>
    </row>
    <row r="41" spans="1:5" ht="16.5" thickBot="1" x14ac:dyDescent="0.3">
      <c r="A41" s="268"/>
      <c r="B41" s="269"/>
      <c r="C41" s="269"/>
      <c r="D41" s="269"/>
      <c r="E41" s="269"/>
    </row>
    <row r="42" spans="1:5" ht="16.5" thickBot="1" x14ac:dyDescent="0.3">
      <c r="A42" s="254" t="s">
        <v>259</v>
      </c>
      <c r="B42" s="255">
        <v>2018</v>
      </c>
      <c r="C42" s="255">
        <v>2019</v>
      </c>
      <c r="D42" s="255">
        <v>2020</v>
      </c>
      <c r="E42" s="256" t="s">
        <v>251</v>
      </c>
    </row>
    <row r="43" spans="1:5" ht="15.75" x14ac:dyDescent="0.25">
      <c r="A43" s="257" t="s">
        <v>260</v>
      </c>
      <c r="B43" s="258"/>
      <c r="C43" s="258"/>
      <c r="D43" s="258"/>
      <c r="E43" s="259"/>
    </row>
    <row r="44" spans="1:5" ht="15.75" x14ac:dyDescent="0.25">
      <c r="A44" s="262" t="s">
        <v>261</v>
      </c>
      <c r="B44" s="261">
        <v>18070416</v>
      </c>
      <c r="C44" s="261">
        <v>1883888</v>
      </c>
      <c r="D44" s="261"/>
      <c r="E44" s="259">
        <f>B44+C44</f>
        <v>19954304</v>
      </c>
    </row>
    <row r="45" spans="1:5" ht="15.75" x14ac:dyDescent="0.25">
      <c r="A45" s="262" t="s">
        <v>262</v>
      </c>
      <c r="B45" s="261"/>
      <c r="C45" s="261"/>
      <c r="D45" s="261"/>
      <c r="E45" s="259"/>
    </row>
    <row r="46" spans="1:5" ht="16.5" thickBot="1" x14ac:dyDescent="0.3">
      <c r="A46" s="263" t="s">
        <v>263</v>
      </c>
      <c r="B46" s="264"/>
      <c r="C46" s="264"/>
      <c r="D46" s="264"/>
      <c r="E46" s="265">
        <f>SUM(B46:D46)</f>
        <v>0</v>
      </c>
    </row>
    <row r="47" spans="1:5" ht="16.5" thickBot="1" x14ac:dyDescent="0.3">
      <c r="A47" s="254" t="s">
        <v>251</v>
      </c>
      <c r="B47" s="266">
        <f>SUM(B43:B46)</f>
        <v>18070416</v>
      </c>
      <c r="C47" s="266">
        <f>SUM(C43:C46)</f>
        <v>1883888</v>
      </c>
      <c r="D47" s="266">
        <f>SUM(D43:D46)</f>
        <v>0</v>
      </c>
      <c r="E47" s="267">
        <f>SUM(B47:D47)</f>
        <v>19954304</v>
      </c>
    </row>
    <row r="48" spans="1:5" ht="15.75" x14ac:dyDescent="0.25">
      <c r="A48" s="250"/>
      <c r="B48" s="251"/>
      <c r="C48" s="251"/>
      <c r="D48" s="251"/>
      <c r="E48" s="251"/>
    </row>
    <row r="49" spans="1:5" ht="15.75" x14ac:dyDescent="0.25">
      <c r="A49" s="250"/>
      <c r="B49" s="251"/>
      <c r="C49" s="251"/>
      <c r="D49" s="251"/>
      <c r="E49" s="251"/>
    </row>
    <row r="50" spans="1:5" ht="15.75" x14ac:dyDescent="0.25">
      <c r="A50" s="250"/>
      <c r="B50" s="251"/>
      <c r="C50" s="251"/>
      <c r="D50" s="251"/>
      <c r="E50" s="251"/>
    </row>
    <row r="51" spans="1:5" ht="15.75" x14ac:dyDescent="0.25">
      <c r="A51" s="250"/>
      <c r="B51" s="251"/>
      <c r="C51" s="251"/>
      <c r="D51" s="251"/>
      <c r="E51" s="251"/>
    </row>
    <row r="52" spans="1:5" ht="15.75" x14ac:dyDescent="0.25">
      <c r="A52" s="250"/>
      <c r="B52" s="251"/>
      <c r="C52" s="251"/>
      <c r="D52" s="251"/>
      <c r="E52" s="251"/>
    </row>
    <row r="53" spans="1:5" ht="18" x14ac:dyDescent="0.25">
      <c r="A53" s="784" t="s">
        <v>152</v>
      </c>
      <c r="B53" s="784"/>
      <c r="C53" s="784"/>
      <c r="D53" s="784"/>
      <c r="E53" s="784"/>
    </row>
    <row r="54" spans="1:5" ht="18.75" x14ac:dyDescent="0.3">
      <c r="A54" s="785" t="s">
        <v>4</v>
      </c>
      <c r="B54" s="785"/>
      <c r="C54" s="785"/>
      <c r="D54" s="785"/>
      <c r="E54" s="785"/>
    </row>
    <row r="56" spans="1:5" ht="45" customHeight="1" x14ac:dyDescent="0.25">
      <c r="A56" s="786" t="s">
        <v>247</v>
      </c>
      <c r="B56" s="786"/>
      <c r="C56" s="786"/>
      <c r="D56" s="786"/>
      <c r="E56" s="786"/>
    </row>
    <row r="57" spans="1:5" ht="15.75" x14ac:dyDescent="0.25">
      <c r="A57" s="250"/>
      <c r="B57" s="251"/>
      <c r="C57" s="251"/>
      <c r="D57" s="251"/>
      <c r="E57" s="251"/>
    </row>
    <row r="60" spans="1:5" ht="15.75" x14ac:dyDescent="0.25">
      <c r="A60" s="253" t="s">
        <v>248</v>
      </c>
      <c r="B60" s="791" t="s">
        <v>606</v>
      </c>
      <c r="C60" s="792"/>
      <c r="D60" s="792"/>
      <c r="E60" s="793"/>
    </row>
    <row r="61" spans="1:5" ht="15.75" thickBot="1" x14ac:dyDescent="0.3">
      <c r="E61" s="252" t="s">
        <v>264</v>
      </c>
    </row>
    <row r="62" spans="1:5" ht="16.5" thickBot="1" x14ac:dyDescent="0.3">
      <c r="A62" s="254" t="s">
        <v>250</v>
      </c>
      <c r="B62" s="255">
        <v>2018</v>
      </c>
      <c r="C62" s="255">
        <v>2019</v>
      </c>
      <c r="D62" s="255">
        <v>2020</v>
      </c>
      <c r="E62" s="256" t="s">
        <v>251</v>
      </c>
    </row>
    <row r="63" spans="1:5" ht="15.75" x14ac:dyDescent="0.25">
      <c r="A63" s="257" t="s">
        <v>252</v>
      </c>
      <c r="B63" s="258"/>
      <c r="C63" s="258"/>
      <c r="D63" s="258"/>
      <c r="E63" s="259">
        <f t="shared" ref="E63:E69" si="2">SUM(B63:D63)</f>
        <v>0</v>
      </c>
    </row>
    <row r="64" spans="1:5" ht="15.75" x14ac:dyDescent="0.25">
      <c r="A64" s="260" t="s">
        <v>253</v>
      </c>
      <c r="B64" s="261"/>
      <c r="C64" s="261"/>
      <c r="D64" s="261"/>
      <c r="E64" s="259">
        <f t="shared" si="2"/>
        <v>0</v>
      </c>
    </row>
    <row r="65" spans="1:5" ht="15.75" x14ac:dyDescent="0.25">
      <c r="A65" s="262" t="s">
        <v>254</v>
      </c>
      <c r="B65" s="261">
        <v>91864899</v>
      </c>
      <c r="C65" s="261">
        <v>70638414</v>
      </c>
      <c r="D65" s="261"/>
      <c r="E65" s="259">
        <f t="shared" si="2"/>
        <v>162503313</v>
      </c>
    </row>
    <row r="66" spans="1:5" ht="15.75" x14ac:dyDescent="0.25">
      <c r="A66" s="262" t="s">
        <v>255</v>
      </c>
      <c r="B66" s="261"/>
      <c r="C66" s="261"/>
      <c r="D66" s="261"/>
      <c r="E66" s="259">
        <f t="shared" si="2"/>
        <v>0</v>
      </c>
    </row>
    <row r="67" spans="1:5" ht="15.75" x14ac:dyDescent="0.25">
      <c r="A67" s="262" t="s">
        <v>256</v>
      </c>
      <c r="B67" s="261"/>
      <c r="C67" s="261"/>
      <c r="D67" s="261"/>
      <c r="E67" s="259">
        <f t="shared" si="2"/>
        <v>0</v>
      </c>
    </row>
    <row r="68" spans="1:5" ht="16.5" thickBot="1" x14ac:dyDescent="0.3">
      <c r="A68" s="263" t="s">
        <v>257</v>
      </c>
      <c r="B68" s="264"/>
      <c r="C68" s="264"/>
      <c r="D68" s="264"/>
      <c r="E68" s="265">
        <f t="shared" si="2"/>
        <v>0</v>
      </c>
    </row>
    <row r="69" spans="1:5" ht="16.5" thickBot="1" x14ac:dyDescent="0.3">
      <c r="A69" s="254" t="s">
        <v>258</v>
      </c>
      <c r="B69" s="266">
        <f>SUM(B63:B68)</f>
        <v>91864899</v>
      </c>
      <c r="C69" s="266">
        <f>SUM(C63:C68)</f>
        <v>70638414</v>
      </c>
      <c r="D69" s="266">
        <f>SUM(D63:D68)</f>
        <v>0</v>
      </c>
      <c r="E69" s="267">
        <f t="shared" si="2"/>
        <v>162503313</v>
      </c>
    </row>
    <row r="70" spans="1:5" ht="16.5" thickBot="1" x14ac:dyDescent="0.3">
      <c r="A70" s="268"/>
      <c r="B70" s="269"/>
      <c r="C70" s="269"/>
      <c r="D70" s="269"/>
      <c r="E70" s="269"/>
    </row>
    <row r="71" spans="1:5" ht="16.5" thickBot="1" x14ac:dyDescent="0.3">
      <c r="A71" s="254" t="s">
        <v>259</v>
      </c>
      <c r="B71" s="255">
        <v>2018</v>
      </c>
      <c r="C71" s="255">
        <v>2019</v>
      </c>
      <c r="D71" s="255">
        <v>2020</v>
      </c>
      <c r="E71" s="256" t="s">
        <v>251</v>
      </c>
    </row>
    <row r="72" spans="1:5" ht="15.75" x14ac:dyDescent="0.25">
      <c r="A72" s="257" t="s">
        <v>260</v>
      </c>
      <c r="B72" s="258">
        <v>22295500</v>
      </c>
      <c r="C72" s="258">
        <v>21887420</v>
      </c>
      <c r="D72" s="258"/>
      <c r="E72" s="259">
        <f>B72+C72</f>
        <v>44182920</v>
      </c>
    </row>
    <row r="73" spans="1:5" ht="15.75" x14ac:dyDescent="0.25">
      <c r="A73" s="262" t="s">
        <v>261</v>
      </c>
      <c r="B73" s="261">
        <v>69569399</v>
      </c>
      <c r="C73" s="261">
        <v>48750994</v>
      </c>
      <c r="D73" s="261"/>
      <c r="E73" s="259">
        <f>B73+C73</f>
        <v>118320393</v>
      </c>
    </row>
    <row r="74" spans="1:5" ht="15.75" x14ac:dyDescent="0.25">
      <c r="A74" s="262" t="s">
        <v>262</v>
      </c>
      <c r="B74" s="261"/>
      <c r="C74" s="261"/>
      <c r="D74" s="261"/>
      <c r="E74" s="259"/>
    </row>
    <row r="75" spans="1:5" ht="16.5" thickBot="1" x14ac:dyDescent="0.3">
      <c r="A75" s="263" t="s">
        <v>263</v>
      </c>
      <c r="B75" s="264"/>
      <c r="C75" s="264"/>
      <c r="D75" s="264"/>
      <c r="E75" s="265">
        <f>SUM(B75:D75)</f>
        <v>0</v>
      </c>
    </row>
    <row r="76" spans="1:5" ht="16.5" thickBot="1" x14ac:dyDescent="0.3">
      <c r="A76" s="254" t="s">
        <v>251</v>
      </c>
      <c r="B76" s="266">
        <f>SUM(B72:B75)</f>
        <v>91864899</v>
      </c>
      <c r="C76" s="266">
        <f>SUM(C72:C75)</f>
        <v>70638414</v>
      </c>
      <c r="D76" s="266">
        <f>SUM(D72:D75)</f>
        <v>0</v>
      </c>
      <c r="E76" s="267">
        <f>SUM(B76:D76)</f>
        <v>162503313</v>
      </c>
    </row>
    <row r="77" spans="1:5" ht="15.75" x14ac:dyDescent="0.25">
      <c r="A77" s="250"/>
      <c r="B77" s="251"/>
      <c r="C77" s="251"/>
      <c r="D77" s="251"/>
      <c r="E77" s="251"/>
    </row>
    <row r="78" spans="1:5" ht="15.75" x14ac:dyDescent="0.25">
      <c r="A78" s="250"/>
      <c r="B78" s="251"/>
      <c r="C78" s="251"/>
      <c r="D78" s="251"/>
      <c r="E78" s="251"/>
    </row>
    <row r="79" spans="1:5" ht="15.75" x14ac:dyDescent="0.25">
      <c r="A79" s="250"/>
      <c r="B79" s="251"/>
      <c r="C79" s="251"/>
      <c r="D79" s="251"/>
      <c r="E79" s="251"/>
    </row>
    <row r="80" spans="1:5" ht="18" x14ac:dyDescent="0.25">
      <c r="A80" s="784" t="s">
        <v>152</v>
      </c>
      <c r="B80" s="784"/>
      <c r="C80" s="784"/>
      <c r="D80" s="784"/>
      <c r="E80" s="784"/>
    </row>
    <row r="81" spans="1:5" ht="18.75" x14ac:dyDescent="0.3">
      <c r="A81" s="785" t="s">
        <v>4</v>
      </c>
      <c r="B81" s="785"/>
      <c r="C81" s="785"/>
      <c r="D81" s="785"/>
      <c r="E81" s="785"/>
    </row>
    <row r="83" spans="1:5" ht="45" customHeight="1" x14ac:dyDescent="0.25">
      <c r="A83" s="786" t="s">
        <v>247</v>
      </c>
      <c r="B83" s="786"/>
      <c r="C83" s="786"/>
      <c r="D83" s="786"/>
      <c r="E83" s="786"/>
    </row>
    <row r="84" spans="1:5" ht="15.75" x14ac:dyDescent="0.25">
      <c r="A84" s="250"/>
      <c r="B84" s="251"/>
      <c r="C84" s="251"/>
      <c r="D84" s="251"/>
      <c r="E84" s="251"/>
    </row>
    <row r="87" spans="1:5" ht="36" customHeight="1" x14ac:dyDescent="0.25">
      <c r="A87" s="253" t="s">
        <v>248</v>
      </c>
      <c r="B87" s="788" t="s">
        <v>249</v>
      </c>
      <c r="C87" s="789"/>
      <c r="D87" s="789"/>
      <c r="E87" s="790"/>
    </row>
    <row r="88" spans="1:5" ht="15.75" thickBot="1" x14ac:dyDescent="0.3">
      <c r="E88" s="252" t="s">
        <v>264</v>
      </c>
    </row>
    <row r="89" spans="1:5" ht="16.5" thickBot="1" x14ac:dyDescent="0.3">
      <c r="A89" s="254" t="s">
        <v>250</v>
      </c>
      <c r="B89" s="255">
        <v>2018</v>
      </c>
      <c r="C89" s="255">
        <v>2019</v>
      </c>
      <c r="D89" s="255">
        <v>2020</v>
      </c>
      <c r="E89" s="256" t="s">
        <v>251</v>
      </c>
    </row>
    <row r="90" spans="1:5" ht="15.75" x14ac:dyDescent="0.25">
      <c r="A90" s="257" t="s">
        <v>252</v>
      </c>
      <c r="B90" s="258"/>
      <c r="C90" s="258"/>
      <c r="D90" s="258"/>
      <c r="E90" s="259">
        <f t="shared" ref="E90:E96" si="3">SUM(B90:D90)</f>
        <v>0</v>
      </c>
    </row>
    <row r="91" spans="1:5" ht="15.75" x14ac:dyDescent="0.25">
      <c r="A91" s="260" t="s">
        <v>253</v>
      </c>
      <c r="B91" s="261"/>
      <c r="C91" s="261"/>
      <c r="D91" s="261"/>
      <c r="E91" s="259">
        <f t="shared" si="3"/>
        <v>0</v>
      </c>
    </row>
    <row r="92" spans="1:5" ht="15.75" x14ac:dyDescent="0.25">
      <c r="A92" s="262" t="s">
        <v>254</v>
      </c>
      <c r="B92" s="261">
        <v>148928941</v>
      </c>
      <c r="C92" s="261">
        <v>49642981</v>
      </c>
      <c r="D92" s="261"/>
      <c r="E92" s="259">
        <f t="shared" si="3"/>
        <v>198571922</v>
      </c>
    </row>
    <row r="93" spans="1:5" ht="15.75" x14ac:dyDescent="0.25">
      <c r="A93" s="262" t="s">
        <v>255</v>
      </c>
      <c r="B93" s="261"/>
      <c r="C93" s="261"/>
      <c r="D93" s="261"/>
      <c r="E93" s="259">
        <f t="shared" si="3"/>
        <v>0</v>
      </c>
    </row>
    <row r="94" spans="1:5" ht="15.75" x14ac:dyDescent="0.25">
      <c r="A94" s="262" t="s">
        <v>256</v>
      </c>
      <c r="B94" s="261"/>
      <c r="C94" s="261"/>
      <c r="D94" s="261"/>
      <c r="E94" s="259">
        <f t="shared" si="3"/>
        <v>0</v>
      </c>
    </row>
    <row r="95" spans="1:5" ht="16.5" thickBot="1" x14ac:dyDescent="0.3">
      <c r="A95" s="263" t="s">
        <v>257</v>
      </c>
      <c r="B95" s="264"/>
      <c r="C95" s="264"/>
      <c r="D95" s="264"/>
      <c r="E95" s="265">
        <f t="shared" si="3"/>
        <v>0</v>
      </c>
    </row>
    <row r="96" spans="1:5" ht="16.5" thickBot="1" x14ac:dyDescent="0.3">
      <c r="A96" s="254" t="s">
        <v>258</v>
      </c>
      <c r="B96" s="266">
        <f>SUM(B90:B95)</f>
        <v>148928941</v>
      </c>
      <c r="C96" s="266">
        <f>SUM(C90:C95)</f>
        <v>49642981</v>
      </c>
      <c r="D96" s="266">
        <f>SUM(D90:D95)</f>
        <v>0</v>
      </c>
      <c r="E96" s="267">
        <f t="shared" si="3"/>
        <v>198571922</v>
      </c>
    </row>
    <row r="97" spans="1:5" ht="16.5" thickBot="1" x14ac:dyDescent="0.3">
      <c r="A97" s="268"/>
      <c r="B97" s="269"/>
      <c r="C97" s="269"/>
      <c r="D97" s="269"/>
      <c r="E97" s="269"/>
    </row>
    <row r="98" spans="1:5" ht="16.5" thickBot="1" x14ac:dyDescent="0.3">
      <c r="A98" s="254" t="s">
        <v>259</v>
      </c>
      <c r="B98" s="255">
        <v>2018</v>
      </c>
      <c r="C98" s="255">
        <v>2019</v>
      </c>
      <c r="D98" s="255">
        <v>2020</v>
      </c>
      <c r="E98" s="256" t="s">
        <v>251</v>
      </c>
    </row>
    <row r="99" spans="1:5" ht="15.75" x14ac:dyDescent="0.25">
      <c r="A99" s="257" t="s">
        <v>260</v>
      </c>
      <c r="B99" s="258"/>
      <c r="C99" s="258"/>
      <c r="D99" s="258"/>
      <c r="E99" s="259"/>
    </row>
    <row r="100" spans="1:5" ht="15.75" x14ac:dyDescent="0.25">
      <c r="A100" s="262" t="s">
        <v>261</v>
      </c>
      <c r="B100" s="261">
        <v>148928941</v>
      </c>
      <c r="C100" s="261">
        <v>49642981</v>
      </c>
      <c r="D100" s="261"/>
      <c r="E100" s="259">
        <f>B100+C100</f>
        <v>198571922</v>
      </c>
    </row>
    <row r="101" spans="1:5" ht="15.75" x14ac:dyDescent="0.25">
      <c r="A101" s="262" t="s">
        <v>262</v>
      </c>
      <c r="B101" s="261"/>
      <c r="C101" s="261"/>
      <c r="D101" s="261"/>
      <c r="E101" s="259"/>
    </row>
    <row r="102" spans="1:5" ht="16.5" thickBot="1" x14ac:dyDescent="0.3">
      <c r="A102" s="263" t="s">
        <v>263</v>
      </c>
      <c r="B102" s="264"/>
      <c r="C102" s="264"/>
      <c r="D102" s="264"/>
      <c r="E102" s="265">
        <f>SUM(B102:D102)</f>
        <v>0</v>
      </c>
    </row>
    <row r="103" spans="1:5" ht="16.5" thickBot="1" x14ac:dyDescent="0.3">
      <c r="A103" s="254" t="s">
        <v>251</v>
      </c>
      <c r="B103" s="266">
        <f>SUM(B99:B102)</f>
        <v>148928941</v>
      </c>
      <c r="C103" s="266">
        <f>SUM(C99:C102)</f>
        <v>49642981</v>
      </c>
      <c r="D103" s="266">
        <f>SUM(D99:D102)</f>
        <v>0</v>
      </c>
      <c r="E103" s="267">
        <f>SUM(B103:D103)</f>
        <v>198571922</v>
      </c>
    </row>
    <row r="104" spans="1:5" ht="15.75" x14ac:dyDescent="0.25">
      <c r="A104" s="250"/>
      <c r="B104" s="251"/>
      <c r="C104" s="251"/>
      <c r="D104" s="251"/>
      <c r="E104" s="251"/>
    </row>
    <row r="105" spans="1:5" ht="15.75" x14ac:dyDescent="0.25">
      <c r="A105" s="250"/>
      <c r="B105" s="251"/>
      <c r="C105" s="251"/>
      <c r="D105" s="251"/>
      <c r="E105" s="251"/>
    </row>
    <row r="106" spans="1:5" ht="15.75" x14ac:dyDescent="0.25">
      <c r="A106" s="250"/>
      <c r="B106" s="251"/>
      <c r="C106" s="251"/>
      <c r="D106" s="251"/>
      <c r="E106" s="251"/>
    </row>
    <row r="107" spans="1:5" ht="18" x14ac:dyDescent="0.25">
      <c r="A107" s="784" t="s">
        <v>152</v>
      </c>
      <c r="B107" s="784"/>
      <c r="C107" s="784"/>
      <c r="D107" s="784"/>
      <c r="E107" s="784"/>
    </row>
    <row r="108" spans="1:5" ht="18.75" x14ac:dyDescent="0.3">
      <c r="A108" s="785" t="s">
        <v>4</v>
      </c>
      <c r="B108" s="785"/>
      <c r="C108" s="785"/>
      <c r="D108" s="785"/>
      <c r="E108" s="785"/>
    </row>
    <row r="110" spans="1:5" ht="45" customHeight="1" x14ac:dyDescent="0.25">
      <c r="A110" s="786" t="s">
        <v>247</v>
      </c>
      <c r="B110" s="786"/>
      <c r="C110" s="786"/>
      <c r="D110" s="786"/>
      <c r="E110" s="786"/>
    </row>
    <row r="111" spans="1:5" ht="15.75" x14ac:dyDescent="0.25">
      <c r="A111" s="250"/>
      <c r="B111" s="251"/>
      <c r="C111" s="251"/>
      <c r="D111" s="251"/>
      <c r="E111" s="251"/>
    </row>
    <row r="112" spans="1:5" ht="15.75" x14ac:dyDescent="0.25">
      <c r="A112" s="250"/>
      <c r="B112" s="251"/>
      <c r="C112" s="251"/>
      <c r="D112" s="251"/>
      <c r="E112" s="251"/>
    </row>
    <row r="115" spans="1:5" ht="15.75" x14ac:dyDescent="0.25">
      <c r="A115" s="253" t="s">
        <v>609</v>
      </c>
      <c r="B115" s="791" t="s">
        <v>605</v>
      </c>
      <c r="C115" s="792"/>
      <c r="D115" s="792"/>
      <c r="E115" s="793"/>
    </row>
    <row r="116" spans="1:5" ht="15.75" thickBot="1" x14ac:dyDescent="0.3">
      <c r="E116" s="252" t="s">
        <v>264</v>
      </c>
    </row>
    <row r="117" spans="1:5" ht="16.5" thickBot="1" x14ac:dyDescent="0.3">
      <c r="A117" s="254" t="s">
        <v>250</v>
      </c>
      <c r="B117" s="255">
        <v>2018</v>
      </c>
      <c r="C117" s="255">
        <v>2019</v>
      </c>
      <c r="D117" s="255">
        <v>2020</v>
      </c>
      <c r="E117" s="256" t="s">
        <v>251</v>
      </c>
    </row>
    <row r="118" spans="1:5" ht="15.75" x14ac:dyDescent="0.25">
      <c r="A118" s="257" t="s">
        <v>252</v>
      </c>
      <c r="B118" s="258">
        <v>5433393</v>
      </c>
      <c r="C118" s="258">
        <v>9138307</v>
      </c>
      <c r="D118" s="258"/>
      <c r="E118" s="259">
        <f t="shared" ref="E118:E124" si="4">SUM(B118:D118)</f>
        <v>14571700</v>
      </c>
    </row>
    <row r="119" spans="1:5" ht="15.75" x14ac:dyDescent="0.25">
      <c r="A119" s="260" t="s">
        <v>253</v>
      </c>
      <c r="B119" s="261"/>
      <c r="C119" s="261"/>
      <c r="D119" s="261"/>
      <c r="E119" s="259">
        <f t="shared" si="4"/>
        <v>0</v>
      </c>
    </row>
    <row r="120" spans="1:5" ht="15.75" x14ac:dyDescent="0.25">
      <c r="A120" s="262" t="s">
        <v>254</v>
      </c>
      <c r="B120" s="261">
        <v>9538913</v>
      </c>
      <c r="C120" s="261">
        <v>34176189</v>
      </c>
      <c r="D120" s="261"/>
      <c r="E120" s="259">
        <f t="shared" si="4"/>
        <v>43715102</v>
      </c>
    </row>
    <row r="121" spans="1:5" ht="15.75" x14ac:dyDescent="0.25">
      <c r="A121" s="262" t="s">
        <v>255</v>
      </c>
      <c r="B121" s="261"/>
      <c r="C121" s="261"/>
      <c r="D121" s="261"/>
      <c r="E121" s="259">
        <f t="shared" si="4"/>
        <v>0</v>
      </c>
    </row>
    <row r="122" spans="1:5" ht="15.75" x14ac:dyDescent="0.25">
      <c r="A122" s="262" t="s">
        <v>256</v>
      </c>
      <c r="B122" s="261"/>
      <c r="C122" s="261"/>
      <c r="D122" s="261"/>
      <c r="E122" s="259">
        <f t="shared" si="4"/>
        <v>0</v>
      </c>
    </row>
    <row r="123" spans="1:5" ht="16.5" thickBot="1" x14ac:dyDescent="0.3">
      <c r="A123" s="263" t="s">
        <v>257</v>
      </c>
      <c r="B123" s="264"/>
      <c r="C123" s="264"/>
      <c r="D123" s="264"/>
      <c r="E123" s="265">
        <f t="shared" si="4"/>
        <v>0</v>
      </c>
    </row>
    <row r="124" spans="1:5" ht="16.5" thickBot="1" x14ac:dyDescent="0.3">
      <c r="A124" s="254" t="s">
        <v>258</v>
      </c>
      <c r="B124" s="266">
        <f>SUM(B118:B123)</f>
        <v>14972306</v>
      </c>
      <c r="C124" s="266">
        <f>SUM(C118:C123)</f>
        <v>43314496</v>
      </c>
      <c r="D124" s="266">
        <f>SUM(D118:D123)</f>
        <v>0</v>
      </c>
      <c r="E124" s="267">
        <f t="shared" si="4"/>
        <v>58286802</v>
      </c>
    </row>
    <row r="125" spans="1:5" ht="16.5" thickBot="1" x14ac:dyDescent="0.3">
      <c r="A125" s="268"/>
      <c r="B125" s="269"/>
      <c r="C125" s="269"/>
      <c r="D125" s="269"/>
      <c r="E125" s="269"/>
    </row>
    <row r="126" spans="1:5" ht="16.5" thickBot="1" x14ac:dyDescent="0.3">
      <c r="A126" s="254" t="s">
        <v>259</v>
      </c>
      <c r="B126" s="255">
        <v>2018</v>
      </c>
      <c r="C126" s="255">
        <v>2019</v>
      </c>
      <c r="D126" s="255">
        <v>2020</v>
      </c>
      <c r="E126" s="256" t="s">
        <v>251</v>
      </c>
    </row>
    <row r="127" spans="1:5" ht="15.75" x14ac:dyDescent="0.25">
      <c r="A127" s="257" t="s">
        <v>260</v>
      </c>
      <c r="B127" s="258"/>
      <c r="C127" s="258"/>
      <c r="D127" s="258"/>
      <c r="E127" s="259"/>
    </row>
    <row r="128" spans="1:5" ht="15.75" x14ac:dyDescent="0.25">
      <c r="A128" s="262" t="s">
        <v>261</v>
      </c>
      <c r="B128" s="261"/>
      <c r="C128" s="261"/>
      <c r="D128" s="261"/>
      <c r="E128" s="259"/>
    </row>
    <row r="129" spans="1:5" ht="15.75" x14ac:dyDescent="0.25">
      <c r="A129" s="262" t="s">
        <v>262</v>
      </c>
      <c r="B129" s="261">
        <v>14972306</v>
      </c>
      <c r="C129" s="261">
        <v>43314496</v>
      </c>
      <c r="D129" s="261"/>
      <c r="E129" s="259">
        <f>B129+C129</f>
        <v>58286802</v>
      </c>
    </row>
    <row r="130" spans="1:5" ht="16.5" thickBot="1" x14ac:dyDescent="0.3">
      <c r="A130" s="263" t="s">
        <v>263</v>
      </c>
      <c r="B130" s="264"/>
      <c r="C130" s="264"/>
      <c r="D130" s="264"/>
      <c r="E130" s="265">
        <f>SUM(B130:D130)</f>
        <v>0</v>
      </c>
    </row>
    <row r="131" spans="1:5" ht="16.5" thickBot="1" x14ac:dyDescent="0.3">
      <c r="A131" s="254" t="s">
        <v>251</v>
      </c>
      <c r="B131" s="266">
        <f>SUM(B127:B130)</f>
        <v>14972306</v>
      </c>
      <c r="C131" s="266">
        <f>SUM(C127:C130)</f>
        <v>43314496</v>
      </c>
      <c r="D131" s="266">
        <f>SUM(D127:D130)</f>
        <v>0</v>
      </c>
      <c r="E131" s="267">
        <f>SUM(B131:D131)</f>
        <v>58286802</v>
      </c>
    </row>
    <row r="133" spans="1:5" x14ac:dyDescent="0.25">
      <c r="A133" s="249" t="s">
        <v>251</v>
      </c>
      <c r="B133" s="252">
        <f>B131+B103+B76+B47+B24</f>
        <v>289309944</v>
      </c>
      <c r="C133" s="252">
        <f t="shared" ref="C133:E133" si="5">C131+C103+C76+C47+C24</f>
        <v>181385451</v>
      </c>
      <c r="D133" s="252">
        <f t="shared" si="5"/>
        <v>0</v>
      </c>
      <c r="E133" s="252">
        <f t="shared" si="5"/>
        <v>470695395</v>
      </c>
    </row>
  </sheetData>
  <mergeCells count="21">
    <mergeCell ref="A107:E107"/>
    <mergeCell ref="A108:E108"/>
    <mergeCell ref="A110:E110"/>
    <mergeCell ref="B115:E115"/>
    <mergeCell ref="B60:E60"/>
    <mergeCell ref="A80:E80"/>
    <mergeCell ref="A81:E81"/>
    <mergeCell ref="A83:E83"/>
    <mergeCell ref="B87:E87"/>
    <mergeCell ref="A29:E29"/>
    <mergeCell ref="B31:E31"/>
    <mergeCell ref="A53:E53"/>
    <mergeCell ref="A54:E54"/>
    <mergeCell ref="A56:E56"/>
    <mergeCell ref="A26:E26"/>
    <mergeCell ref="A27:E27"/>
    <mergeCell ref="A1:E1"/>
    <mergeCell ref="A2:E2"/>
    <mergeCell ref="A4:E4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7" workbookViewId="0">
      <selection activeCell="D17" sqref="D17"/>
    </sheetView>
  </sheetViews>
  <sheetFormatPr defaultColWidth="8" defaultRowHeight="12.75" x14ac:dyDescent="0.25"/>
  <cols>
    <col min="1" max="1" width="5" style="270" customWidth="1"/>
    <col min="2" max="2" width="47" style="271" customWidth="1"/>
    <col min="3" max="4" width="15.140625" style="271" customWidth="1"/>
    <col min="5" max="16384" width="8" style="271"/>
  </cols>
  <sheetData>
    <row r="1" spans="1:4" ht="18" x14ac:dyDescent="0.25">
      <c r="B1" s="794" t="s">
        <v>265</v>
      </c>
      <c r="C1" s="795"/>
    </row>
    <row r="3" spans="1:4" ht="18" x14ac:dyDescent="0.25">
      <c r="B3" s="794" t="s">
        <v>4</v>
      </c>
      <c r="C3" s="795"/>
    </row>
    <row r="4" spans="1:4" ht="18" x14ac:dyDescent="0.25">
      <c r="B4" s="794" t="s">
        <v>266</v>
      </c>
      <c r="C4" s="795"/>
    </row>
    <row r="5" spans="1:4" s="273" customFormat="1" ht="15.75" thickBot="1" x14ac:dyDescent="0.3">
      <c r="A5" s="272"/>
      <c r="D5" s="274" t="s">
        <v>267</v>
      </c>
    </row>
    <row r="6" spans="1:4" s="278" customFormat="1" ht="48" customHeight="1" thickBot="1" x14ac:dyDescent="0.3">
      <c r="A6" s="275" t="s">
        <v>7</v>
      </c>
      <c r="B6" s="276" t="s">
        <v>268</v>
      </c>
      <c r="C6" s="276" t="s">
        <v>269</v>
      </c>
      <c r="D6" s="277" t="s">
        <v>270</v>
      </c>
    </row>
    <row r="7" spans="1:4" s="278" customFormat="1" ht="13.5" thickBot="1" x14ac:dyDescent="0.3">
      <c r="A7" s="279">
        <v>1</v>
      </c>
      <c r="B7" s="280">
        <v>2</v>
      </c>
      <c r="C7" s="280">
        <v>3</v>
      </c>
      <c r="D7" s="281">
        <v>4</v>
      </c>
    </row>
    <row r="8" spans="1:4" x14ac:dyDescent="0.25">
      <c r="A8" s="282" t="s">
        <v>45</v>
      </c>
      <c r="B8" s="283" t="s">
        <v>271</v>
      </c>
      <c r="C8" s="284"/>
      <c r="D8" s="285"/>
    </row>
    <row r="9" spans="1:4" x14ac:dyDescent="0.25">
      <c r="A9" s="286" t="s">
        <v>47</v>
      </c>
      <c r="B9" s="287" t="s">
        <v>272</v>
      </c>
      <c r="C9" s="288"/>
      <c r="D9" s="289"/>
    </row>
    <row r="10" spans="1:4" x14ac:dyDescent="0.25">
      <c r="A10" s="286" t="s">
        <v>55</v>
      </c>
      <c r="B10" s="287" t="s">
        <v>273</v>
      </c>
      <c r="C10" s="288"/>
      <c r="D10" s="289"/>
    </row>
    <row r="11" spans="1:4" x14ac:dyDescent="0.25">
      <c r="A11" s="286" t="s">
        <v>18</v>
      </c>
      <c r="B11" s="287" t="s">
        <v>274</v>
      </c>
      <c r="C11" s="288"/>
      <c r="D11" s="289"/>
    </row>
    <row r="12" spans="1:4" x14ac:dyDescent="0.25">
      <c r="A12" s="286" t="s">
        <v>20</v>
      </c>
      <c r="B12" s="287" t="s">
        <v>275</v>
      </c>
      <c r="C12" s="288"/>
      <c r="D12" s="289"/>
    </row>
    <row r="13" spans="1:4" x14ac:dyDescent="0.25">
      <c r="A13" s="286" t="s">
        <v>31</v>
      </c>
      <c r="B13" s="287" t="s">
        <v>276</v>
      </c>
      <c r="C13" s="288"/>
      <c r="D13" s="289"/>
    </row>
    <row r="14" spans="1:4" x14ac:dyDescent="0.25">
      <c r="A14" s="286" t="s">
        <v>33</v>
      </c>
      <c r="B14" s="290" t="s">
        <v>277</v>
      </c>
      <c r="C14" s="288"/>
      <c r="D14" s="289"/>
    </row>
    <row r="15" spans="1:4" x14ac:dyDescent="0.25">
      <c r="A15" s="286" t="s">
        <v>35</v>
      </c>
      <c r="B15" s="290" t="s">
        <v>278</v>
      </c>
      <c r="C15" s="288"/>
      <c r="D15" s="289"/>
    </row>
    <row r="16" spans="1:4" x14ac:dyDescent="0.25">
      <c r="A16" s="286" t="s">
        <v>143</v>
      </c>
      <c r="B16" s="290" t="s">
        <v>279</v>
      </c>
      <c r="C16" s="288">
        <v>8900250</v>
      </c>
      <c r="D16" s="289">
        <v>801975</v>
      </c>
    </row>
    <row r="17" spans="1:4" x14ac:dyDescent="0.25">
      <c r="A17" s="286" t="s">
        <v>144</v>
      </c>
      <c r="B17" s="290" t="s">
        <v>280</v>
      </c>
      <c r="C17" s="288"/>
      <c r="D17" s="289"/>
    </row>
    <row r="18" spans="1:4" x14ac:dyDescent="0.25">
      <c r="A18" s="286" t="s">
        <v>145</v>
      </c>
      <c r="B18" s="290" t="s">
        <v>281</v>
      </c>
      <c r="C18" s="288"/>
      <c r="D18" s="289"/>
    </row>
    <row r="19" spans="1:4" ht="22.5" x14ac:dyDescent="0.25">
      <c r="A19" s="286" t="s">
        <v>282</v>
      </c>
      <c r="B19" s="290" t="s">
        <v>283</v>
      </c>
      <c r="C19" s="288"/>
      <c r="D19" s="289"/>
    </row>
    <row r="20" spans="1:4" x14ac:dyDescent="0.25">
      <c r="A20" s="286" t="s">
        <v>284</v>
      </c>
      <c r="B20" s="287" t="s">
        <v>285</v>
      </c>
      <c r="C20" s="288"/>
      <c r="D20" s="289"/>
    </row>
    <row r="21" spans="1:4" x14ac:dyDescent="0.25">
      <c r="A21" s="286" t="s">
        <v>286</v>
      </c>
      <c r="B21" s="287" t="s">
        <v>287</v>
      </c>
      <c r="C21" s="288"/>
      <c r="D21" s="289"/>
    </row>
    <row r="22" spans="1:4" x14ac:dyDescent="0.25">
      <c r="A22" s="286" t="s">
        <v>288</v>
      </c>
      <c r="B22" s="287" t="s">
        <v>289</v>
      </c>
      <c r="C22" s="288"/>
      <c r="D22" s="289"/>
    </row>
    <row r="23" spans="1:4" x14ac:dyDescent="0.25">
      <c r="A23" s="286" t="s">
        <v>290</v>
      </c>
      <c r="B23" s="287" t="s">
        <v>291</v>
      </c>
      <c r="C23" s="288"/>
      <c r="D23" s="289"/>
    </row>
    <row r="24" spans="1:4" x14ac:dyDescent="0.25">
      <c r="A24" s="286" t="s">
        <v>292</v>
      </c>
      <c r="B24" s="287" t="s">
        <v>293</v>
      </c>
      <c r="C24" s="288"/>
      <c r="D24" s="289"/>
    </row>
    <row r="25" spans="1:4" ht="13.5" thickBot="1" x14ac:dyDescent="0.3">
      <c r="A25" s="286" t="s">
        <v>294</v>
      </c>
      <c r="B25" s="291"/>
      <c r="C25" s="292"/>
      <c r="D25" s="289"/>
    </row>
    <row r="26" spans="1:4" ht="13.5" thickBot="1" x14ac:dyDescent="0.3">
      <c r="A26" s="293" t="s">
        <v>295</v>
      </c>
      <c r="B26" s="294" t="s">
        <v>296</v>
      </c>
      <c r="C26" s="295">
        <f>SUM(C8:C25)</f>
        <v>8900250</v>
      </c>
      <c r="D26" s="296">
        <f>SUM(D8:D25)</f>
        <v>801975</v>
      </c>
    </row>
    <row r="27" spans="1:4" x14ac:dyDescent="0.25">
      <c r="A27" s="297"/>
      <c r="B27" s="796"/>
      <c r="C27" s="796"/>
      <c r="D27" s="796"/>
    </row>
  </sheetData>
  <mergeCells count="4">
    <mergeCell ref="B1:C1"/>
    <mergeCell ref="B3:C3"/>
    <mergeCell ref="B4:C4"/>
    <mergeCell ref="B27:D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2" workbookViewId="0">
      <selection activeCell="L19" sqref="L19"/>
    </sheetView>
  </sheetViews>
  <sheetFormatPr defaultColWidth="8" defaultRowHeight="12.75" x14ac:dyDescent="0.25"/>
  <cols>
    <col min="1" max="1" width="5.85546875" style="213" customWidth="1"/>
    <col min="2" max="2" width="42.5703125" style="142" customWidth="1"/>
    <col min="3" max="3" width="12.140625" style="142" bestFit="1" customWidth="1"/>
    <col min="4" max="4" width="11" style="142" customWidth="1"/>
    <col min="5" max="5" width="15.42578125" style="142" bestFit="1" customWidth="1"/>
    <col min="6" max="8" width="11" style="142" customWidth="1"/>
    <col min="9" max="9" width="14" style="142" bestFit="1" customWidth="1"/>
    <col min="10" max="11" width="8" style="142"/>
    <col min="12" max="12" width="11.28515625" style="142" bestFit="1" customWidth="1"/>
    <col min="13" max="16384" width="8" style="142"/>
  </cols>
  <sheetData>
    <row r="1" spans="1:9" ht="18" x14ac:dyDescent="0.25">
      <c r="B1" s="801" t="s">
        <v>297</v>
      </c>
      <c r="C1" s="802"/>
      <c r="D1" s="802"/>
      <c r="E1" s="802"/>
      <c r="F1" s="802"/>
      <c r="G1" s="802"/>
      <c r="H1" s="802"/>
    </row>
    <row r="2" spans="1:9" ht="18.75" x14ac:dyDescent="0.25">
      <c r="B2" s="801" t="s">
        <v>4</v>
      </c>
      <c r="C2" s="801"/>
      <c r="D2" s="801"/>
      <c r="E2" s="801"/>
      <c r="F2" s="801"/>
      <c r="G2" s="801"/>
      <c r="H2" s="801"/>
      <c r="I2" s="214" t="s">
        <v>298</v>
      </c>
    </row>
    <row r="3" spans="1:9" ht="18" x14ac:dyDescent="0.25">
      <c r="B3" s="801" t="s">
        <v>299</v>
      </c>
      <c r="C3" s="802"/>
      <c r="D3" s="802"/>
      <c r="E3" s="802"/>
      <c r="F3" s="802"/>
      <c r="G3" s="802"/>
      <c r="H3" s="802"/>
    </row>
    <row r="5" spans="1:9" ht="14.25" thickBot="1" x14ac:dyDescent="0.3">
      <c r="I5" s="298" t="s">
        <v>300</v>
      </c>
    </row>
    <row r="6" spans="1:9" x14ac:dyDescent="0.25">
      <c r="A6" s="803" t="s">
        <v>301</v>
      </c>
      <c r="B6" s="797" t="s">
        <v>302</v>
      </c>
      <c r="C6" s="803" t="s">
        <v>303</v>
      </c>
      <c r="D6" s="803" t="s">
        <v>304</v>
      </c>
      <c r="E6" s="805" t="s">
        <v>305</v>
      </c>
      <c r="F6" s="806"/>
      <c r="G6" s="806"/>
      <c r="H6" s="807"/>
      <c r="I6" s="797" t="s">
        <v>251</v>
      </c>
    </row>
    <row r="7" spans="1:9" ht="13.5" thickBot="1" x14ac:dyDescent="0.3">
      <c r="A7" s="804"/>
      <c r="B7" s="798"/>
      <c r="C7" s="798"/>
      <c r="D7" s="804"/>
      <c r="E7" s="299" t="s">
        <v>306</v>
      </c>
      <c r="F7" s="299" t="s">
        <v>307</v>
      </c>
      <c r="G7" s="299" t="s">
        <v>308</v>
      </c>
      <c r="H7" s="300" t="s">
        <v>309</v>
      </c>
      <c r="I7" s="798"/>
    </row>
    <row r="8" spans="1:9" ht="13.5" thickBot="1" x14ac:dyDescent="0.3">
      <c r="A8" s="301">
        <v>1</v>
      </c>
      <c r="B8" s="302">
        <v>2</v>
      </c>
      <c r="C8" s="303">
        <v>3</v>
      </c>
      <c r="D8" s="302">
        <v>4</v>
      </c>
      <c r="E8" s="301">
        <v>5</v>
      </c>
      <c r="F8" s="303">
        <v>6</v>
      </c>
      <c r="G8" s="303">
        <v>7</v>
      </c>
      <c r="H8" s="304">
        <v>8</v>
      </c>
      <c r="I8" s="305" t="s">
        <v>310</v>
      </c>
    </row>
    <row r="9" spans="1:9" ht="13.5" thickBot="1" x14ac:dyDescent="0.3">
      <c r="A9" s="306" t="s">
        <v>45</v>
      </c>
      <c r="B9" s="307" t="s">
        <v>311</v>
      </c>
      <c r="C9" s="308"/>
      <c r="D9" s="309">
        <f>SUM(D10:D11)</f>
        <v>0</v>
      </c>
      <c r="E9" s="310"/>
      <c r="F9" s="311"/>
      <c r="G9" s="311"/>
      <c r="H9" s="312"/>
      <c r="I9" s="313"/>
    </row>
    <row r="10" spans="1:9" x14ac:dyDescent="0.25">
      <c r="A10" s="314" t="s">
        <v>47</v>
      </c>
      <c r="B10" s="315"/>
      <c r="C10" s="316"/>
      <c r="D10" s="317"/>
      <c r="E10" s="318"/>
      <c r="F10" s="319"/>
      <c r="G10" s="319"/>
      <c r="H10" s="320"/>
      <c r="I10" s="321">
        <f t="shared" ref="I10:I26" si="0">SUM(D10:H10)</f>
        <v>0</v>
      </c>
    </row>
    <row r="11" spans="1:9" ht="13.5" thickBot="1" x14ac:dyDescent="0.3">
      <c r="A11" s="314" t="s">
        <v>55</v>
      </c>
      <c r="B11" s="315"/>
      <c r="C11" s="316"/>
      <c r="D11" s="317"/>
      <c r="E11" s="318"/>
      <c r="F11" s="319"/>
      <c r="G11" s="319"/>
      <c r="H11" s="320"/>
      <c r="I11" s="321">
        <f t="shared" si="0"/>
        <v>0</v>
      </c>
    </row>
    <row r="12" spans="1:9" ht="13.5" thickBot="1" x14ac:dyDescent="0.3">
      <c r="A12" s="306" t="s">
        <v>18</v>
      </c>
      <c r="B12" s="322" t="s">
        <v>312</v>
      </c>
      <c r="C12" s="323"/>
      <c r="D12" s="309">
        <f>SUM(D13:D14)</f>
        <v>0</v>
      </c>
      <c r="E12" s="310">
        <f>SUM(E13:E14)</f>
        <v>0</v>
      </c>
      <c r="F12" s="311">
        <f>SUM(F13:F14)</f>
        <v>0</v>
      </c>
      <c r="G12" s="311">
        <f>SUM(G13:G14)</f>
        <v>0</v>
      </c>
      <c r="H12" s="312">
        <f>SUM(H13:H14)</f>
        <v>0</v>
      </c>
      <c r="I12" s="313">
        <f t="shared" si="0"/>
        <v>0</v>
      </c>
    </row>
    <row r="13" spans="1:9" x14ac:dyDescent="0.25">
      <c r="A13" s="314" t="s">
        <v>20</v>
      </c>
      <c r="B13" s="315"/>
      <c r="C13" s="324"/>
      <c r="D13" s="317"/>
      <c r="E13" s="318"/>
      <c r="F13" s="319"/>
      <c r="G13" s="319"/>
      <c r="H13" s="320"/>
      <c r="I13" s="321">
        <f t="shared" si="0"/>
        <v>0</v>
      </c>
    </row>
    <row r="14" spans="1:9" ht="13.5" thickBot="1" x14ac:dyDescent="0.3">
      <c r="A14" s="314" t="s">
        <v>31</v>
      </c>
      <c r="B14" s="315"/>
      <c r="C14" s="316"/>
      <c r="D14" s="317"/>
      <c r="E14" s="318"/>
      <c r="F14" s="319"/>
      <c r="G14" s="319"/>
      <c r="H14" s="320"/>
      <c r="I14" s="321">
        <f t="shared" si="0"/>
        <v>0</v>
      </c>
    </row>
    <row r="15" spans="1:9" s="330" customFormat="1" ht="15" thickBot="1" x14ac:dyDescent="0.3">
      <c r="A15" s="325" t="s">
        <v>33</v>
      </c>
      <c r="B15" s="326" t="s">
        <v>313</v>
      </c>
      <c r="C15" s="327"/>
      <c r="D15" s="328">
        <f>SUM(D16:D16)</f>
        <v>0</v>
      </c>
      <c r="E15" s="329">
        <f>E16+E17+E18+E19+E20</f>
        <v>289310</v>
      </c>
      <c r="F15" s="329">
        <f t="shared" ref="F15:I15" si="1">F16+F17+F18+F19+F20</f>
        <v>181385</v>
      </c>
      <c r="G15" s="329">
        <f t="shared" si="1"/>
        <v>0</v>
      </c>
      <c r="H15" s="329">
        <f t="shared" si="1"/>
        <v>0</v>
      </c>
      <c r="I15" s="329">
        <f t="shared" si="1"/>
        <v>470695</v>
      </c>
    </row>
    <row r="16" spans="1:9" ht="38.25" x14ac:dyDescent="0.25">
      <c r="A16" s="331" t="s">
        <v>35</v>
      </c>
      <c r="B16" s="332" t="s">
        <v>249</v>
      </c>
      <c r="C16" s="332"/>
      <c r="D16" s="332"/>
      <c r="E16" s="332">
        <v>148929</v>
      </c>
      <c r="F16" s="333">
        <v>49643</v>
      </c>
      <c r="G16" s="334"/>
      <c r="H16" s="335"/>
      <c r="I16" s="336">
        <f t="shared" si="0"/>
        <v>198572</v>
      </c>
    </row>
    <row r="17" spans="1:9" ht="29.25" customHeight="1" x14ac:dyDescent="0.25">
      <c r="A17" s="331" t="s">
        <v>143</v>
      </c>
      <c r="B17" s="524" t="s">
        <v>605</v>
      </c>
      <c r="C17" s="332"/>
      <c r="D17" s="519"/>
      <c r="E17" s="332">
        <v>14973</v>
      </c>
      <c r="F17" s="521">
        <v>43314</v>
      </c>
      <c r="G17" s="157"/>
      <c r="H17" s="522"/>
      <c r="I17" s="336">
        <f t="shared" si="0"/>
        <v>58287</v>
      </c>
    </row>
    <row r="18" spans="1:9" ht="33" customHeight="1" x14ac:dyDescent="0.25">
      <c r="A18" s="331" t="s">
        <v>144</v>
      </c>
      <c r="B18" s="525" t="s">
        <v>606</v>
      </c>
      <c r="C18" s="332"/>
      <c r="D18" s="519"/>
      <c r="E18" s="332">
        <v>91865</v>
      </c>
      <c r="F18" s="521">
        <v>70638</v>
      </c>
      <c r="G18" s="157"/>
      <c r="H18" s="522"/>
      <c r="I18" s="336">
        <f t="shared" si="0"/>
        <v>162503</v>
      </c>
    </row>
    <row r="19" spans="1:9" ht="78.75" x14ac:dyDescent="0.25">
      <c r="A19" s="331" t="s">
        <v>145</v>
      </c>
      <c r="B19" s="510" t="s">
        <v>607</v>
      </c>
      <c r="C19" s="332"/>
      <c r="D19" s="519"/>
      <c r="E19" s="332">
        <v>18070</v>
      </c>
      <c r="F19" s="521">
        <v>1884</v>
      </c>
      <c r="G19" s="157"/>
      <c r="H19" s="522"/>
      <c r="I19" s="336">
        <f t="shared" si="0"/>
        <v>19954</v>
      </c>
    </row>
    <row r="20" spans="1:9" ht="47.25" x14ac:dyDescent="0.25">
      <c r="A20" s="331" t="s">
        <v>282</v>
      </c>
      <c r="B20" s="338" t="s">
        <v>608</v>
      </c>
      <c r="C20" s="332"/>
      <c r="D20" s="519"/>
      <c r="E20" s="332">
        <v>15473</v>
      </c>
      <c r="F20" s="521">
        <v>15906</v>
      </c>
      <c r="G20" s="157"/>
      <c r="H20" s="522"/>
      <c r="I20" s="336">
        <f t="shared" si="0"/>
        <v>31379</v>
      </c>
    </row>
    <row r="21" spans="1:9" ht="13.5" thickBot="1" x14ac:dyDescent="0.3">
      <c r="A21" s="331" t="s">
        <v>284</v>
      </c>
      <c r="B21" s="518"/>
      <c r="C21" s="332"/>
      <c r="D21" s="519"/>
      <c r="E21" s="332"/>
      <c r="F21" s="521"/>
      <c r="G21" s="520"/>
      <c r="H21" s="522"/>
      <c r="I21" s="523"/>
    </row>
    <row r="22" spans="1:9" ht="16.5" thickBot="1" x14ac:dyDescent="0.3">
      <c r="A22" s="331" t="s">
        <v>286</v>
      </c>
      <c r="B22" s="337"/>
      <c r="C22" s="338"/>
      <c r="D22" s="339"/>
      <c r="E22" s="338"/>
      <c r="F22" s="311"/>
      <c r="G22" s="311">
        <f>SUM(G23:G23)</f>
        <v>0</v>
      </c>
      <c r="H22" s="312">
        <f>SUM(H23:H23)</f>
        <v>0</v>
      </c>
      <c r="I22" s="313">
        <f t="shared" si="0"/>
        <v>0</v>
      </c>
    </row>
    <row r="23" spans="1:9" ht="13.5" thickBot="1" x14ac:dyDescent="0.3">
      <c r="A23" s="331" t="s">
        <v>288</v>
      </c>
      <c r="B23" s="340" t="s">
        <v>314</v>
      </c>
      <c r="C23" s="341"/>
      <c r="D23" s="342"/>
      <c r="E23" s="343"/>
      <c r="F23" s="344"/>
      <c r="G23" s="344"/>
      <c r="H23" s="345"/>
      <c r="I23" s="346">
        <f t="shared" si="0"/>
        <v>0</v>
      </c>
    </row>
    <row r="24" spans="1:9" ht="13.5" thickBot="1" x14ac:dyDescent="0.3">
      <c r="A24" s="331" t="s">
        <v>290</v>
      </c>
      <c r="B24" s="347" t="s">
        <v>315</v>
      </c>
      <c r="C24" s="323"/>
      <c r="D24" s="348">
        <f>SUM(D25:D25)</f>
        <v>0</v>
      </c>
      <c r="E24" s="349">
        <f>SUM(E25:E25)</f>
        <v>0</v>
      </c>
      <c r="F24" s="350"/>
      <c r="G24" s="350"/>
      <c r="H24" s="351"/>
      <c r="I24" s="313">
        <f t="shared" si="0"/>
        <v>0</v>
      </c>
    </row>
    <row r="25" spans="1:9" ht="13.5" thickBot="1" x14ac:dyDescent="0.3">
      <c r="A25" s="331" t="s">
        <v>292</v>
      </c>
      <c r="B25" s="352"/>
      <c r="C25" s="353"/>
      <c r="D25" s="354"/>
      <c r="E25" s="355"/>
      <c r="F25" s="356"/>
      <c r="G25" s="356"/>
      <c r="H25" s="357"/>
      <c r="I25" s="358">
        <f t="shared" si="0"/>
        <v>0</v>
      </c>
    </row>
    <row r="26" spans="1:9" s="365" customFormat="1" ht="16.5" thickBot="1" x14ac:dyDescent="0.3">
      <c r="A26" s="799" t="s">
        <v>316</v>
      </c>
      <c r="B26" s="800"/>
      <c r="C26" s="359"/>
      <c r="D26" s="360">
        <f>D9+D12+D15+D22+D24</f>
        <v>0</v>
      </c>
      <c r="E26" s="361">
        <f>E9+E12+E15+E22+E24</f>
        <v>289310</v>
      </c>
      <c r="F26" s="362">
        <f>F9+F12+F15+F22+F24</f>
        <v>181385</v>
      </c>
      <c r="G26" s="362">
        <f>G9+G12+G15+G22+G24</f>
        <v>0</v>
      </c>
      <c r="H26" s="363">
        <f>H9+H12+H15+H22+H24</f>
        <v>0</v>
      </c>
      <c r="I26" s="364">
        <f t="shared" si="0"/>
        <v>470695</v>
      </c>
    </row>
    <row r="36" spans="2:2" x14ac:dyDescent="0.25">
      <c r="B36" s="366"/>
    </row>
  </sheetData>
  <mergeCells count="10">
    <mergeCell ref="I6:I7"/>
    <mergeCell ref="A26:B26"/>
    <mergeCell ref="B1:H1"/>
    <mergeCell ref="B2:H2"/>
    <mergeCell ref="B3:H3"/>
    <mergeCell ref="A6:A7"/>
    <mergeCell ref="B6:B7"/>
    <mergeCell ref="C6:C7"/>
    <mergeCell ref="D6:D7"/>
    <mergeCell ref="E6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30</vt:i4>
      </vt:variant>
    </vt:vector>
  </HeadingPairs>
  <TitlesOfParts>
    <vt:vector size="3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11a</vt:lpstr>
      <vt:lpstr>11b</vt:lpstr>
      <vt:lpstr>11c</vt:lpstr>
      <vt:lpstr>11d</vt:lpstr>
      <vt:lpstr>11e</vt:lpstr>
      <vt:lpstr>11f</vt:lpstr>
      <vt:lpstr>12</vt:lpstr>
      <vt:lpstr>13</vt:lpstr>
      <vt:lpstr>13a</vt:lpstr>
      <vt:lpstr>13b</vt:lpstr>
      <vt:lpstr>14</vt:lpstr>
      <vt:lpstr>15</vt:lpstr>
      <vt:lpstr>16</vt:lpstr>
      <vt:lpstr>16a</vt:lpstr>
      <vt:lpstr>16b</vt:lpstr>
      <vt:lpstr>16c</vt:lpstr>
      <vt:lpstr>16d</vt:lpstr>
      <vt:lpstr>17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2018-03-14T10:26:36Z</cp:lastPrinted>
  <dcterms:created xsi:type="dcterms:W3CDTF">2018-02-22T07:05:57Z</dcterms:created>
  <dcterms:modified xsi:type="dcterms:W3CDTF">2018-03-14T10:29:19Z</dcterms:modified>
</cp:coreProperties>
</file>