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95" yWindow="75" windowWidth="11100" windowHeight="6330" tabRatio="781"/>
  </bookViews>
  <sheets>
    <sheet name="Bevételek" sheetId="2" r:id="rId1"/>
    <sheet name="Kiadások" sheetId="40" r:id="rId2"/>
    <sheet name="PMH" sheetId="5" r:id="rId3"/>
    <sheet name="Tündérkert" sheetId="7" r:id="rId4"/>
    <sheet name="Márai" sheetId="30" r:id="rId5"/>
    <sheet name="Önkormányzat" sheetId="26" r:id="rId6"/>
    <sheet name="Műk.mérleg" sheetId="35" r:id="rId7"/>
    <sheet name="Felhalm.mérleg" sheetId="38" r:id="rId8"/>
    <sheet name="Többlet,-vagy hiány" sheetId="33" r:id="rId9"/>
    <sheet name="Felhalm" sheetId="36" r:id="rId10"/>
    <sheet name="Tartalék" sheetId="41" r:id="rId11"/>
  </sheets>
  <definedNames>
    <definedName name="Z_3421BDA2_9904_43CC_9302_33BF52AC1CD6_.wvu.Cols" localSheetId="0" hidden="1">Bevételek!#REF!</definedName>
    <definedName name="Z_3421BDA2_9904_43CC_9302_33BF52AC1CD6_.wvu.Cols" localSheetId="2" hidden="1">PMH!$C:$F,PMH!#REF!,PMH!$K:$K</definedName>
    <definedName name="Z_3421BDA2_9904_43CC_9302_33BF52AC1CD6_.wvu.Cols" localSheetId="3" hidden="1">Tündérkert!$C:$C</definedName>
    <definedName name="Z_52DDA72E_DE96_4CF9_8793_90D799FDD9E1_.wvu.Cols" localSheetId="0" hidden="1">Bevételek!#REF!</definedName>
    <definedName name="Z_52DDA72E_DE96_4CF9_8793_90D799FDD9E1_.wvu.Cols" localSheetId="2" hidden="1">PMH!$C:$F,PMH!#REF!,PMH!$K:$K</definedName>
    <definedName name="Z_52DDA72E_DE96_4CF9_8793_90D799FDD9E1_.wvu.Cols" localSheetId="3" hidden="1">Tündérkert!$C:$C</definedName>
  </definedNames>
  <calcPr calcId="114210" fullCalcOnLoad="1"/>
  <customWorkbookViews>
    <customWorkbookView name="Admin - Egyéni nézet" guid="{3421BDA2-9904-43CC-9302-33BF52AC1CD6}" mergeInterval="0" personalView="1" maximized="1" windowWidth="1020" windowHeight="622" tabRatio="781" activeSheetId="3"/>
    <customWorkbookView name="orsos.eva - Egyéni nézet" guid="{52DDA72E-DE96-4CF9-8793-90D799FDD9E1}" mergeInterval="0" personalView="1" maximized="1" windowWidth="1020" windowHeight="622" tabRatio="781" activeSheetId="10"/>
  </customWorkbookViews>
</workbook>
</file>

<file path=xl/calcChain.xml><?xml version="1.0" encoding="utf-8"?>
<calcChain xmlns="http://schemas.openxmlformats.org/spreadsheetml/2006/main">
  <c r="K20" i="33"/>
  <c r="F18" i="35"/>
  <c r="E7" i="38"/>
  <c r="E8"/>
  <c r="E9"/>
  <c r="E10"/>
  <c r="E11"/>
  <c r="E12"/>
  <c r="E13"/>
  <c r="E14"/>
  <c r="E15"/>
  <c r="E16"/>
  <c r="E17"/>
  <c r="E18"/>
  <c r="J43" i="36"/>
  <c r="E19" i="38"/>
  <c r="E20"/>
  <c r="E21"/>
  <c r="E25"/>
  <c r="G12" i="36"/>
  <c r="J41"/>
  <c r="I20" i="40"/>
  <c r="N19" i="26"/>
  <c r="S25" i="5"/>
  <c r="O108" i="2"/>
  <c r="J44" i="36"/>
  <c r="S35" i="5"/>
  <c r="K19" i="41"/>
  <c r="N69" i="26"/>
  <c r="S12" i="5"/>
  <c r="K17" i="33"/>
  <c r="S22" i="5"/>
  <c r="B10" i="38"/>
  <c r="B9"/>
  <c r="B8"/>
  <c r="B7"/>
  <c r="C17" i="35"/>
  <c r="C15"/>
  <c r="C14"/>
  <c r="C13"/>
  <c r="C12"/>
  <c r="N20" i="26"/>
  <c r="N21"/>
  <c r="N99" i="2"/>
  <c r="O99"/>
  <c r="O97"/>
  <c r="N97"/>
  <c r="O93"/>
  <c r="O89"/>
  <c r="O84"/>
  <c r="M19" i="30"/>
  <c r="N51" i="26"/>
  <c r="N50"/>
  <c r="N53"/>
  <c r="N45"/>
  <c r="N44"/>
  <c r="N47"/>
  <c r="N33"/>
  <c r="N32"/>
  <c r="M24" i="30"/>
  <c r="M23"/>
  <c r="M18"/>
  <c r="M17"/>
  <c r="N18" i="7"/>
  <c r="N17"/>
  <c r="S21" i="5"/>
  <c r="S20"/>
  <c r="S11"/>
  <c r="S10"/>
  <c r="N73" i="26"/>
  <c r="I38" i="40"/>
  <c r="J23" i="36"/>
  <c r="J8"/>
  <c r="J13"/>
  <c r="N62" i="26"/>
  <c r="N64"/>
  <c r="K18" i="33"/>
  <c r="N41" i="26"/>
  <c r="N25"/>
  <c r="N10"/>
  <c r="N67"/>
  <c r="I33" i="40"/>
  <c r="N9" i="26"/>
  <c r="N66"/>
  <c r="I32" i="40"/>
  <c r="N8" i="26"/>
  <c r="N65"/>
  <c r="M27" i="30"/>
  <c r="M20"/>
  <c r="M14"/>
  <c r="M8"/>
  <c r="M7"/>
  <c r="M10"/>
  <c r="N19" i="7"/>
  <c r="N21"/>
  <c r="N27"/>
  <c r="S17" i="5"/>
  <c r="S13"/>
  <c r="I39" i="40"/>
  <c r="I26"/>
  <c r="I25"/>
  <c r="I24"/>
  <c r="I19"/>
  <c r="I18"/>
  <c r="I17"/>
  <c r="I16"/>
  <c r="I21"/>
  <c r="I11"/>
  <c r="I10"/>
  <c r="I9"/>
  <c r="O110" i="2"/>
  <c r="O79"/>
  <c r="O65"/>
  <c r="O67"/>
  <c r="O64"/>
  <c r="O60"/>
  <c r="O50"/>
  <c r="O44"/>
  <c r="O38"/>
  <c r="O29"/>
  <c r="O21"/>
  <c r="O11"/>
  <c r="O52"/>
  <c r="J13" i="41"/>
  <c r="N89" i="2"/>
  <c r="H26" i="40"/>
  <c r="H19"/>
  <c r="N38" i="2"/>
  <c r="N29"/>
  <c r="N11"/>
  <c r="L7" i="30"/>
  <c r="H24" i="40"/>
  <c r="M19" i="7"/>
  <c r="H11" i="40"/>
  <c r="R22" i="5"/>
  <c r="H18" i="40"/>
  <c r="M10" i="26"/>
  <c r="M67"/>
  <c r="J19" i="41"/>
  <c r="M13" i="26"/>
  <c r="N110" i="2"/>
  <c r="B30" i="38"/>
  <c r="I41" i="36"/>
  <c r="I29"/>
  <c r="I8"/>
  <c r="I23"/>
  <c r="N93" i="2"/>
  <c r="M69" i="26"/>
  <c r="H39" i="40"/>
  <c r="M51" i="26"/>
  <c r="M53"/>
  <c r="M50"/>
  <c r="M45"/>
  <c r="M47"/>
  <c r="M44"/>
  <c r="M33"/>
  <c r="M32"/>
  <c r="L18" i="30"/>
  <c r="L17"/>
  <c r="M18" i="7"/>
  <c r="H10" i="40"/>
  <c r="M17" i="7"/>
  <c r="H9" i="40"/>
  <c r="R21" i="5"/>
  <c r="R20"/>
  <c r="R25"/>
  <c r="R35"/>
  <c r="R11"/>
  <c r="H17" i="40"/>
  <c r="R10" i="5"/>
  <c r="H16" i="40"/>
  <c r="M62" i="26"/>
  <c r="M64"/>
  <c r="M41"/>
  <c r="M25"/>
  <c r="M20"/>
  <c r="M19"/>
  <c r="M72"/>
  <c r="M9"/>
  <c r="M8"/>
  <c r="L27" i="30"/>
  <c r="L14"/>
  <c r="L8"/>
  <c r="H25" i="40"/>
  <c r="R17" i="5"/>
  <c r="N108" i="2"/>
  <c r="N79"/>
  <c r="N64"/>
  <c r="N65"/>
  <c r="N60"/>
  <c r="N50"/>
  <c r="N44"/>
  <c r="N52"/>
  <c r="N21"/>
  <c r="I19" i="41"/>
  <c r="C15"/>
  <c r="C19"/>
  <c r="D15"/>
  <c r="D19"/>
  <c r="F15"/>
  <c r="E19"/>
  <c r="F19"/>
  <c r="H19"/>
  <c r="H41" i="36"/>
  <c r="H42"/>
  <c r="H44"/>
  <c r="H13"/>
  <c r="G32" i="40"/>
  <c r="G31"/>
  <c r="F21"/>
  <c r="F13"/>
  <c r="F28"/>
  <c r="G25"/>
  <c r="G24"/>
  <c r="L13" i="26"/>
  <c r="L73"/>
  <c r="G38" i="40"/>
  <c r="L9" i="26"/>
  <c r="L8"/>
  <c r="L69"/>
  <c r="G39" i="40"/>
  <c r="K8" i="30"/>
  <c r="K7"/>
  <c r="L10" i="26"/>
  <c r="L62"/>
  <c r="L64"/>
  <c r="L19"/>
  <c r="L72"/>
  <c r="L20"/>
  <c r="L51"/>
  <c r="L50"/>
  <c r="L45"/>
  <c r="L44"/>
  <c r="L33"/>
  <c r="L32"/>
  <c r="K24" i="30"/>
  <c r="K23"/>
  <c r="K18"/>
  <c r="K17"/>
  <c r="K20"/>
  <c r="G10" i="40"/>
  <c r="G9"/>
  <c r="G13"/>
  <c r="L18" i="7"/>
  <c r="L17"/>
  <c r="G17" i="40"/>
  <c r="G16"/>
  <c r="Q21" i="5"/>
  <c r="Q20"/>
  <c r="Q25"/>
  <c r="Q35"/>
  <c r="M97" i="2"/>
  <c r="M99"/>
  <c r="L41" i="26"/>
  <c r="L25"/>
  <c r="K14" i="30"/>
  <c r="Q17" i="5"/>
  <c r="Q13"/>
  <c r="M108" i="2"/>
  <c r="M79"/>
  <c r="M64"/>
  <c r="M65"/>
  <c r="M60"/>
  <c r="M50"/>
  <c r="M44"/>
  <c r="M38"/>
  <c r="M29"/>
  <c r="M21"/>
  <c r="M11"/>
  <c r="K73" i="26"/>
  <c r="F38" i="40"/>
  <c r="F42"/>
  <c r="F44"/>
  <c r="F45"/>
  <c r="G41" i="36"/>
  <c r="G42"/>
  <c r="J27" i="30"/>
  <c r="L60" i="2"/>
  <c r="E42" i="40"/>
  <c r="E44"/>
  <c r="E21"/>
  <c r="E13"/>
  <c r="D42"/>
  <c r="C42"/>
  <c r="C44"/>
  <c r="C21"/>
  <c r="C13"/>
  <c r="B42"/>
  <c r="B44"/>
  <c r="B21"/>
  <c r="B13"/>
  <c r="E28"/>
  <c r="D28"/>
  <c r="D21"/>
  <c r="D13"/>
  <c r="D44"/>
  <c r="G44" i="36"/>
  <c r="G13"/>
  <c r="K67" i="26"/>
  <c r="K64"/>
  <c r="F15" i="35"/>
  <c r="L29" i="2"/>
  <c r="L38"/>
  <c r="L50"/>
  <c r="L97"/>
  <c r="L99"/>
  <c r="F42" i="36"/>
  <c r="F13"/>
  <c r="E42"/>
  <c r="D42"/>
  <c r="D13"/>
  <c r="C42"/>
  <c r="C13"/>
  <c r="B42"/>
  <c r="B13"/>
  <c r="E13"/>
  <c r="J67" i="26"/>
  <c r="C67"/>
  <c r="D67"/>
  <c r="E67"/>
  <c r="F67"/>
  <c r="G67"/>
  <c r="I67"/>
  <c r="C66"/>
  <c r="D66"/>
  <c r="I66"/>
  <c r="J66"/>
  <c r="C65"/>
  <c r="D65"/>
  <c r="I65"/>
  <c r="J65"/>
  <c r="B67"/>
  <c r="B66"/>
  <c r="B65"/>
  <c r="J41"/>
  <c r="I41"/>
  <c r="I35"/>
  <c r="J35"/>
  <c r="I21"/>
  <c r="J21"/>
  <c r="J64"/>
  <c r="J74"/>
  <c r="I64"/>
  <c r="J15"/>
  <c r="I15"/>
  <c r="I25"/>
  <c r="J25"/>
  <c r="K108" i="2"/>
  <c r="K79"/>
  <c r="K65"/>
  <c r="K67"/>
  <c r="K116"/>
  <c r="K60"/>
  <c r="L64"/>
  <c r="L11"/>
  <c r="L52"/>
  <c r="L116"/>
  <c r="K66" i="26"/>
  <c r="K65"/>
  <c r="K53"/>
  <c r="K47"/>
  <c r="K15"/>
  <c r="K44" i="2"/>
  <c r="L44"/>
  <c r="L21"/>
  <c r="K21"/>
  <c r="K35" i="5"/>
  <c r="N25"/>
  <c r="N35"/>
  <c r="O25"/>
  <c r="O35"/>
  <c r="K29" i="2"/>
  <c r="H27" i="30"/>
  <c r="I27"/>
  <c r="H20"/>
  <c r="I20"/>
  <c r="H14"/>
  <c r="I14"/>
  <c r="J14"/>
  <c r="H10"/>
  <c r="H29"/>
  <c r="I10"/>
  <c r="I29"/>
  <c r="J10"/>
  <c r="K38" i="2"/>
  <c r="I21" i="7"/>
  <c r="J21"/>
  <c r="J25"/>
  <c r="I25"/>
  <c r="J14"/>
  <c r="I14"/>
  <c r="J10"/>
  <c r="J27"/>
  <c r="I10"/>
  <c r="I27"/>
  <c r="K11" i="2"/>
  <c r="J110"/>
  <c r="J108"/>
  <c r="J96"/>
  <c r="J97"/>
  <c r="J93"/>
  <c r="J87"/>
  <c r="J82"/>
  <c r="J79"/>
  <c r="J65"/>
  <c r="J60"/>
  <c r="J50"/>
  <c r="J44"/>
  <c r="J38"/>
  <c r="J29"/>
  <c r="J21"/>
  <c r="J11"/>
  <c r="L79"/>
  <c r="K41" i="26"/>
  <c r="P17" i="5"/>
  <c r="P13"/>
  <c r="L65" i="2"/>
  <c r="P25" i="5"/>
  <c r="J20" i="30"/>
  <c r="J29"/>
  <c r="K35" i="26"/>
  <c r="K25"/>
  <c r="K21"/>
  <c r="K21" i="7"/>
  <c r="K27"/>
  <c r="L108" i="2"/>
  <c r="G9" i="30"/>
  <c r="I29" i="2"/>
  <c r="I50"/>
  <c r="M22" i="5"/>
  <c r="H24" i="26"/>
  <c r="H25"/>
  <c r="H20"/>
  <c r="H21"/>
  <c r="H10"/>
  <c r="G12"/>
  <c r="H12"/>
  <c r="G32"/>
  <c r="H32"/>
  <c r="H62"/>
  <c r="H64"/>
  <c r="G69"/>
  <c r="H69"/>
  <c r="G33"/>
  <c r="G66"/>
  <c r="G19" i="30"/>
  <c r="G7"/>
  <c r="G10"/>
  <c r="G17"/>
  <c r="G23"/>
  <c r="G8"/>
  <c r="G18"/>
  <c r="G20"/>
  <c r="G24"/>
  <c r="H41" i="26"/>
  <c r="H17" i="7"/>
  <c r="H18"/>
  <c r="H19"/>
  <c r="I108" i="2"/>
  <c r="I110"/>
  <c r="I82"/>
  <c r="I96"/>
  <c r="I97"/>
  <c r="I93"/>
  <c r="I87"/>
  <c r="I79"/>
  <c r="I65"/>
  <c r="I67"/>
  <c r="I60"/>
  <c r="I11"/>
  <c r="I38"/>
  <c r="I44"/>
  <c r="I21"/>
  <c r="F13" i="30"/>
  <c r="G13"/>
  <c r="G14"/>
  <c r="E14"/>
  <c r="F14"/>
  <c r="F24"/>
  <c r="F23"/>
  <c r="F27"/>
  <c r="F18"/>
  <c r="F20"/>
  <c r="F17"/>
  <c r="F8"/>
  <c r="F7"/>
  <c r="F10"/>
  <c r="F29"/>
  <c r="G13" i="26"/>
  <c r="H82" i="2"/>
  <c r="G18" i="7"/>
  <c r="G17"/>
  <c r="L21" i="5"/>
  <c r="M21"/>
  <c r="M25"/>
  <c r="M35"/>
  <c r="L20"/>
  <c r="L25"/>
  <c r="L35"/>
  <c r="H93" i="2"/>
  <c r="H87"/>
  <c r="G64" i="26"/>
  <c r="G21"/>
  <c r="G41"/>
  <c r="G19" i="7"/>
  <c r="G21"/>
  <c r="G27"/>
  <c r="H108" i="2"/>
  <c r="H110"/>
  <c r="H96"/>
  <c r="H97"/>
  <c r="H99"/>
  <c r="H116"/>
  <c r="H79"/>
  <c r="H65"/>
  <c r="H60"/>
  <c r="H11"/>
  <c r="H29"/>
  <c r="H38"/>
  <c r="H44"/>
  <c r="H21"/>
  <c r="E10" i="30"/>
  <c r="G44" i="2"/>
  <c r="E33" i="26"/>
  <c r="E66"/>
  <c r="E32"/>
  <c r="E65"/>
  <c r="F33"/>
  <c r="F66"/>
  <c r="F32"/>
  <c r="F65"/>
  <c r="F19" i="7"/>
  <c r="F18"/>
  <c r="F17"/>
  <c r="F21"/>
  <c r="F27"/>
  <c r="J25" i="5"/>
  <c r="J35"/>
  <c r="E27" i="30"/>
  <c r="F12" i="26"/>
  <c r="F15"/>
  <c r="F64"/>
  <c r="F41"/>
  <c r="F21"/>
  <c r="G21" i="2"/>
  <c r="E20" i="30"/>
  <c r="E29"/>
  <c r="C10"/>
  <c r="B10"/>
  <c r="D10"/>
  <c r="G110" i="2"/>
  <c r="G108"/>
  <c r="G96"/>
  <c r="G97"/>
  <c r="G99"/>
  <c r="G116"/>
  <c r="G87"/>
  <c r="G82"/>
  <c r="G79"/>
  <c r="G65"/>
  <c r="G67"/>
  <c r="G60"/>
  <c r="G38"/>
  <c r="G29"/>
  <c r="G11"/>
  <c r="E15" i="26"/>
  <c r="E64"/>
  <c r="E21"/>
  <c r="E41"/>
  <c r="F96" i="2"/>
  <c r="F97"/>
  <c r="F99"/>
  <c r="F116"/>
  <c r="F82"/>
  <c r="F87"/>
  <c r="E18" i="7"/>
  <c r="E17"/>
  <c r="E19"/>
  <c r="I21" i="5"/>
  <c r="I20"/>
  <c r="I25"/>
  <c r="I35"/>
  <c r="F110" i="2"/>
  <c r="F108"/>
  <c r="F79"/>
  <c r="F65"/>
  <c r="F60"/>
  <c r="F29"/>
  <c r="F21"/>
  <c r="F11"/>
  <c r="D15" i="26"/>
  <c r="D35"/>
  <c r="D64"/>
  <c r="D41"/>
  <c r="D21"/>
  <c r="D19" i="7"/>
  <c r="D21"/>
  <c r="D27"/>
  <c r="H25" i="5"/>
  <c r="H35"/>
  <c r="E110" i="2"/>
  <c r="E108"/>
  <c r="E97"/>
  <c r="E99"/>
  <c r="E87"/>
  <c r="E79"/>
  <c r="E65"/>
  <c r="E67"/>
  <c r="E60"/>
  <c r="E29"/>
  <c r="E21"/>
  <c r="E11"/>
  <c r="C15" i="26"/>
  <c r="C21"/>
  <c r="C64"/>
  <c r="D97" i="2"/>
  <c r="D99"/>
  <c r="D108"/>
  <c r="D110"/>
  <c r="D79"/>
  <c r="D65"/>
  <c r="D60"/>
  <c r="D29"/>
  <c r="D21"/>
  <c r="D11"/>
  <c r="D87"/>
  <c r="B74" i="26"/>
  <c r="C35" i="5"/>
  <c r="B35"/>
  <c r="C41" i="26"/>
  <c r="E35" i="5"/>
  <c r="D35"/>
  <c r="F25"/>
  <c r="F35"/>
  <c r="G25"/>
  <c r="G35"/>
  <c r="C19" i="7"/>
  <c r="C21"/>
  <c r="C27"/>
  <c r="B21"/>
  <c r="B27"/>
  <c r="C11" i="2"/>
  <c r="C21"/>
  <c r="C29"/>
  <c r="C60"/>
  <c r="C65"/>
  <c r="C67"/>
  <c r="C79"/>
  <c r="C97"/>
  <c r="C99"/>
  <c r="C116"/>
  <c r="C108"/>
  <c r="G15" i="26"/>
  <c r="E35"/>
  <c r="J52" i="2"/>
  <c r="J67"/>
  <c r="G27" i="30"/>
  <c r="E21" i="7"/>
  <c r="E27"/>
  <c r="H21"/>
  <c r="H27"/>
  <c r="M20" i="5"/>
  <c r="K10" i="30"/>
  <c r="K29"/>
  <c r="L15" i="26"/>
  <c r="L53"/>
  <c r="L65"/>
  <c r="G28" i="40"/>
  <c r="K27" i="30"/>
  <c r="L21" i="7"/>
  <c r="L27"/>
  <c r="G21" i="40"/>
  <c r="F35" i="26"/>
  <c r="H33"/>
  <c r="H66"/>
  <c r="G52" i="2"/>
  <c r="H52"/>
  <c r="K52"/>
  <c r="I99"/>
  <c r="I116"/>
  <c r="L67"/>
  <c r="C52"/>
  <c r="D52"/>
  <c r="E52"/>
  <c r="E116"/>
  <c r="F67"/>
  <c r="H67"/>
  <c r="I52"/>
  <c r="M52"/>
  <c r="D67"/>
  <c r="F52"/>
  <c r="P35" i="5"/>
  <c r="I42" i="36"/>
  <c r="M35" i="26"/>
  <c r="L20" i="30"/>
  <c r="R13" i="5"/>
  <c r="D116" i="2"/>
  <c r="M67"/>
  <c r="J99"/>
  <c r="J116"/>
  <c r="G35" i="26"/>
  <c r="G74"/>
  <c r="G65"/>
  <c r="L21"/>
  <c r="M116" i="2"/>
  <c r="J42" i="36"/>
  <c r="H35" i="26"/>
  <c r="H65"/>
  <c r="L35"/>
  <c r="L47"/>
  <c r="L67"/>
  <c r="G33" i="40"/>
  <c r="L66" i="26"/>
  <c r="M66"/>
  <c r="H32" i="40"/>
  <c r="D74" i="26"/>
  <c r="H15"/>
  <c r="I31" i="40"/>
  <c r="K14" i="33"/>
  <c r="C74" i="26"/>
  <c r="F74"/>
  <c r="H67"/>
  <c r="I74"/>
  <c r="M65"/>
  <c r="H31" i="40"/>
  <c r="K15" i="33"/>
  <c r="E74" i="26"/>
  <c r="H74"/>
  <c r="K16" i="33"/>
  <c r="F14" i="35"/>
  <c r="H21" i="40"/>
  <c r="H13"/>
  <c r="I13"/>
  <c r="N13" i="26"/>
  <c r="K21" i="33"/>
  <c r="F19" i="35"/>
  <c r="B25" i="38"/>
  <c r="G46" i="36"/>
  <c r="G47"/>
  <c r="K68" i="26"/>
  <c r="K74"/>
  <c r="H46" i="36"/>
  <c r="H47"/>
  <c r="L68" i="26"/>
  <c r="G40" i="40"/>
  <c r="G42"/>
  <c r="G44"/>
  <c r="G45"/>
  <c r="J46" i="36"/>
  <c r="J47"/>
  <c r="E46"/>
  <c r="E47"/>
  <c r="B46"/>
  <c r="C46"/>
  <c r="C47"/>
  <c r="D46"/>
  <c r="D47"/>
  <c r="F46"/>
  <c r="F47"/>
  <c r="I28" i="40"/>
  <c r="N72" i="26"/>
  <c r="N35"/>
  <c r="M29" i="30"/>
  <c r="O116" i="2"/>
  <c r="F16" i="35"/>
  <c r="C21"/>
  <c r="N67" i="2"/>
  <c r="N116"/>
  <c r="F12" i="35"/>
  <c r="M15" i="26"/>
  <c r="H33" i="40"/>
  <c r="G29" i="30"/>
  <c r="H28" i="40"/>
  <c r="M21" i="26"/>
  <c r="M21" i="7"/>
  <c r="M27"/>
  <c r="F13" i="35"/>
  <c r="M73" i="26"/>
  <c r="H38" i="40"/>
  <c r="I13" i="36"/>
  <c r="I46"/>
  <c r="I47"/>
  <c r="L10" i="30"/>
  <c r="L29"/>
  <c r="L74" i="26"/>
  <c r="K19" i="33"/>
  <c r="I34" i="40"/>
  <c r="F17" i="35"/>
  <c r="F21"/>
  <c r="K8" i="33"/>
  <c r="B27" i="38"/>
  <c r="N68" i="26"/>
  <c r="I40" i="40"/>
  <c r="I42"/>
  <c r="I44"/>
  <c r="I45"/>
  <c r="K13" i="33"/>
  <c r="K23"/>
  <c r="N15" i="26"/>
  <c r="M68"/>
  <c r="K11" i="33"/>
  <c r="K25"/>
  <c r="N74" i="26"/>
  <c r="H40" i="40"/>
  <c r="H42"/>
  <c r="H44"/>
  <c r="H45"/>
  <c r="M74" i="26"/>
</calcChain>
</file>

<file path=xl/sharedStrings.xml><?xml version="1.0" encoding="utf-8"?>
<sst xmlns="http://schemas.openxmlformats.org/spreadsheetml/2006/main" count="555" uniqueCount="313">
  <si>
    <t>Alkalmazottak térítése</t>
  </si>
  <si>
    <t>Alaptevékenység körében végzett szolg.</t>
  </si>
  <si>
    <t>Egyéb bevételek</t>
  </si>
  <si>
    <t>Alaptevékenység bevételei</t>
  </si>
  <si>
    <t>Bérleti és lízingdíj bevételek</t>
  </si>
  <si>
    <t>Kiszámlázott termékek és szolgáltatások ért. ÁFA</t>
  </si>
  <si>
    <t>Kamatbevétel államháztartáson kivülről</t>
  </si>
  <si>
    <t>Építményadó</t>
  </si>
  <si>
    <t>Iparüzési adó</t>
  </si>
  <si>
    <t>Helyi adók összesen:</t>
  </si>
  <si>
    <t>Személyi jövedelemadó átengedett része</t>
  </si>
  <si>
    <t>Átengedett központi adók összesen:</t>
  </si>
  <si>
    <t>Földterület értékesítése</t>
  </si>
  <si>
    <t>Osztalék és hozam bevételek</t>
  </si>
  <si>
    <t>Rendszeres gyermekvéd. tám., időskoruak jár.</t>
  </si>
  <si>
    <t>Mozgáskolátozottak támogatása</t>
  </si>
  <si>
    <t>Egészségügy mük. átvett pénzeszközök</t>
  </si>
  <si>
    <t>Megnevezés</t>
  </si>
  <si>
    <t>Pótlék, birság</t>
  </si>
  <si>
    <t>ezer forintban</t>
  </si>
  <si>
    <t>Szakfeladat megnevezése</t>
  </si>
  <si>
    <t>Hatósági igazgatási tevékenység</t>
  </si>
  <si>
    <t>Személyi juttatások</t>
  </si>
  <si>
    <t>Munkaadókat terhelő járulékok</t>
  </si>
  <si>
    <t>Dologi kiadások</t>
  </si>
  <si>
    <t>Pénzeszköz átadás</t>
  </si>
  <si>
    <t>Összesen:</t>
  </si>
  <si>
    <t>Védőnői szolgálat</t>
  </si>
  <si>
    <t>Felhalmozási kiadások</t>
  </si>
  <si>
    <t>ezer forint</t>
  </si>
  <si>
    <t>Felhalmozás</t>
  </si>
  <si>
    <t>Óvodai étkeztetés</t>
  </si>
  <si>
    <t>Iskolai intézményi étkeztetés</t>
  </si>
  <si>
    <t>Munkahelyi vendéglátás</t>
  </si>
  <si>
    <t>Óvodai nevelés</t>
  </si>
  <si>
    <t>Egyéb pénzbeni ellátás</t>
  </si>
  <si>
    <t>eredeti ei.</t>
  </si>
  <si>
    <t>Ellátottak pénzbeni juttatása</t>
  </si>
  <si>
    <t>Közösségi színtér</t>
  </si>
  <si>
    <t>Intézményi ellátás díja</t>
  </si>
  <si>
    <t>Kiszámlázott term.és szolg. ÁFA</t>
  </si>
  <si>
    <t>Működési bevételek Tündérkert Óvoda</t>
  </si>
  <si>
    <t>Bérleti és lízingdíj</t>
  </si>
  <si>
    <t>Kiszámlázott termés szolg. ÁFA</t>
  </si>
  <si>
    <t>Működési bevételek Hunyadi ÁMK</t>
  </si>
  <si>
    <t>Önkormányzat sajátos müködési bev. összesen:</t>
  </si>
  <si>
    <t>Felhalmozási és tőke jellegű bevételek összesen:</t>
  </si>
  <si>
    <t>Normatív kötött felh. támogatások összesen:</t>
  </si>
  <si>
    <t>Önkormányzatok költségvetési támogatása:</t>
  </si>
  <si>
    <t>Működési célú pe. átv. államházt. Kivülről</t>
  </si>
  <si>
    <t>Költségvetési bevételek összesen:</t>
  </si>
  <si>
    <t>Közművelődési könyvtár</t>
  </si>
  <si>
    <t>Talajterhelési díj</t>
  </si>
  <si>
    <t>Telek adó</t>
  </si>
  <si>
    <t>Személyi jövedelemadó kieg. adóerőkép. alapján</t>
  </si>
  <si>
    <t>Központosított előirányzat:</t>
  </si>
  <si>
    <t>Járulékok</t>
  </si>
  <si>
    <t>Eredeti ei.</t>
  </si>
  <si>
    <t>2011.év</t>
  </si>
  <si>
    <t>Egyéb átvett bevételek ( csatorna)</t>
  </si>
  <si>
    <t>Fejlesztésre átvett péneszköz</t>
  </si>
  <si>
    <t>2012.év</t>
  </si>
  <si>
    <t>ÁMK.CÉDE Pályázat Fűtéskorszerűsítés</t>
  </si>
  <si>
    <t>Kompetecia Alapú Okt. TÁMOP.ÁMK-ÓVI</t>
  </si>
  <si>
    <t>Személyi juttatás</t>
  </si>
  <si>
    <t>Pályázat  Iskola építés  /EU PÁLYÁZAT/</t>
  </si>
  <si>
    <t>Önállóan működő költségvetési szerv kiemelt előirányzatonként</t>
  </si>
  <si>
    <t>Normatív hozzájárulások összesen</t>
  </si>
  <si>
    <t>2011.év.</t>
  </si>
  <si>
    <t>III.Mód.</t>
  </si>
  <si>
    <t>várh.telj.</t>
  </si>
  <si>
    <t xml:space="preserve">2011.év. </t>
  </si>
  <si>
    <t>eredeti</t>
  </si>
  <si>
    <t>Gép berendezés értékesítés</t>
  </si>
  <si>
    <t>Egyéb átvett pénzesz. Előző évi tám.</t>
  </si>
  <si>
    <t>Közfoglalkoztatás pály.al. (70%-100% tám.ar.)</t>
  </si>
  <si>
    <t>Közfoglalkoztatás</t>
  </si>
  <si>
    <t>Ért. T. eszk. Bevétele</t>
  </si>
  <si>
    <t xml:space="preserve">2011.évi </t>
  </si>
  <si>
    <t xml:space="preserve">2011. évi </t>
  </si>
  <si>
    <t>2012.év.</t>
  </si>
  <si>
    <t xml:space="preserve">2011. évi eredeti </t>
  </si>
  <si>
    <t xml:space="preserve">2012.év. </t>
  </si>
  <si>
    <t>Könyvtár érd.növelő támogatás</t>
  </si>
  <si>
    <t>Foglalkoztatottak kompenzációja</t>
  </si>
  <si>
    <t>Vízbázisvédelem</t>
  </si>
  <si>
    <t>2011. év</t>
  </si>
  <si>
    <t>IV.Mód</t>
  </si>
  <si>
    <t>Átvett bevételek (Tiszta formák)</t>
  </si>
  <si>
    <t>Járdaépítés</t>
  </si>
  <si>
    <t>Műszaki előkészítés</t>
  </si>
  <si>
    <t>Intézményi müködési bev. összesen:</t>
  </si>
  <si>
    <t>2010. év</t>
  </si>
  <si>
    <t xml:space="preserve">Polgármesteri Hivatal összesen: </t>
  </si>
  <si>
    <t xml:space="preserve">Polgármesteri Hivatal kiadásai  </t>
  </si>
  <si>
    <t>szervezeti egységei kiemelt előirányzatonként</t>
  </si>
  <si>
    <t>Halásztelek Város Önkormányzat</t>
  </si>
  <si>
    <t>Város-,Községgazdálkodás szolg.</t>
  </si>
  <si>
    <t>Rövidlejáratú hitel törl.</t>
  </si>
  <si>
    <t>Tartalékok</t>
  </si>
  <si>
    <t>Munkadókat terhelő járulék</t>
  </si>
  <si>
    <t>Összesen :</t>
  </si>
  <si>
    <t>Támogatások</t>
  </si>
  <si>
    <t>Dologi kiadások Ünnepek</t>
  </si>
  <si>
    <t>Közvilágítás</t>
  </si>
  <si>
    <t>Egészségügyi ellátás egyéb</t>
  </si>
  <si>
    <t>Szociális étkeztetés</t>
  </si>
  <si>
    <t>Rendszeres pénzbeni ellátás</t>
  </si>
  <si>
    <t>Eseti pénzbeni ellátás</t>
  </si>
  <si>
    <t xml:space="preserve">Önkormányzat összesen: </t>
  </si>
  <si>
    <t xml:space="preserve">Óvoda összesen: </t>
  </si>
  <si>
    <t>Társadalmi és Civilszerv.-progr. Támog.össz.</t>
  </si>
  <si>
    <t xml:space="preserve">Támogatások </t>
  </si>
  <si>
    <t xml:space="preserve">Közokt. Célú normatív kötött felhaszn. Tám. </t>
  </si>
  <si>
    <t xml:space="preserve">Intézményfinanszírozás: </t>
  </si>
  <si>
    <t xml:space="preserve">Felhalmozási kiadások: </t>
  </si>
  <si>
    <t>2012. év</t>
  </si>
  <si>
    <t>I. mód.</t>
  </si>
  <si>
    <t>Egyéb felhalm.bev. (Parkoló)</t>
  </si>
  <si>
    <t>Felújítási és Felhalmozási célú kiadások  bemutatása</t>
  </si>
  <si>
    <t xml:space="preserve">                    Megnevezés</t>
  </si>
  <si>
    <t>2011. évi eredeti előir.</t>
  </si>
  <si>
    <t>2012. évi eredeti előir.</t>
  </si>
  <si>
    <t>III. mód.ei</t>
  </si>
  <si>
    <t>Felújítások ÁFÁ-ja</t>
  </si>
  <si>
    <t>Felújítások összesen:</t>
  </si>
  <si>
    <t>Földterület vásárlás (Vízművek)</t>
  </si>
  <si>
    <t>Utca névtáblák, kihelyezése, zászlók pótlása</t>
  </si>
  <si>
    <t>Felhalmozási kiadások ÁFÁ-ja</t>
  </si>
  <si>
    <t>Hitel törlesztés.</t>
  </si>
  <si>
    <t>Felújítás - Felhalmozás+ hitel összesen</t>
  </si>
  <si>
    <t xml:space="preserve">Mindösszesen: </t>
  </si>
  <si>
    <t>II.  Mód.</t>
  </si>
  <si>
    <t>II. mód.</t>
  </si>
  <si>
    <t>Közművelődési érd.növelő támogatás</t>
  </si>
  <si>
    <t>III.  Mód.</t>
  </si>
  <si>
    <t>Márai működési bevétel összesen:</t>
  </si>
  <si>
    <t>Hunyadi működési bevételek összesen:</t>
  </si>
  <si>
    <t>III. mód.</t>
  </si>
  <si>
    <t xml:space="preserve">Művelődési Int. összesen: </t>
  </si>
  <si>
    <t>Polgármesteri Hivatal Int. müködési bev. összesen:</t>
  </si>
  <si>
    <t>Közművelődés:</t>
  </si>
  <si>
    <t>IV.  Mód.</t>
  </si>
  <si>
    <t>IV. mód.</t>
  </si>
  <si>
    <t>Munkahelyi vendéglátás:</t>
  </si>
  <si>
    <t>V.  Mód.</t>
  </si>
  <si>
    <t>V. mód.</t>
  </si>
  <si>
    <t>Önkormányzat működési bevételei</t>
  </si>
  <si>
    <t>Működési kamatbevélek</t>
  </si>
  <si>
    <t>Működési bevételek</t>
  </si>
  <si>
    <t>Részesedések</t>
  </si>
  <si>
    <t>2013. év</t>
  </si>
  <si>
    <t>Gépjárműadó 40%-a (2012-ben 100%)</t>
  </si>
  <si>
    <t xml:space="preserve">2013. év </t>
  </si>
  <si>
    <t>Étkezésből származó bevétel</t>
  </si>
  <si>
    <t>Helyi Önkormányzatok működésének általános támogatása</t>
  </si>
  <si>
    <t>Köznevelési és gyermekétkeztetéssel kapcs.feladatok</t>
  </si>
  <si>
    <t>Szociális és gyermekjóléti feladatok támogatása</t>
  </si>
  <si>
    <t>Előző évi pénzmaradvány</t>
  </si>
  <si>
    <t>Vízvezeték létesítés</t>
  </si>
  <si>
    <t>Integrált könyvelési rendszer</t>
  </si>
  <si>
    <t>Karácsonyi díszkivilágítás</t>
  </si>
  <si>
    <t xml:space="preserve">Költségvetési bevételek és kiadások különbözeteként többlet vagy hiány </t>
  </si>
  <si>
    <t>ezer Ft.</t>
  </si>
  <si>
    <t>Tárgyévi költségvetési kiadásokelőirányzata</t>
  </si>
  <si>
    <t xml:space="preserve">    ebből</t>
  </si>
  <si>
    <t xml:space="preserve">     Felújítási felhalmozási kiadások</t>
  </si>
  <si>
    <t xml:space="preserve">     Személyi jellegű kiadások</t>
  </si>
  <si>
    <t xml:space="preserve">     Munkaadókat terhelő járulék</t>
  </si>
  <si>
    <t xml:space="preserve">     Működési,-dologi kiadások</t>
  </si>
  <si>
    <t xml:space="preserve">     Ellátottak pénzbeli juttatása</t>
  </si>
  <si>
    <t xml:space="preserve">     Szociális pénzbeli ellátás</t>
  </si>
  <si>
    <t xml:space="preserve">     Speciális célú támogatás</t>
  </si>
  <si>
    <t xml:space="preserve">     Tartalék</t>
  </si>
  <si>
    <t xml:space="preserve">     Hitel visszafizetése ( folyószámlahitel )</t>
  </si>
  <si>
    <t>Költségvetési hiány vagy többlet</t>
  </si>
  <si>
    <t>Tárgyévi költségvetési bevétel (hitel nélkül)</t>
  </si>
  <si>
    <t>Iskolai étkezés bevétele</t>
  </si>
  <si>
    <t>Kiszámlázott termékek áfája</t>
  </si>
  <si>
    <t>Ellátottak pénzbeni juttatásai:</t>
  </si>
  <si>
    <t>Támogatások:</t>
  </si>
  <si>
    <t>Személyi jellegű:</t>
  </si>
  <si>
    <t>Munkaadói járulék:</t>
  </si>
  <si>
    <t xml:space="preserve">Dologi kiadások: </t>
  </si>
  <si>
    <t xml:space="preserve">Tartalék: </t>
  </si>
  <si>
    <t xml:space="preserve">     Pénzeszköz átadás</t>
  </si>
  <si>
    <t>Bőlcsőde építés</t>
  </si>
  <si>
    <t>KMOP-4.5.2-11-2012-0003 Bölcsőde építés Halásztelken</t>
  </si>
  <si>
    <t>várható telj.</t>
  </si>
  <si>
    <t>VI.  Mód.</t>
  </si>
  <si>
    <t>Kamatbevételek</t>
  </si>
  <si>
    <t>Továbbszámlázott szolgáltatások bevételei</t>
  </si>
  <si>
    <t>VI.mód.</t>
  </si>
  <si>
    <t>VI. mód.</t>
  </si>
  <si>
    <t>Házi szociális gondozás</t>
  </si>
  <si>
    <t>Családsegítő és gyermekjóléti szolgálat</t>
  </si>
  <si>
    <t>Közösségi színtér:</t>
  </si>
  <si>
    <t>Szociális pénzbeni ellátás(Süni+eü)</t>
  </si>
  <si>
    <t>Működési célú bevételek és kiadások mérlegszerű bemutatása</t>
  </si>
  <si>
    <t>Bevétel</t>
  </si>
  <si>
    <t>Kiadás</t>
  </si>
  <si>
    <t>Intézményi működési bevétel</t>
  </si>
  <si>
    <t>Személyi jellegű kiadások</t>
  </si>
  <si>
    <t>Helyi adók</t>
  </si>
  <si>
    <t>Munkaadókat terh. Járulékok</t>
  </si>
  <si>
    <t>Átengedett központi adók</t>
  </si>
  <si>
    <t>Szociális pénzbeni ellátás</t>
  </si>
  <si>
    <t>Működési célú pe. átvét.</t>
  </si>
  <si>
    <t>Speciális célú támogatások</t>
  </si>
  <si>
    <t>Tartalék</t>
  </si>
  <si>
    <t>Működés összesen:</t>
  </si>
  <si>
    <t>Működési kiadások összesen:</t>
  </si>
  <si>
    <t>Hitelek törlesztése</t>
  </si>
  <si>
    <t>Egyéb Fejlsz. Átvett pü. (csat.)</t>
  </si>
  <si>
    <t>Földterület vásárlás</t>
  </si>
  <si>
    <t>Utcanév táblák, zászlók beszerzése</t>
  </si>
  <si>
    <t>Átfinanszírozás működésből</t>
  </si>
  <si>
    <t>Felhalm., felújítás ÁFA</t>
  </si>
  <si>
    <t>Felhalmozás összesen:</t>
  </si>
  <si>
    <t xml:space="preserve">Költségvetési hiány összege: </t>
  </si>
  <si>
    <t>Állami támogatás</t>
  </si>
  <si>
    <t xml:space="preserve">KMOP-4.5.2-11-2012-0003 Bölcsőde építés </t>
  </si>
  <si>
    <t>Átfinanszírozás</t>
  </si>
  <si>
    <t>Vízvezeték</t>
  </si>
  <si>
    <t>Bölcsőde építés</t>
  </si>
  <si>
    <t>Integrált könyvelési program</t>
  </si>
  <si>
    <t>Karácsonyi díszvilágítás</t>
  </si>
  <si>
    <t>Intézményi felhalmozás</t>
  </si>
  <si>
    <t>Könyvtár, közművelődés támogatása</t>
  </si>
  <si>
    <t>Lakott külterülettel kapcsolatos feladatok támogatása:</t>
  </si>
  <si>
    <t>Részesedések (felhalm.táblán)</t>
  </si>
  <si>
    <t xml:space="preserve">2012. várható </t>
  </si>
  <si>
    <t>VI. ei. Mód.</t>
  </si>
  <si>
    <t>telj.</t>
  </si>
  <si>
    <t>BEVÉTELEK</t>
  </si>
  <si>
    <t>ÓVÓDA</t>
  </si>
  <si>
    <t>ÁMK</t>
  </si>
  <si>
    <t xml:space="preserve">POLGÁRMESTERI HIVATAL   </t>
  </si>
  <si>
    <t>MÁRAI  KÖZMŰV. INTÉZMÉNY</t>
  </si>
  <si>
    <t>HUNYADI ISKOLA</t>
  </si>
  <si>
    <t xml:space="preserve">ÖNKORMÁNYZAT   </t>
  </si>
  <si>
    <t>Tündérkert Óvoda</t>
  </si>
  <si>
    <t>Tündérkert Óvoda Kiadásai</t>
  </si>
  <si>
    <t>Polgármesteri Hivatal   Kiadásai</t>
  </si>
  <si>
    <t>Önkormányzat  Kiadásai</t>
  </si>
  <si>
    <t>Márai Sándor Közműv.Int. és Városi Könyvtár</t>
  </si>
  <si>
    <t>Felhalmozási célú bevételek és kiadások mérlegszerű bemutatása</t>
  </si>
  <si>
    <t>Személyi juttatások:</t>
  </si>
  <si>
    <t>Munkaadókat terhelő járulékok:</t>
  </si>
  <si>
    <t>Dologi kiadások:</t>
  </si>
  <si>
    <t>Ellátottak pénzbeni juttatása:</t>
  </si>
  <si>
    <t>Óvoda</t>
  </si>
  <si>
    <t>Polgármesteri Hivatal</t>
  </si>
  <si>
    <t>Márai Közműv.Intézmény és Városi K.</t>
  </si>
  <si>
    <t>Eszközbeszerzés:</t>
  </si>
  <si>
    <t>Önkormányzat:</t>
  </si>
  <si>
    <t>Személyi juttatás:</t>
  </si>
  <si>
    <t>Pénzeszköz átadás:</t>
  </si>
  <si>
    <t xml:space="preserve">Folyószámlahitel: </t>
  </si>
  <si>
    <t>Tartalék:</t>
  </si>
  <si>
    <t>Fejlesztési kiadások</t>
  </si>
  <si>
    <t>VÁROS MINDÖSSZESEN:</t>
  </si>
  <si>
    <t>VÁROS MINDÖSSZESEN - INT.FIN. NÉLKÜL</t>
  </si>
  <si>
    <t>Külső finanszírozás:</t>
  </si>
  <si>
    <t>KIADÁSOK</t>
  </si>
  <si>
    <t>Kamera és technikai védelmi berendezés</t>
  </si>
  <si>
    <t>Kamera és technikai védelmi berend.</t>
  </si>
  <si>
    <t>I.mód.</t>
  </si>
  <si>
    <t>2013. évi I.mód. Ei.</t>
  </si>
  <si>
    <t>2013. évi eredeti ei.</t>
  </si>
  <si>
    <t xml:space="preserve">Utcák felújítása </t>
  </si>
  <si>
    <t>Utak felújítása</t>
  </si>
  <si>
    <t>Belső finanszírozás (Pénzmaradvány)</t>
  </si>
  <si>
    <t>Tartalék, Céltartalék</t>
  </si>
  <si>
    <t>JOGCÍM</t>
  </si>
  <si>
    <t>2010.évi előirányzat</t>
  </si>
  <si>
    <t>2011. évi előirányzat</t>
  </si>
  <si>
    <t>2013.év előirányzat</t>
  </si>
  <si>
    <t>III. mód. Ei</t>
  </si>
  <si>
    <t>IV.mód</t>
  </si>
  <si>
    <t>Ei.</t>
  </si>
  <si>
    <t>VI. mód.ei</t>
  </si>
  <si>
    <t>Általános tartalék</t>
  </si>
  <si>
    <t>Céltartalék</t>
  </si>
  <si>
    <t>Bölcsődei pályzázat önrésze</t>
  </si>
  <si>
    <t xml:space="preserve">Normatíva lemondás </t>
  </si>
  <si>
    <t>KMB-s autó vásárlás</t>
  </si>
  <si>
    <t>Tartalék összesen:</t>
  </si>
  <si>
    <t>2013.év I. mód. Ei</t>
  </si>
  <si>
    <t>II.mód.</t>
  </si>
  <si>
    <t>2013. évi II.mód. Ei.</t>
  </si>
  <si>
    <t>2013.év II.mód. Ei</t>
  </si>
  <si>
    <t xml:space="preserve">Tanterem kialakítása </t>
  </si>
  <si>
    <t>KMB-s autó beszerzés</t>
  </si>
  <si>
    <t>Gyermekétk. Feladatok támogatása</t>
  </si>
  <si>
    <t>Bursa</t>
  </si>
  <si>
    <t>Pénzmaradvány igénybevétel</t>
  </si>
  <si>
    <t xml:space="preserve">Szociális ellátás: </t>
  </si>
  <si>
    <t>Süni+eü ellátás</t>
  </si>
  <si>
    <t xml:space="preserve">Felhalmozási célú támogatások - adósságkonsz. </t>
  </si>
  <si>
    <t xml:space="preserve">Adósságkonsz. </t>
  </si>
  <si>
    <t>III.mód.</t>
  </si>
  <si>
    <t>2013. évi III.mód. Ei.</t>
  </si>
  <si>
    <t>2013.év III.mód. Ei</t>
  </si>
  <si>
    <t>Szerkezetátalakítási tartalék</t>
  </si>
  <si>
    <t>Konyhai gépek beszerzése</t>
  </si>
  <si>
    <t>Támogatás-Szent Mihály napi tűzgyújtás</t>
  </si>
  <si>
    <t>Támogatás-Aug.19. Rock-rendezvény</t>
  </si>
  <si>
    <t xml:space="preserve">Konyhai gépek </t>
  </si>
  <si>
    <t>Eszközbeszerzés</t>
  </si>
  <si>
    <t>Gázkazán csere - Óvoda</t>
  </si>
  <si>
    <t>Kazáncsere</t>
  </si>
  <si>
    <t>Útjavítás, földmunkák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</si>
</sst>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56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b/>
      <u/>
      <sz val="10"/>
      <name val="Arial CE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1"/>
      <name val="Arial CE"/>
      <charset val="238"/>
    </font>
    <font>
      <sz val="10"/>
      <name val="Arial"/>
      <family val="2"/>
      <charset val="238"/>
    </font>
    <font>
      <sz val="10"/>
      <color indexed="20"/>
      <name val="Arial CE"/>
      <charset val="238"/>
    </font>
    <font>
      <sz val="10"/>
      <color indexed="61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u/>
      <sz val="12"/>
      <name val="Arial CE"/>
      <charset val="238"/>
    </font>
    <font>
      <b/>
      <sz val="10"/>
      <color indexed="10"/>
      <name val="Arial CE"/>
      <charset val="238"/>
    </font>
    <font>
      <b/>
      <sz val="12"/>
      <color indexed="9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4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0" fillId="7" borderId="1" applyNumberFormat="0" applyAlignment="0" applyProtection="0"/>
    <xf numFmtId="0" fontId="33" fillId="0" borderId="0" applyNumberFormat="0" applyFill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44" fillId="16" borderId="5" applyNumberFormat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6" applyNumberFormat="0" applyFill="0" applyAlignment="0" applyProtection="0"/>
    <xf numFmtId="0" fontId="2" fillId="17" borderId="7" applyNumberFormat="0" applyFont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21" borderId="0" applyNumberFormat="0" applyBorder="0" applyAlignment="0" applyProtection="0"/>
    <xf numFmtId="0" fontId="37" fillId="4" borderId="0" applyNumberFormat="0" applyBorder="0" applyAlignment="0" applyProtection="0"/>
    <xf numFmtId="0" fontId="41" fillId="22" borderId="8" applyNumberFormat="0" applyAlignment="0" applyProtection="0"/>
    <xf numFmtId="0" fontId="46" fillId="0" borderId="0" applyNumberFormat="0" applyFill="0" applyBorder="0" applyAlignment="0" applyProtection="0"/>
    <xf numFmtId="0" fontId="20" fillId="0" borderId="0"/>
    <xf numFmtId="0" fontId="55" fillId="0" borderId="0"/>
    <xf numFmtId="0" fontId="25" fillId="0" borderId="0"/>
    <xf numFmtId="0" fontId="2" fillId="0" borderId="0"/>
    <xf numFmtId="0" fontId="2" fillId="0" borderId="0"/>
    <xf numFmtId="0" fontId="47" fillId="0" borderId="9" applyNumberFormat="0" applyFill="0" applyAlignment="0" applyProtection="0"/>
    <xf numFmtId="0" fontId="38" fillId="3" borderId="0" applyNumberFormat="0" applyBorder="0" applyAlignment="0" applyProtection="0"/>
    <xf numFmtId="0" fontId="39" fillId="23" borderId="0" applyNumberFormat="0" applyBorder="0" applyAlignment="0" applyProtection="0"/>
    <xf numFmtId="0" fontId="42" fillId="22" borderId="1" applyNumberFormat="0" applyAlignment="0" applyProtection="0"/>
  </cellStyleXfs>
  <cellXfs count="233">
    <xf numFmtId="0" fontId="0" fillId="0" borderId="0" xfId="0"/>
    <xf numFmtId="0" fontId="0" fillId="0" borderId="0" xfId="0" applyBorder="1"/>
    <xf numFmtId="0" fontId="6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164" fontId="6" fillId="0" borderId="0" xfId="26" applyNumberFormat="1" applyFont="1" applyFill="1" applyBorder="1" applyAlignment="1">
      <alignment horizontal="right"/>
    </xf>
    <xf numFmtId="164" fontId="6" fillId="0" borderId="0" xfId="26" applyNumberFormat="1" applyFont="1" applyBorder="1"/>
    <xf numFmtId="164" fontId="4" fillId="0" borderId="0" xfId="26" applyNumberFormat="1" applyFont="1" applyBorder="1"/>
    <xf numFmtId="0" fontId="14" fillId="0" borderId="0" xfId="0" applyFont="1"/>
    <xf numFmtId="0" fontId="11" fillId="0" borderId="0" xfId="0" applyFont="1"/>
    <xf numFmtId="0" fontId="9" fillId="0" borderId="0" xfId="0" applyFont="1" applyBorder="1" applyAlignment="1">
      <alignment horizontal="center"/>
    </xf>
    <xf numFmtId="0" fontId="19" fillId="0" borderId="0" xfId="0" applyFont="1"/>
    <xf numFmtId="0" fontId="0" fillId="0" borderId="0" xfId="0" applyFill="1"/>
    <xf numFmtId="41" fontId="0" fillId="0" borderId="0" xfId="0" applyNumberFormat="1"/>
    <xf numFmtId="41" fontId="9" fillId="0" borderId="0" xfId="26" applyNumberFormat="1" applyFont="1" applyAlignment="1">
      <alignment horizontal="right"/>
    </xf>
    <xf numFmtId="41" fontId="6" fillId="0" borderId="0" xfId="26" applyNumberFormat="1" applyFont="1"/>
    <xf numFmtId="41" fontId="6" fillId="0" borderId="0" xfId="0" applyNumberFormat="1" applyFont="1"/>
    <xf numFmtId="41" fontId="13" fillId="0" borderId="0" xfId="0" applyNumberFormat="1" applyFont="1"/>
    <xf numFmtId="41" fontId="2" fillId="0" borderId="0" xfId="26" applyNumberFormat="1" applyFont="1"/>
    <xf numFmtId="41" fontId="0" fillId="0" borderId="0" xfId="0" applyNumberFormat="1" applyFill="1"/>
    <xf numFmtId="41" fontId="13" fillId="0" borderId="0" xfId="0" applyNumberFormat="1" applyFont="1" applyFill="1"/>
    <xf numFmtId="41" fontId="9" fillId="0" borderId="0" xfId="0" applyNumberFormat="1" applyFont="1"/>
    <xf numFmtId="3" fontId="6" fillId="0" borderId="0" xfId="0" applyNumberFormat="1" applyFont="1" applyBorder="1"/>
    <xf numFmtId="41" fontId="6" fillId="0" borderId="0" xfId="26" applyNumberFormat="1" applyFont="1" applyBorder="1"/>
    <xf numFmtId="0" fontId="16" fillId="0" borderId="0" xfId="0" applyFont="1" applyBorder="1"/>
    <xf numFmtId="0" fontId="9" fillId="0" borderId="0" xfId="0" applyFont="1" applyBorder="1"/>
    <xf numFmtId="41" fontId="21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1" fontId="0" fillId="0" borderId="0" xfId="0" applyNumberFormat="1" applyBorder="1"/>
    <xf numFmtId="41" fontId="6" fillId="0" borderId="0" xfId="26" applyNumberFormat="1" applyFont="1" applyFill="1" applyBorder="1" applyAlignment="1">
      <alignment horizontal="right"/>
    </xf>
    <xf numFmtId="164" fontId="6" fillId="0" borderId="0" xfId="26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6" fillId="0" borderId="0" xfId="26" applyNumberFormat="1" applyFont="1" applyFill="1" applyBorder="1"/>
    <xf numFmtId="0" fontId="18" fillId="0" borderId="0" xfId="0" applyFont="1" applyBorder="1"/>
    <xf numFmtId="3" fontId="0" fillId="0" borderId="0" xfId="0" applyNumberFormat="1" applyBorder="1"/>
    <xf numFmtId="0" fontId="15" fillId="0" borderId="0" xfId="0" applyFont="1" applyBorder="1" applyAlignment="1">
      <alignment horizontal="center"/>
    </xf>
    <xf numFmtId="41" fontId="0" fillId="0" borderId="0" xfId="26" applyNumberFormat="1" applyFont="1" applyBorder="1"/>
    <xf numFmtId="41" fontId="2" fillId="0" borderId="0" xfId="26" applyNumberFormat="1" applyFont="1" applyBorder="1"/>
    <xf numFmtId="3" fontId="9" fillId="0" borderId="0" xfId="0" applyNumberFormat="1" applyFont="1" applyBorder="1"/>
    <xf numFmtId="164" fontId="9" fillId="0" borderId="0" xfId="0" applyNumberFormat="1" applyFont="1" applyBorder="1"/>
    <xf numFmtId="41" fontId="9" fillId="0" borderId="0" xfId="0" applyNumberFormat="1" applyFont="1" applyBorder="1"/>
    <xf numFmtId="164" fontId="2" fillId="0" borderId="0" xfId="0" applyNumberFormat="1" applyFont="1" applyBorder="1"/>
    <xf numFmtId="41" fontId="22" fillId="0" borderId="0" xfId="0" applyNumberFormat="1" applyFont="1" applyFill="1"/>
    <xf numFmtId="0" fontId="4" fillId="0" borderId="0" xfId="0" applyFont="1" applyFill="1" applyBorder="1"/>
    <xf numFmtId="41" fontId="4" fillId="0" borderId="0" xfId="0" applyNumberFormat="1" applyFont="1" applyBorder="1"/>
    <xf numFmtId="41" fontId="4" fillId="0" borderId="0" xfId="0" applyNumberFormat="1" applyFont="1" applyFill="1" applyBorder="1"/>
    <xf numFmtId="41" fontId="6" fillId="0" borderId="0" xfId="0" applyNumberFormat="1" applyFont="1" applyFill="1" applyBorder="1"/>
    <xf numFmtId="0" fontId="6" fillId="0" borderId="0" xfId="0" applyFont="1" applyBorder="1" applyAlignment="1">
      <alignment horizontal="center" vertical="center"/>
    </xf>
    <xf numFmtId="41" fontId="9" fillId="0" borderId="0" xfId="0" applyNumberFormat="1" applyFont="1" applyFill="1" applyBorder="1"/>
    <xf numFmtId="0" fontId="2" fillId="0" borderId="0" xfId="44" applyFont="1" applyBorder="1"/>
    <xf numFmtId="0" fontId="17" fillId="0" borderId="0" xfId="44" applyFont="1" applyBorder="1"/>
    <xf numFmtId="0" fontId="6" fillId="0" borderId="0" xfId="44" applyFont="1" applyBorder="1" applyAlignment="1">
      <alignment horizontal="center"/>
    </xf>
    <xf numFmtId="0" fontId="9" fillId="0" borderId="0" xfId="44" applyFont="1" applyBorder="1" applyAlignment="1">
      <alignment horizontal="center"/>
    </xf>
    <xf numFmtId="0" fontId="2" fillId="0" borderId="0" xfId="44" applyBorder="1"/>
    <xf numFmtId="0" fontId="16" fillId="0" borderId="0" xfId="44" applyFont="1" applyBorder="1"/>
    <xf numFmtId="41" fontId="2" fillId="0" borderId="0" xfId="44" applyNumberFormat="1" applyFont="1" applyBorder="1"/>
    <xf numFmtId="0" fontId="4" fillId="0" borderId="0" xfId="44" applyFont="1" applyBorder="1"/>
    <xf numFmtId="41" fontId="2" fillId="0" borderId="0" xfId="26" applyNumberFormat="1" applyFont="1" applyBorder="1" applyAlignment="1">
      <alignment horizontal="right"/>
    </xf>
    <xf numFmtId="41" fontId="9" fillId="0" borderId="0" xfId="26" applyNumberFormat="1" applyFont="1" applyBorder="1"/>
    <xf numFmtId="0" fontId="9" fillId="0" borderId="0" xfId="44" applyFont="1" applyBorder="1"/>
    <xf numFmtId="41" fontId="2" fillId="0" borderId="0" xfId="44" applyNumberFormat="1" applyBorder="1"/>
    <xf numFmtId="41" fontId="9" fillId="0" borderId="0" xfId="44" applyNumberFormat="1" applyFont="1" applyBorder="1"/>
    <xf numFmtId="41" fontId="16" fillId="0" borderId="0" xfId="44" applyNumberFormat="1" applyFont="1" applyBorder="1"/>
    <xf numFmtId="41" fontId="4" fillId="0" borderId="0" xfId="44" applyNumberFormat="1" applyFont="1" applyBorder="1"/>
    <xf numFmtId="0" fontId="2" fillId="0" borderId="0" xfId="44"/>
    <xf numFmtId="0" fontId="9" fillId="0" borderId="0" xfId="0" applyFont="1" applyFill="1" applyBorder="1"/>
    <xf numFmtId="0" fontId="9" fillId="0" borderId="0" xfId="44" applyFont="1" applyFill="1" applyBorder="1"/>
    <xf numFmtId="41" fontId="2" fillId="0" borderId="0" xfId="44" applyNumberFormat="1" applyFont="1" applyBorder="1" applyAlignment="1">
      <alignment horizontal="center"/>
    </xf>
    <xf numFmtId="0" fontId="6" fillId="0" borderId="0" xfId="44" applyFont="1" applyBorder="1" applyAlignment="1">
      <alignment horizontal="center" vertical="center"/>
    </xf>
    <xf numFmtId="0" fontId="9" fillId="0" borderId="0" xfId="44" applyFont="1" applyAlignment="1">
      <alignment horizontal="center"/>
    </xf>
    <xf numFmtId="0" fontId="16" fillId="0" borderId="0" xfId="44" applyFont="1"/>
    <xf numFmtId="0" fontId="2" fillId="0" borderId="0" xfId="44" applyFont="1"/>
    <xf numFmtId="41" fontId="2" fillId="0" borderId="0" xfId="44" applyNumberFormat="1" applyFont="1"/>
    <xf numFmtId="41" fontId="2" fillId="0" borderId="0" xfId="26" applyNumberFormat="1" applyFont="1" applyAlignment="1">
      <alignment horizontal="right"/>
    </xf>
    <xf numFmtId="41" fontId="2" fillId="0" borderId="0" xfId="44" applyNumberFormat="1"/>
    <xf numFmtId="41" fontId="16" fillId="0" borderId="0" xfId="44" applyNumberFormat="1" applyFont="1"/>
    <xf numFmtId="41" fontId="9" fillId="0" borderId="0" xfId="44" applyNumberFormat="1" applyFont="1"/>
    <xf numFmtId="0" fontId="6" fillId="0" borderId="0" xfId="44" applyFont="1" applyBorder="1"/>
    <xf numFmtId="41" fontId="20" fillId="0" borderId="0" xfId="0" applyNumberFormat="1" applyFont="1"/>
    <xf numFmtId="41" fontId="23" fillId="0" borderId="0" xfId="0" applyNumberFormat="1" applyFont="1"/>
    <xf numFmtId="0" fontId="9" fillId="0" borderId="0" xfId="44" applyFont="1" applyFill="1" applyBorder="1" applyAlignment="1">
      <alignment horizontal="center"/>
    </xf>
    <xf numFmtId="41" fontId="12" fillId="0" borderId="0" xfId="44" applyNumberFormat="1" applyFont="1" applyFill="1" applyBorder="1"/>
    <xf numFmtId="41" fontId="12" fillId="0" borderId="0" xfId="26" applyNumberFormat="1" applyFont="1" applyFill="1" applyBorder="1" applyAlignment="1">
      <alignment horizontal="right"/>
    </xf>
    <xf numFmtId="41" fontId="0" fillId="0" borderId="0" xfId="0" applyNumberFormat="1" applyFont="1"/>
    <xf numFmtId="41" fontId="12" fillId="0" borderId="0" xfId="44" applyNumberFormat="1" applyFont="1" applyFill="1"/>
    <xf numFmtId="0" fontId="9" fillId="0" borderId="0" xfId="44" applyFont="1"/>
    <xf numFmtId="41" fontId="9" fillId="0" borderId="0" xfId="44" applyNumberFormat="1" applyFont="1" applyFill="1"/>
    <xf numFmtId="0" fontId="9" fillId="0" borderId="0" xfId="0" applyFont="1" applyFill="1" applyBorder="1" applyAlignment="1">
      <alignment horizontal="center"/>
    </xf>
    <xf numFmtId="41" fontId="9" fillId="0" borderId="0" xfId="44" applyNumberFormat="1" applyFont="1" applyFill="1" applyBorder="1"/>
    <xf numFmtId="41" fontId="2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44" applyFont="1" applyFill="1" applyAlignment="1">
      <alignment horizontal="center"/>
    </xf>
    <xf numFmtId="41" fontId="12" fillId="0" borderId="0" xfId="44" applyNumberFormat="1" applyFont="1" applyFill="1" applyBorder="1" applyAlignment="1">
      <alignment horizontal="center"/>
    </xf>
    <xf numFmtId="41" fontId="0" fillId="0" borderId="0" xfId="0" applyNumberFormat="1" applyFill="1" applyBorder="1"/>
    <xf numFmtId="41" fontId="9" fillId="0" borderId="0" xfId="26" applyNumberFormat="1" applyFont="1" applyFill="1" applyBorder="1"/>
    <xf numFmtId="41" fontId="2" fillId="0" borderId="0" xfId="44" applyNumberFormat="1" applyFont="1" applyFill="1" applyBorder="1"/>
    <xf numFmtId="41" fontId="6" fillId="0" borderId="0" xfId="26" applyNumberFormat="1" applyFont="1" applyFill="1" applyBorder="1"/>
    <xf numFmtId="0" fontId="26" fillId="0" borderId="0" xfId="0" applyFont="1"/>
    <xf numFmtId="0" fontId="14" fillId="0" borderId="0" xfId="0" applyFont="1" applyAlignment="1">
      <alignment horizontal="right"/>
    </xf>
    <xf numFmtId="0" fontId="9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41" fontId="11" fillId="0" borderId="0" xfId="0" applyNumberFormat="1" applyFont="1" applyAlignment="1">
      <alignment horizontal="right"/>
    </xf>
    <xf numFmtId="41" fontId="27" fillId="0" borderId="0" xfId="0" applyNumberFormat="1" applyFont="1"/>
    <xf numFmtId="0" fontId="29" fillId="0" borderId="0" xfId="0" applyFont="1"/>
    <xf numFmtId="41" fontId="29" fillId="0" borderId="0" xfId="0" applyNumberFormat="1" applyFont="1" applyAlignment="1">
      <alignment horizontal="right"/>
    </xf>
    <xf numFmtId="0" fontId="29" fillId="0" borderId="0" xfId="0" applyFont="1" applyBorder="1"/>
    <xf numFmtId="0" fontId="30" fillId="0" borderId="0" xfId="0" applyFont="1" applyBorder="1"/>
    <xf numFmtId="41" fontId="29" fillId="0" borderId="0" xfId="0" applyNumberFormat="1" applyFont="1" applyBorder="1" applyAlignment="1">
      <alignment horizontal="right"/>
    </xf>
    <xf numFmtId="0" fontId="29" fillId="0" borderId="10" xfId="0" applyFont="1" applyFill="1" applyBorder="1"/>
    <xf numFmtId="0" fontId="30" fillId="0" borderId="10" xfId="0" applyFont="1" applyFill="1" applyBorder="1"/>
    <xf numFmtId="41" fontId="29" fillId="0" borderId="10" xfId="0" applyNumberFormat="1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41" fontId="3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1" fontId="2" fillId="0" borderId="0" xfId="44" applyNumberFormat="1" applyFont="1" applyFill="1"/>
    <xf numFmtId="0" fontId="0" fillId="0" borderId="0" xfId="44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29" fillId="0" borderId="0" xfId="0" applyNumberFormat="1" applyFont="1" applyBorder="1"/>
    <xf numFmtId="3" fontId="29" fillId="0" borderId="0" xfId="0" applyNumberFormat="1" applyFont="1" applyFill="1" applyBorder="1"/>
    <xf numFmtId="0" fontId="29" fillId="0" borderId="0" xfId="0" applyFont="1" applyFill="1" applyBorder="1"/>
    <xf numFmtId="0" fontId="13" fillId="0" borderId="0" xfId="0" applyFont="1" applyBorder="1"/>
    <xf numFmtId="3" fontId="13" fillId="0" borderId="0" xfId="0" applyNumberFormat="1" applyFont="1" applyBorder="1"/>
    <xf numFmtId="0" fontId="13" fillId="0" borderId="0" xfId="0" applyFont="1"/>
    <xf numFmtId="0" fontId="8" fillId="0" borderId="0" xfId="0" applyFont="1" applyBorder="1"/>
    <xf numFmtId="3" fontId="8" fillId="0" borderId="0" xfId="0" applyNumberFormat="1" applyFont="1" applyBorder="1"/>
    <xf numFmtId="0" fontId="8" fillId="0" borderId="0" xfId="0" applyFont="1" applyFill="1" applyBorder="1"/>
    <xf numFmtId="0" fontId="13" fillId="0" borderId="10" xfId="0" applyFont="1" applyBorder="1"/>
    <xf numFmtId="3" fontId="13" fillId="0" borderId="10" xfId="0" applyNumberFormat="1" applyFont="1" applyBorder="1"/>
    <xf numFmtId="3" fontId="19" fillId="0" borderId="0" xfId="0" applyNumberFormat="1" applyFont="1"/>
    <xf numFmtId="0" fontId="6" fillId="0" borderId="0" xfId="0" applyFont="1" applyFill="1" applyBorder="1"/>
    <xf numFmtId="41" fontId="0" fillId="0" borderId="0" xfId="0" applyNumberFormat="1" applyFont="1" applyFill="1" applyBorder="1"/>
    <xf numFmtId="0" fontId="20" fillId="0" borderId="0" xfId="40"/>
    <xf numFmtId="0" fontId="8" fillId="0" borderId="0" xfId="40" applyFont="1" applyAlignment="1">
      <alignment horizontal="center"/>
    </xf>
    <xf numFmtId="3" fontId="15" fillId="0" borderId="0" xfId="40" applyNumberFormat="1" applyFont="1" applyAlignment="1">
      <alignment horizontal="right"/>
    </xf>
    <xf numFmtId="3" fontId="6" fillId="0" borderId="11" xfId="40" applyNumberFormat="1" applyFont="1" applyBorder="1" applyAlignment="1">
      <alignment horizontal="center" vertical="center" wrapText="1"/>
    </xf>
    <xf numFmtId="3" fontId="6" fillId="0" borderId="10" xfId="40" applyNumberFormat="1" applyFont="1" applyBorder="1" applyAlignment="1">
      <alignment horizontal="center" vertical="center" wrapText="1"/>
    </xf>
    <xf numFmtId="0" fontId="20" fillId="0" borderId="0" xfId="40" applyBorder="1"/>
    <xf numFmtId="3" fontId="20" fillId="0" borderId="0" xfId="40" applyNumberFormat="1"/>
    <xf numFmtId="0" fontId="24" fillId="0" borderId="0" xfId="40" applyFont="1"/>
    <xf numFmtId="3" fontId="24" fillId="0" borderId="0" xfId="40" applyNumberFormat="1" applyFont="1"/>
    <xf numFmtId="0" fontId="6" fillId="0" borderId="12" xfId="40" applyFont="1" applyBorder="1"/>
    <xf numFmtId="3" fontId="6" fillId="0" borderId="12" xfId="40" applyNumberFormat="1" applyFont="1" applyBorder="1"/>
    <xf numFmtId="0" fontId="20" fillId="0" borderId="0" xfId="40" applyFill="1" applyBorder="1"/>
    <xf numFmtId="0" fontId="20" fillId="0" borderId="0" xfId="40" applyFont="1" applyBorder="1"/>
    <xf numFmtId="0" fontId="24" fillId="0" borderId="0" xfId="40" applyFont="1" applyBorder="1"/>
    <xf numFmtId="3" fontId="24" fillId="0" borderId="0" xfId="40" applyNumberFormat="1" applyFont="1" applyBorder="1"/>
    <xf numFmtId="3" fontId="24" fillId="0" borderId="0" xfId="40" applyNumberFormat="1" applyFont="1" applyFill="1" applyBorder="1"/>
    <xf numFmtId="0" fontId="6" fillId="0" borderId="12" xfId="40" applyFont="1" applyFill="1" applyBorder="1"/>
    <xf numFmtId="0" fontId="6" fillId="0" borderId="0" xfId="40" applyFont="1" applyFill="1" applyBorder="1"/>
    <xf numFmtId="3" fontId="6" fillId="0" borderId="0" xfId="40" applyNumberFormat="1" applyFont="1" applyBorder="1"/>
    <xf numFmtId="0" fontId="2" fillId="0" borderId="0" xfId="40" applyFont="1" applyBorder="1"/>
    <xf numFmtId="3" fontId="2" fillId="0" borderId="0" xfId="40" applyNumberFormat="1" applyFont="1" applyBorder="1"/>
    <xf numFmtId="3" fontId="2" fillId="0" borderId="0" xfId="40" applyNumberFormat="1" applyFont="1" applyFill="1" applyBorder="1"/>
    <xf numFmtId="0" fontId="2" fillId="0" borderId="10" xfId="40" applyFont="1" applyBorder="1"/>
    <xf numFmtId="3" fontId="2" fillId="0" borderId="10" xfId="40" applyNumberFormat="1" applyFont="1" applyBorder="1"/>
    <xf numFmtId="3" fontId="9" fillId="0" borderId="12" xfId="40" applyNumberFormat="1" applyFont="1" applyBorder="1" applyAlignment="1">
      <alignment vertical="center"/>
    </xf>
    <xf numFmtId="3" fontId="9" fillId="0" borderId="0" xfId="40" applyNumberFormat="1" applyFont="1"/>
    <xf numFmtId="0" fontId="50" fillId="0" borderId="0" xfId="0" applyFont="1" applyFill="1" applyBorder="1" applyAlignment="1">
      <alignment horizontal="left"/>
    </xf>
    <xf numFmtId="0" fontId="50" fillId="0" borderId="0" xfId="0" applyFont="1" applyFill="1" applyBorder="1" applyAlignment="1"/>
    <xf numFmtId="0" fontId="49" fillId="0" borderId="0" xfId="0" applyFont="1" applyBorder="1" applyAlignment="1">
      <alignment horizontal="center" vertical="center"/>
    </xf>
    <xf numFmtId="0" fontId="16" fillId="0" borderId="0" xfId="43" applyFont="1" applyBorder="1" applyAlignment="1">
      <alignment vertical="center"/>
    </xf>
    <xf numFmtId="0" fontId="16" fillId="0" borderId="0" xfId="0" applyFont="1" applyFill="1" applyBorder="1"/>
    <xf numFmtId="0" fontId="2" fillId="0" borderId="0" xfId="44" applyFont="1" applyFill="1" applyBorder="1"/>
    <xf numFmtId="0" fontId="2" fillId="0" borderId="0" xfId="0" applyFont="1" applyFill="1" applyBorder="1"/>
    <xf numFmtId="41" fontId="4" fillId="0" borderId="0" xfId="26" applyNumberFormat="1" applyFont="1" applyBorder="1" applyAlignment="1">
      <alignment horizontal="right"/>
    </xf>
    <xf numFmtId="41" fontId="12" fillId="0" borderId="0" xfId="0" applyNumberFormat="1" applyFont="1"/>
    <xf numFmtId="41" fontId="51" fillId="0" borderId="0" xfId="0" applyNumberFormat="1" applyFont="1"/>
    <xf numFmtId="0" fontId="25" fillId="0" borderId="0" xfId="42" applyAlignment="1">
      <alignment horizontal="center"/>
    </xf>
    <xf numFmtId="0" fontId="25" fillId="0" borderId="0" xfId="42"/>
    <xf numFmtId="0" fontId="8" fillId="0" borderId="0" xfId="42" applyFont="1" applyAlignment="1">
      <alignment horizontal="center"/>
    </xf>
    <xf numFmtId="3" fontId="25" fillId="0" borderId="0" xfId="42" applyNumberFormat="1" applyAlignment="1">
      <alignment horizontal="center"/>
    </xf>
    <xf numFmtId="0" fontId="23" fillId="0" borderId="0" xfId="42" applyFont="1" applyAlignment="1">
      <alignment horizontal="right"/>
    </xf>
    <xf numFmtId="3" fontId="29" fillId="0" borderId="0" xfId="42" applyNumberFormat="1" applyFont="1" applyAlignment="1">
      <alignment horizontal="right"/>
    </xf>
    <xf numFmtId="0" fontId="23" fillId="0" borderId="0" xfId="42" applyFont="1" applyAlignment="1">
      <alignment horizontal="center"/>
    </xf>
    <xf numFmtId="0" fontId="25" fillId="0" borderId="0" xfId="42" applyBorder="1" applyAlignment="1">
      <alignment horizontal="center"/>
    </xf>
    <xf numFmtId="3" fontId="25" fillId="0" borderId="0" xfId="42" applyNumberFormat="1" applyBorder="1" applyAlignment="1">
      <alignment horizontal="center"/>
    </xf>
    <xf numFmtId="0" fontId="7" fillId="0" borderId="0" xfId="42" applyFont="1" applyBorder="1" applyAlignment="1">
      <alignment horizontal="left"/>
    </xf>
    <xf numFmtId="41" fontId="7" fillId="0" borderId="0" xfId="42" applyNumberFormat="1" applyFont="1" applyBorder="1" applyAlignment="1">
      <alignment horizontal="left"/>
    </xf>
    <xf numFmtId="3" fontId="7" fillId="0" borderId="0" xfId="42" applyNumberFormat="1" applyFont="1" applyBorder="1" applyAlignment="1">
      <alignment horizontal="center"/>
    </xf>
    <xf numFmtId="3" fontId="7" fillId="0" borderId="0" xfId="42" applyNumberFormat="1" applyFont="1" applyFill="1" applyBorder="1" applyAlignment="1">
      <alignment horizontal="center"/>
    </xf>
    <xf numFmtId="41" fontId="25" fillId="0" borderId="0" xfId="42" applyNumberFormat="1" applyBorder="1" applyAlignment="1">
      <alignment horizontal="center"/>
    </xf>
    <xf numFmtId="41" fontId="25" fillId="0" borderId="0" xfId="42" applyNumberFormat="1" applyAlignment="1">
      <alignment horizontal="center"/>
    </xf>
    <xf numFmtId="0" fontId="2" fillId="0" borderId="0" xfId="42" applyFont="1" applyBorder="1" applyAlignment="1">
      <alignment horizontal="left"/>
    </xf>
    <xf numFmtId="41" fontId="2" fillId="0" borderId="0" xfId="42" applyNumberFormat="1" applyFont="1" applyBorder="1" applyAlignment="1">
      <alignment horizontal="left"/>
    </xf>
    <xf numFmtId="3" fontId="25" fillId="0" borderId="0" xfId="42" applyNumberFormat="1"/>
    <xf numFmtId="3" fontId="0" fillId="0" borderId="0" xfId="0" applyNumberFormat="1"/>
    <xf numFmtId="41" fontId="0" fillId="0" borderId="0" xfId="44" applyNumberFormat="1" applyFont="1"/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Fill="1" applyBorder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6" fillId="0" borderId="0" xfId="43" applyFont="1" applyBorder="1" applyAlignment="1">
      <alignment vertical="center"/>
    </xf>
    <xf numFmtId="0" fontId="2" fillId="0" borderId="0" xfId="43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/>
    </xf>
    <xf numFmtId="0" fontId="6" fillId="0" borderId="0" xfId="44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center" shrinkToFit="1"/>
    </xf>
    <xf numFmtId="0" fontId="29" fillId="0" borderId="0" xfId="0" applyFont="1" applyAlignment="1">
      <alignment shrinkToFi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40" applyFont="1" applyAlignment="1">
      <alignment horizontal="center" wrapText="1"/>
    </xf>
    <xf numFmtId="0" fontId="8" fillId="0" borderId="0" xfId="40" applyFont="1" applyAlignment="1">
      <alignment horizontal="center" wrapText="1"/>
    </xf>
    <xf numFmtId="0" fontId="20" fillId="0" borderId="0" xfId="40" applyAlignment="1">
      <alignment wrapText="1"/>
    </xf>
    <xf numFmtId="3" fontId="6" fillId="0" borderId="11" xfId="40" applyNumberFormat="1" applyFont="1" applyBorder="1" applyAlignment="1">
      <alignment horizontal="center" vertical="center" wrapText="1"/>
    </xf>
    <xf numFmtId="3" fontId="6" fillId="0" borderId="10" xfId="40" applyNumberFormat="1" applyFont="1" applyBorder="1" applyAlignment="1">
      <alignment horizontal="center" vertical="center" wrapText="1"/>
    </xf>
    <xf numFmtId="0" fontId="6" fillId="0" borderId="11" xfId="40" applyFont="1" applyBorder="1" applyAlignment="1">
      <alignment horizontal="left" vertical="center"/>
    </xf>
    <xf numFmtId="0" fontId="6" fillId="0" borderId="10" xfId="40" applyFont="1" applyBorder="1" applyAlignment="1">
      <alignment horizontal="left" vertical="center"/>
    </xf>
    <xf numFmtId="0" fontId="53" fillId="0" borderId="0" xfId="42" applyFont="1" applyAlignment="1">
      <alignment horizontal="center"/>
    </xf>
    <xf numFmtId="0" fontId="54" fillId="0" borderId="0" xfId="42" applyFont="1" applyAlignment="1">
      <alignment horizontal="center"/>
    </xf>
    <xf numFmtId="0" fontId="25" fillId="0" borderId="0" xfId="42" applyAlignment="1">
      <alignment horizontal="center"/>
    </xf>
    <xf numFmtId="0" fontId="9" fillId="0" borderId="0" xfId="42" applyFont="1" applyBorder="1" applyAlignment="1">
      <alignment horizontal="center" vertical="center" wrapText="1"/>
    </xf>
    <xf numFmtId="0" fontId="9" fillId="0" borderId="0" xfId="42" applyFont="1" applyBorder="1" applyAlignment="1">
      <alignment horizontal="center" vertical="center"/>
    </xf>
    <xf numFmtId="3" fontId="9" fillId="0" borderId="0" xfId="42" applyNumberFormat="1" applyFont="1" applyBorder="1" applyAlignment="1">
      <alignment horizontal="center" vertical="center" wrapText="1"/>
    </xf>
  </cellXfs>
  <cellStyles count="49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" xfId="26" builtinId="3"/>
    <cellStyle name="Ezres 2" xfId="27"/>
    <cellStyle name="Figyelmezteté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Normál" xfId="0" builtinId="0"/>
    <cellStyle name="Normál 2" xfId="40"/>
    <cellStyle name="Normál 3" xfId="41"/>
    <cellStyle name="Normál_2013-Önkormányzat" xfId="42"/>
    <cellStyle name="Normál_Munka1" xfId="43"/>
    <cellStyle name="Normál_Munka2" xfId="44"/>
    <cellStyle name="Összesen" xfId="45"/>
    <cellStyle name="Rossz" xfId="46"/>
    <cellStyle name="Semleges" xfId="47"/>
    <cellStyle name="Számítás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17"/>
  <sheetViews>
    <sheetView tabSelected="1" zoomScaleNormal="100" workbookViewId="0">
      <selection activeCell="B1" sqref="B1:O1"/>
    </sheetView>
  </sheetViews>
  <sheetFormatPr defaultRowHeight="12.75"/>
  <cols>
    <col min="1" max="1" width="2.5703125" customWidth="1"/>
    <col min="2" max="2" width="43.140625" customWidth="1"/>
    <col min="3" max="3" width="13" hidden="1" customWidth="1"/>
    <col min="4" max="4" width="12.5703125" style="13" hidden="1" customWidth="1"/>
    <col min="5" max="11" width="12.5703125" hidden="1" customWidth="1"/>
    <col min="12" max="13" width="12.140625" customWidth="1"/>
    <col min="14" max="15" width="12.5703125" bestFit="1" customWidth="1"/>
    <col min="19" max="19" width="10" bestFit="1" customWidth="1"/>
  </cols>
  <sheetData>
    <row r="1" spans="2:15" ht="18" customHeight="1">
      <c r="B1" s="198" t="s">
        <v>234</v>
      </c>
      <c r="C1" s="198"/>
      <c r="D1" s="198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2:15" ht="12.75" customHeight="1">
      <c r="B2" s="196" t="s">
        <v>17</v>
      </c>
      <c r="C2" s="4" t="s">
        <v>78</v>
      </c>
      <c r="D2" s="33" t="s">
        <v>61</v>
      </c>
      <c r="E2" s="33" t="s">
        <v>116</v>
      </c>
      <c r="F2" s="33" t="s">
        <v>116</v>
      </c>
      <c r="G2" s="33" t="s">
        <v>116</v>
      </c>
      <c r="H2" s="33" t="s">
        <v>116</v>
      </c>
      <c r="I2" s="33" t="s">
        <v>116</v>
      </c>
      <c r="J2" s="33" t="s">
        <v>116</v>
      </c>
      <c r="K2" s="33" t="s">
        <v>116</v>
      </c>
      <c r="L2" s="33" t="s">
        <v>151</v>
      </c>
      <c r="M2" s="33" t="s">
        <v>151</v>
      </c>
      <c r="N2" s="33" t="s">
        <v>151</v>
      </c>
      <c r="O2" s="33" t="s">
        <v>151</v>
      </c>
    </row>
    <row r="3" spans="2:15">
      <c r="B3" s="197"/>
      <c r="C3" s="4" t="s">
        <v>57</v>
      </c>
      <c r="D3" s="33" t="s">
        <v>36</v>
      </c>
      <c r="E3" s="33" t="s">
        <v>117</v>
      </c>
      <c r="F3" s="33" t="s">
        <v>132</v>
      </c>
      <c r="G3" s="33" t="s">
        <v>135</v>
      </c>
      <c r="H3" s="33" t="s">
        <v>142</v>
      </c>
      <c r="I3" s="33" t="s">
        <v>145</v>
      </c>
      <c r="J3" s="33" t="s">
        <v>189</v>
      </c>
      <c r="K3" s="33" t="s">
        <v>188</v>
      </c>
      <c r="L3" s="33" t="s">
        <v>72</v>
      </c>
      <c r="M3" s="33" t="s">
        <v>117</v>
      </c>
      <c r="N3" s="33" t="s">
        <v>133</v>
      </c>
      <c r="O3" s="33" t="s">
        <v>138</v>
      </c>
    </row>
    <row r="4" spans="2:15">
      <c r="B4" s="163" t="s">
        <v>235</v>
      </c>
      <c r="C4" s="3"/>
      <c r="D4" s="45"/>
    </row>
    <row r="5" spans="2:15">
      <c r="B5" s="29" t="s">
        <v>39</v>
      </c>
      <c r="C5" s="46">
        <v>14000</v>
      </c>
      <c r="D5" s="47">
        <v>15000</v>
      </c>
      <c r="E5" s="47">
        <v>15000</v>
      </c>
      <c r="F5" s="47">
        <v>15000</v>
      </c>
      <c r="G5" s="47">
        <v>15000</v>
      </c>
      <c r="H5" s="47">
        <v>15000</v>
      </c>
      <c r="I5" s="47">
        <v>15000</v>
      </c>
      <c r="J5" s="47">
        <v>15000</v>
      </c>
      <c r="K5" s="47">
        <v>17360</v>
      </c>
      <c r="L5" s="47">
        <v>15000</v>
      </c>
      <c r="M5" s="47">
        <v>15000</v>
      </c>
      <c r="N5" s="47">
        <v>15000</v>
      </c>
      <c r="O5" s="47">
        <v>15000</v>
      </c>
    </row>
    <row r="6" spans="2:15">
      <c r="B6" s="29" t="s">
        <v>0</v>
      </c>
      <c r="C6" s="46">
        <v>3000</v>
      </c>
      <c r="D6" s="47">
        <v>1000</v>
      </c>
      <c r="E6" s="47">
        <v>1000</v>
      </c>
      <c r="F6" s="47">
        <v>1000</v>
      </c>
      <c r="G6" s="47">
        <v>1000</v>
      </c>
      <c r="H6" s="47">
        <v>1000</v>
      </c>
      <c r="I6" s="47">
        <v>1000</v>
      </c>
      <c r="J6" s="47">
        <v>1000</v>
      </c>
      <c r="K6" s="47">
        <v>114</v>
      </c>
      <c r="L6" s="47">
        <v>1000</v>
      </c>
      <c r="M6" s="47">
        <v>1000</v>
      </c>
      <c r="N6" s="47">
        <v>1000</v>
      </c>
      <c r="O6" s="47">
        <v>1000</v>
      </c>
    </row>
    <row r="7" spans="2:15">
      <c r="B7" s="29" t="s">
        <v>40</v>
      </c>
      <c r="C7" s="46">
        <v>4300</v>
      </c>
      <c r="D7" s="47">
        <v>4320</v>
      </c>
      <c r="E7" s="47">
        <v>4320</v>
      </c>
      <c r="F7" s="47">
        <v>4320</v>
      </c>
      <c r="G7" s="47">
        <v>4320</v>
      </c>
      <c r="H7" s="47">
        <v>4320</v>
      </c>
      <c r="I7" s="47">
        <v>4320</v>
      </c>
      <c r="J7" s="47">
        <v>4320</v>
      </c>
      <c r="K7" s="47">
        <v>4750</v>
      </c>
      <c r="L7" s="47">
        <v>4320</v>
      </c>
      <c r="M7" s="47">
        <v>4320</v>
      </c>
      <c r="N7" s="47">
        <v>4320</v>
      </c>
      <c r="O7" s="47">
        <v>4320</v>
      </c>
    </row>
    <row r="8" spans="2:15">
      <c r="B8" s="29" t="s">
        <v>190</v>
      </c>
      <c r="C8" s="46"/>
      <c r="D8" s="47"/>
      <c r="E8" s="47"/>
      <c r="F8" s="47"/>
      <c r="G8" s="47"/>
      <c r="H8" s="47"/>
      <c r="I8" s="47"/>
      <c r="J8" s="47"/>
      <c r="K8" s="47">
        <v>11</v>
      </c>
    </row>
    <row r="9" spans="2:15">
      <c r="B9" s="29" t="s">
        <v>191</v>
      </c>
      <c r="C9" s="46"/>
      <c r="D9" s="47"/>
      <c r="E9" s="47"/>
      <c r="F9" s="47"/>
      <c r="G9" s="47"/>
      <c r="H9" s="47"/>
      <c r="I9" s="47"/>
      <c r="J9" s="47"/>
      <c r="K9" s="47">
        <v>307</v>
      </c>
    </row>
    <row r="10" spans="2:15">
      <c r="B10" s="29" t="s">
        <v>296</v>
      </c>
      <c r="C10" s="46"/>
      <c r="D10" s="47"/>
      <c r="E10" s="47"/>
      <c r="F10" s="47"/>
      <c r="G10" s="47"/>
      <c r="H10" s="47"/>
      <c r="I10" s="47"/>
      <c r="J10" s="47"/>
      <c r="K10" s="47"/>
      <c r="N10" s="47">
        <v>345</v>
      </c>
      <c r="O10" s="47">
        <v>345</v>
      </c>
    </row>
    <row r="11" spans="2:15">
      <c r="B11" s="28" t="s">
        <v>41</v>
      </c>
      <c r="C11" s="6">
        <f>SUM(C5:C7)</f>
        <v>21300</v>
      </c>
      <c r="D11" s="6">
        <f t="shared" ref="D11:I11" si="0">SUM(D5:D9)</f>
        <v>20320</v>
      </c>
      <c r="E11" s="6">
        <f t="shared" si="0"/>
        <v>20320</v>
      </c>
      <c r="F11" s="6">
        <f t="shared" si="0"/>
        <v>20320</v>
      </c>
      <c r="G11" s="6">
        <f t="shared" si="0"/>
        <v>20320</v>
      </c>
      <c r="H11" s="6">
        <f t="shared" si="0"/>
        <v>20320</v>
      </c>
      <c r="I11" s="6">
        <f t="shared" si="0"/>
        <v>20320</v>
      </c>
      <c r="J11" s="6">
        <f>SUM(J5:J9)</f>
        <v>20320</v>
      </c>
      <c r="K11" s="6">
        <f>SUM(K5:K9)</f>
        <v>22542</v>
      </c>
      <c r="L11" s="6">
        <f>SUM(L5:L9)</f>
        <v>20320</v>
      </c>
      <c r="M11" s="6">
        <f>SUM(M5:M9)</f>
        <v>20320</v>
      </c>
      <c r="N11" s="6">
        <f>SUM(N5:N10)</f>
        <v>20665</v>
      </c>
      <c r="O11" s="6">
        <f>SUM(O5:O10)</f>
        <v>20665</v>
      </c>
    </row>
    <row r="12" spans="2:15" hidden="1">
      <c r="B12" s="163" t="s">
        <v>236</v>
      </c>
      <c r="C12" s="7"/>
      <c r="D12" s="47"/>
      <c r="E12" s="47"/>
      <c r="F12" s="47"/>
    </row>
    <row r="13" spans="2:15" hidden="1">
      <c r="B13" s="29" t="s">
        <v>39</v>
      </c>
      <c r="C13" s="46">
        <v>12500</v>
      </c>
      <c r="D13" s="47">
        <v>12500</v>
      </c>
      <c r="E13" s="47">
        <v>12500</v>
      </c>
      <c r="F13" s="47">
        <v>12500</v>
      </c>
      <c r="G13" s="47">
        <v>7442</v>
      </c>
      <c r="H13" s="47">
        <v>7442</v>
      </c>
      <c r="I13" s="47">
        <v>7442</v>
      </c>
      <c r="J13" s="47">
        <v>7442</v>
      </c>
      <c r="K13" s="47">
        <v>7442</v>
      </c>
    </row>
    <row r="14" spans="2:15" hidden="1">
      <c r="B14" s="29" t="s">
        <v>0</v>
      </c>
      <c r="C14" s="46">
        <v>3000</v>
      </c>
      <c r="D14" s="47">
        <v>1500</v>
      </c>
      <c r="E14" s="47">
        <v>1500</v>
      </c>
      <c r="F14" s="47">
        <v>1500</v>
      </c>
      <c r="G14" s="47">
        <v>1174</v>
      </c>
      <c r="H14" s="47">
        <v>1174</v>
      </c>
      <c r="I14" s="47">
        <v>1174</v>
      </c>
      <c r="J14" s="47">
        <v>1174</v>
      </c>
      <c r="K14" s="47">
        <v>1174</v>
      </c>
    </row>
    <row r="15" spans="2:15" hidden="1">
      <c r="B15" s="29" t="s">
        <v>1</v>
      </c>
      <c r="C15" s="46">
        <v>25000</v>
      </c>
      <c r="D15" s="47">
        <v>5000</v>
      </c>
      <c r="E15" s="47">
        <v>5000</v>
      </c>
      <c r="F15" s="47">
        <v>5000</v>
      </c>
      <c r="G15" s="47">
        <v>2732</v>
      </c>
      <c r="H15" s="47">
        <v>2732</v>
      </c>
      <c r="I15" s="47">
        <v>2732</v>
      </c>
      <c r="J15" s="47">
        <v>2732</v>
      </c>
      <c r="K15" s="47">
        <v>2732</v>
      </c>
    </row>
    <row r="16" spans="2:15" hidden="1">
      <c r="B16" s="29" t="s">
        <v>42</v>
      </c>
      <c r="C16" s="46">
        <v>4000</v>
      </c>
      <c r="D16" s="47">
        <v>2500</v>
      </c>
      <c r="E16" s="47">
        <v>2500</v>
      </c>
      <c r="F16" s="47">
        <v>2500</v>
      </c>
      <c r="G16" s="47">
        <v>1440</v>
      </c>
      <c r="H16" s="47">
        <v>1440</v>
      </c>
      <c r="I16" s="47">
        <v>1440</v>
      </c>
      <c r="J16" s="47">
        <v>1440</v>
      </c>
      <c r="K16" s="47">
        <v>1440</v>
      </c>
    </row>
    <row r="17" spans="2:15" hidden="1">
      <c r="B17" s="29" t="s">
        <v>43</v>
      </c>
      <c r="C17" s="46">
        <v>12000</v>
      </c>
      <c r="D17" s="47">
        <v>5130</v>
      </c>
      <c r="E17" s="47">
        <v>5130</v>
      </c>
      <c r="F17" s="47">
        <v>5130</v>
      </c>
      <c r="G17" s="47">
        <v>2998</v>
      </c>
      <c r="H17" s="47">
        <v>2998</v>
      </c>
      <c r="I17" s="47">
        <v>2998</v>
      </c>
      <c r="J17" s="47">
        <v>2998</v>
      </c>
      <c r="K17" s="47">
        <v>2998</v>
      </c>
    </row>
    <row r="18" spans="2:15" hidden="1">
      <c r="B18" s="29" t="s">
        <v>2</v>
      </c>
      <c r="C18" s="46">
        <v>2000</v>
      </c>
      <c r="D18" s="47">
        <v>1500</v>
      </c>
      <c r="E18" s="47">
        <v>1500</v>
      </c>
      <c r="F18" s="47">
        <v>1500</v>
      </c>
      <c r="G18" s="47">
        <v>505</v>
      </c>
      <c r="H18" s="47">
        <v>505</v>
      </c>
      <c r="I18" s="47">
        <v>505</v>
      </c>
      <c r="J18" s="47">
        <v>505</v>
      </c>
      <c r="K18" s="47">
        <v>505</v>
      </c>
    </row>
    <row r="19" spans="2:15" hidden="1">
      <c r="B19" s="29" t="s">
        <v>77</v>
      </c>
      <c r="C19" s="46"/>
      <c r="D19" s="47"/>
      <c r="E19" s="47"/>
      <c r="F19" s="47"/>
    </row>
    <row r="20" spans="2:15" hidden="1">
      <c r="B20" s="29" t="s">
        <v>88</v>
      </c>
      <c r="C20" s="46">
        <v>0</v>
      </c>
      <c r="D20" s="47"/>
      <c r="E20" s="47"/>
      <c r="F20" s="47"/>
    </row>
    <row r="21" spans="2:15" hidden="1">
      <c r="B21" s="28" t="s">
        <v>44</v>
      </c>
      <c r="C21" s="6">
        <f t="shared" ref="C21:I21" si="1">SUM(C13:C20)</f>
        <v>58500</v>
      </c>
      <c r="D21" s="31">
        <f t="shared" si="1"/>
        <v>28130</v>
      </c>
      <c r="E21" s="31">
        <f t="shared" si="1"/>
        <v>28130</v>
      </c>
      <c r="F21" s="31">
        <f t="shared" si="1"/>
        <v>28130</v>
      </c>
      <c r="G21" s="31">
        <f t="shared" si="1"/>
        <v>16291</v>
      </c>
      <c r="H21" s="31">
        <f t="shared" si="1"/>
        <v>16291</v>
      </c>
      <c r="I21" s="31">
        <f t="shared" si="1"/>
        <v>16291</v>
      </c>
      <c r="J21" s="31">
        <f t="shared" ref="J21:O21" si="2">SUM(J13:J20)</f>
        <v>16291</v>
      </c>
      <c r="K21" s="31">
        <f t="shared" si="2"/>
        <v>16291</v>
      </c>
      <c r="L21" s="31">
        <f t="shared" si="2"/>
        <v>0</v>
      </c>
      <c r="M21" s="31">
        <f t="shared" si="2"/>
        <v>0</v>
      </c>
      <c r="N21" s="31">
        <f t="shared" si="2"/>
        <v>0</v>
      </c>
      <c r="O21" s="31">
        <f t="shared" si="2"/>
        <v>0</v>
      </c>
    </row>
    <row r="22" spans="2:15">
      <c r="B22" s="164" t="s">
        <v>237</v>
      </c>
      <c r="C22" s="3"/>
      <c r="D22" s="47"/>
      <c r="E22" s="47"/>
      <c r="F22" s="47"/>
    </row>
    <row r="23" spans="2:15">
      <c r="B23" s="29" t="s">
        <v>3</v>
      </c>
      <c r="C23" s="46">
        <v>4000</v>
      </c>
      <c r="D23" s="47">
        <v>4500</v>
      </c>
      <c r="E23" s="47">
        <v>4500</v>
      </c>
      <c r="F23" s="47">
        <v>4500</v>
      </c>
      <c r="G23" s="47">
        <v>4500</v>
      </c>
      <c r="H23" s="47">
        <v>4500</v>
      </c>
      <c r="I23" s="47">
        <v>4500</v>
      </c>
      <c r="J23" s="47">
        <v>4500</v>
      </c>
      <c r="K23" s="47">
        <v>4343</v>
      </c>
      <c r="L23" s="47">
        <v>4500</v>
      </c>
      <c r="M23" s="47">
        <v>4500</v>
      </c>
      <c r="N23" s="47">
        <v>4500</v>
      </c>
      <c r="O23" s="47">
        <v>4500</v>
      </c>
    </row>
    <row r="24" spans="2:15">
      <c r="B24" s="29" t="s">
        <v>4</v>
      </c>
      <c r="C24" s="46">
        <v>10000</v>
      </c>
      <c r="D24" s="47">
        <v>6930</v>
      </c>
      <c r="E24" s="47">
        <v>6930</v>
      </c>
      <c r="F24" s="47">
        <v>6930</v>
      </c>
      <c r="G24" s="47">
        <v>6930</v>
      </c>
      <c r="H24" s="47">
        <v>6930</v>
      </c>
      <c r="I24" s="47">
        <v>6930</v>
      </c>
      <c r="J24" s="47">
        <v>6930</v>
      </c>
      <c r="K24" s="47">
        <v>6217</v>
      </c>
      <c r="L24" s="47">
        <v>6930</v>
      </c>
      <c r="M24" s="47">
        <v>6930</v>
      </c>
      <c r="N24" s="47">
        <v>6930</v>
      </c>
      <c r="O24" s="47">
        <v>6930</v>
      </c>
    </row>
    <row r="25" spans="2:15">
      <c r="B25" s="29" t="s">
        <v>154</v>
      </c>
      <c r="L25" s="47">
        <v>46400</v>
      </c>
      <c r="M25" s="47">
        <v>46400</v>
      </c>
      <c r="N25" s="47">
        <v>46400</v>
      </c>
      <c r="O25" s="47">
        <v>46400</v>
      </c>
    </row>
    <row r="26" spans="2:15">
      <c r="B26" s="29" t="s">
        <v>5</v>
      </c>
      <c r="C26" s="46">
        <v>2000</v>
      </c>
      <c r="D26" s="47">
        <v>1500</v>
      </c>
      <c r="E26" s="47">
        <v>1500</v>
      </c>
      <c r="F26" s="47">
        <v>1500</v>
      </c>
      <c r="G26" s="47">
        <v>1500</v>
      </c>
      <c r="H26" s="47">
        <v>1500</v>
      </c>
      <c r="I26" s="47"/>
      <c r="J26" s="47"/>
      <c r="K26" s="47">
        <v>100</v>
      </c>
      <c r="L26" s="47">
        <v>13743</v>
      </c>
      <c r="M26" s="47">
        <v>13743</v>
      </c>
      <c r="N26" s="47">
        <v>13743</v>
      </c>
      <c r="O26" s="47">
        <v>13743</v>
      </c>
    </row>
    <row r="27" spans="2:15">
      <c r="B27" s="29" t="s">
        <v>6</v>
      </c>
      <c r="C27" s="46">
        <v>1500</v>
      </c>
      <c r="D27" s="47">
        <v>800</v>
      </c>
      <c r="E27" s="47">
        <v>800</v>
      </c>
      <c r="F27" s="47">
        <v>800</v>
      </c>
      <c r="G27" s="47">
        <v>800</v>
      </c>
      <c r="H27" s="47">
        <v>800</v>
      </c>
      <c r="I27" s="47"/>
      <c r="J27" s="47"/>
      <c r="K27" s="47"/>
      <c r="L27" s="47"/>
      <c r="M27" s="47"/>
      <c r="N27" s="47"/>
      <c r="O27" s="47"/>
    </row>
    <row r="28" spans="2:15">
      <c r="B28" s="29" t="s">
        <v>296</v>
      </c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>
        <v>178</v>
      </c>
      <c r="O28" s="47">
        <v>178</v>
      </c>
    </row>
    <row r="29" spans="2:15">
      <c r="B29" s="28" t="s">
        <v>140</v>
      </c>
      <c r="C29" s="6">
        <f t="shared" ref="C29:M29" si="3">SUM(C23:C27)</f>
        <v>17500</v>
      </c>
      <c r="D29" s="31">
        <f t="shared" si="3"/>
        <v>13730</v>
      </c>
      <c r="E29" s="31">
        <f t="shared" si="3"/>
        <v>13730</v>
      </c>
      <c r="F29" s="31">
        <f t="shared" si="3"/>
        <v>13730</v>
      </c>
      <c r="G29" s="31">
        <f t="shared" si="3"/>
        <v>13730</v>
      </c>
      <c r="H29" s="31">
        <f t="shared" si="3"/>
        <v>13730</v>
      </c>
      <c r="I29" s="31">
        <f t="shared" si="3"/>
        <v>11430</v>
      </c>
      <c r="J29" s="31">
        <f t="shared" si="3"/>
        <v>11430</v>
      </c>
      <c r="K29" s="31">
        <f t="shared" si="3"/>
        <v>10660</v>
      </c>
      <c r="L29" s="31">
        <f t="shared" si="3"/>
        <v>71573</v>
      </c>
      <c r="M29" s="31">
        <f t="shared" si="3"/>
        <v>71573</v>
      </c>
      <c r="N29" s="31">
        <f>SUM(N23:N28)</f>
        <v>71751</v>
      </c>
      <c r="O29" s="31">
        <f>SUM(O23:O28)</f>
        <v>71751</v>
      </c>
    </row>
    <row r="30" spans="2:15">
      <c r="B30" s="164" t="s">
        <v>238</v>
      </c>
      <c r="C30" s="6"/>
      <c r="D30" s="31"/>
      <c r="E30" s="31"/>
      <c r="F30" s="31"/>
      <c r="G30" s="31"/>
      <c r="H30" s="31"/>
      <c r="I30" s="31"/>
      <c r="J30" s="31"/>
      <c r="K30" s="31"/>
    </row>
    <row r="31" spans="2:15">
      <c r="B31" s="29" t="s">
        <v>39</v>
      </c>
      <c r="C31" s="6"/>
      <c r="D31" s="31"/>
      <c r="E31" s="31"/>
      <c r="F31" s="31"/>
      <c r="G31" s="84"/>
      <c r="H31" s="84"/>
      <c r="I31" s="84"/>
      <c r="J31" s="84"/>
      <c r="K31" s="84"/>
    </row>
    <row r="32" spans="2:15">
      <c r="B32" s="29" t="s">
        <v>0</v>
      </c>
      <c r="C32" s="6"/>
      <c r="D32" s="31"/>
      <c r="E32" s="31"/>
      <c r="F32" s="31"/>
      <c r="G32" s="14"/>
      <c r="H32" s="14"/>
      <c r="I32" s="14"/>
      <c r="J32" s="14"/>
      <c r="K32" s="14"/>
    </row>
    <row r="33" spans="2:15">
      <c r="B33" s="29" t="s">
        <v>1</v>
      </c>
      <c r="C33" s="6"/>
      <c r="D33" s="31"/>
      <c r="E33" s="31"/>
      <c r="F33" s="31"/>
      <c r="G33" s="14">
        <v>2268</v>
      </c>
      <c r="H33" s="14">
        <v>2268</v>
      </c>
      <c r="I33" s="14">
        <v>2268</v>
      </c>
      <c r="J33" s="14">
        <v>2268</v>
      </c>
      <c r="K33" s="14">
        <v>2295</v>
      </c>
      <c r="L33" s="14">
        <v>3100</v>
      </c>
      <c r="M33" s="14">
        <v>3100</v>
      </c>
      <c r="N33" s="14">
        <v>3100</v>
      </c>
      <c r="O33" s="14">
        <v>3100</v>
      </c>
    </row>
    <row r="34" spans="2:15">
      <c r="B34" s="29" t="s">
        <v>42</v>
      </c>
      <c r="C34" s="6"/>
      <c r="D34" s="31"/>
      <c r="E34" s="31"/>
      <c r="F34" s="31"/>
      <c r="G34" s="14">
        <v>1060</v>
      </c>
      <c r="H34" s="14">
        <v>1060</v>
      </c>
      <c r="I34" s="14">
        <v>1060</v>
      </c>
      <c r="J34" s="14">
        <v>1060</v>
      </c>
      <c r="K34" s="14">
        <v>495</v>
      </c>
      <c r="L34" s="14">
        <v>1000</v>
      </c>
      <c r="M34" s="14">
        <v>1000</v>
      </c>
      <c r="N34" s="14">
        <v>1000</v>
      </c>
      <c r="O34" s="14">
        <v>1000</v>
      </c>
    </row>
    <row r="35" spans="2:15">
      <c r="B35" s="29" t="s">
        <v>43</v>
      </c>
      <c r="C35" s="6"/>
      <c r="D35" s="31"/>
      <c r="E35" s="31"/>
      <c r="F35" s="31"/>
      <c r="G35" s="14">
        <v>678</v>
      </c>
      <c r="H35" s="14">
        <v>678</v>
      </c>
      <c r="I35" s="14">
        <v>678</v>
      </c>
      <c r="J35" s="14">
        <v>678</v>
      </c>
      <c r="K35" s="14">
        <v>621</v>
      </c>
      <c r="L35" s="14">
        <v>837</v>
      </c>
      <c r="M35" s="14">
        <v>837</v>
      </c>
      <c r="N35" s="14">
        <v>837</v>
      </c>
      <c r="O35" s="14">
        <v>837</v>
      </c>
    </row>
    <row r="36" spans="2:15">
      <c r="B36" s="29" t="s">
        <v>2</v>
      </c>
      <c r="C36" s="6"/>
      <c r="D36" s="31"/>
      <c r="E36" s="31"/>
      <c r="F36" s="31"/>
      <c r="G36" s="31"/>
      <c r="H36" s="31"/>
      <c r="I36" s="31"/>
      <c r="J36" s="31"/>
      <c r="K36" s="31"/>
    </row>
    <row r="37" spans="2:15">
      <c r="B37" s="29" t="s">
        <v>296</v>
      </c>
      <c r="C37" s="6"/>
      <c r="D37" s="31"/>
      <c r="E37" s="31"/>
      <c r="F37" s="31"/>
      <c r="G37" s="31"/>
      <c r="H37" s="31"/>
      <c r="I37" s="31"/>
      <c r="J37" s="31"/>
      <c r="K37" s="31"/>
      <c r="N37" s="14">
        <v>973</v>
      </c>
      <c r="O37" s="14">
        <v>973</v>
      </c>
    </row>
    <row r="38" spans="2:15">
      <c r="B38" s="28" t="s">
        <v>136</v>
      </c>
      <c r="C38" s="8"/>
      <c r="D38" s="47"/>
      <c r="E38" s="47"/>
      <c r="F38" s="47"/>
      <c r="G38" s="22">
        <f t="shared" ref="G38:L38" si="4">SUM(G31:G36)</f>
        <v>4006</v>
      </c>
      <c r="H38" s="22">
        <f t="shared" si="4"/>
        <v>4006</v>
      </c>
      <c r="I38" s="22">
        <f t="shared" si="4"/>
        <v>4006</v>
      </c>
      <c r="J38" s="22">
        <f t="shared" si="4"/>
        <v>4006</v>
      </c>
      <c r="K38" s="22">
        <f t="shared" si="4"/>
        <v>3411</v>
      </c>
      <c r="L38" s="22">
        <f t="shared" si="4"/>
        <v>4937</v>
      </c>
      <c r="M38" s="22">
        <f>SUM(M31:M36)</f>
        <v>4937</v>
      </c>
      <c r="N38" s="22">
        <f>SUM(N31:N37)</f>
        <v>5910</v>
      </c>
      <c r="O38" s="22">
        <f>SUM(O31:O37)</f>
        <v>5910</v>
      </c>
    </row>
    <row r="39" spans="2:15" hidden="1">
      <c r="B39" s="163" t="s">
        <v>239</v>
      </c>
      <c r="C39" s="8"/>
      <c r="D39" s="47"/>
      <c r="E39" s="47"/>
      <c r="F39" s="47"/>
      <c r="G39" s="22"/>
      <c r="H39" s="22"/>
      <c r="I39" s="22"/>
      <c r="J39" s="22"/>
      <c r="K39" s="22"/>
    </row>
    <row r="40" spans="2:15" hidden="1">
      <c r="B40" s="29" t="s">
        <v>39</v>
      </c>
      <c r="C40" s="8"/>
      <c r="D40" s="47"/>
      <c r="E40" s="47"/>
      <c r="F40" s="47"/>
      <c r="G40" s="91">
        <v>5058</v>
      </c>
      <c r="H40" s="91">
        <v>5058</v>
      </c>
      <c r="I40" s="91">
        <v>5058</v>
      </c>
      <c r="J40" s="91">
        <v>5058</v>
      </c>
      <c r="K40" s="91"/>
    </row>
    <row r="41" spans="2:15" hidden="1">
      <c r="B41" s="29" t="s">
        <v>0</v>
      </c>
      <c r="C41" s="8"/>
      <c r="D41" s="47"/>
      <c r="E41" s="47"/>
      <c r="F41" s="47"/>
      <c r="G41" s="91">
        <v>326</v>
      </c>
      <c r="H41" s="91">
        <v>326</v>
      </c>
      <c r="I41" s="91">
        <v>326</v>
      </c>
      <c r="J41" s="91">
        <v>326</v>
      </c>
      <c r="K41" s="91"/>
    </row>
    <row r="42" spans="2:15" hidden="1">
      <c r="B42" s="29" t="s">
        <v>43</v>
      </c>
      <c r="C42" s="8"/>
      <c r="D42" s="47"/>
      <c r="E42" s="47"/>
      <c r="F42" s="47"/>
      <c r="G42" s="91">
        <v>1454</v>
      </c>
      <c r="H42" s="91">
        <v>1454</v>
      </c>
      <c r="I42" s="91">
        <v>1454</v>
      </c>
      <c r="J42" s="91">
        <v>1454</v>
      </c>
      <c r="K42" s="91"/>
    </row>
    <row r="43" spans="2:15" hidden="1">
      <c r="B43" s="29" t="s">
        <v>2</v>
      </c>
      <c r="C43" s="8"/>
      <c r="D43" s="47"/>
      <c r="E43" s="47"/>
      <c r="F43" s="47"/>
      <c r="G43" s="85">
        <v>995</v>
      </c>
      <c r="H43" s="85">
        <v>995</v>
      </c>
      <c r="I43" s="85">
        <v>995</v>
      </c>
      <c r="J43" s="85">
        <v>995</v>
      </c>
      <c r="K43" s="85"/>
    </row>
    <row r="44" spans="2:15" hidden="1">
      <c r="B44" s="28" t="s">
        <v>137</v>
      </c>
      <c r="C44" s="8"/>
      <c r="D44" s="47"/>
      <c r="E44" s="47"/>
      <c r="F44" s="47"/>
      <c r="G44" s="22">
        <f t="shared" ref="G44:L44" si="5">SUM(G40:G43)</f>
        <v>7833</v>
      </c>
      <c r="H44" s="22">
        <f t="shared" si="5"/>
        <v>7833</v>
      </c>
      <c r="I44" s="22">
        <f t="shared" si="5"/>
        <v>7833</v>
      </c>
      <c r="J44" s="22">
        <f t="shared" si="5"/>
        <v>7833</v>
      </c>
      <c r="K44" s="22">
        <f t="shared" si="5"/>
        <v>0</v>
      </c>
      <c r="L44" s="22">
        <f t="shared" si="5"/>
        <v>0</v>
      </c>
      <c r="M44" s="22">
        <f>SUM(M40:M43)</f>
        <v>0</v>
      </c>
      <c r="N44" s="22">
        <f>SUM(N40:N43)</f>
        <v>0</v>
      </c>
      <c r="O44" s="22">
        <f>SUM(O40:O43)</f>
        <v>0</v>
      </c>
    </row>
    <row r="45" spans="2:15">
      <c r="B45" s="163" t="s">
        <v>240</v>
      </c>
      <c r="C45" s="8"/>
      <c r="D45" s="47"/>
      <c r="E45" s="47"/>
      <c r="F45" s="47"/>
    </row>
    <row r="46" spans="2:15">
      <c r="B46" s="92" t="s">
        <v>148</v>
      </c>
      <c r="C46" s="8"/>
      <c r="D46" s="47"/>
      <c r="E46" s="47"/>
      <c r="F46" s="47"/>
      <c r="I46" s="85">
        <v>2290</v>
      </c>
      <c r="J46" s="85">
        <v>2290</v>
      </c>
      <c r="K46" s="85">
        <v>2806</v>
      </c>
      <c r="L46" s="85">
        <v>500</v>
      </c>
      <c r="M46" s="85">
        <v>500</v>
      </c>
      <c r="N46" s="85">
        <v>500</v>
      </c>
      <c r="O46" s="85">
        <v>500</v>
      </c>
    </row>
    <row r="47" spans="2:15">
      <c r="B47" s="92" t="s">
        <v>149</v>
      </c>
      <c r="C47" s="8"/>
      <c r="D47" s="47"/>
      <c r="E47" s="47"/>
      <c r="F47" s="47"/>
      <c r="I47" s="85">
        <v>5000</v>
      </c>
      <c r="J47" s="85">
        <v>5000</v>
      </c>
      <c r="K47" s="85">
        <v>5286</v>
      </c>
      <c r="L47" s="85">
        <v>6000</v>
      </c>
      <c r="M47" s="85">
        <v>6000</v>
      </c>
      <c r="N47" s="85">
        <v>6000</v>
      </c>
      <c r="O47" s="85">
        <v>6000</v>
      </c>
    </row>
    <row r="48" spans="2:15">
      <c r="B48" s="92" t="s">
        <v>177</v>
      </c>
      <c r="C48" s="8"/>
      <c r="D48" s="47"/>
      <c r="E48" s="47"/>
      <c r="F48" s="47"/>
      <c r="I48" s="85"/>
      <c r="J48" s="85"/>
      <c r="K48" s="85"/>
      <c r="L48" s="85"/>
      <c r="M48" s="85"/>
      <c r="N48" s="85"/>
      <c r="O48" s="85"/>
    </row>
    <row r="49" spans="2:15">
      <c r="B49" s="92" t="s">
        <v>178</v>
      </c>
      <c r="C49" s="8"/>
      <c r="D49" s="47"/>
      <c r="E49" s="47"/>
      <c r="F49" s="47"/>
      <c r="I49" s="85"/>
      <c r="J49" s="85"/>
      <c r="K49" s="85">
        <v>1935</v>
      </c>
      <c r="L49" s="85">
        <v>4050</v>
      </c>
      <c r="M49" s="85">
        <v>4050</v>
      </c>
      <c r="N49" s="85">
        <v>4050</v>
      </c>
      <c r="O49" s="85">
        <v>4050</v>
      </c>
    </row>
    <row r="50" spans="2:15">
      <c r="B50" s="93" t="s">
        <v>147</v>
      </c>
      <c r="C50" s="8"/>
      <c r="D50" s="47"/>
      <c r="E50" s="47"/>
      <c r="F50" s="47"/>
      <c r="I50" s="22">
        <f>SUM(I46:I47)</f>
        <v>7290</v>
      </c>
      <c r="J50" s="22">
        <f>SUM(J46:J47)</f>
        <v>7290</v>
      </c>
      <c r="K50" s="22">
        <v>10027</v>
      </c>
      <c r="L50" s="22">
        <f>SUM(L46:L49)</f>
        <v>10550</v>
      </c>
      <c r="M50" s="22">
        <f>SUM(M46:M49)</f>
        <v>10550</v>
      </c>
      <c r="N50" s="22">
        <f>SUM(N46:N49)</f>
        <v>10550</v>
      </c>
      <c r="O50" s="22">
        <f>SUM(O46:O49)</f>
        <v>10550</v>
      </c>
    </row>
    <row r="51" spans="2:15">
      <c r="B51" s="28"/>
      <c r="C51" s="8"/>
      <c r="D51" s="47"/>
      <c r="E51" s="47"/>
      <c r="F51" s="47"/>
    </row>
    <row r="52" spans="2:15">
      <c r="B52" s="28" t="s">
        <v>91</v>
      </c>
      <c r="C52" s="6">
        <f>SUM(C29+C21+C11)</f>
        <v>97300</v>
      </c>
      <c r="D52" s="31">
        <f>SUM(D29+D21+D11)</f>
        <v>62180</v>
      </c>
      <c r="E52" s="31">
        <f>SUM(E29+E21+E11)</f>
        <v>62180</v>
      </c>
      <c r="F52" s="31">
        <f>SUM(F29+F21+F11)</f>
        <v>62180</v>
      </c>
      <c r="G52" s="31">
        <f>G11+G29+G38+G44+G21</f>
        <v>62180</v>
      </c>
      <c r="H52" s="31">
        <f>H11+H29+H38+H44+H21</f>
        <v>62180</v>
      </c>
      <c r="I52" s="31">
        <f t="shared" ref="I52:N52" si="6">I11+I29+I38+I44+I21+I50</f>
        <v>67170</v>
      </c>
      <c r="J52" s="31">
        <f t="shared" si="6"/>
        <v>67170</v>
      </c>
      <c r="K52" s="31">
        <f t="shared" si="6"/>
        <v>62931</v>
      </c>
      <c r="L52" s="31">
        <f t="shared" si="6"/>
        <v>107380</v>
      </c>
      <c r="M52" s="31">
        <f t="shared" si="6"/>
        <v>107380</v>
      </c>
      <c r="N52" s="31">
        <f t="shared" si="6"/>
        <v>108876</v>
      </c>
      <c r="O52" s="31">
        <f>O11+O29+O38+O44+O21+O50</f>
        <v>108876</v>
      </c>
    </row>
    <row r="53" spans="2:15">
      <c r="B53" s="3"/>
      <c r="C53" s="8"/>
      <c r="D53" s="47"/>
      <c r="E53" s="47"/>
      <c r="F53" s="47"/>
    </row>
    <row r="54" spans="2:15">
      <c r="B54" s="29" t="s">
        <v>7</v>
      </c>
      <c r="C54" s="46">
        <v>52000</v>
      </c>
      <c r="D54" s="47">
        <v>52000</v>
      </c>
      <c r="E54" s="47">
        <v>52000</v>
      </c>
      <c r="F54" s="47">
        <v>52000</v>
      </c>
      <c r="G54" s="47">
        <v>52000</v>
      </c>
      <c r="H54" s="47">
        <v>52000</v>
      </c>
      <c r="I54" s="47">
        <v>52000</v>
      </c>
      <c r="J54" s="47">
        <v>52000</v>
      </c>
      <c r="K54" s="47">
        <v>51719</v>
      </c>
      <c r="L54" s="47">
        <v>52000</v>
      </c>
      <c r="M54" s="47">
        <v>52000</v>
      </c>
      <c r="N54" s="47">
        <v>52000</v>
      </c>
      <c r="O54" s="47">
        <v>52000</v>
      </c>
    </row>
    <row r="55" spans="2:15">
      <c r="B55" s="29" t="s">
        <v>8</v>
      </c>
      <c r="C55" s="46">
        <v>190000</v>
      </c>
      <c r="D55" s="47">
        <v>190000</v>
      </c>
      <c r="E55" s="47">
        <v>190000</v>
      </c>
      <c r="F55" s="47">
        <v>190000</v>
      </c>
      <c r="G55" s="47">
        <v>190000</v>
      </c>
      <c r="H55" s="47">
        <v>190000</v>
      </c>
      <c r="I55" s="47">
        <v>200000</v>
      </c>
      <c r="J55" s="47">
        <v>210000</v>
      </c>
      <c r="K55" s="47">
        <v>221536</v>
      </c>
      <c r="L55" s="47">
        <v>216000</v>
      </c>
      <c r="M55" s="47">
        <v>216000</v>
      </c>
      <c r="N55" s="47">
        <v>216000</v>
      </c>
      <c r="O55" s="47">
        <v>216000</v>
      </c>
    </row>
    <row r="56" spans="2:15">
      <c r="B56" s="29" t="s">
        <v>53</v>
      </c>
      <c r="C56" s="46">
        <v>19500</v>
      </c>
      <c r="D56" s="47">
        <v>19500</v>
      </c>
      <c r="E56" s="47">
        <v>19500</v>
      </c>
      <c r="F56" s="47">
        <v>19500</v>
      </c>
      <c r="G56" s="47">
        <v>19500</v>
      </c>
      <c r="H56" s="47">
        <v>19500</v>
      </c>
      <c r="I56" s="47">
        <v>19500</v>
      </c>
      <c r="J56" s="47">
        <v>19500</v>
      </c>
      <c r="K56" s="47">
        <v>17081</v>
      </c>
      <c r="L56" s="47">
        <v>19500</v>
      </c>
      <c r="M56" s="47">
        <v>19500</v>
      </c>
      <c r="N56" s="47">
        <v>19500</v>
      </c>
      <c r="O56" s="47">
        <v>19500</v>
      </c>
    </row>
    <row r="57" spans="2:15">
      <c r="B57" s="3" t="s">
        <v>18</v>
      </c>
      <c r="C57" s="46">
        <v>683</v>
      </c>
      <c r="D57" s="47">
        <v>3000</v>
      </c>
      <c r="E57" s="47">
        <v>3000</v>
      </c>
      <c r="F57" s="47">
        <v>3000</v>
      </c>
      <c r="G57" s="47">
        <v>3000</v>
      </c>
      <c r="H57" s="47">
        <v>3000</v>
      </c>
      <c r="I57" s="47">
        <v>6000</v>
      </c>
      <c r="J57" s="47">
        <v>6000</v>
      </c>
      <c r="K57" s="47">
        <v>8968</v>
      </c>
      <c r="L57" s="47">
        <v>3000</v>
      </c>
      <c r="M57" s="47">
        <v>3000</v>
      </c>
      <c r="N57" s="47">
        <v>3000</v>
      </c>
      <c r="O57" s="47">
        <v>3000</v>
      </c>
    </row>
    <row r="58" spans="2:15">
      <c r="B58" s="3" t="s">
        <v>52</v>
      </c>
      <c r="C58" s="46">
        <v>600</v>
      </c>
      <c r="D58" s="47">
        <v>600</v>
      </c>
      <c r="E58" s="47">
        <v>600</v>
      </c>
      <c r="F58" s="47">
        <v>600</v>
      </c>
      <c r="G58" s="47">
        <v>600</v>
      </c>
      <c r="H58" s="47">
        <v>600</v>
      </c>
      <c r="I58" s="47">
        <v>600</v>
      </c>
      <c r="J58" s="47">
        <v>600</v>
      </c>
      <c r="K58" s="47">
        <v>422</v>
      </c>
      <c r="L58" s="47">
        <v>500</v>
      </c>
      <c r="M58" s="47">
        <v>500</v>
      </c>
      <c r="N58" s="47">
        <v>500</v>
      </c>
      <c r="O58" s="47">
        <v>500</v>
      </c>
    </row>
    <row r="59" spans="2:15">
      <c r="B59" s="3"/>
      <c r="C59" s="46"/>
      <c r="D59" s="47"/>
      <c r="E59" s="47"/>
      <c r="F59" s="47"/>
      <c r="G59" s="47"/>
      <c r="H59" s="47"/>
      <c r="I59" s="47"/>
      <c r="J59" s="47"/>
      <c r="K59" s="47"/>
    </row>
    <row r="60" spans="2:15">
      <c r="B60" s="2" t="s">
        <v>9</v>
      </c>
      <c r="C60" s="32">
        <f>SUM(C54:C59)</f>
        <v>262783</v>
      </c>
      <c r="D60" s="31">
        <f>SUM(D54:D59)</f>
        <v>265100</v>
      </c>
      <c r="E60" s="31">
        <f>SUM(E54:E59)</f>
        <v>265100</v>
      </c>
      <c r="F60" s="31">
        <f>SUM(F54:F59)</f>
        <v>265100</v>
      </c>
      <c r="G60" s="31">
        <f t="shared" ref="G60:L60" si="7">SUM(G54:G59)</f>
        <v>265100</v>
      </c>
      <c r="H60" s="31">
        <f t="shared" si="7"/>
        <v>265100</v>
      </c>
      <c r="I60" s="31">
        <f t="shared" si="7"/>
        <v>278100</v>
      </c>
      <c r="J60" s="31">
        <f t="shared" si="7"/>
        <v>288100</v>
      </c>
      <c r="K60" s="31">
        <f t="shared" si="7"/>
        <v>299726</v>
      </c>
      <c r="L60" s="31">
        <f t="shared" si="7"/>
        <v>291000</v>
      </c>
      <c r="M60" s="31">
        <f>SUM(M54:M59)</f>
        <v>291000</v>
      </c>
      <c r="N60" s="31">
        <f>SUM(N54:N59)</f>
        <v>291000</v>
      </c>
      <c r="O60" s="31">
        <f>SUM(O54:O59)</f>
        <v>291000</v>
      </c>
    </row>
    <row r="61" spans="2:15">
      <c r="B61" s="3"/>
      <c r="C61" s="8"/>
      <c r="D61" s="47"/>
      <c r="E61" s="47"/>
      <c r="F61" s="47"/>
      <c r="G61" s="47"/>
      <c r="H61" s="47"/>
      <c r="I61" s="47"/>
      <c r="J61" s="47"/>
      <c r="K61" s="47"/>
    </row>
    <row r="62" spans="2:15">
      <c r="B62" s="29" t="s">
        <v>10</v>
      </c>
      <c r="C62" s="46">
        <v>138685</v>
      </c>
      <c r="D62" s="47">
        <v>127060</v>
      </c>
      <c r="E62" s="47">
        <v>127060</v>
      </c>
      <c r="F62" s="47">
        <v>127060</v>
      </c>
      <c r="G62" s="47">
        <v>127060</v>
      </c>
      <c r="H62" s="47">
        <v>127060</v>
      </c>
      <c r="I62" s="47">
        <v>127060</v>
      </c>
      <c r="J62" s="47">
        <v>127060</v>
      </c>
      <c r="K62" s="47">
        <v>127060</v>
      </c>
    </row>
    <row r="63" spans="2:15">
      <c r="B63" s="29" t="s">
        <v>54</v>
      </c>
      <c r="C63" s="46">
        <v>74416</v>
      </c>
      <c r="D63" s="47">
        <v>81466</v>
      </c>
      <c r="E63" s="47">
        <v>81466</v>
      </c>
      <c r="F63" s="47">
        <v>81466</v>
      </c>
      <c r="G63" s="47">
        <v>81466</v>
      </c>
      <c r="H63" s="47">
        <v>81466</v>
      </c>
      <c r="I63" s="47">
        <v>81466</v>
      </c>
      <c r="J63" s="47">
        <v>81466</v>
      </c>
      <c r="K63" s="47">
        <v>81466</v>
      </c>
    </row>
    <row r="64" spans="2:15">
      <c r="B64" s="29" t="s">
        <v>152</v>
      </c>
      <c r="C64" s="46">
        <v>82000</v>
      </c>
      <c r="D64" s="47">
        <v>82000</v>
      </c>
      <c r="E64" s="47">
        <v>82000</v>
      </c>
      <c r="F64" s="47">
        <v>82000</v>
      </c>
      <c r="G64" s="47">
        <v>82000</v>
      </c>
      <c r="H64" s="47">
        <v>82000</v>
      </c>
      <c r="I64" s="47">
        <v>82000</v>
      </c>
      <c r="J64" s="47">
        <v>82000</v>
      </c>
      <c r="K64" s="47">
        <v>78934</v>
      </c>
      <c r="L64" s="47">
        <f>29836-56</f>
        <v>29780</v>
      </c>
      <c r="M64" s="47">
        <f>29836-56</f>
        <v>29780</v>
      </c>
      <c r="N64" s="47">
        <f>29836-56</f>
        <v>29780</v>
      </c>
      <c r="O64" s="47">
        <f>29836-56</f>
        <v>29780</v>
      </c>
    </row>
    <row r="65" spans="2:15">
      <c r="B65" s="2" t="s">
        <v>11</v>
      </c>
      <c r="C65" s="32">
        <f>SUM(C62:C64)</f>
        <v>295101</v>
      </c>
      <c r="D65" s="31">
        <f>SUM(D62:D64)</f>
        <v>290526</v>
      </c>
      <c r="E65" s="31">
        <f t="shared" ref="E65:L65" si="8">SUM(E62:E64)</f>
        <v>290526</v>
      </c>
      <c r="F65" s="31">
        <f t="shared" si="8"/>
        <v>290526</v>
      </c>
      <c r="G65" s="31">
        <f t="shared" si="8"/>
        <v>290526</v>
      </c>
      <c r="H65" s="31">
        <f t="shared" si="8"/>
        <v>290526</v>
      </c>
      <c r="I65" s="31">
        <f t="shared" si="8"/>
        <v>290526</v>
      </c>
      <c r="J65" s="31">
        <f>SUM(J62:J64)</f>
        <v>290526</v>
      </c>
      <c r="K65" s="31">
        <f>SUM(K62:K64)</f>
        <v>287460</v>
      </c>
      <c r="L65" s="31">
        <f t="shared" si="8"/>
        <v>29780</v>
      </c>
      <c r="M65" s="31">
        <f>SUM(M62:M64)</f>
        <v>29780</v>
      </c>
      <c r="N65" s="31">
        <f>SUM(N62:N64)</f>
        <v>29780</v>
      </c>
      <c r="O65" s="31">
        <f>SUM(O62:O64)</f>
        <v>29780</v>
      </c>
    </row>
    <row r="66" spans="2:15">
      <c r="B66" s="3"/>
      <c r="C66" s="8"/>
      <c r="D66" s="47"/>
      <c r="E66" s="47"/>
      <c r="F66" s="47"/>
      <c r="G66" s="47"/>
      <c r="H66" s="47"/>
      <c r="I66" s="47"/>
      <c r="J66" s="47"/>
      <c r="K66" s="47"/>
    </row>
    <row r="67" spans="2:15">
      <c r="B67" s="2" t="s">
        <v>45</v>
      </c>
      <c r="C67" s="32">
        <f>SUM(C65+C60)</f>
        <v>557884</v>
      </c>
      <c r="D67" s="31">
        <f>SUM(D65+D60)</f>
        <v>555626</v>
      </c>
      <c r="E67" s="31">
        <f>SUM(E65+E60)</f>
        <v>555626</v>
      </c>
      <c r="F67" s="31">
        <f>SUM(F65+F60)</f>
        <v>555626</v>
      </c>
      <c r="G67" s="31">
        <f t="shared" ref="G67:L67" si="9">SUM(G65+G60)</f>
        <v>555626</v>
      </c>
      <c r="H67" s="31">
        <f t="shared" si="9"/>
        <v>555626</v>
      </c>
      <c r="I67" s="31">
        <f t="shared" si="9"/>
        <v>568626</v>
      </c>
      <c r="J67" s="31">
        <f t="shared" si="9"/>
        <v>578626</v>
      </c>
      <c r="K67" s="31">
        <f t="shared" si="9"/>
        <v>587186</v>
      </c>
      <c r="L67" s="31">
        <f t="shared" si="9"/>
        <v>320780</v>
      </c>
      <c r="M67" s="31">
        <f>SUM(M65+M60)</f>
        <v>320780</v>
      </c>
      <c r="N67" s="31">
        <f>SUM(N65+N60)</f>
        <v>320780</v>
      </c>
      <c r="O67" s="31">
        <f>SUM(O65+O60)</f>
        <v>320780</v>
      </c>
    </row>
    <row r="68" spans="2:15">
      <c r="B68" s="3"/>
      <c r="C68" s="8"/>
      <c r="D68" s="47"/>
      <c r="E68" s="47"/>
      <c r="F68" s="47"/>
      <c r="G68" s="47"/>
      <c r="H68" s="47"/>
      <c r="I68" s="47"/>
      <c r="J68" s="47"/>
      <c r="K68" s="47"/>
    </row>
    <row r="69" spans="2:15">
      <c r="B69" s="3" t="s">
        <v>62</v>
      </c>
      <c r="C69" s="46">
        <v>0</v>
      </c>
      <c r="D69" s="47"/>
      <c r="E69" s="47"/>
      <c r="F69" s="47"/>
      <c r="G69" s="47"/>
      <c r="H69" s="47"/>
      <c r="I69" s="47"/>
      <c r="J69" s="47"/>
      <c r="K69" s="47"/>
    </row>
    <row r="70" spans="2:15">
      <c r="B70" s="3" t="s">
        <v>12</v>
      </c>
      <c r="C70" s="46">
        <v>15000</v>
      </c>
      <c r="D70" s="47">
        <v>10000</v>
      </c>
      <c r="E70" s="47">
        <v>10000</v>
      </c>
      <c r="F70" s="47">
        <v>10000</v>
      </c>
      <c r="G70" s="47">
        <v>10000</v>
      </c>
      <c r="H70" s="47">
        <v>10000</v>
      </c>
      <c r="I70" s="47">
        <v>10000</v>
      </c>
      <c r="J70" s="47">
        <v>10000</v>
      </c>
      <c r="K70" s="47">
        <v>1295</v>
      </c>
      <c r="L70" s="47">
        <v>10000</v>
      </c>
      <c r="M70" s="47">
        <v>10000</v>
      </c>
      <c r="N70" s="47">
        <v>10000</v>
      </c>
      <c r="O70" s="47">
        <v>10000</v>
      </c>
    </row>
    <row r="71" spans="2:15">
      <c r="B71" s="3" t="s">
        <v>13</v>
      </c>
      <c r="C71" s="46">
        <v>1348</v>
      </c>
      <c r="D71" s="47">
        <v>1400</v>
      </c>
      <c r="E71" s="47">
        <v>1400</v>
      </c>
      <c r="F71" s="47">
        <v>1400</v>
      </c>
      <c r="G71" s="47">
        <v>1400</v>
      </c>
      <c r="H71" s="47">
        <v>1400</v>
      </c>
      <c r="I71" s="47">
        <v>1400</v>
      </c>
      <c r="J71" s="47">
        <v>1400</v>
      </c>
      <c r="K71" s="47">
        <v>2614</v>
      </c>
      <c r="L71" s="47"/>
      <c r="M71" s="47"/>
      <c r="N71" s="47"/>
      <c r="O71" s="47"/>
    </row>
    <row r="72" spans="2:15">
      <c r="B72" s="3" t="s">
        <v>299</v>
      </c>
      <c r="C72" s="46">
        <v>48830</v>
      </c>
      <c r="D72" s="47"/>
      <c r="E72" s="47"/>
      <c r="F72" s="47"/>
      <c r="G72" s="47"/>
      <c r="H72" s="47"/>
      <c r="I72" s="47"/>
      <c r="J72" s="47"/>
      <c r="K72" s="47"/>
      <c r="N72" s="47">
        <v>150871</v>
      </c>
      <c r="O72" s="47">
        <v>150871</v>
      </c>
    </row>
    <row r="73" spans="2:15">
      <c r="B73" s="3" t="s">
        <v>60</v>
      </c>
      <c r="C73" s="46"/>
      <c r="D73" s="47"/>
      <c r="E73" s="47"/>
      <c r="F73" s="47"/>
      <c r="G73" s="47"/>
      <c r="H73" s="47"/>
      <c r="I73" s="47"/>
      <c r="J73" s="47"/>
      <c r="K73" s="47"/>
    </row>
    <row r="74" spans="2:15">
      <c r="B74" s="3" t="s">
        <v>59</v>
      </c>
      <c r="C74" s="46">
        <v>6000</v>
      </c>
      <c r="D74" s="47">
        <v>7000</v>
      </c>
      <c r="E74" s="47">
        <v>7000</v>
      </c>
      <c r="F74" s="47">
        <v>7000</v>
      </c>
      <c r="G74" s="47">
        <v>11500</v>
      </c>
      <c r="H74" s="47">
        <v>11500</v>
      </c>
      <c r="I74" s="47">
        <v>11500</v>
      </c>
      <c r="J74" s="47">
        <v>11500</v>
      </c>
      <c r="K74" s="47">
        <v>11580</v>
      </c>
      <c r="L74" s="47">
        <v>7000</v>
      </c>
      <c r="M74" s="47">
        <v>10000</v>
      </c>
      <c r="N74" s="47">
        <v>10000</v>
      </c>
      <c r="O74" s="47">
        <v>10000</v>
      </c>
    </row>
    <row r="75" spans="2:15">
      <c r="B75" s="3" t="s">
        <v>65</v>
      </c>
      <c r="C75" s="46">
        <v>112989</v>
      </c>
      <c r="D75" s="47"/>
      <c r="E75" s="47">
        <v>47795</v>
      </c>
      <c r="F75" s="47">
        <v>47795</v>
      </c>
      <c r="G75" s="47">
        <v>47795</v>
      </c>
      <c r="H75" s="47">
        <v>47795</v>
      </c>
      <c r="I75" s="47">
        <v>47795</v>
      </c>
      <c r="J75" s="47">
        <v>47795</v>
      </c>
      <c r="K75" s="47">
        <v>47795</v>
      </c>
    </row>
    <row r="76" spans="2:15">
      <c r="B76" s="3" t="s">
        <v>73</v>
      </c>
      <c r="C76" s="46"/>
      <c r="D76" s="47"/>
      <c r="E76" s="47"/>
      <c r="F76" s="47"/>
      <c r="G76" s="47"/>
      <c r="H76" s="47"/>
      <c r="I76" s="47"/>
      <c r="J76" s="47"/>
      <c r="K76" s="47"/>
    </row>
    <row r="77" spans="2:15">
      <c r="B77" s="3" t="s">
        <v>118</v>
      </c>
      <c r="C77" s="46">
        <v>10572</v>
      </c>
      <c r="D77" s="47"/>
      <c r="E77" s="47">
        <v>5400</v>
      </c>
      <c r="F77" s="47">
        <v>5400</v>
      </c>
      <c r="G77" s="47">
        <v>5400</v>
      </c>
      <c r="H77" s="47">
        <v>5400</v>
      </c>
      <c r="I77" s="47">
        <v>5400</v>
      </c>
      <c r="J77" s="47">
        <v>5400</v>
      </c>
      <c r="K77" s="47">
        <v>5400</v>
      </c>
    </row>
    <row r="78" spans="2:15">
      <c r="B78" s="45" t="s">
        <v>187</v>
      </c>
      <c r="C78" s="46"/>
      <c r="D78" s="47"/>
      <c r="E78" s="47"/>
      <c r="F78" s="47"/>
      <c r="G78" s="47"/>
      <c r="H78" s="47"/>
      <c r="I78" s="47"/>
      <c r="J78" s="47"/>
      <c r="K78" s="47"/>
      <c r="L78" s="47">
        <v>149999</v>
      </c>
      <c r="M78" s="47">
        <v>149999</v>
      </c>
      <c r="N78" s="47">
        <v>149999</v>
      </c>
      <c r="O78" s="47">
        <v>149999</v>
      </c>
    </row>
    <row r="79" spans="2:15">
      <c r="B79" s="2" t="s">
        <v>46</v>
      </c>
      <c r="C79" s="32">
        <f t="shared" ref="C79:K79" si="10">SUM(C69:C77)</f>
        <v>194739</v>
      </c>
      <c r="D79" s="31">
        <f t="shared" si="10"/>
        <v>18400</v>
      </c>
      <c r="E79" s="31">
        <f t="shared" si="10"/>
        <v>71595</v>
      </c>
      <c r="F79" s="31">
        <f t="shared" si="10"/>
        <v>71595</v>
      </c>
      <c r="G79" s="31">
        <f t="shared" si="10"/>
        <v>76095</v>
      </c>
      <c r="H79" s="31">
        <f t="shared" si="10"/>
        <v>76095</v>
      </c>
      <c r="I79" s="31">
        <f t="shared" si="10"/>
        <v>76095</v>
      </c>
      <c r="J79" s="31">
        <f t="shared" si="10"/>
        <v>76095</v>
      </c>
      <c r="K79" s="31">
        <f t="shared" si="10"/>
        <v>68684</v>
      </c>
      <c r="L79" s="31">
        <f>SUM(L69:L78)</f>
        <v>166999</v>
      </c>
      <c r="M79" s="31">
        <f>SUM(M69:M78)</f>
        <v>169999</v>
      </c>
      <c r="N79" s="31">
        <f>SUM(N69:N78)</f>
        <v>320870</v>
      </c>
      <c r="O79" s="31">
        <f>SUM(O69:O78)</f>
        <v>320870</v>
      </c>
    </row>
    <row r="80" spans="2:15">
      <c r="B80" s="2"/>
      <c r="C80" s="32"/>
      <c r="D80" s="31"/>
      <c r="E80" s="31"/>
      <c r="F80" s="31"/>
      <c r="G80" s="31"/>
      <c r="H80" s="31"/>
      <c r="I80" s="31"/>
      <c r="J80" s="31"/>
      <c r="K80" s="31"/>
    </row>
    <row r="81" spans="2:15">
      <c r="B81" s="3"/>
      <c r="C81" s="3"/>
      <c r="D81" s="47"/>
      <c r="E81" s="47"/>
      <c r="F81" s="47"/>
      <c r="G81" s="47"/>
      <c r="H81" s="47"/>
      <c r="I81" s="47"/>
      <c r="J81" s="47"/>
      <c r="K81" s="47"/>
    </row>
    <row r="82" spans="2:15">
      <c r="B82" s="2" t="s">
        <v>67</v>
      </c>
      <c r="C82" s="24">
        <v>242083</v>
      </c>
      <c r="D82" s="50">
        <v>248810</v>
      </c>
      <c r="E82" s="50">
        <v>248810</v>
      </c>
      <c r="F82" s="50">
        <f>248810-4654</f>
        <v>244156</v>
      </c>
      <c r="G82" s="50">
        <f>248810-4654</f>
        <v>244156</v>
      </c>
      <c r="H82" s="50">
        <f>248810-4654-6395</f>
        <v>237761</v>
      </c>
      <c r="I82" s="50">
        <f>248810-4654-6395</f>
        <v>237761</v>
      </c>
      <c r="J82" s="50">
        <f>248810-4654-6395</f>
        <v>237761</v>
      </c>
      <c r="K82" s="50"/>
    </row>
    <row r="83" spans="2:15">
      <c r="B83" s="2" t="s">
        <v>155</v>
      </c>
      <c r="C83" s="24"/>
      <c r="D83" s="50"/>
      <c r="E83" s="50"/>
      <c r="F83" s="50"/>
      <c r="G83" s="50"/>
      <c r="H83" s="50"/>
      <c r="I83" s="50"/>
      <c r="J83" s="50"/>
      <c r="K83" s="50"/>
      <c r="L83" s="50">
        <v>118419</v>
      </c>
      <c r="M83" s="50">
        <v>118419</v>
      </c>
      <c r="N83" s="50">
        <v>118419</v>
      </c>
      <c r="O83" s="50">
        <v>118419</v>
      </c>
    </row>
    <row r="84" spans="2:15">
      <c r="B84" s="2" t="s">
        <v>156</v>
      </c>
      <c r="C84" s="24"/>
      <c r="D84" s="50"/>
      <c r="E84" s="50"/>
      <c r="F84" s="50"/>
      <c r="G84" s="50"/>
      <c r="H84" s="50"/>
      <c r="I84" s="50"/>
      <c r="J84" s="50"/>
      <c r="K84" s="50"/>
      <c r="L84" s="50">
        <v>145458</v>
      </c>
      <c r="M84" s="50">
        <v>145458</v>
      </c>
      <c r="N84" s="50">
        <v>145458</v>
      </c>
      <c r="O84" s="50">
        <f>145458-252+204</f>
        <v>145410</v>
      </c>
    </row>
    <row r="85" spans="2:15">
      <c r="B85" s="2" t="s">
        <v>157</v>
      </c>
      <c r="C85" s="24"/>
      <c r="D85" s="50"/>
      <c r="E85" s="50"/>
      <c r="F85" s="50"/>
      <c r="G85" s="50"/>
      <c r="H85" s="50"/>
      <c r="I85" s="50"/>
      <c r="J85" s="50"/>
      <c r="K85" s="50"/>
      <c r="L85" s="50">
        <v>19257</v>
      </c>
      <c r="M85" s="50">
        <v>19257</v>
      </c>
      <c r="N85" s="50">
        <v>19257</v>
      </c>
      <c r="O85" s="50">
        <v>19257</v>
      </c>
    </row>
    <row r="86" spans="2:15">
      <c r="B86" s="135" t="s">
        <v>228</v>
      </c>
      <c r="C86" s="8"/>
      <c r="D86" s="47"/>
      <c r="E86" s="47"/>
      <c r="F86" s="47"/>
      <c r="G86" s="47"/>
      <c r="H86" s="47"/>
      <c r="I86" s="47"/>
      <c r="J86" s="47"/>
      <c r="K86" s="47"/>
      <c r="L86" s="50">
        <v>10591</v>
      </c>
      <c r="M86" s="50">
        <v>10591</v>
      </c>
      <c r="N86" s="50">
        <v>10591</v>
      </c>
      <c r="O86" s="50">
        <v>10591</v>
      </c>
    </row>
    <row r="87" spans="2:15">
      <c r="B87" s="2" t="s">
        <v>55</v>
      </c>
      <c r="C87" s="7">
        <v>0</v>
      </c>
      <c r="D87" s="34">
        <f t="shared" ref="D87:J87" si="11">D89+D91+D92+D93</f>
        <v>0</v>
      </c>
      <c r="E87" s="34">
        <f t="shared" si="11"/>
        <v>0</v>
      </c>
      <c r="F87" s="34">
        <f t="shared" si="11"/>
        <v>9286</v>
      </c>
      <c r="G87" s="34">
        <f t="shared" si="11"/>
        <v>9286</v>
      </c>
      <c r="H87" s="34">
        <f t="shared" si="11"/>
        <v>13173</v>
      </c>
      <c r="I87" s="34">
        <f t="shared" si="11"/>
        <v>13173</v>
      </c>
      <c r="J87" s="34">
        <f t="shared" si="11"/>
        <v>13173</v>
      </c>
      <c r="K87" s="34"/>
      <c r="L87" s="50">
        <v>368</v>
      </c>
      <c r="M87" s="50">
        <v>368</v>
      </c>
      <c r="N87" s="50">
        <v>368</v>
      </c>
      <c r="O87" s="50">
        <v>368</v>
      </c>
    </row>
    <row r="88" spans="2:15">
      <c r="B88" s="3" t="s">
        <v>229</v>
      </c>
      <c r="C88" s="7"/>
      <c r="D88" s="34"/>
      <c r="E88" s="34"/>
      <c r="F88" s="34"/>
      <c r="G88" s="34"/>
      <c r="H88" s="34"/>
      <c r="I88" s="34"/>
      <c r="J88" s="34"/>
      <c r="K88" s="34"/>
      <c r="L88" s="136">
        <v>368</v>
      </c>
      <c r="M88" s="136">
        <v>368</v>
      </c>
      <c r="N88" s="136">
        <v>368</v>
      </c>
      <c r="O88" s="136">
        <v>368</v>
      </c>
    </row>
    <row r="89" spans="2:15">
      <c r="B89" s="135" t="s">
        <v>294</v>
      </c>
      <c r="C89" s="46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/>
      <c r="N89" s="50">
        <f>1294+195</f>
        <v>1489</v>
      </c>
      <c r="O89" s="50">
        <f>1294+195-1489</f>
        <v>0</v>
      </c>
    </row>
    <row r="90" spans="2:15">
      <c r="B90" s="135" t="s">
        <v>304</v>
      </c>
      <c r="C90" s="46"/>
      <c r="D90" s="47"/>
      <c r="E90" s="47"/>
      <c r="F90" s="47"/>
      <c r="G90" s="47"/>
      <c r="H90" s="47"/>
      <c r="I90" s="47"/>
      <c r="J90" s="47"/>
      <c r="K90" s="47"/>
      <c r="N90" s="50"/>
      <c r="O90" s="50">
        <v>1954</v>
      </c>
    </row>
    <row r="91" spans="2:15">
      <c r="B91" s="3" t="s">
        <v>134</v>
      </c>
      <c r="C91" s="8"/>
      <c r="D91" s="47"/>
      <c r="E91" s="47"/>
      <c r="F91" s="47">
        <v>1970</v>
      </c>
      <c r="G91" s="47">
        <v>1970</v>
      </c>
      <c r="H91" s="47">
        <v>1970</v>
      </c>
      <c r="I91" s="47">
        <v>1970</v>
      </c>
      <c r="J91" s="47">
        <v>1970</v>
      </c>
      <c r="K91" s="47"/>
      <c r="N91" s="50">
        <v>1154</v>
      </c>
      <c r="O91" s="50">
        <v>1154</v>
      </c>
    </row>
    <row r="92" spans="2:15">
      <c r="B92" s="3" t="s">
        <v>83</v>
      </c>
      <c r="C92" s="8"/>
      <c r="D92" s="47"/>
      <c r="E92" s="47"/>
      <c r="F92" s="47">
        <v>329</v>
      </c>
      <c r="G92" s="47">
        <v>329</v>
      </c>
      <c r="H92" s="47">
        <v>329</v>
      </c>
      <c r="I92" s="47">
        <v>329</v>
      </c>
      <c r="J92" s="47">
        <v>329</v>
      </c>
      <c r="K92" s="47"/>
      <c r="O92" s="50">
        <v>454</v>
      </c>
    </row>
    <row r="93" spans="2:15">
      <c r="B93" s="3" t="s">
        <v>84</v>
      </c>
      <c r="C93" s="46"/>
      <c r="D93" s="47"/>
      <c r="E93" s="47"/>
      <c r="F93" s="47">
        <v>6987</v>
      </c>
      <c r="G93" s="47">
        <v>6987</v>
      </c>
      <c r="H93" s="47">
        <f>6987+3887</f>
        <v>10874</v>
      </c>
      <c r="I93" s="47">
        <f>6987+3887</f>
        <v>10874</v>
      </c>
      <c r="J93" s="47">
        <f>6987+3887</f>
        <v>10874</v>
      </c>
      <c r="K93" s="47"/>
      <c r="M93" s="47">
        <v>1354</v>
      </c>
      <c r="N93" s="47">
        <f>1354+2174</f>
        <v>3528</v>
      </c>
      <c r="O93" s="47">
        <f>1354+2174+2209</f>
        <v>5737</v>
      </c>
    </row>
    <row r="94" spans="2:15">
      <c r="B94" s="3" t="s">
        <v>75</v>
      </c>
      <c r="C94" s="46">
        <v>3500</v>
      </c>
      <c r="D94" s="47">
        <v>4500</v>
      </c>
      <c r="E94" s="47">
        <v>4500</v>
      </c>
      <c r="F94" s="47">
        <v>4500</v>
      </c>
      <c r="G94" s="47">
        <v>4500</v>
      </c>
      <c r="H94" s="47">
        <v>4500</v>
      </c>
      <c r="I94" s="47">
        <v>4500</v>
      </c>
      <c r="J94" s="47">
        <v>4500</v>
      </c>
      <c r="K94" s="47"/>
      <c r="L94" s="47">
        <v>5715</v>
      </c>
      <c r="M94" s="47">
        <v>5715</v>
      </c>
      <c r="N94" s="47">
        <v>5715</v>
      </c>
      <c r="O94" s="47">
        <v>5715</v>
      </c>
    </row>
    <row r="95" spans="2:15">
      <c r="B95" s="3" t="s">
        <v>14</v>
      </c>
      <c r="C95" s="46">
        <v>22540</v>
      </c>
      <c r="D95" s="47">
        <v>26500</v>
      </c>
      <c r="E95" s="47">
        <v>26500</v>
      </c>
      <c r="F95" s="47">
        <v>26500</v>
      </c>
      <c r="G95" s="47">
        <v>26500</v>
      </c>
      <c r="H95" s="47">
        <v>26500</v>
      </c>
      <c r="I95" s="47">
        <v>26500</v>
      </c>
      <c r="J95" s="47">
        <v>26500</v>
      </c>
      <c r="K95" s="47"/>
      <c r="L95" s="47">
        <v>10024</v>
      </c>
      <c r="M95" s="47">
        <v>10024</v>
      </c>
      <c r="N95" s="47">
        <v>10024</v>
      </c>
      <c r="O95" s="47">
        <v>10024</v>
      </c>
    </row>
    <row r="96" spans="2:15">
      <c r="B96" s="45" t="s">
        <v>113</v>
      </c>
      <c r="C96" s="46"/>
      <c r="D96" s="47">
        <v>17695</v>
      </c>
      <c r="E96" s="47">
        <v>17695</v>
      </c>
      <c r="F96" s="47">
        <f>17695-348</f>
        <v>17347</v>
      </c>
      <c r="G96" s="47">
        <f>17695-348</f>
        <v>17347</v>
      </c>
      <c r="H96" s="47">
        <f>17695-348</f>
        <v>17347</v>
      </c>
      <c r="I96" s="47">
        <f>17695-348</f>
        <v>17347</v>
      </c>
      <c r="J96" s="47">
        <f>17695-348</f>
        <v>17347</v>
      </c>
      <c r="K96" s="47"/>
    </row>
    <row r="97" spans="2:16">
      <c r="B97" s="2" t="s">
        <v>47</v>
      </c>
      <c r="C97" s="32">
        <f>SUM(C93:C95)</f>
        <v>26040</v>
      </c>
      <c r="D97" s="6">
        <f t="shared" ref="D97:L97" si="12">SUM(D94:D96)</f>
        <v>48695</v>
      </c>
      <c r="E97" s="6">
        <f t="shared" si="12"/>
        <v>48695</v>
      </c>
      <c r="F97" s="6">
        <f t="shared" si="12"/>
        <v>48347</v>
      </c>
      <c r="G97" s="6">
        <f t="shared" si="12"/>
        <v>48347</v>
      </c>
      <c r="H97" s="6">
        <f t="shared" si="12"/>
        <v>48347</v>
      </c>
      <c r="I97" s="6">
        <f t="shared" si="12"/>
        <v>48347</v>
      </c>
      <c r="J97" s="6">
        <f>SUM(J94:J96)</f>
        <v>48347</v>
      </c>
      <c r="K97" s="6"/>
      <c r="L97" s="6">
        <f t="shared" si="12"/>
        <v>15739</v>
      </c>
      <c r="M97" s="6">
        <f>SUM(M93:M96)</f>
        <v>17093</v>
      </c>
      <c r="N97" s="6">
        <f>SUM(N93:N96)</f>
        <v>19267</v>
      </c>
      <c r="O97" s="6">
        <f>SUM(O93:O96)</f>
        <v>21476</v>
      </c>
    </row>
    <row r="98" spans="2:16">
      <c r="B98" s="3"/>
      <c r="C98" s="3"/>
      <c r="D98" s="47"/>
      <c r="E98" s="47"/>
      <c r="F98" s="47"/>
      <c r="G98" s="47"/>
      <c r="H98" s="47"/>
      <c r="I98" s="47"/>
      <c r="J98" s="47"/>
      <c r="K98" s="47"/>
    </row>
    <row r="99" spans="2:16">
      <c r="B99" s="2" t="s">
        <v>48</v>
      </c>
      <c r="C99" s="32">
        <f>SUM(C82+C87+C97)</f>
        <v>268123</v>
      </c>
      <c r="D99" s="31">
        <f>D82+D97</f>
        <v>297505</v>
      </c>
      <c r="E99" s="31">
        <f>E82+E97</f>
        <v>297505</v>
      </c>
      <c r="F99" s="31">
        <f>F82+F97+F87</f>
        <v>301789</v>
      </c>
      <c r="G99" s="31">
        <f>G82+G97+G87</f>
        <v>301789</v>
      </c>
      <c r="H99" s="31">
        <f>H82+H97+H87</f>
        <v>299281</v>
      </c>
      <c r="I99" s="31">
        <f>I82+I97+I87</f>
        <v>299281</v>
      </c>
      <c r="J99" s="31">
        <f>J82+J97+J87</f>
        <v>299281</v>
      </c>
      <c r="K99" s="31">
        <v>291956</v>
      </c>
      <c r="L99" s="31">
        <f>L83+L84+L85+L87+L86+L97</f>
        <v>309832</v>
      </c>
      <c r="M99" s="31">
        <f>M83+M84+M85+M87+M86+M97</f>
        <v>311186</v>
      </c>
      <c r="N99" s="31">
        <f>N83+N84+N85+N87+N86+N97+N91+N89</f>
        <v>316003</v>
      </c>
      <c r="O99" s="31">
        <f>O83+O84+O85+O87+O86+O97+O91+O89+O90+O92</f>
        <v>319083</v>
      </c>
      <c r="P99" s="14"/>
    </row>
    <row r="100" spans="2:16">
      <c r="B100" s="3"/>
      <c r="C100" s="3"/>
      <c r="D100" s="47"/>
      <c r="E100" s="47"/>
      <c r="F100" s="47"/>
      <c r="G100" s="47"/>
      <c r="H100" s="47"/>
      <c r="I100" s="47"/>
      <c r="J100" s="47"/>
      <c r="K100" s="47"/>
    </row>
    <row r="101" spans="2:16">
      <c r="B101" s="3" t="s">
        <v>15</v>
      </c>
      <c r="C101" s="46">
        <v>600</v>
      </c>
      <c r="D101" s="47">
        <v>500</v>
      </c>
      <c r="E101" s="47">
        <v>500</v>
      </c>
      <c r="F101" s="47">
        <v>500</v>
      </c>
      <c r="G101" s="47">
        <v>500</v>
      </c>
      <c r="H101" s="47">
        <v>500</v>
      </c>
      <c r="I101" s="47">
        <v>500</v>
      </c>
      <c r="J101" s="47">
        <v>500</v>
      </c>
      <c r="K101" s="47"/>
      <c r="L101" s="47">
        <v>500</v>
      </c>
      <c r="M101" s="47">
        <v>500</v>
      </c>
      <c r="N101" s="47">
        <v>500</v>
      </c>
      <c r="O101" s="47">
        <v>500</v>
      </c>
    </row>
    <row r="102" spans="2:16">
      <c r="B102" s="3" t="s">
        <v>16</v>
      </c>
      <c r="C102" s="46">
        <v>11200</v>
      </c>
      <c r="D102" s="47">
        <v>11200</v>
      </c>
      <c r="E102" s="47">
        <v>11200</v>
      </c>
      <c r="F102" s="47">
        <v>11200</v>
      </c>
      <c r="G102" s="47">
        <v>11200</v>
      </c>
      <c r="H102" s="47">
        <v>11200</v>
      </c>
      <c r="I102" s="47">
        <v>11200</v>
      </c>
      <c r="J102" s="47">
        <v>14912</v>
      </c>
      <c r="K102" s="47">
        <v>11582</v>
      </c>
      <c r="L102" s="47">
        <v>13595</v>
      </c>
      <c r="M102" s="47">
        <v>13595</v>
      </c>
      <c r="N102" s="47">
        <v>13595</v>
      </c>
      <c r="O102" s="47">
        <v>13595</v>
      </c>
    </row>
    <row r="103" spans="2:16">
      <c r="B103" s="45" t="s">
        <v>306</v>
      </c>
      <c r="C103" s="46">
        <v>420</v>
      </c>
      <c r="D103" s="47"/>
      <c r="E103" s="47"/>
      <c r="F103" s="47"/>
      <c r="G103" s="47"/>
      <c r="H103" s="47"/>
      <c r="I103" s="47"/>
      <c r="J103" s="47"/>
      <c r="K103" s="47"/>
      <c r="O103" s="47">
        <v>400</v>
      </c>
    </row>
    <row r="104" spans="2:16">
      <c r="B104" s="45" t="s">
        <v>307</v>
      </c>
      <c r="C104" s="46">
        <v>0</v>
      </c>
      <c r="D104" s="47"/>
      <c r="E104" s="47"/>
      <c r="F104" s="47"/>
      <c r="G104" s="47"/>
      <c r="H104" s="47"/>
      <c r="I104" s="47"/>
      <c r="J104" s="47"/>
      <c r="K104" s="47"/>
      <c r="O104" s="47">
        <v>180</v>
      </c>
    </row>
    <row r="105" spans="2:16">
      <c r="B105" s="3" t="s">
        <v>85</v>
      </c>
      <c r="C105" s="46">
        <v>0</v>
      </c>
      <c r="D105" s="47"/>
      <c r="E105" s="47"/>
      <c r="F105" s="47"/>
      <c r="G105" s="47"/>
      <c r="H105" s="47"/>
      <c r="I105" s="47">
        <v>7759</v>
      </c>
      <c r="J105" s="47">
        <v>7759</v>
      </c>
      <c r="K105" s="47">
        <v>7740</v>
      </c>
      <c r="O105" s="47">
        <v>5721</v>
      </c>
    </row>
    <row r="106" spans="2:16">
      <c r="B106" s="3" t="s">
        <v>74</v>
      </c>
      <c r="C106" s="46">
        <v>0</v>
      </c>
      <c r="D106" s="47"/>
      <c r="E106" s="47"/>
      <c r="F106" s="47"/>
      <c r="G106" s="47"/>
      <c r="H106" s="47"/>
      <c r="I106" s="47"/>
      <c r="J106" s="47"/>
      <c r="K106" s="47"/>
    </row>
    <row r="107" spans="2:16">
      <c r="B107" s="3" t="s">
        <v>63</v>
      </c>
      <c r="C107" s="46">
        <v>22102</v>
      </c>
      <c r="D107" s="47"/>
      <c r="E107" s="47">
        <v>4669</v>
      </c>
      <c r="F107" s="47">
        <v>4669</v>
      </c>
      <c r="G107" s="47">
        <v>4669</v>
      </c>
      <c r="H107" s="47">
        <v>4669</v>
      </c>
      <c r="I107" s="47">
        <v>4669</v>
      </c>
      <c r="J107" s="47">
        <v>4669</v>
      </c>
      <c r="K107" s="47">
        <v>4669</v>
      </c>
    </row>
    <row r="108" spans="2:16">
      <c r="B108" s="2" t="s">
        <v>49</v>
      </c>
      <c r="C108" s="32">
        <f>SUM(C101:C107)</f>
        <v>34322</v>
      </c>
      <c r="D108" s="31">
        <f>SUM(D101:D107)</f>
        <v>11700</v>
      </c>
      <c r="E108" s="31">
        <f>SUM(E101:E107)</f>
        <v>16369</v>
      </c>
      <c r="F108" s="31">
        <f>SUM(F101:F107)</f>
        <v>16369</v>
      </c>
      <c r="G108" s="31">
        <f t="shared" ref="G108:L108" si="13">SUM(G101:G107)</f>
        <v>16369</v>
      </c>
      <c r="H108" s="31">
        <f t="shared" si="13"/>
        <v>16369</v>
      </c>
      <c r="I108" s="31">
        <f t="shared" si="13"/>
        <v>24128</v>
      </c>
      <c r="J108" s="31">
        <f t="shared" si="13"/>
        <v>27840</v>
      </c>
      <c r="K108" s="31">
        <f t="shared" si="13"/>
        <v>23991</v>
      </c>
      <c r="L108" s="31">
        <f t="shared" si="13"/>
        <v>14095</v>
      </c>
      <c r="M108" s="31">
        <f>SUM(M101:M107)</f>
        <v>14095</v>
      </c>
      <c r="N108" s="31">
        <f>SUM(N101:N107)</f>
        <v>14095</v>
      </c>
      <c r="O108" s="31">
        <f>SUM(O101:O107)</f>
        <v>20396</v>
      </c>
    </row>
    <row r="109" spans="2:16">
      <c r="B109" s="45"/>
      <c r="C109" s="3"/>
      <c r="D109" s="47"/>
      <c r="E109" s="47"/>
      <c r="F109" s="47"/>
      <c r="G109" s="47"/>
      <c r="H109" s="47"/>
      <c r="I109" s="47"/>
      <c r="J109" s="47"/>
      <c r="K109" s="47"/>
    </row>
    <row r="110" spans="2:16">
      <c r="B110" s="2" t="s">
        <v>158</v>
      </c>
      <c r="C110" s="32"/>
      <c r="D110" s="48">
        <f t="shared" ref="D110:I110" si="14">SUM(D109)</f>
        <v>0</v>
      </c>
      <c r="E110" s="48">
        <f t="shared" si="14"/>
        <v>0</v>
      </c>
      <c r="F110" s="48">
        <f t="shared" si="14"/>
        <v>0</v>
      </c>
      <c r="G110" s="48">
        <f t="shared" si="14"/>
        <v>0</v>
      </c>
      <c r="H110" s="48">
        <f t="shared" si="14"/>
        <v>0</v>
      </c>
      <c r="I110" s="48">
        <f t="shared" si="14"/>
        <v>0</v>
      </c>
      <c r="J110" s="48">
        <f>SUM(J109)</f>
        <v>0</v>
      </c>
      <c r="K110" s="48"/>
      <c r="L110" s="47">
        <v>40914</v>
      </c>
      <c r="M110" s="47">
        <v>40914</v>
      </c>
      <c r="N110" s="47">
        <f>40914-8311</f>
        <v>32603</v>
      </c>
      <c r="O110" s="47">
        <f>40914-8311</f>
        <v>32603</v>
      </c>
    </row>
    <row r="111" spans="2:16">
      <c r="B111" s="2"/>
      <c r="C111" s="3"/>
      <c r="D111" s="47"/>
      <c r="E111" s="47"/>
      <c r="F111" s="47"/>
      <c r="G111" s="47"/>
      <c r="H111" s="47"/>
      <c r="I111" s="47"/>
      <c r="J111" s="47"/>
      <c r="K111" s="47"/>
    </row>
    <row r="112" spans="2:16">
      <c r="B112" s="2"/>
      <c r="C112" s="7"/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/>
    </row>
    <row r="113" spans="2:19">
      <c r="B113" s="2"/>
      <c r="C113" s="7"/>
      <c r="D113" s="47"/>
      <c r="E113" s="47"/>
      <c r="F113" s="47"/>
      <c r="G113" s="47"/>
      <c r="H113" s="47"/>
      <c r="I113" s="47"/>
      <c r="J113" s="47"/>
      <c r="K113" s="47"/>
    </row>
    <row r="114" spans="2:19">
      <c r="B114" s="2"/>
      <c r="C114" s="7"/>
      <c r="D114" s="47"/>
      <c r="E114" s="47"/>
      <c r="F114" s="47"/>
      <c r="G114" s="47"/>
      <c r="H114" s="47"/>
      <c r="I114" s="47"/>
      <c r="J114" s="47"/>
      <c r="K114" s="47"/>
    </row>
    <row r="115" spans="2:19">
      <c r="B115" s="3"/>
      <c r="C115" s="3"/>
      <c r="D115" s="47"/>
      <c r="E115" s="47"/>
      <c r="F115" s="47"/>
      <c r="G115" s="47"/>
      <c r="H115" s="47"/>
      <c r="I115" s="47"/>
      <c r="J115" s="47"/>
      <c r="K115" s="47"/>
    </row>
    <row r="116" spans="2:19">
      <c r="B116" s="2" t="s">
        <v>50</v>
      </c>
      <c r="C116" s="32">
        <f>SUM(C112+C108+C110+C99+C79+C67+C52)</f>
        <v>1152368</v>
      </c>
      <c r="D116" s="31">
        <f t="shared" ref="D116:K116" si="15">SUM(D112+D108+D110+D99+D79+D67+D52+D113)</f>
        <v>945411</v>
      </c>
      <c r="E116" s="31">
        <f t="shared" si="15"/>
        <v>1003275</v>
      </c>
      <c r="F116" s="31">
        <f t="shared" si="15"/>
        <v>1007559</v>
      </c>
      <c r="G116" s="31">
        <f t="shared" si="15"/>
        <v>1012059</v>
      </c>
      <c r="H116" s="31">
        <f t="shared" si="15"/>
        <v>1009551</v>
      </c>
      <c r="I116" s="31">
        <f t="shared" si="15"/>
        <v>1035300</v>
      </c>
      <c r="J116" s="31">
        <f t="shared" si="15"/>
        <v>1049012</v>
      </c>
      <c r="K116" s="31">
        <f t="shared" si="15"/>
        <v>1034748</v>
      </c>
      <c r="L116" s="31">
        <f>SUM(L112+L108+L110+L99+L79+L67+L52+L113+L111)</f>
        <v>960000</v>
      </c>
      <c r="M116" s="31">
        <f>SUM(M112+M108+M110+M99+M79+M67+M52+M113+M111)</f>
        <v>964354</v>
      </c>
      <c r="N116" s="31">
        <f>SUM(N112+N108+N110+N99+N79+N67+N52+N113+N111)</f>
        <v>1113227</v>
      </c>
      <c r="O116" s="31">
        <f>SUM(O112+O108+O110+O99+O79+O67+O52+O113+O111)</f>
        <v>1122608</v>
      </c>
      <c r="P116" s="14"/>
      <c r="S116" s="14"/>
    </row>
    <row r="117" spans="2:19">
      <c r="D117" s="44"/>
      <c r="L117" s="14"/>
      <c r="M117" s="14"/>
      <c r="N117" s="14"/>
      <c r="O117" s="14"/>
    </row>
  </sheetData>
  <customSheetViews>
    <customSheetView guid="{3421BDA2-9904-43CC-9302-33BF52AC1CD6}" showPageBreaks="1" hiddenColumns="1" showRuler="0">
      <selection activeCell="I61" sqref="I61"/>
      <pageMargins left="0.19685039370078741" right="0.19685039370078741" top="0.98425196850393704" bottom="0.98425196850393704" header="0.51181102362204722" footer="0.51181102362204722"/>
      <pageSetup paperSize="9" orientation="landscape" horizontalDpi="4294967293" verticalDpi="300" r:id="rId1"/>
      <headerFooter alignWithMargins="0">
        <oddHeader>&amp;R&amp;"Arial CE,Félkövér"2. sz. melléklet</oddHeader>
        <oddFooter>&amp;L&amp;D</oddFooter>
      </headerFooter>
    </customSheetView>
    <customSheetView guid="{52DDA72E-DE96-4CF9-8793-90D799FDD9E1}" showPageBreaks="1" hiddenColumns="1" showRuler="0">
      <selection activeCell="J14" sqref="J14"/>
      <pageMargins left="0.19685039370078741" right="0.19685039370078741" top="0.98425196850393704" bottom="0.98425196850393704" header="0.51181102362204722" footer="0.51181102362204722"/>
      <pageSetup paperSize="9" orientation="landscape" horizontalDpi="4294967293" verticalDpi="300" r:id="rId2"/>
      <headerFooter alignWithMargins="0">
        <oddHeader>&amp;R&amp;"Arial CE,Félkövér"2. sz. melléklet</oddHeader>
        <oddFooter>&amp;L&amp;D</oddFooter>
      </headerFooter>
    </customSheetView>
  </customSheetViews>
  <mergeCells count="2">
    <mergeCell ref="B2:B3"/>
    <mergeCell ref="B1:O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 r:id="rId3"/>
  <headerFooter alignWithMargins="0">
    <oddHeader xml:space="preserve">&amp;R&amp;"Arial CE,Félkövér"Bevételek
I/a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47"/>
  <sheetViews>
    <sheetView topLeftCell="A13" zoomScaleNormal="100" workbookViewId="0">
      <selection activeCell="J13" sqref="J13"/>
    </sheetView>
  </sheetViews>
  <sheetFormatPr defaultRowHeight="12.75"/>
  <cols>
    <col min="1" max="1" width="51.28515625" style="137" bestFit="1" customWidth="1"/>
    <col min="2" max="3" width="0" style="137" hidden="1" customWidth="1"/>
    <col min="4" max="6" width="13" style="137" hidden="1" customWidth="1"/>
    <col min="7" max="10" width="13" style="137" bestFit="1" customWidth="1"/>
    <col min="11" max="16384" width="9.140625" style="137"/>
  </cols>
  <sheetData>
    <row r="1" spans="1:10">
      <c r="A1" s="220" t="s">
        <v>119</v>
      </c>
      <c r="B1" s="221"/>
      <c r="C1" s="222"/>
      <c r="D1" s="222"/>
      <c r="E1" s="199"/>
      <c r="F1" s="199"/>
      <c r="G1" s="199"/>
      <c r="H1" s="199"/>
      <c r="I1" s="199"/>
      <c r="J1" s="199"/>
    </row>
    <row r="2" spans="1:10">
      <c r="A2" s="221"/>
      <c r="B2" s="221"/>
      <c r="C2" s="222"/>
      <c r="D2" s="222"/>
      <c r="E2" s="199"/>
      <c r="F2" s="199"/>
      <c r="G2" s="199"/>
      <c r="H2" s="199"/>
      <c r="I2" s="199"/>
      <c r="J2" s="199"/>
    </row>
    <row r="3" spans="1:10" ht="33" customHeight="1">
      <c r="A3" s="138"/>
      <c r="B3" s="138"/>
      <c r="C3" s="138"/>
    </row>
    <row r="4" spans="1:10">
      <c r="D4" s="139"/>
      <c r="E4" s="139"/>
      <c r="F4" s="139"/>
      <c r="G4" s="139"/>
      <c r="H4" s="139"/>
      <c r="I4" s="139"/>
      <c r="J4" s="139" t="s">
        <v>19</v>
      </c>
    </row>
    <row r="5" spans="1:10" ht="12.75" customHeight="1">
      <c r="A5" s="225" t="s">
        <v>120</v>
      </c>
      <c r="B5" s="223" t="s">
        <v>121</v>
      </c>
      <c r="C5" s="140" t="s">
        <v>79</v>
      </c>
      <c r="D5" s="223" t="s">
        <v>122</v>
      </c>
      <c r="E5" s="140" t="s">
        <v>116</v>
      </c>
      <c r="F5" s="140" t="s">
        <v>231</v>
      </c>
      <c r="G5" s="223" t="s">
        <v>269</v>
      </c>
      <c r="H5" s="223" t="s">
        <v>268</v>
      </c>
      <c r="I5" s="223" t="s">
        <v>290</v>
      </c>
      <c r="J5" s="223" t="s">
        <v>302</v>
      </c>
    </row>
    <row r="6" spans="1:10" ht="25.5">
      <c r="A6" s="226"/>
      <c r="B6" s="224"/>
      <c r="C6" s="141" t="s">
        <v>123</v>
      </c>
      <c r="D6" s="224"/>
      <c r="E6" s="141" t="s">
        <v>232</v>
      </c>
      <c r="F6" s="141" t="s">
        <v>233</v>
      </c>
      <c r="G6" s="224"/>
      <c r="H6" s="224"/>
      <c r="I6" s="224"/>
      <c r="J6" s="224"/>
    </row>
    <row r="7" spans="1:10">
      <c r="A7" s="142"/>
      <c r="B7" s="143"/>
      <c r="C7" s="143"/>
    </row>
    <row r="8" spans="1:10">
      <c r="A8" s="137" t="s">
        <v>270</v>
      </c>
      <c r="B8" s="143">
        <v>0</v>
      </c>
      <c r="C8" s="143">
        <v>640</v>
      </c>
      <c r="D8" s="143">
        <v>1181</v>
      </c>
      <c r="E8" s="143">
        <v>1181</v>
      </c>
      <c r="F8" s="143"/>
      <c r="G8" s="143"/>
      <c r="H8" s="143">
        <v>16818</v>
      </c>
      <c r="I8" s="143">
        <f>16818+5512</f>
        <v>22330</v>
      </c>
      <c r="J8" s="143">
        <f>16818+5512</f>
        <v>22330</v>
      </c>
    </row>
    <row r="9" spans="1:10">
      <c r="B9" s="143"/>
      <c r="C9" s="143"/>
      <c r="D9" s="143"/>
      <c r="E9" s="143"/>
      <c r="F9" s="143"/>
      <c r="G9" s="143"/>
      <c r="H9" s="143"/>
      <c r="I9" s="143"/>
      <c r="J9" s="143"/>
    </row>
    <row r="10" spans="1:10">
      <c r="A10" s="137" t="s">
        <v>312</v>
      </c>
      <c r="B10" s="143"/>
      <c r="C10" s="143"/>
      <c r="J10" s="137">
        <v>2981</v>
      </c>
    </row>
    <row r="11" spans="1:10">
      <c r="B11" s="143"/>
      <c r="C11" s="143"/>
    </row>
    <row r="12" spans="1:10">
      <c r="A12" s="144" t="s">
        <v>124</v>
      </c>
      <c r="B12" s="145">
        <v>0</v>
      </c>
      <c r="C12" s="145">
        <v>160</v>
      </c>
      <c r="D12" s="145">
        <v>319</v>
      </c>
      <c r="E12" s="145">
        <v>703</v>
      </c>
      <c r="F12" s="145">
        <v>558</v>
      </c>
      <c r="G12" s="145">
        <f>(G8+G10)*0.27</f>
        <v>0</v>
      </c>
      <c r="H12" s="145">
        <v>4540</v>
      </c>
      <c r="I12" s="145">
        <v>4540</v>
      </c>
      <c r="J12" s="145">
        <v>5345</v>
      </c>
    </row>
    <row r="13" spans="1:10">
      <c r="A13" s="146" t="s">
        <v>125</v>
      </c>
      <c r="B13" s="147">
        <f>SUM(B7:B12)</f>
        <v>0</v>
      </c>
      <c r="C13" s="147">
        <f>SUM(C7:C12)</f>
        <v>800</v>
      </c>
      <c r="D13" s="147">
        <f>SUM(D7:D12)</f>
        <v>1500</v>
      </c>
      <c r="E13" s="147">
        <f>SUM(E8:E12)</f>
        <v>1884</v>
      </c>
      <c r="F13" s="147">
        <f>SUM(F8:F12)</f>
        <v>558</v>
      </c>
      <c r="G13" s="147">
        <f>SUM(G7:G12)</f>
        <v>0</v>
      </c>
      <c r="H13" s="147">
        <f>SUM(H7:H12)</f>
        <v>21358</v>
      </c>
      <c r="I13" s="147">
        <f>SUM(I7:I12)</f>
        <v>26870</v>
      </c>
      <c r="J13" s="147">
        <f>SUM(J7:J12)</f>
        <v>30656</v>
      </c>
    </row>
    <row r="14" spans="1:10">
      <c r="A14" s="142"/>
      <c r="B14" s="143"/>
      <c r="C14" s="143"/>
    </row>
    <row r="15" spans="1:10">
      <c r="A15" s="142" t="s">
        <v>90</v>
      </c>
      <c r="B15" s="143">
        <v>4550</v>
      </c>
      <c r="C15" s="143">
        <v>2000</v>
      </c>
      <c r="D15" s="143">
        <v>4550</v>
      </c>
      <c r="E15" s="143">
        <v>5590</v>
      </c>
      <c r="F15" s="143">
        <v>5590</v>
      </c>
      <c r="G15" s="143">
        <v>1000</v>
      </c>
      <c r="H15" s="143">
        <v>1000</v>
      </c>
      <c r="I15" s="143">
        <v>1000</v>
      </c>
      <c r="J15" s="143">
        <v>1000</v>
      </c>
    </row>
    <row r="16" spans="1:10">
      <c r="A16" s="142"/>
      <c r="B16" s="143"/>
      <c r="C16" s="143"/>
    </row>
    <row r="17" spans="1:10">
      <c r="A17" s="148" t="s">
        <v>126</v>
      </c>
      <c r="B17" s="143"/>
      <c r="C17" s="143"/>
      <c r="D17" s="143">
        <v>1000</v>
      </c>
      <c r="E17" s="143">
        <v>1000</v>
      </c>
      <c r="F17" s="143">
        <v>1</v>
      </c>
      <c r="G17" s="143">
        <v>11139</v>
      </c>
      <c r="H17" s="143">
        <v>11139</v>
      </c>
      <c r="I17" s="143">
        <v>11139</v>
      </c>
      <c r="J17" s="143">
        <v>3139</v>
      </c>
    </row>
    <row r="18" spans="1:10">
      <c r="A18" s="148"/>
      <c r="B18" s="143"/>
      <c r="C18" s="143"/>
    </row>
    <row r="19" spans="1:10">
      <c r="A19" s="148" t="s">
        <v>159</v>
      </c>
      <c r="B19" s="143">
        <v>2800</v>
      </c>
      <c r="C19" s="143">
        <v>2800</v>
      </c>
      <c r="D19" s="143">
        <v>2000</v>
      </c>
      <c r="E19" s="143"/>
      <c r="F19" s="143"/>
      <c r="G19" s="143">
        <v>5000</v>
      </c>
      <c r="H19" s="143">
        <v>5000</v>
      </c>
      <c r="I19" s="143">
        <v>5000</v>
      </c>
      <c r="J19" s="143">
        <v>0</v>
      </c>
    </row>
    <row r="20" spans="1:10">
      <c r="A20" s="142"/>
      <c r="B20" s="143"/>
      <c r="C20" s="143"/>
    </row>
    <row r="21" spans="1:10">
      <c r="A21" s="142" t="s">
        <v>186</v>
      </c>
      <c r="B21" s="143"/>
      <c r="C21" s="143"/>
      <c r="G21" s="143">
        <v>131234</v>
      </c>
      <c r="H21" s="143">
        <v>131234</v>
      </c>
      <c r="I21" s="143">
        <v>131234</v>
      </c>
      <c r="J21" s="143">
        <v>131234</v>
      </c>
    </row>
    <row r="22" spans="1:10">
      <c r="A22" s="142"/>
      <c r="B22" s="143"/>
      <c r="C22" s="143"/>
    </row>
    <row r="23" spans="1:10">
      <c r="A23" s="142" t="s">
        <v>89</v>
      </c>
      <c r="B23" s="143"/>
      <c r="C23" s="143"/>
      <c r="D23" s="143">
        <v>2360</v>
      </c>
      <c r="E23" s="143"/>
      <c r="F23" s="143"/>
      <c r="G23" s="143">
        <v>1800</v>
      </c>
      <c r="H23" s="143">
        <v>1800</v>
      </c>
      <c r="I23" s="143">
        <f>1800+3071</f>
        <v>4871</v>
      </c>
      <c r="J23" s="143">
        <f>1800+3071</f>
        <v>4871</v>
      </c>
    </row>
    <row r="24" spans="1:10">
      <c r="A24" s="142"/>
      <c r="B24" s="143"/>
      <c r="C24" s="143"/>
    </row>
    <row r="25" spans="1:10">
      <c r="A25" s="142" t="s">
        <v>127</v>
      </c>
      <c r="B25" s="143">
        <v>500</v>
      </c>
      <c r="C25" s="143">
        <v>500</v>
      </c>
      <c r="D25" s="143">
        <v>500</v>
      </c>
      <c r="E25" s="143">
        <v>500</v>
      </c>
      <c r="F25" s="143">
        <v>264</v>
      </c>
      <c r="G25" s="143">
        <v>500</v>
      </c>
      <c r="H25" s="143">
        <v>500</v>
      </c>
      <c r="I25" s="143">
        <v>500</v>
      </c>
      <c r="J25" s="143">
        <v>0</v>
      </c>
    </row>
    <row r="26" spans="1:10">
      <c r="A26" s="142"/>
      <c r="B26" s="143"/>
      <c r="C26" s="143"/>
    </row>
    <row r="27" spans="1:10">
      <c r="A27" s="142" t="s">
        <v>160</v>
      </c>
      <c r="B27" s="143"/>
      <c r="C27" s="143"/>
      <c r="G27" s="143">
        <v>2300</v>
      </c>
      <c r="H27" s="143">
        <v>2300</v>
      </c>
      <c r="I27" s="143">
        <v>0</v>
      </c>
      <c r="J27" s="143">
        <v>0</v>
      </c>
    </row>
    <row r="28" spans="1:10">
      <c r="A28" s="142"/>
      <c r="B28" s="143"/>
      <c r="C28" s="143"/>
    </row>
    <row r="29" spans="1:10">
      <c r="A29" s="142" t="s">
        <v>161</v>
      </c>
      <c r="B29" s="143"/>
      <c r="C29" s="143"/>
      <c r="D29" s="137">
        <v>0</v>
      </c>
      <c r="G29" s="143">
        <v>1200</v>
      </c>
      <c r="H29" s="143">
        <v>1200</v>
      </c>
      <c r="I29" s="143">
        <f>1200-700</f>
        <v>500</v>
      </c>
      <c r="J29" s="143">
        <v>0</v>
      </c>
    </row>
    <row r="30" spans="1:10">
      <c r="A30" s="142"/>
      <c r="B30" s="143"/>
      <c r="C30" s="143"/>
    </row>
    <row r="31" spans="1:10">
      <c r="A31" s="149" t="s">
        <v>265</v>
      </c>
      <c r="B31" s="143"/>
      <c r="C31" s="143"/>
      <c r="G31" s="143">
        <v>2360</v>
      </c>
      <c r="H31" s="143">
        <v>2360</v>
      </c>
      <c r="I31" s="143">
        <v>0</v>
      </c>
      <c r="J31" s="143">
        <v>0</v>
      </c>
    </row>
    <row r="32" spans="1:10">
      <c r="A32" s="149"/>
      <c r="B32" s="143"/>
      <c r="C32" s="143"/>
      <c r="G32" s="143"/>
      <c r="H32" s="143"/>
      <c r="I32" s="143"/>
      <c r="J32" s="143"/>
    </row>
    <row r="33" spans="1:10">
      <c r="A33" s="142" t="s">
        <v>292</v>
      </c>
      <c r="B33" s="143"/>
      <c r="C33" s="143"/>
      <c r="I33" s="137">
        <v>1890</v>
      </c>
      <c r="J33" s="137">
        <v>1890</v>
      </c>
    </row>
    <row r="34" spans="1:10">
      <c r="A34" s="142"/>
      <c r="B34" s="143"/>
      <c r="C34" s="143"/>
    </row>
    <row r="35" spans="1:10">
      <c r="A35" s="142" t="s">
        <v>305</v>
      </c>
      <c r="B35" s="143"/>
      <c r="C35" s="143"/>
      <c r="J35" s="137">
        <v>833</v>
      </c>
    </row>
    <row r="36" spans="1:10">
      <c r="A36" s="142"/>
      <c r="B36" s="143"/>
      <c r="C36" s="143"/>
    </row>
    <row r="37" spans="1:10">
      <c r="A37" s="142" t="s">
        <v>293</v>
      </c>
      <c r="B37" s="143"/>
      <c r="C37" s="143"/>
      <c r="I37" s="137">
        <v>3000</v>
      </c>
      <c r="J37" s="137">
        <v>3000</v>
      </c>
    </row>
    <row r="38" spans="1:10">
      <c r="A38" s="142"/>
      <c r="B38" s="143"/>
      <c r="C38" s="143"/>
    </row>
    <row r="39" spans="1:10">
      <c r="A39" s="142" t="s">
        <v>310</v>
      </c>
      <c r="B39" s="143"/>
      <c r="C39" s="143"/>
      <c r="J39" s="137">
        <v>1219</v>
      </c>
    </row>
    <row r="40" spans="1:10">
      <c r="A40" s="142"/>
      <c r="B40" s="143"/>
      <c r="C40" s="143"/>
    </row>
    <row r="41" spans="1:10">
      <c r="A41" s="150" t="s">
        <v>128</v>
      </c>
      <c r="B41" s="151">
        <v>28760</v>
      </c>
      <c r="C41" s="151">
        <v>30928</v>
      </c>
      <c r="D41" s="152">
        <v>3865</v>
      </c>
      <c r="E41" s="152">
        <v>3971</v>
      </c>
      <c r="F41" s="152">
        <v>3971</v>
      </c>
      <c r="G41" s="152">
        <f>SUM(G15:G34)*0.27+3</f>
        <v>42266.91</v>
      </c>
      <c r="H41" s="152">
        <f>SUM(H15:H34)*0.27+3</f>
        <v>42266.91</v>
      </c>
      <c r="I41" s="152">
        <f>42267+1340</f>
        <v>43607</v>
      </c>
      <c r="J41" s="152">
        <f>42267+1340+225-1350-2160-270+329</f>
        <v>40381</v>
      </c>
    </row>
    <row r="42" spans="1:10">
      <c r="A42" s="153" t="s">
        <v>28</v>
      </c>
      <c r="B42" s="147">
        <f t="shared" ref="B42:H42" si="0">SUM(B14:B41)</f>
        <v>36610</v>
      </c>
      <c r="C42" s="147">
        <f t="shared" si="0"/>
        <v>36228</v>
      </c>
      <c r="D42" s="147">
        <f t="shared" si="0"/>
        <v>14275</v>
      </c>
      <c r="E42" s="147">
        <f t="shared" si="0"/>
        <v>11061</v>
      </c>
      <c r="F42" s="147">
        <f t="shared" si="0"/>
        <v>9826</v>
      </c>
      <c r="G42" s="147">
        <f t="shared" si="0"/>
        <v>198799.91</v>
      </c>
      <c r="H42" s="147">
        <f t="shared" si="0"/>
        <v>198799.91</v>
      </c>
      <c r="I42" s="147">
        <f>SUM(I14:I41)</f>
        <v>202741</v>
      </c>
      <c r="J42" s="147">
        <f>SUM(J14:J41)</f>
        <v>187567</v>
      </c>
    </row>
    <row r="43" spans="1:10">
      <c r="A43" s="154" t="s">
        <v>227</v>
      </c>
      <c r="B43" s="155"/>
      <c r="C43" s="155"/>
      <c r="E43" s="137">
        <v>1934</v>
      </c>
      <c r="F43" s="137">
        <v>1934</v>
      </c>
      <c r="G43" s="137">
        <v>580</v>
      </c>
      <c r="H43" s="137">
        <v>580</v>
      </c>
      <c r="I43" s="137">
        <v>580</v>
      </c>
      <c r="J43" s="137">
        <f ca="1">Márai!M26+PMH!S24</f>
        <v>821</v>
      </c>
    </row>
    <row r="44" spans="1:10">
      <c r="A44" s="156" t="s">
        <v>129</v>
      </c>
      <c r="B44" s="157">
        <v>42186</v>
      </c>
      <c r="C44" s="157">
        <v>42186</v>
      </c>
      <c r="D44" s="158">
        <v>37685</v>
      </c>
      <c r="E44" s="158">
        <v>28873</v>
      </c>
      <c r="F44" s="158">
        <v>28873</v>
      </c>
      <c r="G44" s="158">
        <f>32548*0.6</f>
        <v>19528.8</v>
      </c>
      <c r="H44" s="158">
        <f>19529-8000</f>
        <v>11529</v>
      </c>
      <c r="I44" s="158">
        <v>162400</v>
      </c>
      <c r="J44" s="158">
        <f>162400+13843</f>
        <v>176243</v>
      </c>
    </row>
    <row r="45" spans="1:10">
      <c r="A45" s="159" t="s">
        <v>150</v>
      </c>
      <c r="B45" s="160"/>
      <c r="C45" s="157"/>
      <c r="E45" s="137">
        <v>100</v>
      </c>
      <c r="F45" s="137">
        <v>100</v>
      </c>
    </row>
    <row r="46" spans="1:10">
      <c r="A46" s="161" t="s">
        <v>130</v>
      </c>
      <c r="B46" s="161">
        <f>B42+B44+B13</f>
        <v>78796</v>
      </c>
      <c r="C46" s="161">
        <f>C42+C44+C13</f>
        <v>79214</v>
      </c>
      <c r="D46" s="161">
        <f>D42+D44+D13</f>
        <v>53460</v>
      </c>
      <c r="E46" s="161">
        <f>E42+E44+E13+E43+E45</f>
        <v>43852</v>
      </c>
      <c r="F46" s="161">
        <f>F42+F44+F13+F43+F45</f>
        <v>41291</v>
      </c>
      <c r="G46" s="161">
        <f>G42+G44+G13</f>
        <v>218328.71</v>
      </c>
      <c r="H46" s="161">
        <f>H42+H44+H13</f>
        <v>231686.91</v>
      </c>
      <c r="I46" s="161">
        <f>I42+I44+I13</f>
        <v>392011</v>
      </c>
      <c r="J46" s="161">
        <f>J42+J44+J13</f>
        <v>394466</v>
      </c>
    </row>
    <row r="47" spans="1:10">
      <c r="A47" s="137" t="s">
        <v>131</v>
      </c>
      <c r="B47" s="143"/>
      <c r="C47" s="162">
        <f>SUM(C46:C46)</f>
        <v>79214</v>
      </c>
      <c r="D47" s="162">
        <f>SUM(D46:D46)</f>
        <v>53460</v>
      </c>
      <c r="E47" s="162">
        <f>SUM(E46:E46)</f>
        <v>43852</v>
      </c>
      <c r="F47" s="162">
        <f>SUM(F46:F46)</f>
        <v>41291</v>
      </c>
      <c r="G47" s="162">
        <f>SUM(G46+G43)</f>
        <v>218908.71</v>
      </c>
      <c r="H47" s="162">
        <f>SUM(H46+H43)</f>
        <v>232266.91</v>
      </c>
      <c r="I47" s="162">
        <f>SUM(I46+I43)</f>
        <v>392591</v>
      </c>
      <c r="J47" s="162">
        <f>SUM(J46+J43)</f>
        <v>395287</v>
      </c>
    </row>
  </sheetData>
  <mergeCells count="8">
    <mergeCell ref="A1:J2"/>
    <mergeCell ref="J5:J6"/>
    <mergeCell ref="I5:I6"/>
    <mergeCell ref="H5:H6"/>
    <mergeCell ref="G5:G6"/>
    <mergeCell ref="A5:A6"/>
    <mergeCell ref="B5:B6"/>
    <mergeCell ref="D5:D6"/>
  </mergeCells>
  <phoneticPr fontId="10" type="noConversion"/>
  <pageMargins left="0.19685039370078741" right="0.19685039370078741" top="0.98425196850393704" bottom="0.98425196850393704" header="0.51181102362204722" footer="0.51181102362204722"/>
  <pageSetup paperSize="9" scale="90" orientation="portrait" r:id="rId1"/>
  <headerFooter alignWithMargins="0">
    <oddHeader>&amp;RFelhalm.
I/f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K14" sqref="K14"/>
    </sheetView>
  </sheetViews>
  <sheetFormatPr defaultRowHeight="12.75"/>
  <cols>
    <col min="1" max="1" width="25.28515625" style="174" bestFit="1" customWidth="1"/>
    <col min="2" max="2" width="12.140625" style="174" hidden="1" customWidth="1"/>
    <col min="3" max="3" width="14" style="174" hidden="1" customWidth="1"/>
    <col min="4" max="5" width="0" style="174" hidden="1" customWidth="1"/>
    <col min="6" max="7" width="10" style="174" hidden="1" customWidth="1"/>
    <col min="8" max="11" width="11" style="174" customWidth="1"/>
    <col min="12" max="16384" width="9.140625" style="174"/>
  </cols>
  <sheetData>
    <row r="1" spans="1:13">
      <c r="A1" s="227" t="s">
        <v>273</v>
      </c>
      <c r="B1" s="227"/>
      <c r="C1" s="228"/>
      <c r="D1" s="229"/>
      <c r="E1" s="229"/>
      <c r="F1" s="229"/>
      <c r="G1" s="199"/>
      <c r="H1" s="199"/>
      <c r="I1" s="199"/>
      <c r="J1" s="199"/>
      <c r="K1" s="199"/>
    </row>
    <row r="2" spans="1:13">
      <c r="A2" s="228"/>
      <c r="B2" s="228"/>
      <c r="C2" s="228"/>
      <c r="D2" s="229"/>
      <c r="E2" s="229"/>
      <c r="F2" s="229"/>
      <c r="G2" s="199"/>
      <c r="H2" s="199"/>
      <c r="I2" s="199"/>
      <c r="J2" s="199"/>
      <c r="K2" s="199"/>
    </row>
    <row r="3" spans="1:13" ht="15">
      <c r="A3" s="175"/>
      <c r="B3" s="175"/>
      <c r="C3" s="175"/>
      <c r="D3" s="173"/>
      <c r="E3" s="173"/>
      <c r="F3" s="173"/>
      <c r="G3" s="173"/>
    </row>
    <row r="4" spans="1:13" ht="15">
      <c r="A4" s="175"/>
      <c r="B4" s="175"/>
      <c r="C4" s="175"/>
      <c r="D4" s="173"/>
      <c r="E4" s="173"/>
      <c r="F4" s="173"/>
      <c r="G4" s="173"/>
    </row>
    <row r="5" spans="1:13">
      <c r="A5" s="173"/>
      <c r="B5" s="173"/>
      <c r="C5" s="176"/>
      <c r="D5" s="173"/>
      <c r="E5" s="173"/>
      <c r="F5" s="173"/>
      <c r="G5" s="173"/>
    </row>
    <row r="6" spans="1:13">
      <c r="A6" s="173"/>
      <c r="B6" s="173"/>
      <c r="C6" s="176"/>
      <c r="D6" s="173"/>
      <c r="E6" s="173"/>
      <c r="F6" s="173"/>
      <c r="G6" s="173"/>
    </row>
    <row r="7" spans="1:13">
      <c r="A7" s="173"/>
      <c r="B7" s="173"/>
      <c r="C7" s="176"/>
      <c r="D7" s="173"/>
      <c r="H7" s="177"/>
      <c r="I7" s="177"/>
      <c r="J7" s="177"/>
      <c r="K7" s="177" t="s">
        <v>29</v>
      </c>
    </row>
    <row r="8" spans="1:13" ht="15">
      <c r="A8" s="173"/>
      <c r="B8" s="173"/>
      <c r="C8" s="178"/>
      <c r="D8" s="173"/>
      <c r="E8" s="179"/>
      <c r="F8" s="179"/>
      <c r="G8" s="179"/>
    </row>
    <row r="9" spans="1:13">
      <c r="A9" s="231" t="s">
        <v>274</v>
      </c>
      <c r="B9" s="230" t="s">
        <v>275</v>
      </c>
      <c r="C9" s="232" t="s">
        <v>276</v>
      </c>
      <c r="D9" s="173" t="s">
        <v>86</v>
      </c>
      <c r="E9" s="179" t="s">
        <v>58</v>
      </c>
      <c r="F9" s="179" t="s">
        <v>116</v>
      </c>
      <c r="G9" s="179" t="s">
        <v>116</v>
      </c>
      <c r="H9" s="230" t="s">
        <v>277</v>
      </c>
      <c r="I9" s="230" t="s">
        <v>288</v>
      </c>
      <c r="J9" s="230" t="s">
        <v>291</v>
      </c>
      <c r="K9" s="230" t="s">
        <v>303</v>
      </c>
    </row>
    <row r="10" spans="1:13">
      <c r="A10" s="231"/>
      <c r="B10" s="230"/>
      <c r="C10" s="230"/>
      <c r="D10" s="173" t="s">
        <v>278</v>
      </c>
      <c r="E10" s="179" t="s">
        <v>279</v>
      </c>
      <c r="F10" s="179" t="s">
        <v>280</v>
      </c>
      <c r="G10" s="179" t="s">
        <v>281</v>
      </c>
      <c r="H10" s="230" t="s">
        <v>36</v>
      </c>
      <c r="I10" s="230" t="s">
        <v>36</v>
      </c>
      <c r="J10" s="230" t="s">
        <v>36</v>
      </c>
      <c r="K10" s="230" t="s">
        <v>36</v>
      </c>
    </row>
    <row r="11" spans="1:13">
      <c r="A11" s="180"/>
      <c r="B11" s="180"/>
      <c r="C11" s="181"/>
      <c r="D11" s="173"/>
      <c r="E11" s="173"/>
      <c r="F11" s="173"/>
      <c r="G11" s="173"/>
    </row>
    <row r="12" spans="1:13">
      <c r="A12" s="180"/>
      <c r="B12" s="180"/>
      <c r="C12" s="181"/>
      <c r="D12" s="173"/>
      <c r="E12" s="173"/>
      <c r="F12" s="173"/>
      <c r="G12" s="173"/>
    </row>
    <row r="13" spans="1:13" ht="15.75">
      <c r="A13" s="182" t="s">
        <v>282</v>
      </c>
      <c r="B13" s="183">
        <v>2700</v>
      </c>
      <c r="C13" s="184">
        <v>4301</v>
      </c>
      <c r="D13" s="184">
        <v>9555</v>
      </c>
      <c r="E13" s="184">
        <v>8297</v>
      </c>
      <c r="F13" s="184">
        <v>5400</v>
      </c>
      <c r="G13" s="184">
        <v>0</v>
      </c>
      <c r="H13" s="185">
        <v>3000</v>
      </c>
      <c r="I13" s="185">
        <v>795</v>
      </c>
      <c r="J13" s="185">
        <f>795+196+1294+195</f>
        <v>2480</v>
      </c>
      <c r="K13" s="185">
        <v>3821</v>
      </c>
      <c r="M13" s="190"/>
    </row>
    <row r="14" spans="1:13">
      <c r="A14" s="180"/>
      <c r="B14" s="186"/>
      <c r="C14" s="181"/>
      <c r="D14" s="173"/>
      <c r="E14" s="173"/>
      <c r="F14" s="173"/>
      <c r="G14" s="173"/>
    </row>
    <row r="15" spans="1:13" ht="15.75">
      <c r="A15" s="182" t="s">
        <v>283</v>
      </c>
      <c r="B15" s="183"/>
      <c r="C15" s="184">
        <f>SUM(C16:C17)</f>
        <v>0</v>
      </c>
      <c r="D15" s="184">
        <f>SUM(D16:D17)</f>
        <v>0</v>
      </c>
      <c r="E15" s="184">
        <v>6196</v>
      </c>
      <c r="F15" s="184">
        <f>SUM(F16:F17)</f>
        <v>24478</v>
      </c>
      <c r="G15" s="184">
        <v>0</v>
      </c>
      <c r="H15" s="187">
        <v>27000</v>
      </c>
      <c r="I15" s="187">
        <v>27000</v>
      </c>
      <c r="J15" s="187"/>
      <c r="K15" s="187"/>
    </row>
    <row r="16" spans="1:13" ht="15.75">
      <c r="A16" s="188" t="s">
        <v>284</v>
      </c>
      <c r="B16" s="189"/>
      <c r="C16" s="184"/>
      <c r="D16" s="173"/>
      <c r="E16" s="173"/>
      <c r="F16" s="187">
        <v>15000</v>
      </c>
      <c r="G16" s="187"/>
    </row>
    <row r="17" spans="1:11" ht="15.75">
      <c r="A17" s="188" t="s">
        <v>285</v>
      </c>
      <c r="B17" s="189"/>
      <c r="C17" s="184"/>
      <c r="D17" s="173"/>
      <c r="E17" s="173"/>
      <c r="F17" s="187">
        <v>9478</v>
      </c>
      <c r="G17" s="187"/>
      <c r="H17" s="187">
        <v>24000</v>
      </c>
      <c r="I17" s="187">
        <v>24000</v>
      </c>
      <c r="J17" s="187">
        <v>0</v>
      </c>
      <c r="K17" s="187">
        <v>0</v>
      </c>
    </row>
    <row r="18" spans="1:11">
      <c r="A18" s="180" t="s">
        <v>286</v>
      </c>
      <c r="B18" s="186"/>
      <c r="C18" s="181"/>
      <c r="D18" s="173"/>
      <c r="E18" s="173"/>
      <c r="F18" s="173"/>
      <c r="G18" s="173"/>
      <c r="H18" s="187">
        <v>3000</v>
      </c>
      <c r="I18" s="187">
        <v>3000</v>
      </c>
      <c r="J18" s="187"/>
      <c r="K18" s="187"/>
    </row>
    <row r="19" spans="1:11" ht="15.75">
      <c r="A19" s="182" t="s">
        <v>287</v>
      </c>
      <c r="B19" s="183">
        <v>2700</v>
      </c>
      <c r="C19" s="184">
        <f>C13+C15</f>
        <v>4301</v>
      </c>
      <c r="D19" s="184">
        <f>D13+D15</f>
        <v>9555</v>
      </c>
      <c r="E19" s="184">
        <f>E13+E15</f>
        <v>14493</v>
      </c>
      <c r="F19" s="184">
        <f>F13+F15</f>
        <v>29878</v>
      </c>
      <c r="G19" s="184">
        <v>0</v>
      </c>
      <c r="H19" s="184">
        <f>H13+H15</f>
        <v>30000</v>
      </c>
      <c r="I19" s="184">
        <f>I13+I15</f>
        <v>27795</v>
      </c>
      <c r="J19" s="184">
        <f>J13+J15</f>
        <v>2480</v>
      </c>
      <c r="K19" s="184">
        <f>K13+K15</f>
        <v>3821</v>
      </c>
    </row>
    <row r="20" spans="1:11">
      <c r="A20" s="180"/>
      <c r="B20" s="180"/>
      <c r="C20" s="181"/>
      <c r="D20" s="173"/>
      <c r="E20" s="173"/>
      <c r="F20" s="173"/>
      <c r="G20" s="173"/>
    </row>
  </sheetData>
  <mergeCells count="8">
    <mergeCell ref="A1:K2"/>
    <mergeCell ref="K9:K10"/>
    <mergeCell ref="J9:J10"/>
    <mergeCell ref="I9:I10"/>
    <mergeCell ref="H9:H10"/>
    <mergeCell ref="A9:A10"/>
    <mergeCell ref="B9:B10"/>
    <mergeCell ref="C9:C10"/>
  </mergeCells>
  <phoneticPr fontId="5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&amp;RÖnkormányzat-tartalék
4/e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sqref="A1:I1"/>
    </sheetView>
  </sheetViews>
  <sheetFormatPr defaultRowHeight="12.75"/>
  <cols>
    <col min="1" max="1" width="34.140625" customWidth="1"/>
    <col min="2" max="4" width="12.5703125" hidden="1" customWidth="1"/>
    <col min="5" max="5" width="12.28515625" hidden="1" customWidth="1"/>
    <col min="6" max="8" width="12.28515625" customWidth="1"/>
    <col min="9" max="9" width="12.5703125" bestFit="1" customWidth="1"/>
  </cols>
  <sheetData>
    <row r="1" spans="1:9" ht="15.75">
      <c r="A1" s="198" t="s">
        <v>264</v>
      </c>
      <c r="B1" s="198"/>
      <c r="C1" s="198"/>
      <c r="D1" s="199"/>
      <c r="E1" s="199"/>
      <c r="F1" s="199"/>
      <c r="G1" s="199"/>
      <c r="H1" s="199"/>
      <c r="I1" s="199"/>
    </row>
    <row r="2" spans="1:9" ht="15.75">
      <c r="A2" s="193"/>
      <c r="B2" s="193"/>
      <c r="C2" s="193"/>
      <c r="D2" s="194"/>
      <c r="E2" s="194"/>
      <c r="F2" s="194"/>
      <c r="G2" s="194"/>
      <c r="H2" s="194"/>
    </row>
    <row r="3" spans="1:9">
      <c r="A3" s="196" t="s">
        <v>17</v>
      </c>
      <c r="B3" s="4" t="s">
        <v>78</v>
      </c>
      <c r="C3" s="33" t="s">
        <v>61</v>
      </c>
      <c r="D3" s="33" t="s">
        <v>116</v>
      </c>
      <c r="E3" s="33" t="s">
        <v>116</v>
      </c>
      <c r="F3" s="33" t="s">
        <v>151</v>
      </c>
      <c r="G3" s="33" t="s">
        <v>151</v>
      </c>
      <c r="H3" s="33" t="s">
        <v>151</v>
      </c>
      <c r="I3" s="33" t="s">
        <v>151</v>
      </c>
    </row>
    <row r="4" spans="1:9">
      <c r="A4" s="197"/>
      <c r="B4" s="4" t="s">
        <v>57</v>
      </c>
      <c r="C4" s="33" t="s">
        <v>36</v>
      </c>
      <c r="D4" s="33" t="s">
        <v>189</v>
      </c>
      <c r="E4" s="33" t="s">
        <v>188</v>
      </c>
      <c r="F4" s="33" t="s">
        <v>72</v>
      </c>
      <c r="G4" s="33" t="s">
        <v>267</v>
      </c>
      <c r="H4" s="33" t="s">
        <v>289</v>
      </c>
      <c r="I4" s="33" t="s">
        <v>301</v>
      </c>
    </row>
    <row r="6" spans="1:9">
      <c r="A6" s="200" t="s">
        <v>17</v>
      </c>
    </row>
    <row r="7" spans="1:9">
      <c r="A7" s="201"/>
    </row>
    <row r="8" spans="1:9">
      <c r="A8" s="166" t="s">
        <v>251</v>
      </c>
    </row>
    <row r="9" spans="1:9">
      <c r="A9" s="5" t="s">
        <v>247</v>
      </c>
      <c r="B9" s="14">
        <v>85585</v>
      </c>
      <c r="C9" s="14">
        <v>85068</v>
      </c>
      <c r="D9" s="14">
        <v>88277</v>
      </c>
      <c r="E9" s="14">
        <v>88159</v>
      </c>
      <c r="F9" s="14">
        <v>88689</v>
      </c>
      <c r="G9" s="14">
        <f>88689+605</f>
        <v>89294</v>
      </c>
      <c r="H9" s="14">
        <f ca="1">Tündérkert!M17</f>
        <v>90207</v>
      </c>
      <c r="I9" s="14">
        <f ca="1">Tündérkert!N17</f>
        <v>91135</v>
      </c>
    </row>
    <row r="10" spans="1:9">
      <c r="A10" s="168" t="s">
        <v>248</v>
      </c>
      <c r="B10" s="14">
        <v>23349</v>
      </c>
      <c r="C10" s="14">
        <v>23410</v>
      </c>
      <c r="D10" s="14">
        <v>24276</v>
      </c>
      <c r="E10" s="14">
        <v>24205</v>
      </c>
      <c r="F10" s="14">
        <v>23339</v>
      </c>
      <c r="G10" s="14">
        <f>23339+163</f>
        <v>23502</v>
      </c>
      <c r="H10" s="14">
        <f ca="1">Tündérkert!M18</f>
        <v>23749</v>
      </c>
      <c r="I10" s="14">
        <f ca="1">Tündérkert!N18</f>
        <v>24000</v>
      </c>
    </row>
    <row r="11" spans="1:9">
      <c r="A11" s="169" t="s">
        <v>249</v>
      </c>
      <c r="B11" s="14">
        <v>35460</v>
      </c>
      <c r="C11" s="14">
        <v>37593</v>
      </c>
      <c r="D11" s="14">
        <v>37593</v>
      </c>
      <c r="E11" s="14">
        <v>36502</v>
      </c>
      <c r="F11" s="14">
        <v>25067</v>
      </c>
      <c r="G11" s="14">
        <v>25067</v>
      </c>
      <c r="H11" s="14">
        <f ca="1">Tündérkert!M9+Tündérkert!M13+Tündérkert!M19</f>
        <v>25412</v>
      </c>
      <c r="I11" s="14">
        <f ca="1">Tündérkert!N9+Tündérkert!N13+Tündérkert!N19</f>
        <v>25412</v>
      </c>
    </row>
    <row r="12" spans="1:9">
      <c r="A12" s="169" t="s">
        <v>250</v>
      </c>
      <c r="B12" s="14">
        <v>2000</v>
      </c>
      <c r="C12" s="14">
        <v>2800</v>
      </c>
      <c r="D12" s="14">
        <v>2800</v>
      </c>
      <c r="E12" s="14">
        <v>2949</v>
      </c>
      <c r="F12" s="14">
        <v>5000</v>
      </c>
      <c r="G12" s="14">
        <v>5000</v>
      </c>
      <c r="H12" s="14">
        <v>5000</v>
      </c>
      <c r="I12" s="14">
        <v>5000</v>
      </c>
    </row>
    <row r="13" spans="1:9">
      <c r="A13" s="26" t="s">
        <v>26</v>
      </c>
      <c r="B13" s="22">
        <f t="shared" ref="B13:G13" si="0">SUM(B9:B12)</f>
        <v>146394</v>
      </c>
      <c r="C13" s="22">
        <f t="shared" si="0"/>
        <v>148871</v>
      </c>
      <c r="D13" s="22">
        <f t="shared" si="0"/>
        <v>152946</v>
      </c>
      <c r="E13" s="22">
        <f t="shared" si="0"/>
        <v>151815</v>
      </c>
      <c r="F13" s="22">
        <f t="shared" si="0"/>
        <v>142095</v>
      </c>
      <c r="G13" s="22">
        <f t="shared" si="0"/>
        <v>142863</v>
      </c>
      <c r="H13" s="22">
        <f>SUM(H9:H12)</f>
        <v>144368</v>
      </c>
      <c r="I13" s="22">
        <f>SUM(I9:I12)</f>
        <v>145547</v>
      </c>
    </row>
    <row r="14" spans="1:9">
      <c r="A14" s="26"/>
      <c r="B14" s="22"/>
      <c r="C14" s="22"/>
      <c r="D14" s="22"/>
      <c r="E14" s="22"/>
      <c r="F14" s="22"/>
      <c r="G14" s="22"/>
      <c r="H14" s="22"/>
      <c r="I14" s="22"/>
    </row>
    <row r="15" spans="1:9">
      <c r="A15" s="167" t="s">
        <v>252</v>
      </c>
      <c r="B15" s="14"/>
      <c r="C15" s="14"/>
      <c r="D15" s="14"/>
      <c r="E15" s="14"/>
      <c r="F15" s="14"/>
      <c r="G15" s="14"/>
      <c r="H15" s="14"/>
      <c r="I15" s="14"/>
    </row>
    <row r="16" spans="1:9">
      <c r="A16" s="5" t="s">
        <v>247</v>
      </c>
      <c r="B16" s="14">
        <v>113820</v>
      </c>
      <c r="C16" s="14">
        <v>106588</v>
      </c>
      <c r="D16" s="14">
        <v>103063</v>
      </c>
      <c r="E16" s="14">
        <v>100413</v>
      </c>
      <c r="F16" s="14">
        <v>132124</v>
      </c>
      <c r="G16" s="14">
        <f>132124+142</f>
        <v>132266</v>
      </c>
      <c r="H16" s="14">
        <f ca="1">PMH!R10+PMH!R20</f>
        <v>132788</v>
      </c>
      <c r="I16" s="14">
        <f ca="1">PMH!S10+PMH!S20</f>
        <v>133269</v>
      </c>
    </row>
    <row r="17" spans="1:9">
      <c r="A17" s="168" t="s">
        <v>248</v>
      </c>
      <c r="B17" s="14">
        <v>25100</v>
      </c>
      <c r="C17" s="14">
        <v>26455</v>
      </c>
      <c r="D17" s="14">
        <v>25813</v>
      </c>
      <c r="E17" s="14">
        <v>26525</v>
      </c>
      <c r="F17" s="14">
        <v>34137</v>
      </c>
      <c r="G17" s="14">
        <f>34137+38</f>
        <v>34175</v>
      </c>
      <c r="H17" s="14">
        <f ca="1">PMH!R11+PMH!R21</f>
        <v>34316</v>
      </c>
      <c r="I17" s="14">
        <f ca="1">PMH!S11+PMH!S21</f>
        <v>34446</v>
      </c>
    </row>
    <row r="18" spans="1:9">
      <c r="A18" s="169" t="s">
        <v>249</v>
      </c>
      <c r="B18" s="14">
        <v>41714</v>
      </c>
      <c r="C18" s="14">
        <v>51521</v>
      </c>
      <c r="D18" s="14">
        <v>35341</v>
      </c>
      <c r="E18" s="14">
        <v>34210</v>
      </c>
      <c r="F18" s="14">
        <v>83253</v>
      </c>
      <c r="G18" s="14">
        <v>83253</v>
      </c>
      <c r="H18" s="14">
        <f ca="1">PMH!R12+PMH!R16+PMH!R22</f>
        <v>82431</v>
      </c>
      <c r="I18" s="14">
        <f ca="1">PMH!S12+PMH!S16+PMH!S22</f>
        <v>81132</v>
      </c>
    </row>
    <row r="19" spans="1:9">
      <c r="A19" s="169" t="s">
        <v>250</v>
      </c>
      <c r="B19" s="14">
        <v>2700</v>
      </c>
      <c r="C19" s="14">
        <v>1200</v>
      </c>
      <c r="D19" s="14">
        <v>1200</v>
      </c>
      <c r="E19" s="14">
        <v>747</v>
      </c>
      <c r="F19" s="14"/>
      <c r="G19" s="14"/>
      <c r="H19" s="14">
        <f ca="1">PMH!R23</f>
        <v>1000</v>
      </c>
      <c r="I19" s="14">
        <f ca="1">PMH!S23</f>
        <v>1000</v>
      </c>
    </row>
    <row r="20" spans="1:9">
      <c r="A20" s="195" t="s">
        <v>309</v>
      </c>
      <c r="B20" s="14"/>
      <c r="C20" s="14"/>
      <c r="D20" s="14"/>
      <c r="E20" s="14"/>
      <c r="F20" s="14"/>
      <c r="G20" s="14"/>
      <c r="H20" s="14"/>
      <c r="I20" s="14">
        <f ca="1">PMH!S24</f>
        <v>241</v>
      </c>
    </row>
    <row r="21" spans="1:9">
      <c r="A21" s="67" t="s">
        <v>26</v>
      </c>
      <c r="B21" s="22">
        <f t="shared" ref="B21:G21" si="1">SUM(B16:B19)</f>
        <v>183334</v>
      </c>
      <c r="C21" s="22">
        <f t="shared" si="1"/>
        <v>185764</v>
      </c>
      <c r="D21" s="22">
        <f t="shared" si="1"/>
        <v>165417</v>
      </c>
      <c r="E21" s="22">
        <f t="shared" si="1"/>
        <v>161895</v>
      </c>
      <c r="F21" s="22">
        <f t="shared" si="1"/>
        <v>249514</v>
      </c>
      <c r="G21" s="22">
        <f t="shared" si="1"/>
        <v>249694</v>
      </c>
      <c r="H21" s="22">
        <f>SUM(H16:H19)</f>
        <v>250535</v>
      </c>
      <c r="I21" s="22">
        <f>SUM(I16:I20)</f>
        <v>250088</v>
      </c>
    </row>
    <row r="22" spans="1:9">
      <c r="A22" s="67"/>
      <c r="B22" s="22"/>
      <c r="C22" s="22"/>
      <c r="D22" s="22"/>
      <c r="E22" s="22"/>
      <c r="F22" s="22"/>
      <c r="G22" s="22"/>
      <c r="H22" s="22"/>
      <c r="I22" s="22"/>
    </row>
    <row r="23" spans="1:9">
      <c r="A23" s="167" t="s">
        <v>253</v>
      </c>
      <c r="B23" s="14"/>
      <c r="C23" s="14"/>
      <c r="D23" s="14"/>
      <c r="E23" s="14"/>
      <c r="F23" s="14"/>
      <c r="G23" s="14"/>
      <c r="H23" s="14"/>
      <c r="I23" s="14"/>
    </row>
    <row r="24" spans="1:9">
      <c r="A24" s="5" t="s">
        <v>247</v>
      </c>
      <c r="B24" s="14"/>
      <c r="C24" s="14"/>
      <c r="D24" s="14">
        <v>20969</v>
      </c>
      <c r="E24" s="14">
        <v>19211</v>
      </c>
      <c r="F24" s="14">
        <v>16850</v>
      </c>
      <c r="G24" s="14">
        <f>16850+166+50+7-223</f>
        <v>16850</v>
      </c>
      <c r="H24" s="14">
        <f ca="1">Márai!L7+Márai!L17+Márai!L23</f>
        <v>17220</v>
      </c>
      <c r="I24" s="14">
        <f ca="1">Márai!M7+Márai!M17+Márai!M23</f>
        <v>17276</v>
      </c>
    </row>
    <row r="25" spans="1:9">
      <c r="A25" s="168" t="s">
        <v>248</v>
      </c>
      <c r="B25" s="14"/>
      <c r="C25" s="14"/>
      <c r="D25" s="14">
        <v>5621</v>
      </c>
      <c r="E25" s="14">
        <v>5120</v>
      </c>
      <c r="F25" s="14">
        <v>4537</v>
      </c>
      <c r="G25" s="14">
        <f>4537+45+13+2-53</f>
        <v>4544</v>
      </c>
      <c r="H25" s="14">
        <f ca="1">Márai!L8+Márai!L18+Márai!L24</f>
        <v>4644</v>
      </c>
      <c r="I25" s="14">
        <f ca="1">Márai!M8+Márai!M18+Márai!M24</f>
        <v>4660</v>
      </c>
    </row>
    <row r="26" spans="1:9">
      <c r="A26" s="169" t="s">
        <v>249</v>
      </c>
      <c r="B26" s="14"/>
      <c r="C26" s="14"/>
      <c r="D26" s="14">
        <v>30388</v>
      </c>
      <c r="E26" s="14">
        <v>26701</v>
      </c>
      <c r="F26" s="14">
        <v>9137</v>
      </c>
      <c r="G26" s="14">
        <v>9137</v>
      </c>
      <c r="H26" s="14">
        <f ca="1">Márai!L9+Márai!L19+Márai!L25</f>
        <v>9712</v>
      </c>
      <c r="I26" s="14">
        <f ca="1">Márai!M9+Márai!M19+Márai!M25</f>
        <v>10166</v>
      </c>
    </row>
    <row r="27" spans="1:9">
      <c r="A27" s="169" t="s">
        <v>254</v>
      </c>
      <c r="B27" s="14"/>
      <c r="C27" s="14"/>
      <c r="D27" s="14">
        <v>1076</v>
      </c>
      <c r="E27" s="14">
        <v>1076</v>
      </c>
      <c r="F27" s="14">
        <v>580</v>
      </c>
      <c r="G27" s="14">
        <v>580</v>
      </c>
      <c r="H27" s="14">
        <v>580</v>
      </c>
      <c r="I27" s="14">
        <v>580</v>
      </c>
    </row>
    <row r="28" spans="1:9">
      <c r="A28" s="67" t="s">
        <v>26</v>
      </c>
      <c r="B28" s="14"/>
      <c r="C28" s="14"/>
      <c r="D28" s="22">
        <f t="shared" ref="D28:I28" si="2">SUM(D24:D27)</f>
        <v>58054</v>
      </c>
      <c r="E28" s="22">
        <f t="shared" si="2"/>
        <v>52108</v>
      </c>
      <c r="F28" s="22">
        <f t="shared" si="2"/>
        <v>31104</v>
      </c>
      <c r="G28" s="22">
        <f t="shared" si="2"/>
        <v>31111</v>
      </c>
      <c r="H28" s="22">
        <f t="shared" si="2"/>
        <v>32156</v>
      </c>
      <c r="I28" s="22">
        <f t="shared" si="2"/>
        <v>32682</v>
      </c>
    </row>
    <row r="29" spans="1:9">
      <c r="A29" s="67"/>
      <c r="B29" s="14"/>
      <c r="C29" s="14"/>
      <c r="D29" s="22"/>
      <c r="E29" s="22"/>
      <c r="F29" s="22"/>
      <c r="G29" s="22"/>
      <c r="H29" s="22"/>
      <c r="I29" s="22"/>
    </row>
    <row r="30" spans="1:9">
      <c r="A30" s="167" t="s">
        <v>255</v>
      </c>
      <c r="B30" s="14"/>
      <c r="C30" s="14"/>
      <c r="D30" s="14"/>
      <c r="E30" s="14"/>
      <c r="F30" s="14"/>
      <c r="G30" s="14"/>
      <c r="H30" s="14"/>
      <c r="I30" s="14"/>
    </row>
    <row r="31" spans="1:9">
      <c r="A31" s="61" t="s">
        <v>256</v>
      </c>
      <c r="B31" s="57">
        <v>12678</v>
      </c>
      <c r="C31" s="57">
        <v>12372</v>
      </c>
      <c r="D31" s="57">
        <v>13487</v>
      </c>
      <c r="E31" s="57">
        <v>11117</v>
      </c>
      <c r="F31" s="57">
        <v>38593</v>
      </c>
      <c r="G31" s="57">
        <f ca="1">38593+52+24+21+52+253+263</f>
        <v>39258</v>
      </c>
      <c r="H31" s="57">
        <f ca="1">Önkormányzat!M65</f>
        <v>39478</v>
      </c>
      <c r="I31" s="57">
        <f ca="1">Önkormányzat!N65</f>
        <v>39752</v>
      </c>
    </row>
    <row r="32" spans="1:9">
      <c r="A32" s="68" t="s">
        <v>248</v>
      </c>
      <c r="B32" s="91">
        <v>3407</v>
      </c>
      <c r="C32" s="91">
        <v>3271</v>
      </c>
      <c r="D32" s="91">
        <v>3560</v>
      </c>
      <c r="E32" s="91">
        <v>2542</v>
      </c>
      <c r="F32" s="91">
        <v>10360</v>
      </c>
      <c r="G32" s="91">
        <f ca="1">10360+14+6+6+63+49+31</f>
        <v>10529</v>
      </c>
      <c r="H32" s="91">
        <f ca="1">Önkormányzat!M66</f>
        <v>10588</v>
      </c>
      <c r="I32" s="91">
        <f ca="1">Önkormányzat!N66</f>
        <v>10661</v>
      </c>
    </row>
    <row r="33" spans="1:9">
      <c r="A33" s="67" t="s">
        <v>249</v>
      </c>
      <c r="B33" s="91">
        <v>110601</v>
      </c>
      <c r="C33" s="91">
        <v>101925</v>
      </c>
      <c r="D33" s="91">
        <v>101630</v>
      </c>
      <c r="E33" s="91">
        <v>104594</v>
      </c>
      <c r="F33" s="91">
        <v>149091</v>
      </c>
      <c r="G33" s="91">
        <f ca="1">Önkormányzat!L67</f>
        <v>138133</v>
      </c>
      <c r="H33" s="91">
        <f ca="1">Önkormányzat!M67</f>
        <v>148327</v>
      </c>
      <c r="I33" s="91">
        <f ca="1">Önkormányzat!N67</f>
        <v>148907</v>
      </c>
    </row>
    <row r="34" spans="1:9">
      <c r="A34" s="67" t="s">
        <v>257</v>
      </c>
      <c r="B34" s="46"/>
      <c r="C34" s="171">
        <v>34250</v>
      </c>
      <c r="D34" s="171">
        <v>34450</v>
      </c>
      <c r="E34" s="171">
        <v>31957</v>
      </c>
      <c r="F34" s="171">
        <v>21590</v>
      </c>
      <c r="G34" s="171">
        <v>23650</v>
      </c>
      <c r="H34" s="171">
        <v>23650</v>
      </c>
      <c r="I34" s="171">
        <f ca="1">Önkormányzat!N72</f>
        <v>27050</v>
      </c>
    </row>
    <row r="35" spans="1:9">
      <c r="A35" s="67" t="s">
        <v>297</v>
      </c>
      <c r="B35" s="170"/>
      <c r="C35" s="171">
        <v>43400</v>
      </c>
      <c r="D35" s="171">
        <v>39600</v>
      </c>
      <c r="E35" s="171">
        <v>26281</v>
      </c>
      <c r="F35" s="171">
        <v>25324</v>
      </c>
      <c r="G35" s="171">
        <v>25634</v>
      </c>
      <c r="H35" s="171">
        <v>25634</v>
      </c>
      <c r="I35" s="171">
        <v>25634</v>
      </c>
    </row>
    <row r="36" spans="1:9" hidden="1">
      <c r="A36" s="67" t="s">
        <v>258</v>
      </c>
      <c r="B36" s="80"/>
      <c r="C36" s="172">
        <v>117480</v>
      </c>
      <c r="D36" s="172">
        <v>117480</v>
      </c>
      <c r="E36" s="172">
        <v>117480</v>
      </c>
      <c r="F36" s="172"/>
      <c r="G36" s="172"/>
      <c r="H36" s="172"/>
      <c r="I36" s="172"/>
    </row>
    <row r="37" spans="1:9">
      <c r="A37" s="67" t="s">
        <v>298</v>
      </c>
      <c r="B37" s="80"/>
      <c r="C37" s="172"/>
      <c r="D37" s="172"/>
      <c r="E37" s="172"/>
      <c r="F37" s="172">
        <v>29000</v>
      </c>
      <c r="G37" s="172">
        <v>29000</v>
      </c>
      <c r="H37" s="172">
        <v>29000</v>
      </c>
      <c r="I37" s="172">
        <v>29000</v>
      </c>
    </row>
    <row r="38" spans="1:9">
      <c r="A38" s="67" t="s">
        <v>259</v>
      </c>
      <c r="B38" s="80"/>
      <c r="C38" s="172">
        <v>29878</v>
      </c>
      <c r="D38" s="172">
        <v>0</v>
      </c>
      <c r="E38" s="172">
        <v>0</v>
      </c>
      <c r="F38" s="172">
        <f ca="1">Önkormányzat!K73</f>
        <v>30000</v>
      </c>
      <c r="G38" s="172">
        <f ca="1">Önkormányzat!L73</f>
        <v>27795</v>
      </c>
      <c r="H38" s="172">
        <f ca="1">Önkormányzat!M73</f>
        <v>2480</v>
      </c>
      <c r="I38" s="172">
        <f ca="1">Önkormányzat!N73</f>
        <v>3821</v>
      </c>
    </row>
    <row r="39" spans="1:9">
      <c r="A39" s="67" t="s">
        <v>114</v>
      </c>
      <c r="B39" s="172"/>
      <c r="C39" s="172">
        <v>559775</v>
      </c>
      <c r="D39" s="172">
        <v>565209</v>
      </c>
      <c r="E39" s="172">
        <v>554763</v>
      </c>
      <c r="F39" s="172">
        <v>325883</v>
      </c>
      <c r="G39" s="172">
        <f ca="1">Önkormányzat!L69</f>
        <v>326838</v>
      </c>
      <c r="H39" s="172">
        <f ca="1">Önkormányzat!M69</f>
        <v>328733</v>
      </c>
      <c r="I39" s="172">
        <f ca="1">Önkormányzat!N69</f>
        <v>329991</v>
      </c>
    </row>
    <row r="40" spans="1:9">
      <c r="A40" s="67" t="s">
        <v>260</v>
      </c>
      <c r="B40" s="172"/>
      <c r="C40" s="172">
        <v>54360</v>
      </c>
      <c r="D40" s="172">
        <v>55491</v>
      </c>
      <c r="E40" s="172">
        <v>52765</v>
      </c>
      <c r="F40" s="172">
        <v>218909</v>
      </c>
      <c r="G40" s="172">
        <f ca="1">Önkormányzat!L68</f>
        <v>231686.91</v>
      </c>
      <c r="H40" s="172">
        <f ca="1">Önkormányzat!M68</f>
        <v>392011</v>
      </c>
      <c r="I40" s="172">
        <f ca="1">Önkormányzat!N68</f>
        <v>394466</v>
      </c>
    </row>
    <row r="41" spans="1:9">
      <c r="A41" s="61" t="s">
        <v>179</v>
      </c>
      <c r="B41" s="172"/>
      <c r="C41" s="172"/>
      <c r="D41" s="172"/>
      <c r="E41" s="172"/>
      <c r="F41" s="172">
        <v>15000</v>
      </c>
      <c r="G41" s="172">
        <v>15000</v>
      </c>
      <c r="H41" s="172">
        <v>15000</v>
      </c>
      <c r="I41" s="172">
        <v>15000</v>
      </c>
    </row>
    <row r="42" spans="1:9">
      <c r="A42" s="26" t="s">
        <v>26</v>
      </c>
      <c r="B42" s="42">
        <f>SUM(B31:B38)</f>
        <v>126686</v>
      </c>
      <c r="C42" s="42">
        <f>SUM(C31:C40)</f>
        <v>956711</v>
      </c>
      <c r="D42" s="42">
        <f t="shared" ref="D42:I42" si="3">SUM(D31:D41)</f>
        <v>930907</v>
      </c>
      <c r="E42" s="42">
        <f t="shared" si="3"/>
        <v>901499</v>
      </c>
      <c r="F42" s="42">
        <f t="shared" si="3"/>
        <v>863750</v>
      </c>
      <c r="G42" s="42">
        <f t="shared" si="3"/>
        <v>867523.91</v>
      </c>
      <c r="H42" s="42">
        <f t="shared" si="3"/>
        <v>1014901</v>
      </c>
      <c r="I42" s="42">
        <f t="shared" si="3"/>
        <v>1024282</v>
      </c>
    </row>
    <row r="43" spans="1:9">
      <c r="B43" s="14"/>
      <c r="C43" s="14"/>
      <c r="D43" s="14"/>
      <c r="E43" s="14"/>
      <c r="F43" s="14"/>
      <c r="G43" s="14"/>
      <c r="H43" s="14"/>
      <c r="I43" s="14"/>
    </row>
    <row r="44" spans="1:9">
      <c r="A44" s="169" t="s">
        <v>261</v>
      </c>
      <c r="B44" s="14">
        <f>B42+B21+B13</f>
        <v>456414</v>
      </c>
      <c r="C44" s="14">
        <f>C42+C21+C13</f>
        <v>1291346</v>
      </c>
      <c r="D44" s="14">
        <f>D42+D21+D13</f>
        <v>1249270</v>
      </c>
      <c r="E44" s="14">
        <f>E42+E21+E13</f>
        <v>1215209</v>
      </c>
      <c r="F44" s="14">
        <f>F42+F21+F13+F28</f>
        <v>1286463</v>
      </c>
      <c r="G44" s="14">
        <f>G42+G21+G13+G28</f>
        <v>1291191.9100000001</v>
      </c>
      <c r="H44" s="14">
        <f>H42+H21+H13+H28</f>
        <v>1441960</v>
      </c>
      <c r="I44" s="14">
        <f>I42+I21+I13+I28</f>
        <v>1452599</v>
      </c>
    </row>
    <row r="45" spans="1:9">
      <c r="A45" s="67" t="s">
        <v>262</v>
      </c>
      <c r="F45" s="22">
        <f>F44-F39</f>
        <v>960580</v>
      </c>
      <c r="G45" s="22">
        <f>G44-G39</f>
        <v>964353.91000000015</v>
      </c>
      <c r="H45" s="22">
        <f>H44-H39</f>
        <v>1113227</v>
      </c>
      <c r="I45" s="22">
        <f>I44-I39</f>
        <v>1122608</v>
      </c>
    </row>
  </sheetData>
  <mergeCells count="3">
    <mergeCell ref="A3:A4"/>
    <mergeCell ref="A6:A7"/>
    <mergeCell ref="A1:I1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&amp;RI/b
Kiadások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T52"/>
  <sheetViews>
    <sheetView zoomScaleNormal="100" workbookViewId="0">
      <selection activeCell="P32" sqref="P32"/>
    </sheetView>
  </sheetViews>
  <sheetFormatPr defaultRowHeight="12.75"/>
  <cols>
    <col min="1" max="1" width="40.85546875" style="1" customWidth="1"/>
    <col min="2" max="2" width="12.42578125" style="1" hidden="1" customWidth="1"/>
    <col min="3" max="3" width="11" style="36" hidden="1" customWidth="1"/>
    <col min="4" max="4" width="13.85546875" style="36" hidden="1" customWidth="1"/>
    <col min="5" max="6" width="11" style="1" hidden="1" customWidth="1"/>
    <col min="7" max="7" width="14.42578125" style="1" hidden="1" customWidth="1"/>
    <col min="8" max="8" width="14.85546875" style="1" hidden="1" customWidth="1"/>
    <col min="9" max="9" width="15.42578125" style="1" hidden="1" customWidth="1"/>
    <col min="10" max="10" width="14.85546875" style="1" hidden="1" customWidth="1"/>
    <col min="11" max="11" width="9.140625" style="1" hidden="1" customWidth="1"/>
    <col min="12" max="12" width="14.85546875" style="1" hidden="1" customWidth="1"/>
    <col min="13" max="13" width="12.28515625" style="1" hidden="1" customWidth="1"/>
    <col min="14" max="14" width="12" style="1" hidden="1" customWidth="1"/>
    <col min="15" max="15" width="14.85546875" style="1" hidden="1" customWidth="1"/>
    <col min="16" max="19" width="12.7109375" bestFit="1" customWidth="1"/>
  </cols>
  <sheetData>
    <row r="2" spans="1:19" ht="15.75">
      <c r="A2" s="202" t="s">
        <v>94</v>
      </c>
      <c r="B2" s="202"/>
      <c r="C2" s="202"/>
      <c r="D2" s="202"/>
      <c r="E2" s="202"/>
      <c r="F2" s="202"/>
      <c r="G2" s="202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5.75">
      <c r="A3" s="202" t="s">
        <v>95</v>
      </c>
      <c r="B3" s="203"/>
      <c r="C3" s="203"/>
      <c r="D3" s="203"/>
      <c r="E3" s="203"/>
      <c r="F3" s="203"/>
      <c r="G3" s="203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5" spans="1:19" ht="18">
      <c r="A5" s="204" t="s">
        <v>243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199"/>
    </row>
    <row r="6" spans="1:19" ht="18">
      <c r="A6" s="35"/>
      <c r="B6" s="35"/>
      <c r="G6" s="37"/>
      <c r="P6" s="37"/>
      <c r="Q6" s="37"/>
      <c r="R6" s="37"/>
      <c r="S6" s="37" t="s">
        <v>29</v>
      </c>
    </row>
    <row r="7" spans="1:19" ht="15.75">
      <c r="A7" s="52"/>
      <c r="B7" s="53" t="s">
        <v>92</v>
      </c>
      <c r="C7" s="53" t="s">
        <v>86</v>
      </c>
      <c r="D7" s="54" t="s">
        <v>68</v>
      </c>
      <c r="E7" s="54" t="s">
        <v>58</v>
      </c>
      <c r="F7" s="54" t="s">
        <v>71</v>
      </c>
      <c r="G7" s="54" t="s">
        <v>61</v>
      </c>
      <c r="H7" s="82" t="s">
        <v>116</v>
      </c>
      <c r="I7" s="82" t="s">
        <v>116</v>
      </c>
      <c r="J7" s="82" t="s">
        <v>116</v>
      </c>
      <c r="L7" s="82" t="s">
        <v>116</v>
      </c>
      <c r="M7" s="82" t="s">
        <v>116</v>
      </c>
      <c r="N7" s="71" t="s">
        <v>82</v>
      </c>
      <c r="O7" s="33" t="s">
        <v>116</v>
      </c>
      <c r="P7" s="82" t="s">
        <v>153</v>
      </c>
      <c r="Q7" s="82" t="s">
        <v>153</v>
      </c>
      <c r="R7" s="82" t="s">
        <v>153</v>
      </c>
      <c r="S7" s="82" t="s">
        <v>153</v>
      </c>
    </row>
    <row r="8" spans="1:19">
      <c r="A8" s="55"/>
      <c r="B8" s="54" t="s">
        <v>36</v>
      </c>
      <c r="C8" s="54" t="s">
        <v>36</v>
      </c>
      <c r="D8" s="54" t="s">
        <v>69</v>
      </c>
      <c r="E8" s="54" t="s">
        <v>87</v>
      </c>
      <c r="F8" s="54" t="s">
        <v>70</v>
      </c>
      <c r="G8" s="54" t="s">
        <v>36</v>
      </c>
      <c r="H8" s="11" t="s">
        <v>117</v>
      </c>
      <c r="I8" s="11" t="s">
        <v>133</v>
      </c>
      <c r="J8" s="11" t="s">
        <v>138</v>
      </c>
      <c r="L8" s="11" t="s">
        <v>143</v>
      </c>
      <c r="M8" s="11" t="s">
        <v>146</v>
      </c>
      <c r="N8" s="71" t="s">
        <v>193</v>
      </c>
      <c r="O8" s="33" t="s">
        <v>188</v>
      </c>
      <c r="P8" s="89" t="s">
        <v>36</v>
      </c>
      <c r="Q8" s="89" t="s">
        <v>117</v>
      </c>
      <c r="R8" s="89" t="s">
        <v>133</v>
      </c>
      <c r="S8" s="89" t="s">
        <v>138</v>
      </c>
    </row>
    <row r="9" spans="1:19">
      <c r="A9" s="72" t="s">
        <v>32</v>
      </c>
      <c r="B9" s="54"/>
      <c r="C9" s="54"/>
      <c r="D9" s="54"/>
      <c r="E9" s="54"/>
      <c r="F9" s="54"/>
      <c r="G9" s="54"/>
      <c r="H9" s="11"/>
      <c r="I9" s="11"/>
      <c r="J9" s="11"/>
      <c r="L9" s="11"/>
      <c r="M9" s="11"/>
      <c r="N9" s="11"/>
      <c r="O9" s="11"/>
      <c r="P9" s="89"/>
      <c r="Q9" s="89"/>
      <c r="R9" s="89"/>
      <c r="S9" s="89"/>
    </row>
    <row r="10" spans="1:19">
      <c r="A10" s="66" t="s">
        <v>22</v>
      </c>
      <c r="B10" s="54"/>
      <c r="C10" s="54"/>
      <c r="D10" s="54"/>
      <c r="E10" s="54"/>
      <c r="F10" s="54"/>
      <c r="G10" s="54"/>
      <c r="H10" s="11"/>
      <c r="I10" s="11"/>
      <c r="J10" s="11"/>
      <c r="L10" s="11"/>
      <c r="M10" s="11"/>
      <c r="N10" s="11"/>
      <c r="O10" s="11"/>
      <c r="P10" s="83">
        <v>14241</v>
      </c>
      <c r="Q10" s="83">
        <v>14241</v>
      </c>
      <c r="R10" s="83">
        <f>14241+98</f>
        <v>14339</v>
      </c>
      <c r="S10" s="83">
        <f>14241+98+98</f>
        <v>14437</v>
      </c>
    </row>
    <row r="11" spans="1:19">
      <c r="A11" s="66" t="s">
        <v>23</v>
      </c>
      <c r="B11" s="54"/>
      <c r="C11" s="54"/>
      <c r="D11" s="54"/>
      <c r="E11" s="54"/>
      <c r="F11" s="54"/>
      <c r="G11" s="54"/>
      <c r="H11" s="11"/>
      <c r="I11" s="11"/>
      <c r="J11" s="11"/>
      <c r="L11" s="11"/>
      <c r="M11" s="11"/>
      <c r="N11" s="11"/>
      <c r="O11" s="11"/>
      <c r="P11" s="38">
        <v>3845</v>
      </c>
      <c r="Q11" s="38">
        <v>3845</v>
      </c>
      <c r="R11" s="38">
        <f>3845+26</f>
        <v>3871</v>
      </c>
      <c r="S11" s="38">
        <f>3845+26+26</f>
        <v>3897</v>
      </c>
    </row>
    <row r="12" spans="1:19">
      <c r="A12" s="66" t="s">
        <v>24</v>
      </c>
      <c r="B12" s="54"/>
      <c r="C12" s="54"/>
      <c r="D12" s="54"/>
      <c r="E12" s="54"/>
      <c r="F12" s="54"/>
      <c r="G12" s="54"/>
      <c r="H12" s="11"/>
      <c r="I12" s="11"/>
      <c r="J12" s="11"/>
      <c r="L12" s="11"/>
      <c r="M12" s="11"/>
      <c r="N12" s="11"/>
      <c r="O12" s="11"/>
      <c r="P12" s="38">
        <v>54597</v>
      </c>
      <c r="Q12" s="38">
        <v>54597</v>
      </c>
      <c r="R12" s="38">
        <v>54597</v>
      </c>
      <c r="S12" s="38">
        <f>54597-1058</f>
        <v>53539</v>
      </c>
    </row>
    <row r="13" spans="1:19">
      <c r="A13" s="87" t="s">
        <v>26</v>
      </c>
      <c r="B13" s="54"/>
      <c r="C13" s="54"/>
      <c r="D13" s="54"/>
      <c r="E13" s="54"/>
      <c r="F13" s="54"/>
      <c r="G13" s="54"/>
      <c r="H13" s="11"/>
      <c r="I13" s="11"/>
      <c r="J13" s="11"/>
      <c r="L13" s="11"/>
      <c r="M13" s="11"/>
      <c r="N13" s="11"/>
      <c r="O13" s="11"/>
      <c r="P13" s="24">
        <f>SUM(P10:P12)</f>
        <v>72683</v>
      </c>
      <c r="Q13" s="24">
        <f>SUM(Q10:Q12)</f>
        <v>72683</v>
      </c>
      <c r="R13" s="24">
        <f>SUM(R10:R12)</f>
        <v>72807</v>
      </c>
      <c r="S13" s="24">
        <f>SUM(S10:S12)</f>
        <v>71873</v>
      </c>
    </row>
    <row r="14" spans="1:19">
      <c r="A14" s="66"/>
      <c r="B14" s="54"/>
      <c r="C14" s="54"/>
      <c r="D14" s="54"/>
      <c r="E14" s="54"/>
      <c r="F14" s="54"/>
      <c r="G14" s="54"/>
      <c r="H14" s="11"/>
      <c r="I14" s="11"/>
      <c r="J14" s="11"/>
      <c r="L14" s="11"/>
      <c r="M14" s="11"/>
      <c r="N14" s="11"/>
      <c r="O14" s="11"/>
      <c r="P14" s="89"/>
      <c r="Q14" s="89"/>
      <c r="R14" s="89"/>
      <c r="S14" s="89"/>
    </row>
    <row r="15" spans="1:19">
      <c r="A15" s="72" t="s">
        <v>144</v>
      </c>
      <c r="B15" s="54"/>
      <c r="C15" s="54"/>
      <c r="D15" s="54"/>
      <c r="E15" s="54"/>
      <c r="F15" s="54"/>
      <c r="G15" s="54"/>
      <c r="H15" s="11"/>
      <c r="I15" s="11"/>
      <c r="J15" s="11"/>
      <c r="L15" s="11"/>
      <c r="M15" s="11"/>
      <c r="N15" s="11"/>
      <c r="O15" s="11"/>
      <c r="P15" s="89"/>
      <c r="Q15" s="89"/>
      <c r="R15" s="89"/>
      <c r="S15" s="89"/>
    </row>
    <row r="16" spans="1:19">
      <c r="A16" s="73" t="s">
        <v>24</v>
      </c>
      <c r="B16" s="54"/>
      <c r="C16" s="54"/>
      <c r="D16" s="54"/>
      <c r="E16" s="54"/>
      <c r="F16" s="54"/>
      <c r="G16" s="54"/>
      <c r="H16" s="11"/>
      <c r="I16" s="11"/>
      <c r="J16" s="11"/>
      <c r="L16" s="11"/>
      <c r="M16" s="11"/>
      <c r="N16" s="11"/>
      <c r="O16" s="11"/>
      <c r="P16" s="83">
        <v>1270</v>
      </c>
      <c r="Q16" s="83">
        <v>1270</v>
      </c>
      <c r="R16" s="83">
        <v>1270</v>
      </c>
      <c r="S16" s="83">
        <v>1270</v>
      </c>
    </row>
    <row r="17" spans="1:19">
      <c r="A17" s="87" t="s">
        <v>26</v>
      </c>
      <c r="B17" s="54"/>
      <c r="C17" s="54"/>
      <c r="D17" s="54"/>
      <c r="E17" s="54"/>
      <c r="F17" s="54"/>
      <c r="G17" s="54"/>
      <c r="H17" s="11"/>
      <c r="I17" s="11"/>
      <c r="J17" s="11"/>
      <c r="L17" s="11"/>
      <c r="M17" s="11"/>
      <c r="N17" s="11"/>
      <c r="O17" s="11"/>
      <c r="P17" s="24">
        <f>SUM(P16)</f>
        <v>1270</v>
      </c>
      <c r="Q17" s="24">
        <f>SUM(Q16)</f>
        <v>1270</v>
      </c>
      <c r="R17" s="24">
        <f>SUM(R16)</f>
        <v>1270</v>
      </c>
      <c r="S17" s="24">
        <f>SUM(S16)</f>
        <v>1270</v>
      </c>
    </row>
    <row r="18" spans="1:19">
      <c r="A18" s="55"/>
      <c r="B18" s="54"/>
      <c r="C18" s="54"/>
      <c r="D18" s="54"/>
      <c r="E18" s="54"/>
      <c r="F18" s="54"/>
      <c r="G18" s="54"/>
      <c r="H18" s="11"/>
      <c r="I18" s="11"/>
      <c r="J18" s="11"/>
      <c r="L18" s="11"/>
      <c r="M18" s="11"/>
      <c r="N18" s="11"/>
      <c r="O18" s="11"/>
      <c r="P18" s="38"/>
      <c r="Q18" s="38"/>
      <c r="R18" s="38"/>
      <c r="S18" s="38"/>
    </row>
    <row r="19" spans="1:19">
      <c r="A19" s="56" t="s">
        <v>21</v>
      </c>
      <c r="B19" s="56"/>
      <c r="C19" s="51"/>
      <c r="D19" s="51"/>
      <c r="E19" s="51"/>
      <c r="F19" s="51"/>
      <c r="G19" s="51"/>
      <c r="H19" s="11"/>
      <c r="I19" s="11"/>
      <c r="J19" s="11"/>
      <c r="L19" s="11"/>
      <c r="M19" s="11"/>
      <c r="N19" s="11"/>
      <c r="O19" s="11"/>
    </row>
    <row r="20" spans="1:19">
      <c r="A20" s="55" t="s">
        <v>22</v>
      </c>
      <c r="B20" s="62">
        <v>122857</v>
      </c>
      <c r="C20" s="57">
        <v>105677</v>
      </c>
      <c r="D20" s="57">
        <v>110457</v>
      </c>
      <c r="E20" s="57">
        <v>111118</v>
      </c>
      <c r="F20" s="39">
        <v>108245</v>
      </c>
      <c r="G20" s="57">
        <v>106588</v>
      </c>
      <c r="H20" s="57">
        <v>106588</v>
      </c>
      <c r="I20" s="57">
        <f>106588+831</f>
        <v>107419</v>
      </c>
      <c r="J20" s="83">
        <v>105381</v>
      </c>
      <c r="L20" s="83">
        <f>105381+333</f>
        <v>105714</v>
      </c>
      <c r="M20" s="83">
        <f>L20-3100</f>
        <v>102614</v>
      </c>
      <c r="N20" s="83">
        <v>103063</v>
      </c>
      <c r="O20" s="83">
        <v>100413</v>
      </c>
      <c r="P20" s="83">
        <v>117883</v>
      </c>
      <c r="Q20" s="83">
        <f>117883+142</f>
        <v>118025</v>
      </c>
      <c r="R20" s="83">
        <f>118025+424</f>
        <v>118449</v>
      </c>
      <c r="S20" s="83">
        <f>118025+424+383</f>
        <v>118832</v>
      </c>
    </row>
    <row r="21" spans="1:19">
      <c r="A21" s="55" t="s">
        <v>23</v>
      </c>
      <c r="B21" s="62">
        <v>32414</v>
      </c>
      <c r="C21" s="57">
        <v>22794</v>
      </c>
      <c r="D21" s="57">
        <v>24086</v>
      </c>
      <c r="E21" s="57">
        <v>24155</v>
      </c>
      <c r="F21" s="39">
        <v>27711</v>
      </c>
      <c r="G21" s="57">
        <v>26455</v>
      </c>
      <c r="H21" s="57">
        <v>26455</v>
      </c>
      <c r="I21" s="57">
        <f>26455+225</f>
        <v>26680</v>
      </c>
      <c r="J21" s="38">
        <v>26130</v>
      </c>
      <c r="K21" s="30"/>
      <c r="L21" s="38">
        <f>26130+90</f>
        <v>26220</v>
      </c>
      <c r="M21" s="38">
        <f>L21-520</f>
        <v>25700</v>
      </c>
      <c r="N21" s="38">
        <v>25813</v>
      </c>
      <c r="O21" s="38">
        <v>26525</v>
      </c>
      <c r="P21" s="38">
        <v>30292</v>
      </c>
      <c r="Q21" s="38">
        <f>30292+38</f>
        <v>30330</v>
      </c>
      <c r="R21" s="38">
        <f>30292+38+115</f>
        <v>30445</v>
      </c>
      <c r="S21" s="38">
        <f>30292+38+115+104</f>
        <v>30549</v>
      </c>
    </row>
    <row r="22" spans="1:19">
      <c r="A22" s="55" t="s">
        <v>24</v>
      </c>
      <c r="B22" s="62">
        <v>37550</v>
      </c>
      <c r="C22" s="57">
        <v>40291</v>
      </c>
      <c r="D22" s="57">
        <v>32292</v>
      </c>
      <c r="E22" s="57">
        <v>32222</v>
      </c>
      <c r="F22" s="39">
        <v>38539</v>
      </c>
      <c r="G22" s="57">
        <v>37150</v>
      </c>
      <c r="H22" s="57">
        <v>37150</v>
      </c>
      <c r="I22" s="57">
        <v>37150</v>
      </c>
      <c r="J22" s="38">
        <v>37150</v>
      </c>
      <c r="K22" s="30"/>
      <c r="L22" s="38">
        <v>37150</v>
      </c>
      <c r="M22" s="38">
        <f>37150-3380</f>
        <v>33770</v>
      </c>
      <c r="N22" s="38">
        <v>33770</v>
      </c>
      <c r="O22" s="38">
        <v>33463</v>
      </c>
      <c r="P22" s="38">
        <v>26386</v>
      </c>
      <c r="Q22" s="38">
        <v>26386</v>
      </c>
      <c r="R22" s="38">
        <f>26386+178</f>
        <v>26564</v>
      </c>
      <c r="S22" s="38">
        <f>26386+178-241</f>
        <v>26323</v>
      </c>
    </row>
    <row r="23" spans="1:19">
      <c r="A23" s="120" t="s">
        <v>295</v>
      </c>
      <c r="B23" s="62">
        <v>100</v>
      </c>
      <c r="C23" s="57">
        <v>2700</v>
      </c>
      <c r="D23" s="57">
        <v>2700</v>
      </c>
      <c r="E23" s="57">
        <v>2700</v>
      </c>
      <c r="F23" s="39">
        <v>836</v>
      </c>
      <c r="G23" s="57">
        <v>1200</v>
      </c>
      <c r="H23" s="57">
        <v>1200</v>
      </c>
      <c r="I23" s="57">
        <v>1200</v>
      </c>
      <c r="J23" s="38">
        <v>1200</v>
      </c>
      <c r="K23" s="30"/>
      <c r="L23" s="38">
        <v>1200</v>
      </c>
      <c r="M23" s="38">
        <v>1200</v>
      </c>
      <c r="N23" s="38">
        <v>1200</v>
      </c>
      <c r="O23" s="38">
        <v>747</v>
      </c>
      <c r="P23" s="38">
        <v>1000</v>
      </c>
      <c r="Q23" s="38">
        <v>1000</v>
      </c>
      <c r="R23" s="38">
        <v>1000</v>
      </c>
      <c r="S23" s="38">
        <v>1000</v>
      </c>
    </row>
    <row r="24" spans="1:19">
      <c r="A24" s="120" t="s">
        <v>227</v>
      </c>
      <c r="B24" s="62"/>
      <c r="C24" s="57"/>
      <c r="D24" s="57"/>
      <c r="E24" s="57"/>
      <c r="F24" s="39"/>
      <c r="G24" s="57"/>
      <c r="H24" s="57"/>
      <c r="I24" s="57"/>
      <c r="J24" s="38"/>
      <c r="K24" s="30"/>
      <c r="L24" s="38"/>
      <c r="M24" s="38"/>
      <c r="N24" s="38"/>
      <c r="O24" s="38"/>
      <c r="P24" s="38"/>
      <c r="Q24" s="38"/>
      <c r="R24" s="38"/>
      <c r="S24" s="38">
        <v>241</v>
      </c>
    </row>
    <row r="25" spans="1:19">
      <c r="A25" s="55" t="s">
        <v>26</v>
      </c>
      <c r="B25" s="63">
        <v>192921</v>
      </c>
      <c r="C25" s="24">
        <v>171462</v>
      </c>
      <c r="D25" s="24">
        <v>181756</v>
      </c>
      <c r="E25" s="24">
        <v>184688</v>
      </c>
      <c r="F25" s="24">
        <f>SUM(F20:F23)</f>
        <v>175331</v>
      </c>
      <c r="G25" s="24">
        <f>SUM(G20:G23)</f>
        <v>171393</v>
      </c>
      <c r="H25" s="24">
        <f>SUM(H20:H23)</f>
        <v>171393</v>
      </c>
      <c r="I25" s="24">
        <f>SUM(I20:I23)</f>
        <v>172449</v>
      </c>
      <c r="J25" s="24">
        <f>SUM(J20:J23)</f>
        <v>169861</v>
      </c>
      <c r="K25" s="30"/>
      <c r="L25" s="24">
        <f t="shared" ref="L25:Q25" si="0">SUM(L20:L23)</f>
        <v>170284</v>
      </c>
      <c r="M25" s="24">
        <f t="shared" si="0"/>
        <v>163284</v>
      </c>
      <c r="N25" s="24">
        <f t="shared" si="0"/>
        <v>163846</v>
      </c>
      <c r="O25" s="24">
        <f t="shared" si="0"/>
        <v>161148</v>
      </c>
      <c r="P25" s="24">
        <f t="shared" si="0"/>
        <v>175561</v>
      </c>
      <c r="Q25" s="24">
        <f t="shared" si="0"/>
        <v>175741</v>
      </c>
      <c r="R25" s="24">
        <f>SUM(R20:R23)</f>
        <v>176458</v>
      </c>
      <c r="S25" s="24">
        <f>SUM(S20:S24)</f>
        <v>176945</v>
      </c>
    </row>
    <row r="26" spans="1:19">
      <c r="A26" s="55"/>
      <c r="B26" s="6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9">
      <c r="A27" s="55"/>
      <c r="B27" s="62"/>
      <c r="C27" s="24"/>
      <c r="D27" s="24"/>
      <c r="E27" s="24"/>
      <c r="F27" s="24"/>
      <c r="G27" s="24"/>
      <c r="H27" s="24"/>
      <c r="I27" s="24"/>
      <c r="J27" s="38"/>
      <c r="K27" s="30"/>
      <c r="L27" s="38"/>
      <c r="M27" s="38"/>
      <c r="N27" s="38"/>
      <c r="O27" s="38"/>
    </row>
    <row r="28" spans="1:19">
      <c r="A28" s="56" t="s">
        <v>38</v>
      </c>
      <c r="B28" s="64"/>
      <c r="C28" s="39"/>
      <c r="D28" s="57"/>
      <c r="E28" s="57"/>
      <c r="F28" s="57"/>
      <c r="G28" s="57"/>
      <c r="H28" s="57"/>
      <c r="I28" s="57"/>
      <c r="J28" s="38"/>
      <c r="K28" s="30"/>
      <c r="L28" s="38"/>
      <c r="M28" s="38"/>
      <c r="N28" s="38"/>
      <c r="O28" s="38"/>
    </row>
    <row r="29" spans="1:19">
      <c r="A29" s="58" t="s">
        <v>22</v>
      </c>
      <c r="B29" s="65"/>
      <c r="C29" s="59">
        <v>0</v>
      </c>
      <c r="D29" s="57">
        <v>0</v>
      </c>
      <c r="E29" s="57"/>
      <c r="F29" s="39">
        <v>0</v>
      </c>
      <c r="G29" s="57">
        <v>0</v>
      </c>
      <c r="H29" s="57">
        <v>0</v>
      </c>
      <c r="I29" s="57">
        <v>0</v>
      </c>
      <c r="J29" s="24"/>
      <c r="K29" s="24"/>
      <c r="L29" s="24"/>
      <c r="M29" s="24"/>
      <c r="N29" s="24"/>
      <c r="O29" s="24"/>
    </row>
    <row r="30" spans="1:19">
      <c r="A30" s="58" t="s">
        <v>23</v>
      </c>
      <c r="B30" s="65"/>
      <c r="C30" s="59">
        <v>0</v>
      </c>
      <c r="D30" s="57">
        <v>0</v>
      </c>
      <c r="E30" s="57"/>
      <c r="F30" s="39">
        <v>0</v>
      </c>
      <c r="G30" s="57">
        <v>0</v>
      </c>
      <c r="H30" s="57">
        <v>0</v>
      </c>
      <c r="I30" s="57">
        <v>0</v>
      </c>
      <c r="J30" s="38"/>
      <c r="K30" s="30"/>
      <c r="L30" s="38"/>
      <c r="M30" s="38"/>
      <c r="N30" s="38"/>
      <c r="O30" s="38"/>
    </row>
    <row r="31" spans="1:19">
      <c r="A31" s="55" t="s">
        <v>24</v>
      </c>
      <c r="B31" s="62">
        <v>400</v>
      </c>
      <c r="C31" s="59">
        <v>380</v>
      </c>
      <c r="D31" s="57">
        <v>380</v>
      </c>
      <c r="E31" s="57">
        <v>380</v>
      </c>
      <c r="F31" s="39">
        <v>357</v>
      </c>
      <c r="G31" s="57">
        <v>14371</v>
      </c>
      <c r="H31" s="57">
        <v>14371</v>
      </c>
      <c r="I31" s="57">
        <v>14371</v>
      </c>
      <c r="J31" s="30">
        <v>371</v>
      </c>
      <c r="K31" s="30"/>
      <c r="L31" s="30">
        <v>371</v>
      </c>
      <c r="M31" s="30">
        <v>371</v>
      </c>
      <c r="N31" s="30">
        <v>371</v>
      </c>
      <c r="O31" s="30"/>
      <c r="P31" s="96"/>
      <c r="Q31" s="96"/>
      <c r="R31" s="96"/>
      <c r="S31" s="96"/>
    </row>
    <row r="32" spans="1:19">
      <c r="A32" s="55" t="s">
        <v>26</v>
      </c>
      <c r="B32" s="63">
        <v>400</v>
      </c>
      <c r="C32" s="24">
        <v>380</v>
      </c>
      <c r="D32" s="24">
        <v>380</v>
      </c>
      <c r="E32" s="24">
        <v>380</v>
      </c>
      <c r="F32" s="24">
        <v>357</v>
      </c>
      <c r="G32" s="60">
        <v>14371</v>
      </c>
      <c r="H32" s="60">
        <v>14371</v>
      </c>
      <c r="I32" s="60">
        <v>14371</v>
      </c>
      <c r="J32" s="38">
        <v>371</v>
      </c>
      <c r="K32" s="30"/>
      <c r="L32" s="38">
        <v>371</v>
      </c>
      <c r="M32" s="60">
        <v>371</v>
      </c>
      <c r="N32" s="60">
        <v>371</v>
      </c>
      <c r="O32" s="60"/>
      <c r="P32" s="97"/>
      <c r="Q32" s="97"/>
      <c r="R32" s="97"/>
      <c r="S32" s="97"/>
    </row>
    <row r="33" spans="1:20">
      <c r="A33" s="55"/>
      <c r="B33" s="63"/>
      <c r="C33" s="24"/>
      <c r="D33" s="24"/>
      <c r="E33" s="24"/>
      <c r="F33" s="24"/>
      <c r="G33" s="60"/>
      <c r="H33" s="60"/>
      <c r="I33" s="60"/>
      <c r="J33" s="38"/>
      <c r="K33" s="30"/>
      <c r="L33" s="38"/>
      <c r="M33" s="38"/>
      <c r="N33" s="38"/>
      <c r="O33" s="38"/>
    </row>
    <row r="34" spans="1:20">
      <c r="A34" s="55"/>
      <c r="B34" s="63"/>
      <c r="C34" s="24"/>
      <c r="D34" s="24"/>
      <c r="E34" s="24"/>
      <c r="F34" s="24"/>
      <c r="G34" s="60"/>
      <c r="H34" s="60"/>
      <c r="I34" s="60"/>
      <c r="J34" s="38"/>
      <c r="K34" s="30"/>
      <c r="L34" s="38"/>
      <c r="M34" s="38"/>
      <c r="N34" s="38"/>
      <c r="O34" s="38"/>
      <c r="P34" s="38"/>
      <c r="Q34" s="38"/>
      <c r="R34" s="38"/>
      <c r="S34" s="38"/>
    </row>
    <row r="35" spans="1:20">
      <c r="A35" s="61" t="s">
        <v>93</v>
      </c>
      <c r="B35" s="63" t="e">
        <f>B25+B32+#REF!+#REF!</f>
        <v>#REF!</v>
      </c>
      <c r="C35" s="63" t="e">
        <f>C25+C32+#REF!+#REF!</f>
        <v>#REF!</v>
      </c>
      <c r="D35" s="63" t="e">
        <f>D25+D32+#REF!+#REF!</f>
        <v>#REF!</v>
      </c>
      <c r="E35" s="63" t="e">
        <f>E25+E32+#REF!+#REF!</f>
        <v>#REF!</v>
      </c>
      <c r="F35" s="63" t="e">
        <f>F25+F32+#REF!+#REF!</f>
        <v>#REF!</v>
      </c>
      <c r="G35" s="63">
        <f>G25+G32</f>
        <v>185764</v>
      </c>
      <c r="H35" s="63">
        <f t="shared" ref="H35:O35" si="1">H25+H32</f>
        <v>185764</v>
      </c>
      <c r="I35" s="63">
        <f t="shared" si="1"/>
        <v>186820</v>
      </c>
      <c r="J35" s="63">
        <f t="shared" si="1"/>
        <v>170232</v>
      </c>
      <c r="K35" s="63">
        <f t="shared" si="1"/>
        <v>0</v>
      </c>
      <c r="L35" s="63">
        <f t="shared" si="1"/>
        <v>170655</v>
      </c>
      <c r="M35" s="63">
        <f t="shared" si="1"/>
        <v>163655</v>
      </c>
      <c r="N35" s="63">
        <f t="shared" si="1"/>
        <v>164217</v>
      </c>
      <c r="O35" s="63">
        <f t="shared" si="1"/>
        <v>161148</v>
      </c>
      <c r="P35" s="63">
        <f>P25+P32+P13+P17</f>
        <v>249514</v>
      </c>
      <c r="Q35" s="63">
        <f>Q25+Q32+Q13+Q17</f>
        <v>249694</v>
      </c>
      <c r="R35" s="63">
        <f>R25+R32+R13+R17</f>
        <v>250535</v>
      </c>
      <c r="S35" s="63">
        <f>S25+S32+S13+S17</f>
        <v>250088</v>
      </c>
      <c r="T35" s="14"/>
    </row>
    <row r="36" spans="1:20">
      <c r="A36" s="55"/>
      <c r="B36" s="55"/>
      <c r="C36" s="24"/>
      <c r="D36" s="24"/>
      <c r="E36" s="24"/>
      <c r="F36" s="24"/>
      <c r="G36" s="24"/>
      <c r="H36" s="24"/>
      <c r="I36" s="24"/>
      <c r="J36" s="24"/>
      <c r="K36" s="30"/>
      <c r="L36" s="24"/>
      <c r="M36" s="24"/>
      <c r="N36" s="24"/>
      <c r="O36" s="24"/>
      <c r="P36" s="38"/>
      <c r="Q36" s="38"/>
      <c r="R36" s="38"/>
      <c r="S36" s="38"/>
    </row>
    <row r="37" spans="1:20">
      <c r="A37" s="26"/>
      <c r="B37" s="42"/>
      <c r="C37" s="42"/>
      <c r="D37" s="42"/>
      <c r="E37" s="42"/>
      <c r="F37" s="42"/>
      <c r="G37" s="42"/>
      <c r="H37" s="42"/>
      <c r="I37" s="42"/>
      <c r="J37" s="42"/>
      <c r="K37" s="30"/>
      <c r="L37" s="42"/>
      <c r="M37" s="42"/>
      <c r="N37" s="42"/>
      <c r="O37" s="42"/>
    </row>
    <row r="38" spans="1:20">
      <c r="A38" s="68"/>
      <c r="B38" s="42"/>
      <c r="C38" s="42"/>
      <c r="D38" s="42"/>
      <c r="E38" s="42"/>
      <c r="F38" s="42"/>
      <c r="G38" s="42"/>
      <c r="H38" s="42"/>
      <c r="I38" s="42"/>
      <c r="J38" s="42"/>
      <c r="K38" s="30"/>
      <c r="L38" s="42"/>
      <c r="M38" s="42"/>
      <c r="N38" s="42"/>
      <c r="O38" s="42"/>
    </row>
    <row r="39" spans="1:20">
      <c r="A39" s="67"/>
      <c r="B39" s="42"/>
      <c r="C39" s="42"/>
      <c r="D39" s="42"/>
      <c r="E39" s="42"/>
      <c r="F39" s="42"/>
      <c r="G39" s="42"/>
      <c r="H39" s="42"/>
      <c r="I39" s="42"/>
      <c r="J39" s="42"/>
      <c r="K39" s="30"/>
      <c r="L39" s="42"/>
      <c r="M39" s="42"/>
      <c r="N39" s="42"/>
      <c r="O39" s="42"/>
    </row>
    <row r="40" spans="1:20">
      <c r="A40" s="67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1:20">
      <c r="A41" s="67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20">
      <c r="A42" s="26"/>
      <c r="B42" s="42"/>
      <c r="C42" s="42"/>
      <c r="D42" s="42"/>
      <c r="E42" s="42"/>
      <c r="F42" s="42"/>
      <c r="G42" s="42"/>
      <c r="H42" s="42"/>
      <c r="I42" s="42"/>
      <c r="J42" s="42"/>
      <c r="K42" s="30"/>
      <c r="L42" s="42"/>
      <c r="M42" s="42"/>
      <c r="N42" s="42"/>
      <c r="O42" s="42"/>
    </row>
    <row r="43" spans="1:20">
      <c r="A43" s="25"/>
      <c r="B43" s="25"/>
      <c r="C43" s="40"/>
      <c r="D43" s="40"/>
      <c r="E43" s="26"/>
      <c r="F43" s="41"/>
      <c r="G43" s="42"/>
      <c r="H43" s="30"/>
      <c r="I43" s="30"/>
      <c r="J43" s="30"/>
      <c r="K43" s="30"/>
      <c r="L43" s="30"/>
      <c r="M43" s="30"/>
      <c r="N43" s="30"/>
      <c r="O43" s="30"/>
    </row>
    <row r="44" spans="1:20">
      <c r="A44" s="5"/>
      <c r="B44" s="5"/>
      <c r="C44" s="40"/>
      <c r="D44" s="40"/>
      <c r="E44" s="26"/>
      <c r="F44" s="43"/>
      <c r="G44" s="27"/>
      <c r="H44" s="30"/>
      <c r="I44" s="30"/>
      <c r="J44" s="30"/>
      <c r="K44" s="30"/>
      <c r="L44" s="30"/>
      <c r="M44" s="30"/>
      <c r="N44" s="30"/>
      <c r="O44" s="30"/>
    </row>
    <row r="45" spans="1:20">
      <c r="A45" s="5"/>
      <c r="B45" s="5"/>
      <c r="G45" s="27"/>
      <c r="H45" s="30"/>
      <c r="I45" s="30"/>
      <c r="J45" s="30"/>
      <c r="K45" s="30"/>
      <c r="L45" s="30"/>
      <c r="M45" s="30"/>
      <c r="N45" s="30"/>
      <c r="O45" s="30"/>
    </row>
    <row r="46" spans="1:20">
      <c r="A46" s="5"/>
      <c r="B46" s="5"/>
      <c r="F46" s="41"/>
      <c r="G46" s="42"/>
      <c r="H46" s="42"/>
      <c r="I46" s="42"/>
      <c r="J46" s="42"/>
      <c r="K46" s="42"/>
      <c r="L46" s="42"/>
      <c r="M46" s="42"/>
      <c r="N46" s="42"/>
      <c r="O46" s="42"/>
    </row>
    <row r="47" spans="1:20">
      <c r="A47" s="5"/>
      <c r="B47" s="5"/>
      <c r="G47" s="38"/>
      <c r="H47" s="30"/>
      <c r="I47" s="30"/>
      <c r="J47" s="30"/>
      <c r="K47" s="30"/>
      <c r="L47" s="30"/>
      <c r="M47" s="30"/>
      <c r="N47" s="30"/>
      <c r="O47" s="30"/>
    </row>
    <row r="48" spans="1:20">
      <c r="A48" s="25"/>
      <c r="B48" s="25"/>
      <c r="G48" s="38"/>
      <c r="H48" s="30"/>
      <c r="I48" s="30"/>
      <c r="J48" s="30"/>
      <c r="K48" s="30"/>
      <c r="L48" s="30"/>
      <c r="M48" s="30"/>
      <c r="N48" s="30"/>
      <c r="O48" s="30"/>
    </row>
    <row r="49" spans="1:15">
      <c r="G49" s="27"/>
      <c r="H49" s="30"/>
      <c r="I49" s="30"/>
      <c r="J49" s="38"/>
      <c r="K49" s="30"/>
      <c r="L49" s="38"/>
      <c r="M49" s="38"/>
      <c r="N49" s="38"/>
      <c r="O49" s="38"/>
    </row>
    <row r="50" spans="1:15">
      <c r="C50" s="23"/>
      <c r="D50" s="23"/>
      <c r="E50" s="23"/>
      <c r="F50" s="7"/>
      <c r="G50" s="24"/>
      <c r="H50" s="24"/>
      <c r="I50" s="24"/>
      <c r="J50" s="24"/>
      <c r="K50" s="24"/>
      <c r="L50" s="24"/>
      <c r="M50" s="24"/>
      <c r="N50" s="24"/>
      <c r="O50" s="24"/>
    </row>
    <row r="51" spans="1:15">
      <c r="G51" s="38"/>
      <c r="H51" s="30"/>
      <c r="I51" s="30"/>
      <c r="J51" s="30"/>
      <c r="K51" s="30"/>
      <c r="L51" s="30"/>
      <c r="M51" s="30"/>
      <c r="N51" s="30"/>
      <c r="O51" s="30"/>
    </row>
    <row r="52" spans="1:15">
      <c r="A52" s="25"/>
      <c r="B52" s="25"/>
      <c r="G52" s="38"/>
      <c r="H52" s="30"/>
      <c r="I52" s="30"/>
      <c r="J52" s="30"/>
      <c r="K52" s="30"/>
      <c r="L52" s="30"/>
      <c r="M52" s="30"/>
      <c r="N52" s="30"/>
      <c r="O52" s="30"/>
    </row>
  </sheetData>
  <customSheetViews>
    <customSheetView guid="{3421BDA2-9904-43CC-9302-33BF52AC1CD6}" showPageBreaks="1" hiddenColumns="1" showRuler="0">
      <selection activeCell="J80" sqref="J80"/>
      <pageMargins left="0.55118110236220474" right="0.35433070866141736" top="0.98425196850393704" bottom="0.98425196850393704" header="0.51181102362204722" footer="0.51181102362204722"/>
      <pageSetup paperSize="9" orientation="landscape" horizontalDpi="4294967293" verticalDpi="300" r:id="rId1"/>
      <headerFooter alignWithMargins="0">
        <oddHeader>&amp;R3. sz. melléklet</oddHeader>
        <oddFooter>&amp;L&amp;D</oddFooter>
      </headerFooter>
    </customSheetView>
    <customSheetView guid="{52DDA72E-DE96-4CF9-8793-90D799FDD9E1}" showPageBreaks="1" hiddenColumns="1" showRuler="0" topLeftCell="A73">
      <selection activeCell="A89" sqref="A89:L89"/>
      <rowBreaks count="4" manualBreakCount="4">
        <brk id="35" max="16383" man="1"/>
        <brk id="70" max="16383" man="1"/>
        <brk id="102" max="16383" man="1"/>
        <brk id="138" max="16383" man="1"/>
      </rowBreaks>
      <pageMargins left="0.55118110236220474" right="0.35433070866141736" top="0.98425196850393704" bottom="0.98425196850393704" header="0.51181102362204722" footer="0.51181102362204722"/>
      <pageSetup paperSize="9" orientation="landscape" horizontalDpi="4294967293" verticalDpi="300" r:id="rId2"/>
      <headerFooter alignWithMargins="0">
        <oddHeader>&amp;R3. sz. melléklet</oddHeader>
        <oddFooter>&amp;L&amp;D</oddFooter>
      </headerFooter>
    </customSheetView>
  </customSheetViews>
  <mergeCells count="3">
    <mergeCell ref="A2:S2"/>
    <mergeCell ref="A3:S3"/>
    <mergeCell ref="A5:S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portrait" horizontalDpi="4294967293" verticalDpi="300" r:id="rId3"/>
  <headerFooter alignWithMargins="0">
    <oddHeader>&amp;RPolg.hiv.kiadásai
I/b/1</oddHeader>
    <oddFooter>&amp;C&amp;P</oddFoot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O41"/>
  <sheetViews>
    <sheetView zoomScale="110" zoomScaleNormal="110" workbookViewId="0">
      <selection activeCell="L31" sqref="L31"/>
    </sheetView>
  </sheetViews>
  <sheetFormatPr defaultRowHeight="12.75"/>
  <cols>
    <col min="1" max="1" width="34.7109375" customWidth="1"/>
    <col min="2" max="2" width="11.140625" hidden="1" customWidth="1"/>
    <col min="3" max="3" width="11.28515625" hidden="1" customWidth="1"/>
    <col min="4" max="5" width="13" hidden="1" customWidth="1"/>
    <col min="6" max="7" width="14.5703125" hidden="1" customWidth="1"/>
    <col min="8" max="8" width="12.5703125" hidden="1" customWidth="1"/>
    <col min="9" max="9" width="12.85546875" hidden="1" customWidth="1"/>
    <col min="10" max="10" width="14.5703125" hidden="1" customWidth="1"/>
    <col min="11" max="14" width="12.7109375" bestFit="1" customWidth="1"/>
  </cols>
  <sheetData>
    <row r="1" spans="1:249" ht="15.75">
      <c r="A1" s="208" t="s">
        <v>241</v>
      </c>
      <c r="B1" s="209"/>
      <c r="C1" s="208"/>
      <c r="D1" s="208"/>
      <c r="E1" s="210"/>
      <c r="F1" s="210"/>
      <c r="G1" s="210"/>
      <c r="H1" s="210"/>
      <c r="I1" s="210"/>
      <c r="J1" s="210"/>
      <c r="K1" s="210"/>
      <c r="L1" s="199"/>
      <c r="M1" s="199"/>
      <c r="N1" s="199"/>
    </row>
    <row r="2" spans="1:249" ht="15.75">
      <c r="A2" s="208" t="s">
        <v>66</v>
      </c>
      <c r="B2" s="211"/>
      <c r="C2" s="208"/>
      <c r="D2" s="208"/>
      <c r="E2" s="212"/>
      <c r="F2" s="212"/>
      <c r="G2" s="212"/>
      <c r="H2" s="212"/>
      <c r="I2" s="212"/>
      <c r="J2" s="212"/>
      <c r="K2" s="212"/>
      <c r="L2" s="210"/>
      <c r="M2" s="199"/>
      <c r="N2" s="199"/>
      <c r="O2" s="10"/>
      <c r="P2" s="10"/>
      <c r="Q2" s="10"/>
      <c r="T2" s="10"/>
      <c r="U2" s="10"/>
      <c r="V2" s="10"/>
      <c r="W2" s="10"/>
      <c r="X2" s="10"/>
      <c r="Y2" s="10"/>
      <c r="AB2" s="10"/>
      <c r="AC2" s="10"/>
      <c r="AD2" s="10"/>
      <c r="AE2" s="10"/>
      <c r="AF2" s="10"/>
      <c r="AG2" s="10"/>
      <c r="AJ2" s="10"/>
      <c r="AK2" s="10"/>
      <c r="AL2" s="10"/>
      <c r="AM2" s="10"/>
      <c r="AN2" s="10"/>
      <c r="AO2" s="10"/>
      <c r="AR2" s="10"/>
      <c r="AS2" s="10"/>
      <c r="AT2" s="10"/>
      <c r="AU2" s="10"/>
      <c r="AV2" s="10"/>
      <c r="AW2" s="10"/>
      <c r="AZ2" s="10"/>
      <c r="BA2" s="10"/>
      <c r="BB2" s="10"/>
      <c r="BC2" s="10"/>
      <c r="BD2" s="10"/>
      <c r="BE2" s="10"/>
      <c r="BH2" s="10"/>
      <c r="BI2" s="10"/>
      <c r="BJ2" s="10"/>
      <c r="BK2" s="10"/>
      <c r="BL2" s="10"/>
      <c r="BM2" s="10"/>
      <c r="BP2" s="10"/>
      <c r="BQ2" s="10"/>
      <c r="BR2" s="10"/>
      <c r="BS2" s="10"/>
      <c r="BT2" s="10"/>
      <c r="BU2" s="10"/>
      <c r="BX2" s="10"/>
      <c r="BY2" s="10"/>
      <c r="BZ2" s="10"/>
      <c r="CA2" s="10"/>
      <c r="CB2" s="10"/>
      <c r="CC2" s="10"/>
      <c r="CF2" s="10"/>
      <c r="CG2" s="10"/>
      <c r="CH2" s="10"/>
      <c r="CI2" s="10"/>
      <c r="CJ2" s="10"/>
      <c r="CK2" s="10"/>
      <c r="CN2" s="10"/>
      <c r="CO2" s="10"/>
      <c r="CP2" s="10"/>
      <c r="CQ2" s="10"/>
      <c r="CR2" s="10"/>
      <c r="CS2" s="10"/>
      <c r="CV2" s="10"/>
      <c r="CW2" s="10"/>
      <c r="CX2" s="10"/>
      <c r="CY2" s="10"/>
      <c r="CZ2" s="10"/>
      <c r="DA2" s="10"/>
      <c r="DD2" s="10"/>
      <c r="DE2" s="10"/>
      <c r="DF2" s="10"/>
      <c r="DG2" s="10"/>
      <c r="DH2" s="10"/>
      <c r="DI2" s="10"/>
      <c r="DL2" s="10"/>
      <c r="DM2" s="10"/>
      <c r="DN2" s="10"/>
      <c r="DO2" s="10"/>
      <c r="DP2" s="10"/>
      <c r="DQ2" s="10"/>
      <c r="DT2" s="10"/>
      <c r="DU2" s="10"/>
      <c r="DV2" s="10"/>
      <c r="DW2" s="10"/>
      <c r="DX2" s="10"/>
      <c r="DY2" s="10"/>
      <c r="EB2" s="10"/>
      <c r="EC2" s="10"/>
      <c r="ED2" s="10"/>
      <c r="EE2" s="10"/>
      <c r="EF2" s="10"/>
      <c r="EG2" s="10"/>
      <c r="EJ2" s="10"/>
      <c r="EK2" s="10"/>
      <c r="EL2" s="10"/>
      <c r="EM2" s="10"/>
      <c r="EN2" s="10"/>
      <c r="EO2" s="10"/>
      <c r="ER2" s="10"/>
      <c r="ES2" s="10"/>
      <c r="ET2" s="10"/>
      <c r="EU2" s="10"/>
      <c r="EV2" s="10"/>
      <c r="EW2" s="10"/>
      <c r="EZ2" s="10"/>
      <c r="FA2" s="10"/>
      <c r="FB2" s="10"/>
      <c r="FC2" s="10"/>
      <c r="FD2" s="10"/>
      <c r="FE2" s="10"/>
      <c r="FH2" s="10"/>
      <c r="FI2" s="10"/>
      <c r="FJ2" s="10"/>
      <c r="FK2" s="10"/>
      <c r="FL2" s="10"/>
      <c r="FM2" s="10"/>
      <c r="FP2" s="10"/>
      <c r="FQ2" s="10"/>
      <c r="FR2" s="10"/>
      <c r="FS2" s="10"/>
      <c r="FT2" s="10"/>
      <c r="FU2" s="10"/>
      <c r="FX2" s="10"/>
      <c r="FY2" s="10"/>
      <c r="FZ2" s="10"/>
      <c r="GA2" s="10"/>
      <c r="GB2" s="10"/>
      <c r="GC2" s="10"/>
      <c r="GF2" s="10"/>
      <c r="GG2" s="10"/>
      <c r="GH2" s="10"/>
      <c r="GI2" s="10"/>
      <c r="GJ2" s="10"/>
      <c r="GK2" s="10"/>
      <c r="GN2" s="10"/>
      <c r="GO2" s="10"/>
      <c r="GP2" s="10"/>
      <c r="GQ2" s="10"/>
      <c r="GR2" s="10"/>
      <c r="GS2" s="10"/>
      <c r="GV2" s="10"/>
      <c r="GW2" s="10"/>
      <c r="GX2" s="10"/>
      <c r="GY2" s="10"/>
      <c r="GZ2" s="10"/>
      <c r="HA2" s="10"/>
      <c r="HD2" s="10"/>
      <c r="HE2" s="10"/>
      <c r="HF2" s="10"/>
      <c r="HG2" s="10"/>
      <c r="HH2" s="10"/>
      <c r="HI2" s="10"/>
      <c r="HL2" s="10"/>
      <c r="HM2" s="10"/>
      <c r="HN2" s="10"/>
      <c r="HO2" s="10"/>
      <c r="HP2" s="10"/>
      <c r="HQ2" s="10"/>
      <c r="HT2" s="10"/>
      <c r="HU2" s="10"/>
      <c r="HV2" s="10"/>
      <c r="HW2" s="10"/>
      <c r="HX2" s="10"/>
      <c r="HY2" s="10"/>
      <c r="IB2" s="10"/>
      <c r="IC2" s="10"/>
      <c r="ID2" s="10"/>
      <c r="IE2" s="10"/>
      <c r="IF2" s="10"/>
      <c r="IG2" s="10"/>
      <c r="IJ2" s="10"/>
      <c r="IK2" s="10"/>
      <c r="IL2" s="10"/>
      <c r="IM2" s="10"/>
      <c r="IN2" s="10"/>
      <c r="IO2" s="10"/>
    </row>
    <row r="4" spans="1:249" ht="18">
      <c r="A4" s="207" t="s">
        <v>242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249">
      <c r="A5" s="2"/>
      <c r="B5" s="2"/>
      <c r="C5" s="1"/>
      <c r="D5" s="1"/>
      <c r="E5" s="1"/>
      <c r="F5" s="1"/>
      <c r="G5" s="1"/>
      <c r="H5" s="1"/>
      <c r="I5" s="1"/>
      <c r="J5" s="1"/>
      <c r="K5" s="37"/>
      <c r="L5" s="37"/>
      <c r="M5" s="37"/>
      <c r="N5" s="37" t="s">
        <v>29</v>
      </c>
    </row>
    <row r="6" spans="1:249">
      <c r="A6" s="79" t="s">
        <v>20</v>
      </c>
      <c r="B6" s="205" t="s">
        <v>81</v>
      </c>
      <c r="C6" s="71" t="s">
        <v>82</v>
      </c>
      <c r="D6" s="71" t="s">
        <v>82</v>
      </c>
      <c r="E6" s="71" t="s">
        <v>82</v>
      </c>
      <c r="F6" s="71" t="s">
        <v>82</v>
      </c>
      <c r="G6" s="71" t="s">
        <v>82</v>
      </c>
      <c r="H6" s="71" t="s">
        <v>82</v>
      </c>
      <c r="I6" s="71" t="s">
        <v>82</v>
      </c>
      <c r="J6" s="33" t="s">
        <v>116</v>
      </c>
      <c r="K6" s="94" t="s">
        <v>151</v>
      </c>
      <c r="L6" s="94" t="s">
        <v>151</v>
      </c>
      <c r="M6" s="94" t="s">
        <v>151</v>
      </c>
      <c r="N6" s="94" t="s">
        <v>151</v>
      </c>
    </row>
    <row r="7" spans="1:249">
      <c r="A7" s="79"/>
      <c r="B7" s="206"/>
      <c r="C7" s="71" t="s">
        <v>57</v>
      </c>
      <c r="D7" s="71" t="s">
        <v>117</v>
      </c>
      <c r="E7" s="71" t="s">
        <v>133</v>
      </c>
      <c r="F7" s="71" t="s">
        <v>138</v>
      </c>
      <c r="G7" s="71" t="s">
        <v>143</v>
      </c>
      <c r="H7" s="71" t="s">
        <v>146</v>
      </c>
      <c r="I7" s="71" t="s">
        <v>193</v>
      </c>
      <c r="J7" s="33" t="s">
        <v>188</v>
      </c>
      <c r="K7" s="94" t="s">
        <v>36</v>
      </c>
      <c r="L7" s="94" t="s">
        <v>117</v>
      </c>
      <c r="M7" s="94" t="s">
        <v>133</v>
      </c>
      <c r="N7" s="94" t="s">
        <v>138</v>
      </c>
    </row>
    <row r="8" spans="1:249">
      <c r="A8" s="72" t="s">
        <v>31</v>
      </c>
      <c r="B8" s="73"/>
      <c r="C8" s="73"/>
      <c r="D8" s="73"/>
      <c r="E8" s="73"/>
      <c r="F8" s="73"/>
      <c r="G8" s="73"/>
      <c r="H8" s="73"/>
      <c r="I8" s="73"/>
      <c r="J8" s="73"/>
    </row>
    <row r="9" spans="1:249">
      <c r="A9" s="66" t="s">
        <v>24</v>
      </c>
      <c r="B9" s="74">
        <v>15000</v>
      </c>
      <c r="C9" s="74">
        <v>17780</v>
      </c>
      <c r="D9" s="74">
        <v>17780</v>
      </c>
      <c r="E9" s="74">
        <v>17780</v>
      </c>
      <c r="F9" s="74">
        <v>17780</v>
      </c>
      <c r="G9" s="74">
        <v>17780</v>
      </c>
      <c r="H9" s="74">
        <v>17780</v>
      </c>
      <c r="I9" s="74">
        <v>17780</v>
      </c>
      <c r="J9" s="74">
        <v>17451</v>
      </c>
      <c r="K9" s="86">
        <v>17780</v>
      </c>
      <c r="L9" s="86">
        <v>17780</v>
      </c>
      <c r="M9" s="86">
        <v>17780</v>
      </c>
      <c r="N9" s="86">
        <v>17780</v>
      </c>
    </row>
    <row r="10" spans="1:249">
      <c r="A10" s="66" t="s">
        <v>26</v>
      </c>
      <c r="B10" s="16">
        <v>15000</v>
      </c>
      <c r="C10" s="16">
        <v>17780</v>
      </c>
      <c r="D10" s="16">
        <v>17780</v>
      </c>
      <c r="E10" s="16">
        <v>17780</v>
      </c>
      <c r="F10" s="16">
        <v>17780</v>
      </c>
      <c r="G10" s="16">
        <v>17780</v>
      </c>
      <c r="H10" s="16">
        <v>17780</v>
      </c>
      <c r="I10" s="16">
        <f>I9</f>
        <v>17780</v>
      </c>
      <c r="J10" s="16">
        <f>J9</f>
        <v>17451</v>
      </c>
      <c r="K10" s="16">
        <v>17780</v>
      </c>
      <c r="L10" s="16">
        <v>17780</v>
      </c>
      <c r="M10" s="16">
        <v>17780</v>
      </c>
      <c r="N10" s="16">
        <v>17780</v>
      </c>
    </row>
    <row r="11" spans="1:249">
      <c r="A11" s="66"/>
      <c r="B11" s="19"/>
      <c r="C11" s="74"/>
      <c r="D11" s="74"/>
      <c r="E11" s="74"/>
      <c r="F11" s="74"/>
      <c r="G11" s="74"/>
      <c r="H11" s="74"/>
      <c r="I11" s="74"/>
      <c r="J11" s="74"/>
    </row>
    <row r="12" spans="1:249">
      <c r="A12" s="72" t="s">
        <v>33</v>
      </c>
      <c r="B12" s="19"/>
      <c r="C12" s="74"/>
      <c r="D12" s="74"/>
      <c r="E12" s="74"/>
      <c r="F12" s="74"/>
      <c r="G12" s="74"/>
      <c r="H12" s="74"/>
      <c r="I12" s="74"/>
      <c r="J12" s="74"/>
    </row>
    <row r="13" spans="1:249">
      <c r="A13" s="66" t="s">
        <v>24</v>
      </c>
      <c r="B13" s="74">
        <v>3500</v>
      </c>
      <c r="C13" s="74">
        <v>1270</v>
      </c>
      <c r="D13" s="74">
        <v>1270</v>
      </c>
      <c r="E13" s="74">
        <v>1270</v>
      </c>
      <c r="F13" s="74">
        <v>1270</v>
      </c>
      <c r="G13" s="74">
        <v>1270</v>
      </c>
      <c r="H13" s="74">
        <v>1270</v>
      </c>
      <c r="I13" s="74">
        <v>1270</v>
      </c>
      <c r="J13" s="74">
        <v>1495</v>
      </c>
      <c r="K13" s="86">
        <v>1270</v>
      </c>
      <c r="L13" s="86">
        <v>1270</v>
      </c>
      <c r="M13" s="86">
        <v>1270</v>
      </c>
      <c r="N13" s="86">
        <v>1270</v>
      </c>
    </row>
    <row r="14" spans="1:249">
      <c r="A14" s="66" t="s">
        <v>26</v>
      </c>
      <c r="B14" s="16">
        <v>3500</v>
      </c>
      <c r="C14" s="16">
        <v>1270</v>
      </c>
      <c r="D14" s="16">
        <v>1270</v>
      </c>
      <c r="E14" s="16">
        <v>1270</v>
      </c>
      <c r="F14" s="16">
        <v>1270</v>
      </c>
      <c r="G14" s="16">
        <v>1270</v>
      </c>
      <c r="H14" s="16">
        <v>1270</v>
      </c>
      <c r="I14" s="16">
        <f>I13</f>
        <v>1270</v>
      </c>
      <c r="J14" s="16">
        <f>J13</f>
        <v>1495</v>
      </c>
      <c r="K14" s="16">
        <v>1270</v>
      </c>
      <c r="L14" s="16">
        <v>1270</v>
      </c>
      <c r="M14" s="16">
        <v>1270</v>
      </c>
      <c r="N14" s="16">
        <v>1270</v>
      </c>
    </row>
    <row r="15" spans="1:249">
      <c r="A15" s="66"/>
      <c r="B15" s="19"/>
      <c r="C15" s="74"/>
      <c r="D15" s="74"/>
      <c r="E15" s="74"/>
      <c r="F15" s="74"/>
      <c r="G15" s="74"/>
      <c r="H15" s="74"/>
      <c r="I15" s="74"/>
      <c r="J15" s="74"/>
    </row>
    <row r="16" spans="1:249">
      <c r="A16" s="72" t="s">
        <v>34</v>
      </c>
      <c r="B16" s="19"/>
      <c r="C16" s="74"/>
      <c r="D16" s="74"/>
      <c r="E16" s="74"/>
      <c r="F16" s="74"/>
      <c r="G16" s="74"/>
      <c r="H16" s="74"/>
      <c r="I16" s="74"/>
      <c r="J16" s="74"/>
    </row>
    <row r="17" spans="1:15">
      <c r="A17" s="66" t="s">
        <v>22</v>
      </c>
      <c r="B17" s="74">
        <v>85585</v>
      </c>
      <c r="C17" s="74">
        <v>85068</v>
      </c>
      <c r="D17" s="74">
        <v>85068</v>
      </c>
      <c r="E17" s="74">
        <f>85068+1505</f>
        <v>86573</v>
      </c>
      <c r="F17" s="74">
        <f>85068+1505</f>
        <v>86573</v>
      </c>
      <c r="G17" s="74">
        <f>85068+1505+878</f>
        <v>87451</v>
      </c>
      <c r="H17" s="74">
        <f>85068+1505+878</f>
        <v>87451</v>
      </c>
      <c r="I17" s="74">
        <v>88277</v>
      </c>
      <c r="J17" s="74">
        <v>88159</v>
      </c>
      <c r="K17" s="74">
        <v>88689</v>
      </c>
      <c r="L17" s="74">
        <f>88689+605</f>
        <v>89294</v>
      </c>
      <c r="M17" s="74">
        <f>88689+605+913</f>
        <v>90207</v>
      </c>
      <c r="N17" s="74">
        <f>88689+605+913+928</f>
        <v>91135</v>
      </c>
    </row>
    <row r="18" spans="1:15">
      <c r="A18" s="66" t="s">
        <v>23</v>
      </c>
      <c r="B18" s="74">
        <v>23349</v>
      </c>
      <c r="C18" s="74">
        <v>23410</v>
      </c>
      <c r="D18" s="74">
        <v>23410</v>
      </c>
      <c r="E18" s="74">
        <f>23410+406</f>
        <v>23816</v>
      </c>
      <c r="F18" s="74">
        <f>23410+406</f>
        <v>23816</v>
      </c>
      <c r="G18" s="74">
        <f>23410+406+237</f>
        <v>24053</v>
      </c>
      <c r="H18" s="74">
        <f>23410+406+237</f>
        <v>24053</v>
      </c>
      <c r="I18" s="74">
        <v>24276</v>
      </c>
      <c r="J18" s="74">
        <v>24205</v>
      </c>
      <c r="K18" s="74">
        <v>23339</v>
      </c>
      <c r="L18" s="74">
        <f>23339+163</f>
        <v>23502</v>
      </c>
      <c r="M18" s="74">
        <f>23339+163+247</f>
        <v>23749</v>
      </c>
      <c r="N18" s="74">
        <f>23339+163+247+251</f>
        <v>24000</v>
      </c>
    </row>
    <row r="19" spans="1:15">
      <c r="A19" s="66" t="s">
        <v>24</v>
      </c>
      <c r="B19" s="74">
        <v>16960</v>
      </c>
      <c r="C19" s="74">
        <f t="shared" ref="C19:H19" si="0">17643+900</f>
        <v>18543</v>
      </c>
      <c r="D19" s="74">
        <f t="shared" si="0"/>
        <v>18543</v>
      </c>
      <c r="E19" s="74">
        <f t="shared" si="0"/>
        <v>18543</v>
      </c>
      <c r="F19" s="74">
        <f t="shared" si="0"/>
        <v>18543</v>
      </c>
      <c r="G19" s="74">
        <f t="shared" si="0"/>
        <v>18543</v>
      </c>
      <c r="H19" s="74">
        <f t="shared" si="0"/>
        <v>18543</v>
      </c>
      <c r="I19" s="74">
        <v>18543</v>
      </c>
      <c r="J19" s="74">
        <v>17556</v>
      </c>
      <c r="K19" s="74">
        <v>6017</v>
      </c>
      <c r="L19" s="74">
        <v>6017</v>
      </c>
      <c r="M19" s="74">
        <f>6017+345</f>
        <v>6362</v>
      </c>
      <c r="N19" s="74">
        <f>6017+345</f>
        <v>6362</v>
      </c>
    </row>
    <row r="20" spans="1:15">
      <c r="A20" s="66" t="s">
        <v>28</v>
      </c>
      <c r="B20" s="74"/>
      <c r="C20" s="74"/>
      <c r="D20" s="74"/>
      <c r="E20" s="74"/>
      <c r="F20" s="74"/>
      <c r="G20" s="74"/>
      <c r="H20" s="74"/>
      <c r="I20" s="74"/>
      <c r="J20" s="74"/>
    </row>
    <row r="21" spans="1:15">
      <c r="A21" s="66" t="s">
        <v>26</v>
      </c>
      <c r="B21" s="16">
        <f t="shared" ref="B21:K21" si="1">SUM(B17:B20)</f>
        <v>125894</v>
      </c>
      <c r="C21" s="16">
        <f t="shared" si="1"/>
        <v>127021</v>
      </c>
      <c r="D21" s="16">
        <f t="shared" si="1"/>
        <v>127021</v>
      </c>
      <c r="E21" s="16">
        <f t="shared" si="1"/>
        <v>128932</v>
      </c>
      <c r="F21" s="16">
        <f t="shared" si="1"/>
        <v>128932</v>
      </c>
      <c r="G21" s="16">
        <f t="shared" si="1"/>
        <v>130047</v>
      </c>
      <c r="H21" s="16">
        <f t="shared" si="1"/>
        <v>130047</v>
      </c>
      <c r="I21" s="16">
        <f t="shared" si="1"/>
        <v>131096</v>
      </c>
      <c r="J21" s="16">
        <f t="shared" si="1"/>
        <v>129920</v>
      </c>
      <c r="K21" s="16">
        <f t="shared" si="1"/>
        <v>118045</v>
      </c>
      <c r="L21" s="16">
        <f>SUM(L17:L20)</f>
        <v>118813</v>
      </c>
      <c r="M21" s="16">
        <f>SUM(M17:M20)</f>
        <v>120318</v>
      </c>
      <c r="N21" s="16">
        <f>SUM(N17:N20)</f>
        <v>121497</v>
      </c>
    </row>
    <row r="22" spans="1:15">
      <c r="A22" s="66"/>
      <c r="B22" s="19"/>
      <c r="C22" s="74"/>
      <c r="D22" s="74"/>
      <c r="E22" s="74"/>
      <c r="F22" s="74"/>
      <c r="G22" s="74"/>
      <c r="H22" s="74"/>
      <c r="I22" s="74"/>
      <c r="J22" s="74"/>
    </row>
    <row r="23" spans="1:15">
      <c r="A23" s="72" t="s">
        <v>35</v>
      </c>
      <c r="B23" s="19"/>
      <c r="C23" s="74"/>
      <c r="D23" s="74"/>
      <c r="E23" s="74"/>
      <c r="F23" s="74"/>
      <c r="G23" s="74"/>
      <c r="H23" s="74"/>
      <c r="I23" s="74"/>
      <c r="J23" s="74"/>
    </row>
    <row r="24" spans="1:15">
      <c r="A24" s="66" t="s">
        <v>37</v>
      </c>
      <c r="B24" s="19">
        <v>2000</v>
      </c>
      <c r="C24" s="74">
        <v>2800</v>
      </c>
      <c r="D24" s="74">
        <v>2800</v>
      </c>
      <c r="E24" s="74">
        <v>2800</v>
      </c>
      <c r="F24" s="74">
        <v>2800</v>
      </c>
      <c r="G24" s="74">
        <v>2800</v>
      </c>
      <c r="H24" s="74">
        <v>2800</v>
      </c>
      <c r="I24" s="74">
        <v>2800</v>
      </c>
      <c r="J24" s="74">
        <v>2949</v>
      </c>
      <c r="K24" s="86">
        <v>5000</v>
      </c>
      <c r="L24" s="86">
        <v>5000</v>
      </c>
      <c r="M24" s="86">
        <v>5000</v>
      </c>
      <c r="N24" s="86">
        <v>5000</v>
      </c>
    </row>
    <row r="25" spans="1:15">
      <c r="A25" s="66" t="s">
        <v>26</v>
      </c>
      <c r="B25" s="16">
        <v>2000</v>
      </c>
      <c r="C25" s="16">
        <v>2800</v>
      </c>
      <c r="D25" s="16">
        <v>2800</v>
      </c>
      <c r="E25" s="16">
        <v>2800</v>
      </c>
      <c r="F25" s="16">
        <v>2800</v>
      </c>
      <c r="G25" s="16">
        <v>2800</v>
      </c>
      <c r="H25" s="16">
        <v>2800</v>
      </c>
      <c r="I25" s="16">
        <f>I24</f>
        <v>2800</v>
      </c>
      <c r="J25" s="16">
        <f>J24</f>
        <v>2949</v>
      </c>
      <c r="K25" s="16">
        <v>5000</v>
      </c>
      <c r="L25" s="16">
        <v>5000</v>
      </c>
      <c r="M25" s="16">
        <v>5000</v>
      </c>
      <c r="N25" s="16">
        <v>5000</v>
      </c>
    </row>
    <row r="26" spans="1:15">
      <c r="B26" s="80"/>
      <c r="C26" s="80"/>
      <c r="D26" s="80"/>
      <c r="E26" s="80"/>
      <c r="F26" s="80"/>
      <c r="G26" s="80"/>
      <c r="H26" s="80"/>
      <c r="I26" s="80"/>
      <c r="J26" s="80"/>
    </row>
    <row r="27" spans="1:15">
      <c r="A27" s="87" t="s">
        <v>110</v>
      </c>
      <c r="B27" s="81">
        <f>B10+B14+B21+B25</f>
        <v>146394</v>
      </c>
      <c r="C27" s="81">
        <f>C10+C14+C21+C25</f>
        <v>148871</v>
      </c>
      <c r="D27" s="81">
        <f t="shared" ref="D27:K27" si="2">D10+D14+D21+D25</f>
        <v>148871</v>
      </c>
      <c r="E27" s="81">
        <f t="shared" si="2"/>
        <v>150782</v>
      </c>
      <c r="F27" s="81">
        <f t="shared" si="2"/>
        <v>150782</v>
      </c>
      <c r="G27" s="81">
        <f t="shared" si="2"/>
        <v>151897</v>
      </c>
      <c r="H27" s="81">
        <f t="shared" si="2"/>
        <v>151897</v>
      </c>
      <c r="I27" s="81">
        <f t="shared" si="2"/>
        <v>152946</v>
      </c>
      <c r="J27" s="81">
        <f t="shared" si="2"/>
        <v>151815</v>
      </c>
      <c r="K27" s="81">
        <f t="shared" si="2"/>
        <v>142095</v>
      </c>
      <c r="L27" s="81">
        <f>L10+L14+L21+L25</f>
        <v>142863</v>
      </c>
      <c r="M27" s="81">
        <f>M10+M14+M21+M25</f>
        <v>144368</v>
      </c>
      <c r="N27" s="81">
        <f>N10+N14+N21+N25</f>
        <v>145547</v>
      </c>
      <c r="O27" s="14"/>
    </row>
    <row r="28" spans="1:15">
      <c r="B28" s="81"/>
      <c r="C28" s="81"/>
      <c r="D28" s="81"/>
      <c r="E28" s="81"/>
      <c r="F28" s="81"/>
      <c r="G28" s="81"/>
      <c r="H28" s="81"/>
      <c r="I28" s="81"/>
      <c r="J28" s="81"/>
    </row>
    <row r="29" spans="1:15">
      <c r="A29" s="26"/>
      <c r="B29" s="78"/>
      <c r="C29" s="78"/>
      <c r="D29" s="78"/>
      <c r="E29" s="78"/>
      <c r="F29" s="78"/>
      <c r="G29" s="78"/>
      <c r="H29" s="78"/>
      <c r="I29" s="78"/>
      <c r="J29" s="78"/>
    </row>
    <row r="30" spans="1:15">
      <c r="A30" s="68"/>
      <c r="B30" s="22"/>
      <c r="C30" s="22"/>
      <c r="D30" s="22"/>
      <c r="E30" s="22"/>
      <c r="F30" s="22"/>
      <c r="G30" s="22"/>
      <c r="H30" s="22"/>
      <c r="I30" s="22"/>
      <c r="J30" s="22"/>
    </row>
    <row r="31" spans="1:15">
      <c r="A31" s="67"/>
      <c r="B31" s="22"/>
      <c r="C31" s="22"/>
      <c r="D31" s="22"/>
      <c r="E31" s="22"/>
      <c r="F31" s="22"/>
      <c r="G31" s="22"/>
      <c r="H31" s="22"/>
      <c r="I31" s="22"/>
      <c r="J31" s="22"/>
    </row>
    <row r="32" spans="1:15">
      <c r="A32" s="67"/>
      <c r="B32" s="17"/>
      <c r="C32" s="17"/>
      <c r="D32" s="17"/>
      <c r="E32" s="17"/>
      <c r="F32" s="17"/>
      <c r="G32" s="17"/>
      <c r="H32" s="17"/>
      <c r="I32" s="17"/>
      <c r="J32" s="17"/>
    </row>
    <row r="33" spans="1:10">
      <c r="A33" s="67"/>
      <c r="B33" s="17"/>
      <c r="C33" s="17"/>
      <c r="D33" s="17"/>
      <c r="E33" s="17"/>
      <c r="F33" s="17"/>
      <c r="G33" s="17"/>
      <c r="H33" s="17"/>
      <c r="I33" s="17"/>
      <c r="J33" s="17"/>
    </row>
    <row r="34" spans="1:10">
      <c r="A34" s="26"/>
      <c r="B34" s="17"/>
      <c r="C34" s="17"/>
      <c r="D34" s="17"/>
      <c r="E34" s="17"/>
      <c r="F34" s="17"/>
      <c r="G34" s="17"/>
      <c r="H34" s="17"/>
      <c r="I34" s="17"/>
      <c r="J34" s="17"/>
    </row>
    <row r="35" spans="1:10">
      <c r="D35" s="14"/>
      <c r="E35" s="14"/>
      <c r="F35" s="14"/>
      <c r="G35" s="14"/>
      <c r="H35" s="14"/>
      <c r="I35" s="14"/>
      <c r="J35" s="14"/>
    </row>
    <row r="36" spans="1:10">
      <c r="D36" s="14"/>
      <c r="E36" s="14"/>
      <c r="F36" s="14"/>
      <c r="G36" s="14"/>
      <c r="H36" s="14"/>
      <c r="I36" s="14"/>
      <c r="J36" s="14"/>
    </row>
    <row r="37" spans="1:10" ht="14.25">
      <c r="A37" s="9"/>
      <c r="B37" s="9"/>
      <c r="C37" s="14"/>
      <c r="D37" s="14"/>
      <c r="E37" s="14"/>
      <c r="F37" s="20"/>
      <c r="G37" s="20"/>
      <c r="H37" s="20"/>
      <c r="I37" s="20"/>
      <c r="J37" s="20"/>
    </row>
    <row r="38" spans="1:10" ht="14.25">
      <c r="A38" s="9"/>
      <c r="B38" s="9"/>
      <c r="C38" s="14"/>
      <c r="D38" s="14"/>
      <c r="E38" s="14"/>
      <c r="F38" s="20"/>
      <c r="G38" s="20"/>
      <c r="H38" s="20"/>
      <c r="I38" s="20"/>
      <c r="J38" s="20"/>
    </row>
    <row r="39" spans="1:10" ht="14.25">
      <c r="A39" s="9"/>
      <c r="B39" s="9"/>
      <c r="C39" s="14"/>
      <c r="D39" s="14"/>
      <c r="E39" s="14"/>
      <c r="F39" s="20"/>
      <c r="G39" s="20"/>
      <c r="H39" s="20"/>
      <c r="I39" s="20"/>
      <c r="J39" s="20"/>
    </row>
    <row r="40" spans="1:10" ht="14.25">
      <c r="A40" s="9"/>
      <c r="B40" s="9"/>
      <c r="C40" s="14"/>
      <c r="D40" s="14"/>
      <c r="E40" s="14"/>
      <c r="F40" s="20"/>
      <c r="G40" s="20"/>
      <c r="H40" s="20"/>
      <c r="I40" s="20"/>
      <c r="J40" s="20"/>
    </row>
    <row r="41" spans="1:10" ht="15">
      <c r="A41" s="12"/>
      <c r="B41" s="12"/>
      <c r="C41" s="18"/>
      <c r="D41" s="18"/>
      <c r="E41" s="18"/>
      <c r="F41" s="21"/>
      <c r="G41" s="21"/>
      <c r="H41" s="21"/>
      <c r="I41" s="21"/>
      <c r="J41" s="21"/>
    </row>
  </sheetData>
  <customSheetViews>
    <customSheetView guid="{3421BDA2-9904-43CC-9302-33BF52AC1CD6}" showPageBreaks="1" hiddenColumns="1" showRuler="0" topLeftCell="A19">
      <selection activeCell="A35" sqref="A35:IV35"/>
      <pageMargins left="0.75" right="0.75" top="1" bottom="1" header="0.5" footer="0.5"/>
      <pageSetup paperSize="9" orientation="landscape" horizontalDpi="4294967293" r:id="rId1"/>
      <headerFooter alignWithMargins="0">
        <oddHeader>&amp;R3/B. sz. melléklet</oddHeader>
        <oddFooter>&amp;L&amp;D</oddFooter>
      </headerFooter>
    </customSheetView>
    <customSheetView guid="{52DDA72E-DE96-4CF9-8793-90D799FDD9E1}" showPageBreaks="1" hiddenColumns="1" showRuler="0" topLeftCell="A27">
      <selection activeCell="A33" sqref="A33:IV33"/>
      <rowBreaks count="3" manualBreakCount="3">
        <brk id="36" max="16383" man="1"/>
        <brk id="37" max="16383" man="1"/>
        <brk id="73" max="16383" man="1"/>
      </rowBreaks>
      <pageMargins left="0.74803149606299213" right="0.74803149606299213" top="0.98425196850393704" bottom="0.98425196850393704" header="0.51181102362204722" footer="0.51181102362204722"/>
      <pageSetup paperSize="9" scale="97" orientation="landscape" horizontalDpi="4294967293" r:id="rId2"/>
      <headerFooter alignWithMargins="0">
        <oddHeader>&amp;R3/B. sz. melléklet</oddHeader>
        <oddFooter>&amp;L&amp;D</oddFooter>
      </headerFooter>
    </customSheetView>
  </customSheetViews>
  <mergeCells count="4">
    <mergeCell ref="B6:B7"/>
    <mergeCell ref="A4:M4"/>
    <mergeCell ref="A1:N1"/>
    <mergeCell ref="A2:N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portrait" horizontalDpi="4294967293" r:id="rId3"/>
  <headerFooter alignWithMargins="0">
    <oddHeader>&amp;RÓvoda kiadásai
I/b/2</oddHeader>
    <oddFooter>&amp;C&amp;P</oddFooter>
  </headerFooter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A2" sqref="A2:M2"/>
    </sheetView>
  </sheetViews>
  <sheetFormatPr defaultRowHeight="12.75"/>
  <cols>
    <col min="1" max="1" width="34.140625" customWidth="1"/>
    <col min="2" max="2" width="10.28515625" hidden="1" customWidth="1"/>
    <col min="3" max="7" width="10" hidden="1" customWidth="1"/>
    <col min="8" max="8" width="12.28515625" hidden="1" customWidth="1"/>
    <col min="9" max="9" width="13.140625" hidden="1" customWidth="1"/>
    <col min="10" max="13" width="11" bestFit="1" customWidth="1"/>
  </cols>
  <sheetData>
    <row r="1" spans="1:13" ht="53.25" customHeight="1">
      <c r="A1" s="213" t="s">
        <v>66</v>
      </c>
      <c r="B1" s="214"/>
      <c r="C1" s="214"/>
      <c r="D1" s="214"/>
      <c r="E1" s="214"/>
      <c r="F1" s="214"/>
      <c r="G1" s="214"/>
      <c r="H1" s="215"/>
      <c r="I1" s="215"/>
      <c r="J1" s="215"/>
      <c r="K1" s="199"/>
      <c r="L1" s="199"/>
      <c r="M1" s="199"/>
    </row>
    <row r="2" spans="1:13" ht="15.75">
      <c r="A2" s="216" t="s">
        <v>245</v>
      </c>
      <c r="B2" s="203"/>
      <c r="C2" s="203"/>
      <c r="D2" s="203"/>
      <c r="E2" s="203"/>
      <c r="F2" s="203"/>
      <c r="G2" s="203"/>
      <c r="H2" s="199"/>
      <c r="I2" s="199"/>
      <c r="J2" s="199"/>
      <c r="K2" s="199"/>
      <c r="L2" s="199"/>
      <c r="M2" s="199"/>
    </row>
    <row r="3" spans="1:13">
      <c r="A3" s="49"/>
      <c r="B3" s="4"/>
      <c r="J3" s="37"/>
      <c r="K3" s="37"/>
      <c r="L3" s="37"/>
      <c r="M3" s="37" t="s">
        <v>29</v>
      </c>
    </row>
    <row r="4" spans="1:13">
      <c r="A4" s="70" t="s">
        <v>20</v>
      </c>
      <c r="B4" s="71" t="s">
        <v>80</v>
      </c>
      <c r="C4" s="71" t="s">
        <v>80</v>
      </c>
      <c r="D4" s="71" t="s">
        <v>80</v>
      </c>
      <c r="E4" s="71" t="s">
        <v>80</v>
      </c>
      <c r="F4" s="71" t="s">
        <v>80</v>
      </c>
      <c r="G4" s="71" t="s">
        <v>80</v>
      </c>
      <c r="H4" s="71" t="s">
        <v>82</v>
      </c>
      <c r="I4" s="33" t="s">
        <v>116</v>
      </c>
      <c r="J4" s="94" t="s">
        <v>151</v>
      </c>
      <c r="K4" s="94" t="s">
        <v>151</v>
      </c>
      <c r="L4" s="94" t="s">
        <v>151</v>
      </c>
      <c r="M4" s="94" t="s">
        <v>151</v>
      </c>
    </row>
    <row r="5" spans="1:13">
      <c r="A5" s="70"/>
      <c r="B5" s="71" t="s">
        <v>36</v>
      </c>
      <c r="C5" s="71" t="s">
        <v>117</v>
      </c>
      <c r="D5" s="71" t="s">
        <v>133</v>
      </c>
      <c r="E5" s="71" t="s">
        <v>138</v>
      </c>
      <c r="F5" s="71" t="s">
        <v>143</v>
      </c>
      <c r="G5" s="71" t="s">
        <v>146</v>
      </c>
      <c r="H5" s="71" t="s">
        <v>192</v>
      </c>
      <c r="I5" s="33" t="s">
        <v>188</v>
      </c>
      <c r="J5" s="94" t="s">
        <v>36</v>
      </c>
      <c r="K5" s="94" t="s">
        <v>117</v>
      </c>
      <c r="L5" s="94" t="s">
        <v>133</v>
      </c>
      <c r="M5" s="94" t="s">
        <v>138</v>
      </c>
    </row>
    <row r="6" spans="1:13">
      <c r="A6" s="72" t="s">
        <v>32</v>
      </c>
      <c r="B6" s="73"/>
      <c r="C6" s="73"/>
    </row>
    <row r="7" spans="1:13">
      <c r="A7" s="66" t="s">
        <v>22</v>
      </c>
      <c r="B7" s="74"/>
      <c r="C7" s="74"/>
      <c r="D7" s="74"/>
      <c r="E7" s="86">
        <v>7105</v>
      </c>
      <c r="F7" s="86">
        <f>7105+144</f>
        <v>7249</v>
      </c>
      <c r="G7" s="86">
        <f>7105+144</f>
        <v>7249</v>
      </c>
      <c r="H7" s="86">
        <v>7416</v>
      </c>
      <c r="I7" s="86">
        <v>7990</v>
      </c>
      <c r="J7" s="86">
        <v>2677</v>
      </c>
      <c r="K7" s="86">
        <f>2677+166-223</f>
        <v>2620</v>
      </c>
      <c r="L7" s="86">
        <f>2677+166-223+42</f>
        <v>2662</v>
      </c>
      <c r="M7" s="86">
        <f>2677+166-223+42</f>
        <v>2662</v>
      </c>
    </row>
    <row r="8" spans="1:13">
      <c r="A8" s="66" t="s">
        <v>23</v>
      </c>
      <c r="B8" s="74"/>
      <c r="C8" s="74"/>
      <c r="D8" s="74"/>
      <c r="E8" s="86">
        <v>1896</v>
      </c>
      <c r="F8" s="86">
        <f>1896+39</f>
        <v>1935</v>
      </c>
      <c r="G8" s="86">
        <f>1896+39</f>
        <v>1935</v>
      </c>
      <c r="H8" s="86">
        <v>1994</v>
      </c>
      <c r="I8" s="86">
        <v>2157</v>
      </c>
      <c r="J8" s="86">
        <v>720</v>
      </c>
      <c r="K8" s="86">
        <f>720+45-53</f>
        <v>712</v>
      </c>
      <c r="L8" s="86">
        <f>720+45-53</f>
        <v>712</v>
      </c>
      <c r="M8" s="86">
        <f>720+45-53</f>
        <v>712</v>
      </c>
    </row>
    <row r="9" spans="1:13">
      <c r="A9" s="66" t="s">
        <v>24</v>
      </c>
      <c r="B9" s="74"/>
      <c r="C9" s="74"/>
      <c r="D9" s="74"/>
      <c r="E9" s="86">
        <v>12989</v>
      </c>
      <c r="F9" s="86">
        <v>12989</v>
      </c>
      <c r="G9" s="86">
        <f>12989-2160-6199</f>
        <v>4630</v>
      </c>
      <c r="H9" s="86">
        <v>4630</v>
      </c>
      <c r="I9" s="86">
        <v>5414</v>
      </c>
      <c r="J9" s="86">
        <v>5931</v>
      </c>
      <c r="K9" s="86">
        <v>5931</v>
      </c>
      <c r="L9" s="86">
        <v>5931</v>
      </c>
      <c r="M9" s="86">
        <v>5931</v>
      </c>
    </row>
    <row r="10" spans="1:13">
      <c r="A10" s="87" t="s">
        <v>26</v>
      </c>
      <c r="B10" s="15">
        <f t="shared" ref="B10:J10" si="0">SUM(B7:B9)</f>
        <v>0</v>
      </c>
      <c r="C10" s="15">
        <f t="shared" si="0"/>
        <v>0</v>
      </c>
      <c r="D10" s="15">
        <f t="shared" si="0"/>
        <v>0</v>
      </c>
      <c r="E10" s="88">
        <f t="shared" si="0"/>
        <v>21990</v>
      </c>
      <c r="F10" s="88">
        <f t="shared" si="0"/>
        <v>22173</v>
      </c>
      <c r="G10" s="88">
        <f t="shared" si="0"/>
        <v>13814</v>
      </c>
      <c r="H10" s="88">
        <f t="shared" si="0"/>
        <v>14040</v>
      </c>
      <c r="I10" s="88">
        <f t="shared" si="0"/>
        <v>15561</v>
      </c>
      <c r="J10" s="88">
        <f t="shared" si="0"/>
        <v>9328</v>
      </c>
      <c r="K10" s="88">
        <f>SUM(K7:K9)</f>
        <v>9263</v>
      </c>
      <c r="L10" s="88">
        <f>SUM(L7:L9)</f>
        <v>9305</v>
      </c>
      <c r="M10" s="88">
        <f>SUM(M7:M9)</f>
        <v>9305</v>
      </c>
    </row>
    <row r="11" spans="1:13">
      <c r="A11" s="66"/>
      <c r="B11" s="74"/>
      <c r="C11" s="74"/>
      <c r="D11" s="74"/>
      <c r="E11" s="86"/>
      <c r="F11" s="86"/>
      <c r="G11" s="86"/>
      <c r="H11" s="86"/>
      <c r="I11" s="86"/>
    </row>
    <row r="12" spans="1:13">
      <c r="A12" s="72" t="s">
        <v>144</v>
      </c>
    </row>
    <row r="13" spans="1:13">
      <c r="A13" s="73" t="s">
        <v>24</v>
      </c>
      <c r="E13" s="86">
        <v>3334</v>
      </c>
      <c r="F13" s="14">
        <f>E13</f>
        <v>3334</v>
      </c>
      <c r="G13" s="14">
        <f>F13-500</f>
        <v>2834</v>
      </c>
      <c r="H13" s="14">
        <v>2834</v>
      </c>
      <c r="I13" s="14">
        <v>2002</v>
      </c>
      <c r="J13" s="14"/>
      <c r="K13" s="14"/>
      <c r="L13" s="14"/>
      <c r="M13" s="14"/>
    </row>
    <row r="14" spans="1:13">
      <c r="A14" s="87" t="s">
        <v>26</v>
      </c>
      <c r="E14" s="88">
        <f>E13</f>
        <v>3334</v>
      </c>
      <c r="F14" s="88">
        <f>E14</f>
        <v>3334</v>
      </c>
      <c r="G14" s="88">
        <f t="shared" ref="G14:L14" si="1">G13</f>
        <v>2834</v>
      </c>
      <c r="H14" s="88">
        <f t="shared" si="1"/>
        <v>2834</v>
      </c>
      <c r="I14" s="88">
        <f t="shared" si="1"/>
        <v>2002</v>
      </c>
      <c r="J14" s="88">
        <f t="shared" si="1"/>
        <v>0</v>
      </c>
      <c r="K14" s="88">
        <f t="shared" si="1"/>
        <v>0</v>
      </c>
      <c r="L14" s="88">
        <f t="shared" si="1"/>
        <v>0</v>
      </c>
      <c r="M14" s="88">
        <f>M13</f>
        <v>0</v>
      </c>
    </row>
    <row r="16" spans="1:13">
      <c r="A16" s="72" t="s">
        <v>51</v>
      </c>
      <c r="B16" s="77"/>
      <c r="C16" s="75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4">
      <c r="A17" s="66" t="s">
        <v>22</v>
      </c>
      <c r="B17" s="76"/>
      <c r="C17" s="74"/>
      <c r="D17" s="74"/>
      <c r="E17" s="74">
        <v>2293</v>
      </c>
      <c r="F17" s="74">
        <f>2293+59</f>
        <v>2352</v>
      </c>
      <c r="G17" s="74">
        <f>2293+59</f>
        <v>2352</v>
      </c>
      <c r="H17" s="74">
        <v>2410</v>
      </c>
      <c r="I17" s="74">
        <v>2434</v>
      </c>
      <c r="J17" s="74">
        <v>4615</v>
      </c>
      <c r="K17" s="74">
        <f>4615+50</f>
        <v>4665</v>
      </c>
      <c r="L17" s="74">
        <f>4615+50+50</f>
        <v>4715</v>
      </c>
      <c r="M17" s="74">
        <f>4615+50+50+50</f>
        <v>4765</v>
      </c>
    </row>
    <row r="18" spans="1:14">
      <c r="A18" s="66" t="s">
        <v>23</v>
      </c>
      <c r="B18" s="76"/>
      <c r="C18" s="74"/>
      <c r="D18" s="74"/>
      <c r="E18" s="74">
        <v>612</v>
      </c>
      <c r="F18" s="74">
        <f>612+16</f>
        <v>628</v>
      </c>
      <c r="G18" s="74">
        <f>612+16</f>
        <v>628</v>
      </c>
      <c r="H18" s="74">
        <v>644</v>
      </c>
      <c r="I18" s="74">
        <v>649</v>
      </c>
      <c r="J18" s="74">
        <v>1239</v>
      </c>
      <c r="K18" s="74">
        <f>1239+13</f>
        <v>1252</v>
      </c>
      <c r="L18" s="74">
        <f>1239+13+14</f>
        <v>1266</v>
      </c>
      <c r="M18" s="74">
        <f>1239+13+14+14</f>
        <v>1280</v>
      </c>
    </row>
    <row r="19" spans="1:14">
      <c r="A19" s="66" t="s">
        <v>24</v>
      </c>
      <c r="B19" s="76"/>
      <c r="C19" s="74"/>
      <c r="D19" s="74"/>
      <c r="E19" s="74">
        <v>3410</v>
      </c>
      <c r="F19" s="74">
        <v>3410</v>
      </c>
      <c r="G19" s="74">
        <f>3410-400</f>
        <v>3010</v>
      </c>
      <c r="H19" s="74">
        <v>3010</v>
      </c>
      <c r="I19" s="74">
        <v>2748</v>
      </c>
      <c r="J19" s="74">
        <v>2066</v>
      </c>
      <c r="K19" s="74">
        <v>2066</v>
      </c>
      <c r="L19" s="74">
        <v>2066</v>
      </c>
      <c r="M19" s="74">
        <f>2066+454</f>
        <v>2520</v>
      </c>
    </row>
    <row r="20" spans="1:14">
      <c r="A20" s="87" t="s">
        <v>26</v>
      </c>
      <c r="B20" s="78"/>
      <c r="C20" s="15"/>
      <c r="D20" s="15"/>
      <c r="E20" s="15">
        <f t="shared" ref="E20:J20" si="2">SUM(E17:E19)</f>
        <v>6315</v>
      </c>
      <c r="F20" s="15">
        <f t="shared" si="2"/>
        <v>6390</v>
      </c>
      <c r="G20" s="15">
        <f t="shared" si="2"/>
        <v>5990</v>
      </c>
      <c r="H20" s="15">
        <f t="shared" si="2"/>
        <v>6064</v>
      </c>
      <c r="I20" s="15">
        <f t="shared" si="2"/>
        <v>5831</v>
      </c>
      <c r="J20" s="15">
        <f t="shared" si="2"/>
        <v>7920</v>
      </c>
      <c r="K20" s="15">
        <f>SUM(K17:K19)</f>
        <v>7983</v>
      </c>
      <c r="L20" s="15">
        <f>SUM(L17:L19)</f>
        <v>8047</v>
      </c>
      <c r="M20" s="15">
        <f>SUM(M17:M19)</f>
        <v>8565</v>
      </c>
    </row>
    <row r="22" spans="1:14">
      <c r="A22" s="72" t="s">
        <v>141</v>
      </c>
    </row>
    <row r="23" spans="1:14">
      <c r="A23" s="66" t="s">
        <v>22</v>
      </c>
      <c r="E23" s="74">
        <v>10899</v>
      </c>
      <c r="F23" s="74">
        <f>10899+63</f>
        <v>10962</v>
      </c>
      <c r="G23" s="74">
        <f>10899+63</f>
        <v>10962</v>
      </c>
      <c r="H23" s="74">
        <v>11143</v>
      </c>
      <c r="I23" s="74">
        <v>8787</v>
      </c>
      <c r="J23" s="74">
        <v>9558</v>
      </c>
      <c r="K23" s="74">
        <f>9558+7</f>
        <v>9565</v>
      </c>
      <c r="L23" s="74">
        <v>9843</v>
      </c>
      <c r="M23" s="192">
        <f>9843+6</f>
        <v>9849</v>
      </c>
    </row>
    <row r="24" spans="1:14">
      <c r="A24" s="66" t="s">
        <v>23</v>
      </c>
      <c r="E24" s="74">
        <v>2931</v>
      </c>
      <c r="F24" s="74">
        <f>2931+17</f>
        <v>2948</v>
      </c>
      <c r="G24" s="74">
        <f>2931+17</f>
        <v>2948</v>
      </c>
      <c r="H24" s="74">
        <v>2983</v>
      </c>
      <c r="I24" s="74">
        <v>2314</v>
      </c>
      <c r="J24" s="74">
        <v>2578</v>
      </c>
      <c r="K24" s="74">
        <f>2578+2</f>
        <v>2580</v>
      </c>
      <c r="L24" s="74">
        <v>2666</v>
      </c>
      <c r="M24" s="192">
        <f>2666+2</f>
        <v>2668</v>
      </c>
    </row>
    <row r="25" spans="1:14">
      <c r="A25" s="66" t="s">
        <v>24</v>
      </c>
      <c r="E25" s="74">
        <v>23430</v>
      </c>
      <c r="F25" s="74">
        <v>23430</v>
      </c>
      <c r="G25" s="74">
        <v>19914</v>
      </c>
      <c r="H25" s="74">
        <v>19914</v>
      </c>
      <c r="I25" s="74">
        <v>16537</v>
      </c>
      <c r="J25" s="86">
        <v>1140</v>
      </c>
      <c r="K25" s="86">
        <v>1140</v>
      </c>
      <c r="L25" s="86">
        <v>1715</v>
      </c>
      <c r="M25" s="86">
        <v>1715</v>
      </c>
    </row>
    <row r="26" spans="1:14">
      <c r="A26" s="73" t="s">
        <v>30</v>
      </c>
      <c r="E26" s="74"/>
      <c r="F26" s="74"/>
      <c r="G26" s="74">
        <v>1076</v>
      </c>
      <c r="H26" s="74">
        <v>1076</v>
      </c>
      <c r="I26" s="74">
        <v>1076</v>
      </c>
      <c r="J26" s="119">
        <v>580</v>
      </c>
      <c r="K26" s="119">
        <v>580</v>
      </c>
      <c r="L26" s="119">
        <v>580</v>
      </c>
      <c r="M26" s="119">
        <v>580</v>
      </c>
    </row>
    <row r="27" spans="1:14">
      <c r="A27" s="87" t="s">
        <v>26</v>
      </c>
      <c r="E27" s="15">
        <f>SUM(E23:E25)</f>
        <v>37260</v>
      </c>
      <c r="F27" s="15">
        <f>SUM(F23:F25)</f>
        <v>37340</v>
      </c>
      <c r="G27" s="15">
        <f>SUM(G23:G25)</f>
        <v>33824</v>
      </c>
      <c r="H27" s="15">
        <f t="shared" ref="H27:M27" si="3">SUM(H23:H26)</f>
        <v>35116</v>
      </c>
      <c r="I27" s="15">
        <f t="shared" si="3"/>
        <v>28714</v>
      </c>
      <c r="J27" s="15">
        <f t="shared" si="3"/>
        <v>13856</v>
      </c>
      <c r="K27" s="15">
        <f t="shared" si="3"/>
        <v>13865</v>
      </c>
      <c r="L27" s="15">
        <f t="shared" si="3"/>
        <v>14804</v>
      </c>
      <c r="M27" s="15">
        <f t="shared" si="3"/>
        <v>14812</v>
      </c>
    </row>
    <row r="28" spans="1:14">
      <c r="A28" s="87"/>
    </row>
    <row r="29" spans="1:14">
      <c r="A29" s="87" t="s">
        <v>139</v>
      </c>
      <c r="E29" s="22">
        <f t="shared" ref="E29:J29" si="4">E10+E20+E27+E14</f>
        <v>68899</v>
      </c>
      <c r="F29" s="22">
        <f t="shared" si="4"/>
        <v>69237</v>
      </c>
      <c r="G29" s="22">
        <f t="shared" si="4"/>
        <v>56462</v>
      </c>
      <c r="H29" s="22">
        <f t="shared" si="4"/>
        <v>58054</v>
      </c>
      <c r="I29" s="22">
        <f t="shared" si="4"/>
        <v>52108</v>
      </c>
      <c r="J29" s="22">
        <f t="shared" si="4"/>
        <v>31104</v>
      </c>
      <c r="K29" s="22">
        <f>K10+K20+K27+K14</f>
        <v>31111</v>
      </c>
      <c r="L29" s="22">
        <f>L10+L20+L27+L14</f>
        <v>32156</v>
      </c>
      <c r="M29" s="22">
        <f>M10+M20+M27+M14</f>
        <v>32682</v>
      </c>
      <c r="N29" s="14"/>
    </row>
    <row r="30" spans="1:14">
      <c r="A30" s="66"/>
    </row>
    <row r="31" spans="1:14">
      <c r="A31" s="26"/>
      <c r="E31" s="22"/>
      <c r="F31" s="22"/>
      <c r="G31" s="22"/>
      <c r="H31" s="22"/>
      <c r="I31" s="22"/>
      <c r="J31" s="22"/>
      <c r="K31" s="22"/>
      <c r="L31" s="22"/>
      <c r="M31" s="22"/>
    </row>
    <row r="32" spans="1:14">
      <c r="A32" s="68"/>
      <c r="E32" s="22"/>
      <c r="F32" s="22"/>
      <c r="G32" s="22"/>
      <c r="H32" s="22"/>
      <c r="I32" s="22"/>
      <c r="J32" s="22"/>
      <c r="K32" s="22"/>
      <c r="L32" s="22"/>
      <c r="M32" s="22"/>
    </row>
    <row r="33" spans="1:13">
      <c r="A33" s="67"/>
      <c r="E33" s="22"/>
      <c r="F33" s="22"/>
      <c r="G33" s="22"/>
      <c r="H33" s="22"/>
      <c r="I33" s="22"/>
      <c r="J33" s="22"/>
      <c r="K33" s="22"/>
      <c r="L33" s="22"/>
      <c r="M33" s="22"/>
    </row>
    <row r="34" spans="1:13">
      <c r="A34" s="67"/>
      <c r="E34" s="22"/>
      <c r="F34" s="22"/>
      <c r="G34" s="22"/>
      <c r="H34" s="22"/>
      <c r="I34" s="22"/>
      <c r="J34" s="22"/>
      <c r="K34" s="22"/>
      <c r="L34" s="22"/>
      <c r="M34" s="22"/>
    </row>
    <row r="35" spans="1:13">
      <c r="A35" s="26"/>
      <c r="E35" s="22"/>
      <c r="F35" s="22"/>
      <c r="G35" s="22"/>
      <c r="H35" s="22"/>
      <c r="I35" s="22"/>
    </row>
  </sheetData>
  <mergeCells count="2">
    <mergeCell ref="A1:M1"/>
    <mergeCell ref="A2:M2"/>
  </mergeCells>
  <phoneticPr fontId="10" type="noConversion"/>
  <pageMargins left="0.78740157480314965" right="0.78740157480314965" top="0.74803149606299213" bottom="0.74803149606299213" header="0.31496062992125984" footer="0.31496062992125984"/>
  <pageSetup paperSize="9" scale="95" orientation="portrait" r:id="rId1"/>
  <headerFooter>
    <oddHeader>&amp;RI/b/3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86"/>
  <sheetViews>
    <sheetView workbookViewId="0">
      <selection activeCell="A2" sqref="A2:N2"/>
    </sheetView>
  </sheetViews>
  <sheetFormatPr defaultRowHeight="12.75"/>
  <cols>
    <col min="1" max="1" width="39.85546875" customWidth="1"/>
    <col min="2" max="2" width="11" hidden="1" customWidth="1"/>
    <col min="3" max="3" width="12.5703125" hidden="1" customWidth="1"/>
    <col min="4" max="4" width="12.5703125" style="14" hidden="1" customWidth="1"/>
    <col min="5" max="10" width="12.5703125" hidden="1" customWidth="1"/>
    <col min="11" max="14" width="13.7109375" bestFit="1" customWidth="1"/>
  </cols>
  <sheetData>
    <row r="1" spans="1:14" ht="15.75">
      <c r="A1" s="202" t="s">
        <v>96</v>
      </c>
      <c r="B1" s="202"/>
      <c r="C1" s="202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15.75">
      <c r="A2" s="202" t="s">
        <v>95</v>
      </c>
      <c r="B2" s="202"/>
      <c r="C2" s="202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ht="12" customHeight="1">
      <c r="A3" s="1"/>
      <c r="B3" s="36"/>
      <c r="C3" s="1"/>
    </row>
    <row r="4" spans="1:14" ht="18">
      <c r="A4" s="35" t="s">
        <v>244</v>
      </c>
      <c r="B4" s="36"/>
      <c r="G4" s="37" t="s">
        <v>29</v>
      </c>
      <c r="I4" s="37"/>
      <c r="J4" s="37"/>
      <c r="K4" s="37"/>
      <c r="L4" s="37"/>
      <c r="M4" s="37"/>
      <c r="N4" s="37" t="s">
        <v>29</v>
      </c>
    </row>
    <row r="5" spans="1:14" ht="15.75">
      <c r="A5" s="52"/>
      <c r="B5" s="53" t="s">
        <v>86</v>
      </c>
      <c r="C5" s="54" t="s">
        <v>80</v>
      </c>
      <c r="D5" s="54" t="s">
        <v>116</v>
      </c>
      <c r="E5" s="54" t="s">
        <v>116</v>
      </c>
      <c r="F5" s="54" t="s">
        <v>116</v>
      </c>
      <c r="G5" s="54" t="s">
        <v>116</v>
      </c>
      <c r="H5" s="54" t="s">
        <v>116</v>
      </c>
      <c r="I5" s="71" t="s">
        <v>82</v>
      </c>
      <c r="J5" s="33" t="s">
        <v>116</v>
      </c>
      <c r="K5" s="82" t="s">
        <v>151</v>
      </c>
      <c r="L5" s="82" t="s">
        <v>151</v>
      </c>
      <c r="M5" s="82" t="s">
        <v>151</v>
      </c>
      <c r="N5" s="82" t="s">
        <v>151</v>
      </c>
    </row>
    <row r="6" spans="1:14">
      <c r="A6" s="55"/>
      <c r="B6" s="54" t="s">
        <v>36</v>
      </c>
      <c r="C6" s="54" t="s">
        <v>36</v>
      </c>
      <c r="D6" s="54" t="s">
        <v>117</v>
      </c>
      <c r="E6" s="54" t="s">
        <v>133</v>
      </c>
      <c r="F6" s="54" t="s">
        <v>138</v>
      </c>
      <c r="G6" s="54" t="s">
        <v>143</v>
      </c>
      <c r="H6" s="54" t="s">
        <v>146</v>
      </c>
      <c r="I6" s="71" t="s">
        <v>193</v>
      </c>
      <c r="J6" s="33" t="s">
        <v>188</v>
      </c>
      <c r="K6" s="82" t="s">
        <v>36</v>
      </c>
      <c r="L6" s="82" t="s">
        <v>117</v>
      </c>
      <c r="M6" s="82" t="s">
        <v>133</v>
      </c>
      <c r="N6" s="82" t="s">
        <v>138</v>
      </c>
    </row>
    <row r="7" spans="1:14">
      <c r="A7" s="56" t="s">
        <v>97</v>
      </c>
      <c r="B7" s="39"/>
      <c r="C7" s="57"/>
      <c r="E7" s="14"/>
      <c r="F7" s="14"/>
      <c r="G7" s="14"/>
      <c r="H7" s="14"/>
      <c r="I7" s="14"/>
      <c r="J7" s="14"/>
    </row>
    <row r="8" spans="1:14">
      <c r="A8" s="55" t="s">
        <v>22</v>
      </c>
      <c r="B8" s="39"/>
      <c r="C8" s="57"/>
      <c r="E8" s="14"/>
      <c r="F8" s="14"/>
      <c r="G8" s="14"/>
      <c r="H8" s="14"/>
      <c r="I8" s="14"/>
      <c r="J8" s="14"/>
      <c r="K8" s="83">
        <v>16158</v>
      </c>
      <c r="L8" s="83">
        <f>16158+52+253+263</f>
        <v>16726</v>
      </c>
      <c r="M8" s="83">
        <f>16158+52+253+263</f>
        <v>16726</v>
      </c>
      <c r="N8" s="83">
        <f>16158+52+253+263</f>
        <v>16726</v>
      </c>
    </row>
    <row r="9" spans="1:14">
      <c r="A9" s="55" t="s">
        <v>23</v>
      </c>
      <c r="B9" s="39"/>
      <c r="C9" s="57"/>
      <c r="E9" s="14"/>
      <c r="F9" s="14"/>
      <c r="G9" s="14"/>
      <c r="H9" s="14"/>
      <c r="I9" s="14"/>
      <c r="J9" s="14"/>
      <c r="K9" s="83">
        <v>4410</v>
      </c>
      <c r="L9" s="83">
        <f>4410+63+49+31</f>
        <v>4553</v>
      </c>
      <c r="M9" s="83">
        <f>4410+63+49+31</f>
        <v>4553</v>
      </c>
      <c r="N9" s="83">
        <f>4410+63+49+31</f>
        <v>4553</v>
      </c>
    </row>
    <row r="10" spans="1:14">
      <c r="A10" s="55" t="s">
        <v>24</v>
      </c>
      <c r="B10" s="57">
        <v>79183</v>
      </c>
      <c r="C10" s="57">
        <v>70180</v>
      </c>
      <c r="D10" s="83">
        <v>71180</v>
      </c>
      <c r="E10" s="83">
        <v>71180</v>
      </c>
      <c r="F10" s="83">
        <v>71180</v>
      </c>
      <c r="G10" s="83">
        <v>71180</v>
      </c>
      <c r="H10" s="83">
        <f>71180+1176+403-1000</f>
        <v>71759</v>
      </c>
      <c r="I10" s="83">
        <v>78805</v>
      </c>
      <c r="J10" s="83">
        <v>81562</v>
      </c>
      <c r="K10" s="83">
        <v>127885</v>
      </c>
      <c r="L10" s="83">
        <f>127885-5774-4000-460-124</f>
        <v>117527</v>
      </c>
      <c r="M10" s="83">
        <f>127885-5774-4000-460-124+8208+832+909+245</f>
        <v>127721</v>
      </c>
      <c r="N10" s="83">
        <f>127885-5774-4000-460-124+8208+832+909+245</f>
        <v>127721</v>
      </c>
    </row>
    <row r="11" spans="1:14">
      <c r="A11" s="55" t="s">
        <v>98</v>
      </c>
      <c r="B11" s="57">
        <v>113530</v>
      </c>
      <c r="C11" s="57">
        <v>117480</v>
      </c>
      <c r="D11" s="83">
        <v>117480</v>
      </c>
      <c r="E11" s="83">
        <v>117480</v>
      </c>
      <c r="F11" s="83">
        <v>117480</v>
      </c>
      <c r="G11" s="83">
        <v>117480</v>
      </c>
      <c r="H11" s="83">
        <v>117480</v>
      </c>
      <c r="I11" s="83">
        <v>117480</v>
      </c>
      <c r="J11" s="83">
        <v>117480</v>
      </c>
      <c r="K11" s="83">
        <v>0</v>
      </c>
      <c r="L11" s="83">
        <v>0</v>
      </c>
      <c r="M11" s="83">
        <v>0</v>
      </c>
      <c r="N11" s="83">
        <v>0</v>
      </c>
    </row>
    <row r="12" spans="1:14">
      <c r="A12" s="51" t="s">
        <v>112</v>
      </c>
      <c r="B12" s="57"/>
      <c r="C12" s="57">
        <v>44000</v>
      </c>
      <c r="D12" s="14">
        <v>49400</v>
      </c>
      <c r="E12" s="14">
        <v>49400</v>
      </c>
      <c r="F12" s="14">
        <f>49400+4500</f>
        <v>53900</v>
      </c>
      <c r="G12" s="14">
        <f>49400+4500</f>
        <v>53900</v>
      </c>
      <c r="H12" s="14">
        <f>G12-3000</f>
        <v>50900</v>
      </c>
      <c r="I12" s="14">
        <v>50900</v>
      </c>
      <c r="J12" s="14">
        <v>49743</v>
      </c>
      <c r="K12" s="14">
        <v>15000</v>
      </c>
      <c r="L12" s="14">
        <v>15000</v>
      </c>
      <c r="M12" s="14">
        <v>15000</v>
      </c>
      <c r="N12" s="14">
        <v>15000</v>
      </c>
    </row>
    <row r="13" spans="1:14">
      <c r="A13" s="51" t="s">
        <v>99</v>
      </c>
      <c r="B13" s="57"/>
      <c r="C13" s="57">
        <v>29878</v>
      </c>
      <c r="D13" s="14">
        <v>15829</v>
      </c>
      <c r="E13" s="14">
        <v>10827</v>
      </c>
      <c r="F13" s="14">
        <v>13415</v>
      </c>
      <c r="G13" s="14">
        <f>13415-6395</f>
        <v>7020</v>
      </c>
      <c r="H13" s="14">
        <v>1341</v>
      </c>
      <c r="I13" s="14"/>
      <c r="J13" s="14"/>
      <c r="K13" s="14">
        <v>30000</v>
      </c>
      <c r="L13" s="14">
        <f>30000-460-1000-310-435</f>
        <v>27795</v>
      </c>
      <c r="M13" s="14">
        <f ca="1">Tartalék!J19</f>
        <v>2480</v>
      </c>
      <c r="N13" s="14">
        <f ca="1">Tartalék!K19</f>
        <v>3821</v>
      </c>
    </row>
    <row r="14" spans="1:14">
      <c r="A14" s="120" t="s">
        <v>230</v>
      </c>
      <c r="B14" s="57"/>
      <c r="C14" s="57"/>
      <c r="E14" s="14"/>
      <c r="F14" s="14"/>
      <c r="G14" s="14"/>
      <c r="H14" s="14">
        <v>100</v>
      </c>
      <c r="I14" s="14"/>
      <c r="J14" s="14"/>
    </row>
    <row r="15" spans="1:14">
      <c r="A15" s="55" t="s">
        <v>26</v>
      </c>
      <c r="B15" s="24">
        <v>192713</v>
      </c>
      <c r="C15" s="24">
        <f t="shared" ref="C15:J15" si="0">SUM(C10:C13)</f>
        <v>261538</v>
      </c>
      <c r="D15" s="24">
        <f t="shared" si="0"/>
        <v>253889</v>
      </c>
      <c r="E15" s="24">
        <f t="shared" si="0"/>
        <v>248887</v>
      </c>
      <c r="F15" s="24">
        <f t="shared" si="0"/>
        <v>255975</v>
      </c>
      <c r="G15" s="24">
        <f t="shared" si="0"/>
        <v>249580</v>
      </c>
      <c r="H15" s="24">
        <f t="shared" si="0"/>
        <v>241480</v>
      </c>
      <c r="I15" s="24">
        <f t="shared" si="0"/>
        <v>247185</v>
      </c>
      <c r="J15" s="24">
        <f t="shared" si="0"/>
        <v>248785</v>
      </c>
      <c r="K15" s="24">
        <f>SUM(K8:K13)</f>
        <v>193453</v>
      </c>
      <c r="L15" s="24">
        <f>SUM(L8:L13)</f>
        <v>181601</v>
      </c>
      <c r="M15" s="24">
        <f>SUM(M8:M13)</f>
        <v>166480</v>
      </c>
      <c r="N15" s="24">
        <f>SUM(N8:N13)</f>
        <v>167821</v>
      </c>
    </row>
    <row r="16" spans="1:14">
      <c r="A16" s="55"/>
      <c r="B16" s="24"/>
      <c r="C16" s="57"/>
      <c r="E16" s="14"/>
      <c r="F16" s="14"/>
      <c r="G16" s="14"/>
      <c r="H16" s="14"/>
      <c r="I16" s="14"/>
      <c r="J16" s="14"/>
    </row>
    <row r="17" spans="1:14">
      <c r="A17" s="61"/>
      <c r="B17" s="63"/>
      <c r="C17" s="57"/>
      <c r="E17" s="14"/>
      <c r="F17" s="14"/>
      <c r="G17" s="14"/>
      <c r="H17" s="14"/>
      <c r="I17" s="14"/>
      <c r="J17" s="14"/>
    </row>
    <row r="18" spans="1:14">
      <c r="A18" s="56" t="s">
        <v>111</v>
      </c>
      <c r="B18" s="63"/>
      <c r="C18" s="57"/>
      <c r="E18" s="14"/>
      <c r="F18" s="14"/>
      <c r="G18" s="14"/>
      <c r="H18" s="14"/>
      <c r="I18" s="14"/>
      <c r="J18" s="14"/>
    </row>
    <row r="19" spans="1:14">
      <c r="A19" s="51" t="s">
        <v>102</v>
      </c>
      <c r="B19" s="57">
        <v>74650</v>
      </c>
      <c r="C19" s="57">
        <v>21890</v>
      </c>
      <c r="D19" s="57">
        <v>22290</v>
      </c>
      <c r="E19" s="57">
        <v>22290</v>
      </c>
      <c r="F19" s="57">
        <v>22290</v>
      </c>
      <c r="G19" s="57">
        <v>22290</v>
      </c>
      <c r="H19" s="57">
        <v>22290</v>
      </c>
      <c r="I19" s="57">
        <v>22290</v>
      </c>
      <c r="J19" s="57">
        <v>20581</v>
      </c>
      <c r="K19" s="83">
        <v>21590</v>
      </c>
      <c r="L19" s="83">
        <f>21590+600+460+1000</f>
        <v>23650</v>
      </c>
      <c r="M19" s="83">
        <f>21590+600+460+1000</f>
        <v>23650</v>
      </c>
      <c r="N19" s="83">
        <f>21590+600+460+1000+400+2900+100</f>
        <v>27050</v>
      </c>
    </row>
    <row r="20" spans="1:14">
      <c r="A20" s="51" t="s">
        <v>103</v>
      </c>
      <c r="B20" s="57">
        <v>4900</v>
      </c>
      <c r="C20" s="57">
        <v>4810</v>
      </c>
      <c r="D20" s="57">
        <v>4810</v>
      </c>
      <c r="E20" s="57">
        <v>4810</v>
      </c>
      <c r="F20" s="57">
        <v>4810</v>
      </c>
      <c r="G20" s="57">
        <v>4810</v>
      </c>
      <c r="H20" s="57">
        <f>4810-200</f>
        <v>4610</v>
      </c>
      <c r="I20" s="57">
        <v>4610</v>
      </c>
      <c r="J20" s="57">
        <v>6323</v>
      </c>
      <c r="K20" s="83">
        <v>7210</v>
      </c>
      <c r="L20" s="83">
        <f>7210-600</f>
        <v>6610</v>
      </c>
      <c r="M20" s="83">
        <f>7210-600</f>
        <v>6610</v>
      </c>
      <c r="N20" s="83">
        <f>7210-600+400+180</f>
        <v>7190</v>
      </c>
    </row>
    <row r="21" spans="1:14">
      <c r="A21" s="51" t="s">
        <v>26</v>
      </c>
      <c r="B21" s="63">
        <v>79550</v>
      </c>
      <c r="C21" s="63">
        <f t="shared" ref="C21:K21" si="1">SUM(C19:C20)</f>
        <v>26700</v>
      </c>
      <c r="D21" s="63">
        <f t="shared" si="1"/>
        <v>27100</v>
      </c>
      <c r="E21" s="63">
        <f t="shared" si="1"/>
        <v>27100</v>
      </c>
      <c r="F21" s="63">
        <f t="shared" si="1"/>
        <v>27100</v>
      </c>
      <c r="G21" s="63">
        <f t="shared" si="1"/>
        <v>27100</v>
      </c>
      <c r="H21" s="63">
        <f t="shared" si="1"/>
        <v>26900</v>
      </c>
      <c r="I21" s="63">
        <f t="shared" si="1"/>
        <v>26900</v>
      </c>
      <c r="J21" s="63">
        <f t="shared" si="1"/>
        <v>26904</v>
      </c>
      <c r="K21" s="63">
        <f t="shared" si="1"/>
        <v>28800</v>
      </c>
      <c r="L21" s="63">
        <f>SUM(L19:L20)</f>
        <v>30260</v>
      </c>
      <c r="M21" s="63">
        <f>SUM(M19:M20)</f>
        <v>30260</v>
      </c>
      <c r="N21" s="63">
        <f>SUM(N19:N20)</f>
        <v>34240</v>
      </c>
    </row>
    <row r="22" spans="1:14">
      <c r="A22" s="51"/>
      <c r="B22" s="39"/>
      <c r="C22" s="57"/>
      <c r="D22" s="57"/>
      <c r="E22" s="57"/>
      <c r="F22" s="57"/>
      <c r="G22" s="57"/>
      <c r="H22" s="57"/>
      <c r="I22" s="57"/>
      <c r="J22" s="57"/>
    </row>
    <row r="23" spans="1:14">
      <c r="A23" s="56" t="s">
        <v>104</v>
      </c>
      <c r="B23" s="39"/>
      <c r="C23" s="57"/>
      <c r="D23" s="57"/>
      <c r="E23" s="57"/>
      <c r="F23" s="57"/>
      <c r="G23" s="57"/>
      <c r="H23" s="57"/>
      <c r="I23" s="57"/>
      <c r="J23" s="57"/>
    </row>
    <row r="24" spans="1:14">
      <c r="A24" s="55" t="s">
        <v>24</v>
      </c>
      <c r="B24" s="57">
        <v>25000</v>
      </c>
      <c r="C24" s="57">
        <v>25400</v>
      </c>
      <c r="D24" s="57">
        <v>25400</v>
      </c>
      <c r="E24" s="57">
        <v>25400</v>
      </c>
      <c r="F24" s="57">
        <v>25400</v>
      </c>
      <c r="G24" s="57">
        <v>25400</v>
      </c>
      <c r="H24" s="57">
        <f>25400-7000-1890</f>
        <v>16510</v>
      </c>
      <c r="I24" s="57">
        <v>16510</v>
      </c>
      <c r="J24" s="57">
        <v>15398</v>
      </c>
      <c r="K24" s="83">
        <v>11710</v>
      </c>
      <c r="L24" s="83">
        <v>11710</v>
      </c>
      <c r="M24" s="83">
        <v>11710</v>
      </c>
      <c r="N24" s="83">
        <v>11710</v>
      </c>
    </row>
    <row r="25" spans="1:14">
      <c r="A25" s="55" t="s">
        <v>26</v>
      </c>
      <c r="B25" s="24">
        <v>25000</v>
      </c>
      <c r="C25" s="60">
        <v>25400</v>
      </c>
      <c r="D25" s="60">
        <v>25400</v>
      </c>
      <c r="E25" s="60">
        <v>25400</v>
      </c>
      <c r="F25" s="60">
        <v>25400</v>
      </c>
      <c r="G25" s="60">
        <v>25400</v>
      </c>
      <c r="H25" s="60">
        <f t="shared" ref="H25:M25" si="2">H24</f>
        <v>16510</v>
      </c>
      <c r="I25" s="60">
        <f t="shared" si="2"/>
        <v>16510</v>
      </c>
      <c r="J25" s="60">
        <f t="shared" si="2"/>
        <v>15398</v>
      </c>
      <c r="K25" s="60">
        <f t="shared" si="2"/>
        <v>11710</v>
      </c>
      <c r="L25" s="60">
        <f t="shared" si="2"/>
        <v>11710</v>
      </c>
      <c r="M25" s="60">
        <f t="shared" si="2"/>
        <v>11710</v>
      </c>
      <c r="N25" s="60">
        <f>N24</f>
        <v>11710</v>
      </c>
    </row>
    <row r="26" spans="1:14">
      <c r="A26" s="55"/>
      <c r="B26" s="39"/>
      <c r="C26" s="57"/>
      <c r="D26" s="57"/>
      <c r="E26" s="57"/>
      <c r="F26" s="57"/>
      <c r="G26" s="57"/>
      <c r="H26" s="57"/>
      <c r="I26" s="57"/>
      <c r="J26" s="57"/>
    </row>
    <row r="27" spans="1:14">
      <c r="A27" s="56" t="s">
        <v>105</v>
      </c>
      <c r="B27" s="39"/>
      <c r="C27" s="57"/>
      <c r="D27" s="57"/>
      <c r="E27" s="57"/>
      <c r="F27" s="57"/>
      <c r="G27" s="57"/>
      <c r="H27" s="57"/>
      <c r="I27" s="57"/>
      <c r="J27" s="57"/>
    </row>
    <row r="28" spans="1:14">
      <c r="A28" s="55" t="s">
        <v>25</v>
      </c>
      <c r="B28" s="57">
        <v>12360</v>
      </c>
      <c r="C28" s="69">
        <v>12360</v>
      </c>
      <c r="D28" s="69">
        <v>12360</v>
      </c>
      <c r="E28" s="69">
        <v>12360</v>
      </c>
      <c r="F28" s="69">
        <v>12360</v>
      </c>
      <c r="G28" s="69">
        <v>12360</v>
      </c>
      <c r="H28" s="69">
        <v>12360</v>
      </c>
      <c r="I28" s="69">
        <v>12360</v>
      </c>
      <c r="J28" s="69">
        <v>11376</v>
      </c>
      <c r="K28" s="95">
        <v>14000</v>
      </c>
      <c r="L28" s="95">
        <v>14000</v>
      </c>
      <c r="M28" s="95">
        <v>14000</v>
      </c>
      <c r="N28" s="95">
        <v>14000</v>
      </c>
    </row>
    <row r="29" spans="1:14">
      <c r="A29" s="55" t="s">
        <v>26</v>
      </c>
      <c r="B29" s="24">
        <v>12360</v>
      </c>
      <c r="C29" s="24">
        <v>12360</v>
      </c>
      <c r="D29" s="24">
        <v>12360</v>
      </c>
      <c r="E29" s="24">
        <v>12360</v>
      </c>
      <c r="F29" s="24">
        <v>12360</v>
      </c>
      <c r="G29" s="24">
        <v>12360</v>
      </c>
      <c r="H29" s="24">
        <v>12360</v>
      </c>
      <c r="I29" s="24">
        <v>12360</v>
      </c>
      <c r="J29" s="24">
        <v>11376</v>
      </c>
      <c r="K29" s="24">
        <v>14000</v>
      </c>
      <c r="L29" s="24">
        <v>14000</v>
      </c>
      <c r="M29" s="24">
        <v>14000</v>
      </c>
      <c r="N29" s="24">
        <v>14000</v>
      </c>
    </row>
    <row r="30" spans="1:14">
      <c r="A30" s="55"/>
      <c r="B30" s="57"/>
      <c r="C30" s="57"/>
      <c r="D30" s="57"/>
      <c r="E30" s="57"/>
      <c r="F30" s="57"/>
      <c r="G30" s="57"/>
      <c r="H30" s="57"/>
      <c r="I30" s="57"/>
      <c r="J30" s="57"/>
    </row>
    <row r="31" spans="1:14">
      <c r="A31" s="56" t="s">
        <v>27</v>
      </c>
      <c r="B31" s="39"/>
      <c r="C31" s="57"/>
      <c r="D31" s="57"/>
      <c r="E31" s="57"/>
      <c r="F31" s="57"/>
      <c r="G31" s="57"/>
      <c r="H31" s="57"/>
      <c r="I31" s="57"/>
      <c r="J31" s="57"/>
    </row>
    <row r="32" spans="1:14">
      <c r="A32" s="55" t="s">
        <v>22</v>
      </c>
      <c r="B32" s="57">
        <v>7578</v>
      </c>
      <c r="C32" s="57">
        <v>7872</v>
      </c>
      <c r="D32" s="57">
        <v>9039</v>
      </c>
      <c r="E32" s="57">
        <f>9277-8</f>
        <v>9269</v>
      </c>
      <c r="F32" s="57">
        <f>9277-8</f>
        <v>9269</v>
      </c>
      <c r="G32" s="57">
        <f>9277-8+248</f>
        <v>9517</v>
      </c>
      <c r="H32" s="57">
        <f>G32-630</f>
        <v>8887</v>
      </c>
      <c r="I32" s="57">
        <v>8987</v>
      </c>
      <c r="J32" s="57">
        <v>7105</v>
      </c>
      <c r="K32" s="57">
        <v>8323</v>
      </c>
      <c r="L32" s="57">
        <f>8323+52</f>
        <v>8375</v>
      </c>
      <c r="M32" s="57">
        <f>8323+52+122</f>
        <v>8497</v>
      </c>
      <c r="N32" s="57">
        <f>8323+52+122+143</f>
        <v>8640</v>
      </c>
    </row>
    <row r="33" spans="1:14">
      <c r="A33" s="55" t="s">
        <v>23</v>
      </c>
      <c r="B33" s="57">
        <v>2007</v>
      </c>
      <c r="C33" s="57">
        <v>2056</v>
      </c>
      <c r="D33" s="57">
        <v>2357</v>
      </c>
      <c r="E33" s="57">
        <f>2357+57+8</f>
        <v>2422</v>
      </c>
      <c r="F33" s="57">
        <f>2357+57+8</f>
        <v>2422</v>
      </c>
      <c r="G33" s="57">
        <f>2357+57+8+66</f>
        <v>2488</v>
      </c>
      <c r="H33" s="57">
        <f>G33-170</f>
        <v>2318</v>
      </c>
      <c r="I33" s="57">
        <v>2345</v>
      </c>
      <c r="J33" s="57">
        <v>1960</v>
      </c>
      <c r="K33" s="57">
        <v>2165</v>
      </c>
      <c r="L33" s="57">
        <f>2165+14</f>
        <v>2179</v>
      </c>
      <c r="M33" s="57">
        <f>2165+14+32</f>
        <v>2211</v>
      </c>
      <c r="N33" s="57">
        <f>2165+14+32+38</f>
        <v>2249</v>
      </c>
    </row>
    <row r="34" spans="1:14">
      <c r="A34" s="55" t="s">
        <v>24</v>
      </c>
      <c r="B34" s="57">
        <v>1330</v>
      </c>
      <c r="C34" s="57">
        <v>1465</v>
      </c>
      <c r="D34" s="57">
        <v>1505</v>
      </c>
      <c r="E34" s="57">
        <v>1505</v>
      </c>
      <c r="F34" s="57">
        <v>1505</v>
      </c>
      <c r="G34" s="57">
        <v>1505</v>
      </c>
      <c r="H34" s="57">
        <v>1505</v>
      </c>
      <c r="I34" s="57">
        <v>1505</v>
      </c>
      <c r="J34" s="57">
        <v>1311</v>
      </c>
      <c r="K34" s="83">
        <v>1163</v>
      </c>
      <c r="L34" s="83">
        <v>1163</v>
      </c>
      <c r="M34" s="83">
        <v>1163</v>
      </c>
      <c r="N34" s="83">
        <v>1163</v>
      </c>
    </row>
    <row r="35" spans="1:14">
      <c r="A35" s="55" t="s">
        <v>26</v>
      </c>
      <c r="B35" s="24">
        <v>10915</v>
      </c>
      <c r="C35" s="24">
        <v>11393</v>
      </c>
      <c r="D35" s="24">
        <f t="shared" ref="D35:K35" si="3">SUM(D32:D34)</f>
        <v>12901</v>
      </c>
      <c r="E35" s="24">
        <f t="shared" si="3"/>
        <v>13196</v>
      </c>
      <c r="F35" s="24">
        <f t="shared" si="3"/>
        <v>13196</v>
      </c>
      <c r="G35" s="24">
        <f t="shared" si="3"/>
        <v>13510</v>
      </c>
      <c r="H35" s="24">
        <f t="shared" si="3"/>
        <v>12710</v>
      </c>
      <c r="I35" s="24">
        <f t="shared" si="3"/>
        <v>12837</v>
      </c>
      <c r="J35" s="24">
        <f t="shared" si="3"/>
        <v>10376</v>
      </c>
      <c r="K35" s="24">
        <f t="shared" si="3"/>
        <v>11651</v>
      </c>
      <c r="L35" s="24">
        <f>SUM(L32:L34)</f>
        <v>11717</v>
      </c>
      <c r="M35" s="24">
        <f>SUM(M32:M34)</f>
        <v>11871</v>
      </c>
      <c r="N35" s="24">
        <f>SUM(N32:N34)</f>
        <v>12052</v>
      </c>
    </row>
    <row r="36" spans="1:14">
      <c r="A36" s="55"/>
      <c r="B36" s="57"/>
      <c r="C36" s="57"/>
      <c r="D36" s="57"/>
      <c r="E36" s="57"/>
      <c r="F36" s="57"/>
      <c r="G36" s="57"/>
      <c r="H36" s="57"/>
      <c r="I36" s="57"/>
      <c r="J36" s="57"/>
    </row>
    <row r="37" spans="1:14">
      <c r="A37" s="56" t="s">
        <v>76</v>
      </c>
      <c r="B37" s="24"/>
      <c r="C37" s="57"/>
      <c r="D37" s="57"/>
      <c r="E37" s="57"/>
      <c r="F37" s="57"/>
      <c r="G37" s="57"/>
      <c r="H37" s="57"/>
      <c r="I37" s="57"/>
      <c r="J37" s="57"/>
    </row>
    <row r="38" spans="1:14">
      <c r="A38" s="55" t="s">
        <v>64</v>
      </c>
      <c r="B38" s="57">
        <v>5100</v>
      </c>
      <c r="C38" s="57">
        <v>4500</v>
      </c>
      <c r="D38" s="57">
        <v>4500</v>
      </c>
      <c r="E38" s="57">
        <v>4500</v>
      </c>
      <c r="F38" s="57">
        <v>4500</v>
      </c>
      <c r="G38" s="57">
        <v>4500</v>
      </c>
      <c r="H38" s="57">
        <v>4500</v>
      </c>
      <c r="I38" s="57">
        <v>4500</v>
      </c>
      <c r="J38" s="57">
        <v>4012</v>
      </c>
      <c r="K38" s="98">
        <v>4500</v>
      </c>
      <c r="L38" s="98">
        <v>4500</v>
      </c>
      <c r="M38" s="98">
        <v>4500</v>
      </c>
      <c r="N38" s="98">
        <v>4500</v>
      </c>
    </row>
    <row r="39" spans="1:14">
      <c r="A39" s="55" t="s">
        <v>100</v>
      </c>
      <c r="B39" s="57">
        <v>1400</v>
      </c>
      <c r="C39" s="57">
        <v>1215</v>
      </c>
      <c r="D39" s="57">
        <v>1215</v>
      </c>
      <c r="E39" s="57">
        <v>1215</v>
      </c>
      <c r="F39" s="57">
        <v>1215</v>
      </c>
      <c r="G39" s="57">
        <v>1215</v>
      </c>
      <c r="H39" s="57">
        <v>1215</v>
      </c>
      <c r="I39" s="57">
        <v>1215</v>
      </c>
      <c r="J39" s="57">
        <v>582</v>
      </c>
      <c r="K39" s="98">
        <v>1215</v>
      </c>
      <c r="L39" s="98">
        <v>1215</v>
      </c>
      <c r="M39" s="98">
        <v>1215</v>
      </c>
      <c r="N39" s="98">
        <v>1215</v>
      </c>
    </row>
    <row r="40" spans="1:14">
      <c r="A40" s="55" t="s">
        <v>24</v>
      </c>
      <c r="B40" s="57">
        <v>188</v>
      </c>
      <c r="C40" s="57">
        <v>70</v>
      </c>
      <c r="D40" s="57">
        <v>70</v>
      </c>
      <c r="E40" s="57">
        <v>70</v>
      </c>
      <c r="F40" s="57">
        <v>70</v>
      </c>
      <c r="G40" s="57">
        <v>70</v>
      </c>
      <c r="H40" s="57">
        <v>70</v>
      </c>
      <c r="I40" s="57"/>
      <c r="J40" s="57"/>
      <c r="K40" s="98">
        <v>0</v>
      </c>
      <c r="L40" s="98">
        <v>0</v>
      </c>
      <c r="M40" s="98">
        <v>0</v>
      </c>
      <c r="N40" s="98">
        <v>0</v>
      </c>
    </row>
    <row r="41" spans="1:14">
      <c r="A41" s="51" t="s">
        <v>101</v>
      </c>
      <c r="B41" s="63">
        <v>6688</v>
      </c>
      <c r="C41" s="63">
        <f t="shared" ref="C41:K41" si="4">SUM(C38:C40)</f>
        <v>5785</v>
      </c>
      <c r="D41" s="63">
        <f t="shared" si="4"/>
        <v>5785</v>
      </c>
      <c r="E41" s="63">
        <f t="shared" si="4"/>
        <v>5785</v>
      </c>
      <c r="F41" s="63">
        <f t="shared" si="4"/>
        <v>5785</v>
      </c>
      <c r="G41" s="63">
        <f t="shared" si="4"/>
        <v>5785</v>
      </c>
      <c r="H41" s="63">
        <f t="shared" si="4"/>
        <v>5785</v>
      </c>
      <c r="I41" s="63">
        <f t="shared" si="4"/>
        <v>5715</v>
      </c>
      <c r="J41" s="63">
        <f t="shared" si="4"/>
        <v>4594</v>
      </c>
      <c r="K41" s="63">
        <f t="shared" si="4"/>
        <v>5715</v>
      </c>
      <c r="L41" s="63">
        <f>SUM(L38:L40)</f>
        <v>5715</v>
      </c>
      <c r="M41" s="63">
        <f>SUM(M38:M40)</f>
        <v>5715</v>
      </c>
      <c r="N41" s="63">
        <f>SUM(N38:N40)</f>
        <v>5715</v>
      </c>
    </row>
    <row r="42" spans="1:14">
      <c r="A42" s="51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>
      <c r="A43" s="56" t="s">
        <v>194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>
      <c r="A44" s="55" t="s">
        <v>64</v>
      </c>
      <c r="B44" s="63"/>
      <c r="C44" s="63"/>
      <c r="D44" s="63"/>
      <c r="E44" s="63"/>
      <c r="F44" s="63"/>
      <c r="G44" s="63"/>
      <c r="H44" s="63"/>
      <c r="I44" s="63"/>
      <c r="J44" s="63"/>
      <c r="K44" s="57">
        <v>1661</v>
      </c>
      <c r="L44" s="57">
        <f>1661+24</f>
        <v>1685</v>
      </c>
      <c r="M44" s="57">
        <f>1661+24+36</f>
        <v>1721</v>
      </c>
      <c r="N44" s="57">
        <f>1661+24+36+36</f>
        <v>1757</v>
      </c>
    </row>
    <row r="45" spans="1:14">
      <c r="A45" s="55" t="s">
        <v>100</v>
      </c>
      <c r="B45" s="63"/>
      <c r="C45" s="63"/>
      <c r="D45" s="63"/>
      <c r="E45" s="63"/>
      <c r="F45" s="63"/>
      <c r="G45" s="63"/>
      <c r="H45" s="63"/>
      <c r="I45" s="63"/>
      <c r="J45" s="63"/>
      <c r="K45" s="57">
        <v>452</v>
      </c>
      <c r="L45" s="57">
        <f>452+6</f>
        <v>458</v>
      </c>
      <c r="M45" s="57">
        <f>452+6+10</f>
        <v>468</v>
      </c>
      <c r="N45" s="57">
        <f>452+6+10+10</f>
        <v>478</v>
      </c>
    </row>
    <row r="46" spans="1:14">
      <c r="A46" s="55" t="s">
        <v>24</v>
      </c>
      <c r="B46" s="63"/>
      <c r="C46" s="63"/>
      <c r="D46" s="63"/>
      <c r="E46" s="63"/>
      <c r="F46" s="63"/>
      <c r="G46" s="63"/>
      <c r="H46" s="63"/>
      <c r="I46" s="63"/>
      <c r="J46" s="63"/>
      <c r="K46" s="57">
        <v>32</v>
      </c>
      <c r="L46" s="57">
        <v>32</v>
      </c>
      <c r="M46" s="57">
        <v>32</v>
      </c>
      <c r="N46" s="57">
        <v>32</v>
      </c>
    </row>
    <row r="47" spans="1:14">
      <c r="A47" s="51" t="s">
        <v>101</v>
      </c>
      <c r="B47" s="63"/>
      <c r="C47" s="63"/>
      <c r="D47" s="63"/>
      <c r="E47" s="63"/>
      <c r="F47" s="63"/>
      <c r="G47" s="63"/>
      <c r="H47" s="63"/>
      <c r="I47" s="63"/>
      <c r="J47" s="63"/>
      <c r="K47" s="63">
        <f>SUM(K44:K46)</f>
        <v>2145</v>
      </c>
      <c r="L47" s="63">
        <f>SUM(L44:L46)</f>
        <v>2175</v>
      </c>
      <c r="M47" s="63">
        <f>SUM(M44:M46)</f>
        <v>2221</v>
      </c>
      <c r="N47" s="63">
        <f>SUM(N44:N46)</f>
        <v>2267</v>
      </c>
    </row>
    <row r="48" spans="1:14">
      <c r="A48" s="5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>
      <c r="A49" s="56" t="s">
        <v>195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>
      <c r="A50" s="55" t="s">
        <v>64</v>
      </c>
      <c r="B50" s="63"/>
      <c r="C50" s="63"/>
      <c r="D50" s="63"/>
      <c r="E50" s="63"/>
      <c r="F50" s="63"/>
      <c r="G50" s="63"/>
      <c r="H50" s="63"/>
      <c r="I50" s="63"/>
      <c r="J50" s="63"/>
      <c r="K50" s="57">
        <v>7951</v>
      </c>
      <c r="L50" s="57">
        <f>7951+21</f>
        <v>7972</v>
      </c>
      <c r="M50" s="57">
        <f>7951+21+62</f>
        <v>8034</v>
      </c>
      <c r="N50" s="57">
        <f>7951+21+62+95</f>
        <v>8129</v>
      </c>
    </row>
    <row r="51" spans="1:14">
      <c r="A51" s="55" t="s">
        <v>100</v>
      </c>
      <c r="B51" s="63"/>
      <c r="C51" s="63"/>
      <c r="D51" s="63"/>
      <c r="E51" s="63"/>
      <c r="F51" s="63"/>
      <c r="G51" s="63"/>
      <c r="H51" s="63"/>
      <c r="I51" s="63"/>
      <c r="J51" s="63"/>
      <c r="K51" s="57">
        <v>2118</v>
      </c>
      <c r="L51" s="57">
        <f>2118+6</f>
        <v>2124</v>
      </c>
      <c r="M51" s="57">
        <f>2118+6+17</f>
        <v>2141</v>
      </c>
      <c r="N51" s="57">
        <f>2118+6+17+25</f>
        <v>2166</v>
      </c>
    </row>
    <row r="52" spans="1:14">
      <c r="A52" s="55" t="s">
        <v>24</v>
      </c>
      <c r="B52" s="63"/>
      <c r="C52" s="63"/>
      <c r="D52" s="63"/>
      <c r="E52" s="63"/>
      <c r="F52" s="63"/>
      <c r="G52" s="63"/>
      <c r="H52" s="63"/>
      <c r="I52" s="63"/>
      <c r="J52" s="63"/>
      <c r="K52" s="57">
        <v>1091</v>
      </c>
      <c r="L52" s="57">
        <v>1091</v>
      </c>
      <c r="M52" s="57">
        <v>1091</v>
      </c>
      <c r="N52" s="57">
        <v>1091</v>
      </c>
    </row>
    <row r="53" spans="1:14">
      <c r="A53" s="51" t="s">
        <v>101</v>
      </c>
      <c r="B53" s="24"/>
      <c r="C53" s="60"/>
      <c r="D53" s="60"/>
      <c r="E53" s="60"/>
      <c r="F53" s="60"/>
      <c r="G53" s="60"/>
      <c r="H53" s="60"/>
      <c r="I53" s="60"/>
      <c r="J53" s="60"/>
      <c r="K53" s="22">
        <f>SUM(K50:K52)</f>
        <v>11160</v>
      </c>
      <c r="L53" s="22">
        <f>SUM(L50:L52)</f>
        <v>11187</v>
      </c>
      <c r="M53" s="22">
        <f>SUM(M50:M52)</f>
        <v>11266</v>
      </c>
      <c r="N53" s="22">
        <f>SUM(N50:N52)</f>
        <v>11386</v>
      </c>
    </row>
    <row r="54" spans="1:14" hidden="1">
      <c r="A54" s="56" t="s">
        <v>196</v>
      </c>
      <c r="B54" s="24"/>
      <c r="C54" s="60"/>
      <c r="D54" s="60"/>
      <c r="E54" s="60"/>
      <c r="F54" s="60"/>
      <c r="G54" s="60"/>
      <c r="H54" s="60"/>
      <c r="I54" s="60"/>
      <c r="J54" s="60"/>
      <c r="K54" s="22"/>
      <c r="L54" s="22"/>
      <c r="M54" s="22"/>
      <c r="N54" s="22"/>
    </row>
    <row r="55" spans="1:14" hidden="1">
      <c r="A55" s="120" t="s">
        <v>24</v>
      </c>
      <c r="B55" s="24"/>
      <c r="C55" s="60"/>
      <c r="D55" s="60"/>
      <c r="E55" s="60"/>
      <c r="F55" s="60"/>
      <c r="G55" s="60"/>
      <c r="H55" s="60"/>
      <c r="I55" s="60"/>
      <c r="J55" s="60"/>
      <c r="K55" s="85"/>
      <c r="L55" s="85"/>
      <c r="M55" s="85"/>
      <c r="N55" s="85"/>
    </row>
    <row r="56" spans="1:14" hidden="1">
      <c r="A56" s="120" t="s">
        <v>26</v>
      </c>
      <c r="B56" s="24"/>
      <c r="C56" s="60"/>
      <c r="D56" s="60"/>
      <c r="E56" s="60"/>
      <c r="F56" s="60"/>
      <c r="G56" s="60"/>
      <c r="H56" s="60"/>
      <c r="I56" s="60"/>
      <c r="J56" s="60"/>
      <c r="K56" s="22"/>
      <c r="L56" s="22"/>
      <c r="M56" s="22"/>
      <c r="N56" s="22"/>
    </row>
    <row r="57" spans="1:14" hidden="1">
      <c r="A57" s="51"/>
      <c r="B57" s="24"/>
      <c r="C57" s="60"/>
      <c r="D57" s="60"/>
      <c r="E57" s="60"/>
      <c r="F57" s="60"/>
      <c r="G57" s="60"/>
      <c r="H57" s="60"/>
      <c r="I57" s="60"/>
      <c r="J57" s="60"/>
      <c r="K57" s="22"/>
      <c r="L57" s="22"/>
      <c r="M57" s="22"/>
      <c r="N57" s="22"/>
    </row>
    <row r="58" spans="1:14" hidden="1">
      <c r="A58" s="51"/>
      <c r="B58" s="24"/>
      <c r="C58" s="60"/>
      <c r="D58" s="60"/>
      <c r="E58" s="60"/>
      <c r="F58" s="60"/>
      <c r="G58" s="60"/>
      <c r="H58" s="60"/>
      <c r="I58" s="60"/>
      <c r="J58" s="60"/>
      <c r="K58" s="22"/>
      <c r="L58" s="22"/>
      <c r="M58" s="22"/>
      <c r="N58" s="22"/>
    </row>
    <row r="59" spans="1:14">
      <c r="A59" s="55"/>
      <c r="B59" s="39"/>
      <c r="C59" s="57"/>
      <c r="D59" s="57"/>
      <c r="E59" s="57"/>
      <c r="F59" s="57"/>
      <c r="G59" s="57"/>
      <c r="H59" s="57"/>
      <c r="I59" s="57"/>
      <c r="J59" s="57"/>
    </row>
    <row r="60" spans="1:14">
      <c r="A60" s="56" t="s">
        <v>106</v>
      </c>
      <c r="B60" s="63">
        <v>4000</v>
      </c>
      <c r="C60" s="63">
        <v>3000</v>
      </c>
      <c r="D60" s="63">
        <v>3000</v>
      </c>
      <c r="E60" s="63">
        <v>3000</v>
      </c>
      <c r="F60" s="63">
        <v>3000</v>
      </c>
      <c r="G60" s="63">
        <v>3000</v>
      </c>
      <c r="H60" s="63">
        <v>0</v>
      </c>
      <c r="I60" s="63">
        <v>0</v>
      </c>
      <c r="J60" s="63">
        <v>0</v>
      </c>
      <c r="K60" s="90">
        <v>3000</v>
      </c>
      <c r="L60" s="90">
        <v>3000</v>
      </c>
      <c r="M60" s="90">
        <v>3000</v>
      </c>
      <c r="N60" s="90">
        <v>3000</v>
      </c>
    </row>
    <row r="61" spans="1:14">
      <c r="A61" s="56" t="s">
        <v>107</v>
      </c>
      <c r="B61" s="63">
        <v>22840</v>
      </c>
      <c r="C61" s="63">
        <v>29900</v>
      </c>
      <c r="D61" s="63">
        <v>29900</v>
      </c>
      <c r="E61" s="63">
        <v>29900</v>
      </c>
      <c r="F61" s="63">
        <v>29900</v>
      </c>
      <c r="G61" s="63">
        <v>29900</v>
      </c>
      <c r="H61" s="63">
        <v>29900</v>
      </c>
      <c r="I61" s="63">
        <v>28900</v>
      </c>
      <c r="J61" s="63">
        <v>16257</v>
      </c>
      <c r="K61" s="90">
        <v>11224</v>
      </c>
      <c r="L61" s="90">
        <v>11224</v>
      </c>
      <c r="M61" s="90">
        <v>11224</v>
      </c>
      <c r="N61" s="90">
        <v>11224</v>
      </c>
    </row>
    <row r="62" spans="1:14">
      <c r="A62" s="56" t="s">
        <v>108</v>
      </c>
      <c r="B62" s="63">
        <v>10900</v>
      </c>
      <c r="C62" s="63">
        <v>10500</v>
      </c>
      <c r="D62" s="63">
        <v>10500</v>
      </c>
      <c r="E62" s="63">
        <v>10500</v>
      </c>
      <c r="F62" s="63">
        <v>10500</v>
      </c>
      <c r="G62" s="63">
        <v>10500</v>
      </c>
      <c r="H62" s="63">
        <f>10500-1000</f>
        <v>9500</v>
      </c>
      <c r="I62" s="63">
        <v>10700</v>
      </c>
      <c r="J62" s="63">
        <v>10024</v>
      </c>
      <c r="K62" s="90">
        <v>11100</v>
      </c>
      <c r="L62" s="90">
        <f>11100+310</f>
        <v>11410</v>
      </c>
      <c r="M62" s="90">
        <f>11100+310</f>
        <v>11410</v>
      </c>
      <c r="N62" s="90">
        <f>11100+310</f>
        <v>11410</v>
      </c>
    </row>
    <row r="63" spans="1:14">
      <c r="A63" s="56" t="s">
        <v>56</v>
      </c>
      <c r="B63" s="63">
        <v>3500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/>
      <c r="J63" s="63"/>
    </row>
    <row r="64" spans="1:14">
      <c r="A64" s="61" t="s">
        <v>26</v>
      </c>
      <c r="B64" s="60">
        <v>41240</v>
      </c>
      <c r="C64" s="60">
        <f t="shared" ref="C64:K64" si="5">SUM(C60:C63)</f>
        <v>43400</v>
      </c>
      <c r="D64" s="60">
        <f t="shared" si="5"/>
        <v>43400</v>
      </c>
      <c r="E64" s="60">
        <f t="shared" si="5"/>
        <v>43400</v>
      </c>
      <c r="F64" s="60">
        <f t="shared" si="5"/>
        <v>43400</v>
      </c>
      <c r="G64" s="60">
        <f t="shared" si="5"/>
        <v>43400</v>
      </c>
      <c r="H64" s="60">
        <f t="shared" si="5"/>
        <v>39400</v>
      </c>
      <c r="I64" s="60">
        <f t="shared" si="5"/>
        <v>39600</v>
      </c>
      <c r="J64" s="60">
        <f t="shared" si="5"/>
        <v>26281</v>
      </c>
      <c r="K64" s="60">
        <f t="shared" si="5"/>
        <v>25324</v>
      </c>
      <c r="L64" s="60">
        <f>SUM(L60:L63)</f>
        <v>25634</v>
      </c>
      <c r="M64" s="60">
        <f>SUM(M60:M63)</f>
        <v>25634</v>
      </c>
      <c r="N64" s="60">
        <f>SUM(N60:N63)</f>
        <v>25634</v>
      </c>
    </row>
    <row r="65" spans="1:15">
      <c r="A65" s="61" t="s">
        <v>181</v>
      </c>
      <c r="B65" s="60">
        <f>B8+B32+B38+B44+B50</f>
        <v>12678</v>
      </c>
      <c r="C65" s="60">
        <f t="shared" ref="C65:J65" si="6">C8+C32+C38+C44+C50</f>
        <v>12372</v>
      </c>
      <c r="D65" s="60">
        <f t="shared" si="6"/>
        <v>13539</v>
      </c>
      <c r="E65" s="60">
        <f t="shared" si="6"/>
        <v>13769</v>
      </c>
      <c r="F65" s="60">
        <f t="shared" si="6"/>
        <v>13769</v>
      </c>
      <c r="G65" s="60">
        <f t="shared" si="6"/>
        <v>14017</v>
      </c>
      <c r="H65" s="60">
        <f t="shared" si="6"/>
        <v>13387</v>
      </c>
      <c r="I65" s="60">
        <f t="shared" si="6"/>
        <v>13487</v>
      </c>
      <c r="J65" s="60">
        <f t="shared" si="6"/>
        <v>11117</v>
      </c>
      <c r="K65" s="60">
        <f>K32+K38+K8+K44+K50</f>
        <v>38593</v>
      </c>
      <c r="L65" s="60">
        <f>L32+L38+L8+L44+L50</f>
        <v>39258</v>
      </c>
      <c r="M65" s="60">
        <f>M32+M38+M8+M44+M50</f>
        <v>39478</v>
      </c>
      <c r="N65" s="60">
        <f>N32+N38+N8+N44+N50</f>
        <v>39752</v>
      </c>
    </row>
    <row r="66" spans="1:15">
      <c r="A66" s="61" t="s">
        <v>182</v>
      </c>
      <c r="B66" s="60">
        <f>B9+B33+B39+B45+B51</f>
        <v>3407</v>
      </c>
      <c r="C66" s="60">
        <f t="shared" ref="C66:J66" si="7">C9+C33+C39+C45+C51</f>
        <v>3271</v>
      </c>
      <c r="D66" s="60">
        <f t="shared" si="7"/>
        <v>3572</v>
      </c>
      <c r="E66" s="60">
        <f t="shared" si="7"/>
        <v>3637</v>
      </c>
      <c r="F66" s="60">
        <f t="shared" si="7"/>
        <v>3637</v>
      </c>
      <c r="G66" s="60">
        <f t="shared" si="7"/>
        <v>3703</v>
      </c>
      <c r="H66" s="60">
        <f t="shared" si="7"/>
        <v>3533</v>
      </c>
      <c r="I66" s="60">
        <f t="shared" si="7"/>
        <v>3560</v>
      </c>
      <c r="J66" s="60">
        <f t="shared" si="7"/>
        <v>2542</v>
      </c>
      <c r="K66" s="60">
        <f>K9+K33+K39+K45+K51</f>
        <v>10360</v>
      </c>
      <c r="L66" s="60">
        <f>L9+L33+L39+L45+L51</f>
        <v>10529</v>
      </c>
      <c r="M66" s="60">
        <f>M9+M33+M39+M45+M51</f>
        <v>10588</v>
      </c>
      <c r="N66" s="60">
        <f>N9+N33+N39+N45+N51</f>
        <v>10661</v>
      </c>
    </row>
    <row r="67" spans="1:15">
      <c r="A67" s="61" t="s">
        <v>183</v>
      </c>
      <c r="B67" s="60">
        <f t="shared" ref="B67:J67" si="8">B10+B20+B24+B34+B40+B46+B52+B55</f>
        <v>110601</v>
      </c>
      <c r="C67" s="60">
        <f t="shared" si="8"/>
        <v>101925</v>
      </c>
      <c r="D67" s="60">
        <f t="shared" si="8"/>
        <v>102965</v>
      </c>
      <c r="E67" s="60">
        <f t="shared" si="8"/>
        <v>102965</v>
      </c>
      <c r="F67" s="60">
        <f t="shared" si="8"/>
        <v>102965</v>
      </c>
      <c r="G67" s="60">
        <f t="shared" si="8"/>
        <v>102965</v>
      </c>
      <c r="H67" s="60">
        <f t="shared" si="8"/>
        <v>94454</v>
      </c>
      <c r="I67" s="60">
        <f t="shared" si="8"/>
        <v>101430</v>
      </c>
      <c r="J67" s="60">
        <f t="shared" si="8"/>
        <v>104594</v>
      </c>
      <c r="K67" s="60">
        <f>K10+K20+K24+K34+K40+K55+K52+K46</f>
        <v>149091</v>
      </c>
      <c r="L67" s="60">
        <f>L10+L20+L24+L34+L40+L55+L52+L46</f>
        <v>138133</v>
      </c>
      <c r="M67" s="60">
        <f>M10+M20+M24+M34+M40+M55+M52+M46</f>
        <v>148327</v>
      </c>
      <c r="N67" s="60">
        <f>N10+N20+N24+N34+N40+N55+N52+N46</f>
        <v>148907</v>
      </c>
    </row>
    <row r="68" spans="1:15">
      <c r="A68" s="67" t="s">
        <v>115</v>
      </c>
      <c r="B68" s="24"/>
      <c r="C68" s="24">
        <v>54360</v>
      </c>
      <c r="D68" s="24">
        <v>65501</v>
      </c>
      <c r="E68" s="24">
        <v>65501</v>
      </c>
      <c r="F68" s="24">
        <v>66641</v>
      </c>
      <c r="G68" s="24">
        <v>66641</v>
      </c>
      <c r="H68" s="24">
        <v>58664</v>
      </c>
      <c r="I68" s="24">
        <v>55491</v>
      </c>
      <c r="J68" s="24">
        <v>52765</v>
      </c>
      <c r="K68" s="60">
        <f ca="1">Felhalm!G47</f>
        <v>218908.71</v>
      </c>
      <c r="L68" s="60">
        <f ca="1">Felhalm!H47-Felhalm!H43</f>
        <v>231686.91</v>
      </c>
      <c r="M68" s="60">
        <f ca="1">Felhalm!I47-Felhalm!I43</f>
        <v>392011</v>
      </c>
      <c r="N68" s="60">
        <f ca="1">Felhalm!J47-Felhalm!J43</f>
        <v>394466</v>
      </c>
    </row>
    <row r="69" spans="1:15">
      <c r="A69" s="61" t="s">
        <v>114</v>
      </c>
      <c r="B69" s="24"/>
      <c r="C69" s="24">
        <v>559775</v>
      </c>
      <c r="D69" s="24">
        <v>559775</v>
      </c>
      <c r="E69" s="24">
        <v>568766</v>
      </c>
      <c r="F69" s="24">
        <v>565038</v>
      </c>
      <c r="G69" s="24">
        <f>565038+3573</f>
        <v>568611</v>
      </c>
      <c r="H69" s="24">
        <f>G69-7000</f>
        <v>561611</v>
      </c>
      <c r="I69" s="24">
        <v>565209</v>
      </c>
      <c r="J69" s="24">
        <v>554763</v>
      </c>
      <c r="K69" s="99">
        <v>325883</v>
      </c>
      <c r="L69" s="99">
        <f>325883+1231-276</f>
        <v>326838</v>
      </c>
      <c r="M69" s="99">
        <f>325883+1231-276+1895</f>
        <v>328733</v>
      </c>
      <c r="N69" s="99">
        <f>325883+1231-276+1895+611+1179+72+454-1058</f>
        <v>329991</v>
      </c>
    </row>
    <row r="70" spans="1:15">
      <c r="A70" s="61" t="s">
        <v>179</v>
      </c>
      <c r="B70" s="24"/>
      <c r="C70" s="24"/>
      <c r="D70" s="24"/>
      <c r="E70" s="24"/>
      <c r="F70" s="24"/>
      <c r="G70" s="24"/>
      <c r="H70" s="24"/>
      <c r="I70" s="24"/>
      <c r="J70" s="24"/>
      <c r="K70" s="99">
        <v>15000</v>
      </c>
      <c r="L70" s="99">
        <v>15000</v>
      </c>
      <c r="M70" s="99">
        <v>15000</v>
      </c>
      <c r="N70" s="99">
        <v>15000</v>
      </c>
    </row>
    <row r="71" spans="1:15">
      <c r="A71" s="61" t="s">
        <v>197</v>
      </c>
      <c r="B71" s="24"/>
      <c r="C71" s="24"/>
      <c r="D71" s="24"/>
      <c r="E71" s="24"/>
      <c r="F71" s="24"/>
      <c r="G71" s="24"/>
      <c r="H71" s="24"/>
      <c r="I71" s="24"/>
      <c r="J71" s="24"/>
      <c r="K71" s="99">
        <v>29000</v>
      </c>
      <c r="L71" s="99">
        <v>29000</v>
      </c>
      <c r="M71" s="99">
        <v>29000</v>
      </c>
      <c r="N71" s="99">
        <v>29000</v>
      </c>
    </row>
    <row r="72" spans="1:15">
      <c r="A72" s="61" t="s">
        <v>180</v>
      </c>
      <c r="B72" s="24"/>
      <c r="C72" s="24"/>
      <c r="D72" s="24"/>
      <c r="E72" s="24"/>
      <c r="F72" s="24"/>
      <c r="G72" s="24"/>
      <c r="H72" s="24"/>
      <c r="I72" s="24"/>
      <c r="J72" s="24"/>
      <c r="K72" s="99">
        <v>21590</v>
      </c>
      <c r="L72" s="99">
        <f>L19</f>
        <v>23650</v>
      </c>
      <c r="M72" s="99">
        <f>M19</f>
        <v>23650</v>
      </c>
      <c r="N72" s="99">
        <f>N19</f>
        <v>27050</v>
      </c>
    </row>
    <row r="73" spans="1:15">
      <c r="A73" s="61" t="s">
        <v>184</v>
      </c>
      <c r="B73" s="24"/>
      <c r="C73" s="24">
        <v>29878</v>
      </c>
      <c r="D73" s="24"/>
      <c r="E73" s="24"/>
      <c r="F73" s="24"/>
      <c r="G73" s="24"/>
      <c r="H73" s="24">
        <v>1341</v>
      </c>
      <c r="I73" s="24">
        <v>0</v>
      </c>
      <c r="J73" s="24">
        <v>0</v>
      </c>
      <c r="K73" s="99">
        <f>K13</f>
        <v>30000</v>
      </c>
      <c r="L73" s="99">
        <f>L13</f>
        <v>27795</v>
      </c>
      <c r="M73" s="99">
        <f ca="1">Tartalék!J19</f>
        <v>2480</v>
      </c>
      <c r="N73" s="99">
        <f ca="1">Tartalék!K19</f>
        <v>3821</v>
      </c>
    </row>
    <row r="74" spans="1:15">
      <c r="A74" s="61" t="s">
        <v>109</v>
      </c>
      <c r="B74" s="63">
        <f>B15+B64+B21+B25+B29+B35+B41</f>
        <v>368466</v>
      </c>
      <c r="C74" s="63">
        <f t="shared" ref="C74:I74" si="9">C15+C64+C21+C25+C29+C35+C41+C69+C68</f>
        <v>1000711</v>
      </c>
      <c r="D74" s="63">
        <f t="shared" si="9"/>
        <v>1006111</v>
      </c>
      <c r="E74" s="63">
        <f t="shared" si="9"/>
        <v>1010395</v>
      </c>
      <c r="F74" s="63">
        <f t="shared" si="9"/>
        <v>1014895</v>
      </c>
      <c r="G74" s="63">
        <f t="shared" si="9"/>
        <v>1012387</v>
      </c>
      <c r="H74" s="63">
        <f t="shared" si="9"/>
        <v>975420</v>
      </c>
      <c r="I74" s="63">
        <f t="shared" si="9"/>
        <v>981807</v>
      </c>
      <c r="J74" s="63">
        <f>J64+J65+J66+J67+J68+J69+J28+J19+J12+J11</f>
        <v>951242</v>
      </c>
      <c r="K74" s="63">
        <f>SUM(K64:K73)</f>
        <v>863749.71</v>
      </c>
      <c r="L74" s="63">
        <f>SUM(L64:L73)</f>
        <v>867523.91</v>
      </c>
      <c r="M74" s="63">
        <f>SUM(M64:M73)</f>
        <v>1014901</v>
      </c>
      <c r="N74" s="63">
        <f>SUM(N64:N73)</f>
        <v>1024282</v>
      </c>
      <c r="O74" s="14"/>
    </row>
    <row r="75" spans="1:15">
      <c r="A75" s="61"/>
      <c r="B75" s="63"/>
      <c r="C75" s="63"/>
      <c r="E75" s="14"/>
      <c r="F75" s="14"/>
      <c r="G75" s="14"/>
      <c r="H75" s="14"/>
      <c r="I75" s="14"/>
      <c r="J75" s="14"/>
    </row>
    <row r="76" spans="1:15">
      <c r="A76" s="61"/>
      <c r="B76" s="63"/>
      <c r="C76" s="63"/>
      <c r="D76" s="63"/>
      <c r="E76" s="63"/>
      <c r="F76" s="63"/>
      <c r="G76" s="63"/>
      <c r="H76" s="63"/>
      <c r="I76" s="63"/>
      <c r="J76" s="63"/>
    </row>
    <row r="77" spans="1:15">
      <c r="A77" s="68"/>
      <c r="B77" s="22"/>
      <c r="C77" s="22"/>
      <c r="D77" s="22"/>
      <c r="E77" s="22"/>
      <c r="F77" s="22"/>
      <c r="G77" s="22"/>
      <c r="H77" s="22"/>
      <c r="I77" s="22"/>
      <c r="J77" s="22"/>
    </row>
    <row r="78" spans="1:15">
      <c r="A78" s="67"/>
      <c r="B78" s="22"/>
      <c r="C78" s="22"/>
      <c r="D78" s="22"/>
      <c r="E78" s="22"/>
      <c r="F78" s="22"/>
      <c r="G78" s="22"/>
      <c r="H78" s="22"/>
      <c r="I78" s="22"/>
      <c r="J78" s="22"/>
    </row>
    <row r="79" spans="1:15">
      <c r="A79" s="67"/>
      <c r="B79" s="22"/>
      <c r="C79" s="22"/>
      <c r="D79" s="22"/>
      <c r="E79" s="22"/>
      <c r="F79" s="22"/>
      <c r="G79" s="22"/>
      <c r="H79" s="22"/>
      <c r="I79" s="22"/>
      <c r="J79" s="22"/>
    </row>
    <row r="80" spans="1:15">
      <c r="A80" s="67"/>
      <c r="B80" s="22"/>
      <c r="C80" s="22"/>
      <c r="D80" s="22"/>
      <c r="E80" s="22"/>
      <c r="F80" s="22"/>
      <c r="G80" s="22"/>
      <c r="H80" s="22"/>
      <c r="I80" s="22"/>
      <c r="J80" s="22"/>
    </row>
    <row r="81" spans="1:10">
      <c r="A81" s="67"/>
      <c r="B81" s="22"/>
      <c r="C81" s="22"/>
      <c r="D81" s="22"/>
      <c r="E81" s="22"/>
      <c r="F81" s="22"/>
      <c r="G81" s="22"/>
      <c r="H81" s="22"/>
      <c r="I81" s="22"/>
      <c r="J81" s="22"/>
    </row>
    <row r="82" spans="1:10">
      <c r="A82" s="67"/>
      <c r="B82" s="22"/>
      <c r="C82" s="22"/>
      <c r="D82" s="22"/>
      <c r="E82" s="22"/>
      <c r="F82" s="22"/>
      <c r="G82" s="22"/>
      <c r="H82" s="22"/>
      <c r="I82" s="22"/>
      <c r="J82" s="22"/>
    </row>
    <row r="83" spans="1:10">
      <c r="A83" s="67"/>
      <c r="B83" s="22"/>
      <c r="C83" s="22"/>
      <c r="D83" s="22"/>
      <c r="E83" s="22"/>
      <c r="F83" s="22"/>
      <c r="G83" s="22"/>
      <c r="H83" s="22"/>
      <c r="I83" s="22"/>
      <c r="J83" s="22"/>
    </row>
    <row r="84" spans="1:10">
      <c r="A84" s="67"/>
      <c r="B84" s="22"/>
      <c r="C84" s="22"/>
      <c r="D84" s="22"/>
      <c r="E84" s="22"/>
      <c r="F84" s="22"/>
      <c r="G84" s="22"/>
      <c r="H84" s="22"/>
      <c r="I84" s="22"/>
      <c r="J84" s="22"/>
    </row>
    <row r="85" spans="1:10">
      <c r="A85" s="67"/>
      <c r="B85" s="22"/>
      <c r="C85" s="22"/>
      <c r="D85" s="22"/>
      <c r="E85" s="22"/>
      <c r="F85" s="22"/>
      <c r="G85" s="22"/>
      <c r="H85" s="22"/>
      <c r="I85" s="22"/>
      <c r="J85" s="22"/>
    </row>
    <row r="86" spans="1:10">
      <c r="A86" s="26"/>
      <c r="B86" s="22"/>
      <c r="C86" s="22"/>
      <c r="D86" s="22"/>
      <c r="E86" s="22"/>
      <c r="F86" s="22"/>
      <c r="G86" s="22"/>
      <c r="H86" s="22"/>
      <c r="I86" s="22"/>
      <c r="J86" s="22"/>
    </row>
  </sheetData>
  <mergeCells count="2">
    <mergeCell ref="A1:N1"/>
    <mergeCell ref="A2:N2"/>
  </mergeCells>
  <phoneticPr fontId="10" type="noConversion"/>
  <pageMargins left="0.78740157480314965" right="0.78740157480314965" top="0.59055118110236227" bottom="0.39370078740157483" header="0.51181102362204722" footer="0.51181102362204722"/>
  <pageSetup paperSize="9" scale="85" orientation="portrait" r:id="rId1"/>
  <headerFooter alignWithMargins="0">
    <oddHeader>&amp;RÖnkorm. kiadásai
I/b/4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4:F23"/>
  <sheetViews>
    <sheetView topLeftCell="B1" workbookViewId="0">
      <selection activeCell="F21" sqref="F21"/>
    </sheetView>
  </sheetViews>
  <sheetFormatPr defaultRowHeight="12.75"/>
  <cols>
    <col min="1" max="1" width="4.5703125" customWidth="1"/>
    <col min="2" max="2" width="37.85546875" customWidth="1"/>
    <col min="3" max="3" width="18.85546875" customWidth="1"/>
    <col min="4" max="4" width="5.85546875" customWidth="1"/>
    <col min="5" max="5" width="36" customWidth="1"/>
    <col min="6" max="6" width="19.5703125" customWidth="1"/>
  </cols>
  <sheetData>
    <row r="4" spans="2:6" ht="12.75" customHeight="1">
      <c r="B4" s="217" t="s">
        <v>198</v>
      </c>
      <c r="C4" s="217"/>
      <c r="D4" s="217"/>
      <c r="E4" s="217"/>
      <c r="F4" s="217"/>
    </row>
    <row r="5" spans="2:6" ht="12.75" customHeight="1">
      <c r="B5" s="217"/>
      <c r="C5" s="217"/>
      <c r="D5" s="217"/>
      <c r="E5" s="217"/>
      <c r="F5" s="217"/>
    </row>
    <row r="10" spans="2:6" ht="15.75">
      <c r="B10" s="218" t="s">
        <v>17</v>
      </c>
      <c r="C10" s="218" t="s">
        <v>199</v>
      </c>
      <c r="D10" s="121"/>
      <c r="E10" s="218" t="s">
        <v>17</v>
      </c>
      <c r="F10" s="218" t="s">
        <v>200</v>
      </c>
    </row>
    <row r="11" spans="2:6" ht="15" customHeight="1">
      <c r="B11" s="218"/>
      <c r="C11" s="219"/>
      <c r="D11" s="122"/>
      <c r="E11" s="219"/>
      <c r="F11" s="218"/>
    </row>
    <row r="12" spans="2:6" ht="15">
      <c r="B12" s="110" t="s">
        <v>201</v>
      </c>
      <c r="C12" s="123">
        <f ca="1">Bevételek!O52</f>
        <v>108876</v>
      </c>
      <c r="D12" s="123"/>
      <c r="E12" s="110" t="s">
        <v>202</v>
      </c>
      <c r="F12" s="124">
        <f ca="1">'Többlet,-vagy hiány'!K14</f>
        <v>281432</v>
      </c>
    </row>
    <row r="13" spans="2:6" ht="15">
      <c r="B13" s="110" t="s">
        <v>203</v>
      </c>
      <c r="C13" s="123">
        <f ca="1">Bevételek!O60</f>
        <v>291000</v>
      </c>
      <c r="D13" s="123"/>
      <c r="E13" s="110" t="s">
        <v>204</v>
      </c>
      <c r="F13" s="124">
        <f ca="1">'Többlet,-vagy hiány'!K15</f>
        <v>73767</v>
      </c>
    </row>
    <row r="14" spans="2:6" ht="15">
      <c r="B14" s="110" t="s">
        <v>205</v>
      </c>
      <c r="C14" s="123">
        <f ca="1">Bevételek!O65</f>
        <v>29780</v>
      </c>
      <c r="D14" s="123"/>
      <c r="E14" s="110" t="s">
        <v>24</v>
      </c>
      <c r="F14" s="124">
        <f ca="1">'Többlet,-vagy hiány'!K16</f>
        <v>265617</v>
      </c>
    </row>
    <row r="15" spans="2:6" ht="15">
      <c r="B15" s="110" t="s">
        <v>220</v>
      </c>
      <c r="C15" s="124">
        <f ca="1">Bevételek!O99</f>
        <v>319083</v>
      </c>
      <c r="D15" s="123"/>
      <c r="E15" s="110" t="s">
        <v>37</v>
      </c>
      <c r="F15" s="124">
        <f ca="1">'Többlet,-vagy hiány'!K17</f>
        <v>20000</v>
      </c>
    </row>
    <row r="16" spans="2:6" ht="15">
      <c r="B16" s="110"/>
      <c r="C16" s="123"/>
      <c r="D16" s="123"/>
      <c r="E16" s="125" t="s">
        <v>206</v>
      </c>
      <c r="F16" s="124">
        <f ca="1">'Többlet,-vagy hiány'!K18</f>
        <v>54634</v>
      </c>
    </row>
    <row r="17" spans="2:6" ht="15">
      <c r="B17" s="110" t="s">
        <v>207</v>
      </c>
      <c r="C17" s="123">
        <f ca="1">Bevételek!O108</f>
        <v>20396</v>
      </c>
      <c r="D17" s="123"/>
      <c r="E17" s="110" t="s">
        <v>208</v>
      </c>
      <c r="F17" s="123">
        <f ca="1">'Többlet,-vagy hiány'!K19</f>
        <v>27050</v>
      </c>
    </row>
    <row r="18" spans="2:6" ht="15">
      <c r="B18" s="110"/>
      <c r="C18" s="123"/>
      <c r="D18" s="123"/>
      <c r="E18" s="110" t="s">
        <v>25</v>
      </c>
      <c r="F18" s="123">
        <f ca="1">'Többlet,-vagy hiány'!K20</f>
        <v>1000</v>
      </c>
    </row>
    <row r="19" spans="2:6" ht="15">
      <c r="B19" s="125"/>
      <c r="C19" s="14"/>
      <c r="D19" s="123"/>
      <c r="E19" s="110" t="s">
        <v>209</v>
      </c>
      <c r="F19" s="123">
        <f ca="1">'Többlet,-vagy hiány'!K21</f>
        <v>3821</v>
      </c>
    </row>
    <row r="20" spans="2:6" ht="15">
      <c r="D20" s="123"/>
      <c r="E20" s="125" t="s">
        <v>222</v>
      </c>
      <c r="F20" s="123">
        <v>41814</v>
      </c>
    </row>
    <row r="21" spans="2:6" ht="15">
      <c r="B21" s="126" t="s">
        <v>210</v>
      </c>
      <c r="C21" s="127">
        <f>SUM(C12:C19)</f>
        <v>769135</v>
      </c>
      <c r="D21" s="128"/>
      <c r="E21" s="126" t="s">
        <v>211</v>
      </c>
      <c r="F21" s="127">
        <f>SUM(F12:F20)</f>
        <v>769135</v>
      </c>
    </row>
    <row r="23" spans="2:6">
      <c r="F23" s="191"/>
    </row>
  </sheetData>
  <mergeCells count="5">
    <mergeCell ref="B4:F5"/>
    <mergeCell ref="B10:B11"/>
    <mergeCell ref="C10:C11"/>
    <mergeCell ref="E10:E11"/>
    <mergeCell ref="F10:F11"/>
  </mergeCells>
  <phoneticPr fontId="10" type="noConversion"/>
  <pageMargins left="0.74803149606299213" right="0.74803149606299213" top="0.39370078740157483" bottom="0.39370078740157483" header="0.51181102362204722" footer="0.51181102362204722"/>
  <pageSetup paperSize="9" orientation="landscape" horizontalDpi="4294967293" verticalDpi="300" r:id="rId1"/>
  <headerFooter alignWithMargins="0">
    <oddHeader>&amp;RMérleg
I/d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E30"/>
  <sheetViews>
    <sheetView topLeftCell="A4" workbookViewId="0">
      <selection activeCell="B12" sqref="B12"/>
    </sheetView>
  </sheetViews>
  <sheetFormatPr defaultRowHeight="12.75"/>
  <cols>
    <col min="1" max="1" width="38.42578125" bestFit="1" customWidth="1"/>
    <col min="2" max="2" width="14.7109375" customWidth="1"/>
    <col min="3" max="3" width="3.5703125" customWidth="1"/>
    <col min="4" max="4" width="37.140625" bestFit="1" customWidth="1"/>
    <col min="5" max="5" width="10.140625" bestFit="1" customWidth="1"/>
  </cols>
  <sheetData>
    <row r="2" spans="1:5">
      <c r="A2" s="217" t="s">
        <v>246</v>
      </c>
      <c r="B2" s="217"/>
      <c r="C2" s="217"/>
      <c r="D2" s="217"/>
      <c r="E2" s="217"/>
    </row>
    <row r="3" spans="1:5">
      <c r="A3" s="217"/>
      <c r="B3" s="217"/>
      <c r="C3" s="217"/>
      <c r="D3" s="217"/>
      <c r="E3" s="217"/>
    </row>
    <row r="4" spans="1:5" ht="18">
      <c r="A4" s="165"/>
      <c r="B4" s="165"/>
      <c r="C4" s="165"/>
      <c r="D4" s="165"/>
      <c r="E4" s="165"/>
    </row>
    <row r="5" spans="1:5">
      <c r="A5" s="218" t="s">
        <v>17</v>
      </c>
      <c r="B5" s="218" t="s">
        <v>199</v>
      </c>
      <c r="D5" s="218" t="s">
        <v>17</v>
      </c>
      <c r="E5" s="218" t="s">
        <v>200</v>
      </c>
    </row>
    <row r="6" spans="1:5" ht="15" customHeight="1">
      <c r="A6" s="199"/>
      <c r="B6" s="219"/>
      <c r="D6" s="219"/>
      <c r="E6" s="218"/>
    </row>
    <row r="7" spans="1:5" ht="15" customHeight="1">
      <c r="A7" s="129" t="s">
        <v>12</v>
      </c>
      <c r="B7" s="130">
        <f ca="1">Bevételek!O70</f>
        <v>10000</v>
      </c>
      <c r="C7" s="130"/>
      <c r="D7" s="129" t="s">
        <v>223</v>
      </c>
      <c r="E7" s="130">
        <f ca="1">Felhalm!J19</f>
        <v>0</v>
      </c>
    </row>
    <row r="8" spans="1:5" ht="15">
      <c r="A8" s="45" t="s">
        <v>221</v>
      </c>
      <c r="B8" s="130">
        <f ca="1">Bevételek!O78</f>
        <v>149999</v>
      </c>
      <c r="C8" s="130"/>
      <c r="D8" s="129" t="s">
        <v>212</v>
      </c>
      <c r="E8" s="130">
        <f ca="1">Felhalm!J44</f>
        <v>176243</v>
      </c>
    </row>
    <row r="9" spans="1:5" ht="15">
      <c r="A9" s="129" t="s">
        <v>213</v>
      </c>
      <c r="B9" s="130">
        <f ca="1">Bevételek!O74</f>
        <v>10000</v>
      </c>
      <c r="C9" s="130"/>
      <c r="D9" s="129" t="s">
        <v>214</v>
      </c>
      <c r="E9" s="130">
        <f ca="1">Felhalm!J17</f>
        <v>3139</v>
      </c>
    </row>
    <row r="10" spans="1:5" ht="15">
      <c r="A10" s="129" t="s">
        <v>300</v>
      </c>
      <c r="B10" s="130">
        <f ca="1">Bevételek!O72</f>
        <v>150871</v>
      </c>
      <c r="C10" s="130"/>
      <c r="D10" s="131" t="s">
        <v>215</v>
      </c>
      <c r="E10" s="130">
        <f ca="1">Felhalm!J25</f>
        <v>0</v>
      </c>
    </row>
    <row r="11" spans="1:5" ht="15">
      <c r="A11" s="129" t="s">
        <v>216</v>
      </c>
      <c r="B11" s="130">
        <v>41814</v>
      </c>
      <c r="C11" s="130"/>
      <c r="D11" s="131" t="s">
        <v>90</v>
      </c>
      <c r="E11" s="130">
        <f ca="1">Felhalm!J15</f>
        <v>1000</v>
      </c>
    </row>
    <row r="12" spans="1:5" ht="15">
      <c r="A12" s="129"/>
      <c r="B12" s="130"/>
      <c r="C12" s="130"/>
      <c r="D12" s="131" t="s">
        <v>266</v>
      </c>
      <c r="E12" s="130">
        <f ca="1">Felhalm!J31</f>
        <v>0</v>
      </c>
    </row>
    <row r="13" spans="1:5" ht="15">
      <c r="A13" s="129"/>
      <c r="B13" s="130"/>
      <c r="C13" s="130"/>
      <c r="D13" s="131" t="s">
        <v>271</v>
      </c>
      <c r="E13" s="130">
        <f ca="1">Felhalm!J8</f>
        <v>22330</v>
      </c>
    </row>
    <row r="14" spans="1:5" ht="15">
      <c r="A14" s="129"/>
      <c r="B14" s="130"/>
      <c r="C14" s="130"/>
      <c r="D14" s="131" t="s">
        <v>224</v>
      </c>
      <c r="E14" s="130">
        <f ca="1">Felhalm!J21</f>
        <v>131234</v>
      </c>
    </row>
    <row r="15" spans="1:5" ht="15">
      <c r="A15" s="129"/>
      <c r="B15" s="130"/>
      <c r="C15" s="130"/>
      <c r="D15" s="131" t="s">
        <v>89</v>
      </c>
      <c r="E15" s="130">
        <f ca="1">Felhalm!J23</f>
        <v>4871</v>
      </c>
    </row>
    <row r="16" spans="1:5" ht="15">
      <c r="A16" s="129"/>
      <c r="B16" s="130"/>
      <c r="C16" s="130"/>
      <c r="D16" s="131" t="s">
        <v>225</v>
      </c>
      <c r="E16" s="130">
        <f ca="1">Felhalm!J27</f>
        <v>0</v>
      </c>
    </row>
    <row r="17" spans="1:5" ht="15">
      <c r="A17" s="129"/>
      <c r="B17" s="130"/>
      <c r="C17" s="130"/>
      <c r="D17" s="131" t="s">
        <v>226</v>
      </c>
      <c r="E17" s="130">
        <f ca="1">Felhalm!J29</f>
        <v>0</v>
      </c>
    </row>
    <row r="18" spans="1:5" ht="15">
      <c r="A18" s="129"/>
      <c r="B18" s="130"/>
      <c r="C18" s="130"/>
      <c r="D18" s="131" t="s">
        <v>217</v>
      </c>
      <c r="E18" s="130">
        <f ca="1">Felhalm!J12+Felhalm!J41</f>
        <v>45726</v>
      </c>
    </row>
    <row r="19" spans="1:5" ht="15">
      <c r="A19" s="129"/>
      <c r="B19" s="130"/>
      <c r="C19" s="130"/>
      <c r="D19" s="131" t="s">
        <v>227</v>
      </c>
      <c r="E19" s="130">
        <f ca="1">Felhalm!J43</f>
        <v>821</v>
      </c>
    </row>
    <row r="20" spans="1:5" ht="15">
      <c r="A20" s="129"/>
      <c r="B20" s="130"/>
      <c r="C20" s="130"/>
      <c r="D20" s="142" t="s">
        <v>292</v>
      </c>
      <c r="E20" s="130">
        <f ca="1">Felhalm!J33</f>
        <v>1890</v>
      </c>
    </row>
    <row r="21" spans="1:5" ht="15">
      <c r="A21" s="129"/>
      <c r="B21" s="130"/>
      <c r="C21" s="130"/>
      <c r="D21" s="142" t="s">
        <v>293</v>
      </c>
      <c r="E21" s="130">
        <f ca="1">Felhalm!J37</f>
        <v>3000</v>
      </c>
    </row>
    <row r="22" spans="1:5" ht="15">
      <c r="A22" s="129"/>
      <c r="B22" s="130"/>
      <c r="C22" s="130"/>
      <c r="D22" s="142" t="s">
        <v>308</v>
      </c>
      <c r="E22" s="130">
        <v>833</v>
      </c>
    </row>
    <row r="23" spans="1:5" ht="15">
      <c r="A23" s="129"/>
      <c r="B23" s="130"/>
      <c r="C23" s="130"/>
      <c r="D23" s="142" t="s">
        <v>311</v>
      </c>
      <c r="E23" s="130">
        <v>1219</v>
      </c>
    </row>
    <row r="24" spans="1:5" ht="15">
      <c r="A24" s="129"/>
      <c r="B24" s="130"/>
      <c r="C24" s="130"/>
      <c r="D24" s="142" t="s">
        <v>312</v>
      </c>
      <c r="E24" s="130">
        <v>2981</v>
      </c>
    </row>
    <row r="25" spans="1:5" ht="15">
      <c r="A25" s="132" t="s">
        <v>218</v>
      </c>
      <c r="B25" s="133">
        <f>SUM(B7:B13)</f>
        <v>362684</v>
      </c>
      <c r="C25" s="133"/>
      <c r="D25" s="132" t="s">
        <v>218</v>
      </c>
      <c r="E25" s="133">
        <f>SUM(E7:E24)</f>
        <v>395287</v>
      </c>
    </row>
    <row r="27" spans="1:5" ht="14.25">
      <c r="A27" s="12" t="s">
        <v>219</v>
      </c>
      <c r="B27" s="134">
        <f>E25-B25</f>
        <v>32603</v>
      </c>
    </row>
    <row r="29" spans="1:5" ht="15">
      <c r="A29" s="126" t="s">
        <v>263</v>
      </c>
    </row>
    <row r="30" spans="1:5" ht="15">
      <c r="A30" s="126" t="s">
        <v>272</v>
      </c>
      <c r="B30" s="134">
        <f ca="1">Bevételek!N110</f>
        <v>32603</v>
      </c>
    </row>
  </sheetData>
  <mergeCells count="5">
    <mergeCell ref="A2:E3"/>
    <mergeCell ref="B5:B6"/>
    <mergeCell ref="D5:D6"/>
    <mergeCell ref="E5:E6"/>
    <mergeCell ref="A5:A6"/>
  </mergeCells>
  <phoneticPr fontId="10" type="noConversion"/>
  <pageMargins left="0.75" right="0.75" top="1" bottom="1" header="0.5" footer="0.5"/>
  <pageSetup paperSize="9" orientation="landscape" r:id="rId1"/>
  <headerFooter alignWithMargins="0">
    <oddHeader>&amp;RMérleg
I/e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B1:L25"/>
  <sheetViews>
    <sheetView topLeftCell="B1" zoomScaleNormal="100" workbookViewId="0">
      <selection activeCell="K15" sqref="K15"/>
    </sheetView>
  </sheetViews>
  <sheetFormatPr defaultRowHeight="12.75"/>
  <cols>
    <col min="2" max="2" width="5.7109375" customWidth="1"/>
    <col min="3" max="3" width="7.28515625" customWidth="1"/>
    <col min="10" max="10" width="19.7109375" customWidth="1"/>
    <col min="11" max="11" width="16.5703125" bestFit="1" customWidth="1"/>
  </cols>
  <sheetData>
    <row r="1" spans="2:11" ht="24.75" customHeight="1"/>
    <row r="2" spans="2:11" ht="20.25">
      <c r="B2" s="100" t="s">
        <v>162</v>
      </c>
      <c r="C2" s="100"/>
      <c r="D2" s="100"/>
      <c r="E2" s="100"/>
      <c r="F2" s="100"/>
      <c r="G2" s="100"/>
      <c r="H2" s="100"/>
    </row>
    <row r="5" spans="2:11" ht="21.75" customHeight="1"/>
    <row r="6" spans="2:11" ht="14.25">
      <c r="K6" s="101" t="s">
        <v>163</v>
      </c>
    </row>
    <row r="7" spans="2:11">
      <c r="B7" s="102"/>
      <c r="C7" s="102"/>
      <c r="D7" s="102"/>
      <c r="E7" s="102"/>
      <c r="F7" s="102"/>
      <c r="G7" s="102"/>
      <c r="H7" s="102"/>
      <c r="I7" s="102"/>
      <c r="J7" s="102"/>
    </row>
    <row r="8" spans="2:11" ht="15.75">
      <c r="B8" s="103" t="s">
        <v>176</v>
      </c>
      <c r="C8" s="103"/>
      <c r="D8" s="103"/>
      <c r="E8" s="103"/>
      <c r="F8" s="103"/>
      <c r="G8" s="104"/>
      <c r="H8" s="104"/>
      <c r="I8" s="104"/>
      <c r="J8" s="105"/>
      <c r="K8" s="106">
        <f ca="1">Bevételek!O116</f>
        <v>1122608</v>
      </c>
    </row>
    <row r="9" spans="2:11" ht="18" customHeight="1"/>
    <row r="11" spans="2:11" ht="15">
      <c r="D11" s="103" t="s">
        <v>164</v>
      </c>
      <c r="E11" s="103"/>
      <c r="F11" s="103"/>
      <c r="G11" s="103"/>
      <c r="K11" s="107">
        <f>K23</f>
        <v>1122608</v>
      </c>
    </row>
    <row r="12" spans="2:11" ht="17.25" customHeight="1">
      <c r="D12" s="103" t="s">
        <v>165</v>
      </c>
      <c r="E12" s="103"/>
      <c r="F12" s="103"/>
      <c r="G12" s="103"/>
    </row>
    <row r="13" spans="2:11" ht="15">
      <c r="D13" s="108" t="s">
        <v>166</v>
      </c>
      <c r="E13" s="108"/>
      <c r="F13" s="108"/>
      <c r="G13" s="108"/>
      <c r="H13" s="108"/>
      <c r="I13" s="108"/>
      <c r="J13" s="108"/>
      <c r="K13" s="109">
        <f ca="1">Felhalm!J47</f>
        <v>395287</v>
      </c>
    </row>
    <row r="14" spans="2:11" ht="15">
      <c r="D14" s="108" t="s">
        <v>167</v>
      </c>
      <c r="E14" s="108"/>
      <c r="F14" s="108"/>
      <c r="G14" s="108"/>
      <c r="H14" s="108"/>
      <c r="I14" s="108"/>
      <c r="J14" s="108"/>
      <c r="K14" s="109">
        <f ca="1">PMH!S10+PMH!S20+Tündérkert!N17+Önkormányzat!N65+Márai!M7+Márai!M17+Márai!M23</f>
        <v>281432</v>
      </c>
    </row>
    <row r="15" spans="2:11" ht="15">
      <c r="D15" s="108" t="s">
        <v>168</v>
      </c>
      <c r="E15" s="108"/>
      <c r="F15" s="108"/>
      <c r="G15" s="108"/>
      <c r="H15" s="108"/>
      <c r="I15" s="108"/>
      <c r="J15" s="108"/>
      <c r="K15" s="109">
        <f ca="1">PMH!S11+PMH!S21+Tündérkert!N18+Önkormányzat!N66+Márai!M8+Márai!M18+Márai!M24</f>
        <v>73767</v>
      </c>
    </row>
    <row r="16" spans="2:11" ht="15">
      <c r="D16" s="108" t="s">
        <v>169</v>
      </c>
      <c r="E16" s="108"/>
      <c r="F16" s="108"/>
      <c r="G16" s="108"/>
      <c r="H16" s="108"/>
      <c r="I16" s="108"/>
      <c r="J16" s="108"/>
      <c r="K16" s="109">
        <f ca="1">PMH!S12+PMH!S16+PMH!S22+Tündérkert!N9+Tündérkert!N13+Tündérkert!N19+Önkormányzat!N67+Márai!M9+Márai!M13+Márai!M19+Márai!M25</f>
        <v>265617</v>
      </c>
    </row>
    <row r="17" spans="2:12" ht="15">
      <c r="D17" s="108" t="s">
        <v>170</v>
      </c>
      <c r="E17" s="108"/>
      <c r="F17" s="108"/>
      <c r="G17" s="108"/>
      <c r="H17" s="108"/>
      <c r="I17" s="108"/>
      <c r="J17" s="108"/>
      <c r="K17" s="109">
        <f ca="1">Tündérkert!N24+Önkormányzat!N70</f>
        <v>20000</v>
      </c>
    </row>
    <row r="18" spans="2:12" ht="15">
      <c r="D18" s="108" t="s">
        <v>171</v>
      </c>
      <c r="E18" s="108"/>
      <c r="F18" s="108"/>
      <c r="G18" s="108"/>
      <c r="H18" s="108"/>
      <c r="I18" s="108"/>
      <c r="J18" s="108"/>
      <c r="K18" s="109">
        <f ca="1">Önkormányzat!N64+Önkormányzat!N71</f>
        <v>54634</v>
      </c>
    </row>
    <row r="19" spans="2:12" ht="15">
      <c r="D19" s="110" t="s">
        <v>172</v>
      </c>
      <c r="E19" s="110"/>
      <c r="F19" s="110"/>
      <c r="G19" s="111"/>
      <c r="H19" s="111"/>
      <c r="I19" s="111"/>
      <c r="J19" s="111"/>
      <c r="K19" s="112">
        <f ca="1">Önkormányzat!N72</f>
        <v>27050</v>
      </c>
    </row>
    <row r="20" spans="2:12" ht="15">
      <c r="D20" s="110" t="s">
        <v>185</v>
      </c>
      <c r="E20" s="110"/>
      <c r="F20" s="110"/>
      <c r="G20" s="111"/>
      <c r="H20" s="111"/>
      <c r="I20" s="111"/>
      <c r="J20" s="111"/>
      <c r="K20" s="112">
        <f ca="1">PMH!Q23</f>
        <v>1000</v>
      </c>
    </row>
    <row r="21" spans="2:12" ht="15">
      <c r="D21" s="110" t="s">
        <v>173</v>
      </c>
      <c r="E21" s="110"/>
      <c r="F21" s="110"/>
      <c r="G21" s="111"/>
      <c r="H21" s="111"/>
      <c r="I21" s="111"/>
      <c r="J21" s="111"/>
      <c r="K21" s="112">
        <f ca="1">Önkormányzat!N13</f>
        <v>3821</v>
      </c>
    </row>
    <row r="22" spans="2:12" ht="15">
      <c r="D22" s="113" t="s">
        <v>174</v>
      </c>
      <c r="E22" s="113"/>
      <c r="F22" s="113"/>
      <c r="G22" s="114"/>
      <c r="H22" s="114"/>
      <c r="I22" s="114"/>
      <c r="J22" s="114"/>
      <c r="K22" s="115"/>
      <c r="L22" s="116"/>
    </row>
    <row r="23" spans="2:12" ht="15.75">
      <c r="D23" s="10"/>
      <c r="E23" s="10"/>
      <c r="F23" s="10"/>
      <c r="G23" s="10"/>
      <c r="H23" s="10"/>
      <c r="I23" s="10"/>
      <c r="J23" s="10"/>
      <c r="K23" s="117">
        <f>SUM(K13:K22)</f>
        <v>1122608</v>
      </c>
    </row>
    <row r="24" spans="2:12" ht="15.75">
      <c r="D24" s="10"/>
      <c r="E24" s="10"/>
      <c r="F24" s="10"/>
      <c r="G24" s="10"/>
      <c r="H24" s="10"/>
      <c r="I24" s="10"/>
      <c r="J24" s="10"/>
      <c r="K24" s="117"/>
    </row>
    <row r="25" spans="2:12" ht="15.75">
      <c r="B25" s="10" t="s">
        <v>175</v>
      </c>
      <c r="C25" s="10"/>
      <c r="D25" s="10"/>
      <c r="E25" s="10"/>
      <c r="F25" s="10"/>
      <c r="G25" s="10"/>
      <c r="H25" s="10"/>
      <c r="I25" s="10"/>
      <c r="J25" s="118"/>
      <c r="K25" s="106">
        <f>K8-K11</f>
        <v>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&amp;RKöltségvetés egyenlege
I/c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Bevételek</vt:lpstr>
      <vt:lpstr>Kiadások</vt:lpstr>
      <vt:lpstr>PMH</vt:lpstr>
      <vt:lpstr>Tündérkert</vt:lpstr>
      <vt:lpstr>Márai</vt:lpstr>
      <vt:lpstr>Önkormányzat</vt:lpstr>
      <vt:lpstr>Műk.mérleg</vt:lpstr>
      <vt:lpstr>Felhalm.mérleg</vt:lpstr>
      <vt:lpstr>Többlet,-vagy hiány</vt:lpstr>
      <vt:lpstr>Felhalm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fizli.katalin</cp:lastModifiedBy>
  <cp:lastPrinted>2013-10-31T08:58:43Z</cp:lastPrinted>
  <dcterms:created xsi:type="dcterms:W3CDTF">2004-02-05T10:56:08Z</dcterms:created>
  <dcterms:modified xsi:type="dcterms:W3CDTF">2013-10-31T09:02:52Z</dcterms:modified>
</cp:coreProperties>
</file>