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K:\Zsuzsa_Margit\Költségvetés 2020\Zalaapáti\"/>
    </mc:Choice>
  </mc:AlternateContent>
  <xr:revisionPtr revIDLastSave="0" documentId="13_ncr:1_{2D920253-6DA2-4262-A22E-DAB994CBE091}" xr6:coauthVersionLast="45" xr6:coauthVersionMax="45" xr10:uidLastSave="{00000000-0000-0000-0000-000000000000}"/>
  <bookViews>
    <workbookView xWindow="-108" yWindow="-108" windowWidth="23256" windowHeight="12576" tabRatio="594" xr2:uid="{00000000-000D-0000-FFFF-FFFF00000000}"/>
  </bookViews>
  <sheets>
    <sheet name="indoklás 2020" sheetId="2" r:id="rId1"/>
    <sheet name="beruházások felújítások" sheetId="6" r:id="rId2"/>
  </sheets>
  <definedNames>
    <definedName name="_xlnm.Print_Area" localSheetId="1">'beruházások felújítások'!$A$1:$F$48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23" i="2" l="1"/>
  <c r="C84" i="2"/>
  <c r="C29" i="6" l="1"/>
  <c r="C21" i="6"/>
  <c r="E20" i="6"/>
  <c r="C69" i="6"/>
  <c r="E68" i="6"/>
  <c r="C36" i="2"/>
  <c r="C513" i="2" l="1"/>
  <c r="C511" i="2"/>
  <c r="C202" i="2" l="1"/>
  <c r="C34" i="2"/>
  <c r="C30" i="2" l="1"/>
  <c r="C763" i="2"/>
  <c r="C111" i="2" l="1"/>
  <c r="B507" i="2" l="1"/>
  <c r="B481" i="2"/>
  <c r="D72" i="6"/>
  <c r="D56" i="6"/>
  <c r="E57" i="6"/>
  <c r="E9" i="6"/>
  <c r="C681" i="2"/>
  <c r="B535" i="2"/>
  <c r="B529" i="2"/>
  <c r="C507" i="2"/>
  <c r="C499" i="2"/>
  <c r="C240" i="2"/>
  <c r="C737" i="2"/>
  <c r="C31" i="6"/>
  <c r="C71" i="6" s="1"/>
  <c r="C422" i="2"/>
  <c r="C401" i="2"/>
  <c r="C153" i="2"/>
  <c r="D71" i="6" l="1"/>
  <c r="D75" i="6" s="1"/>
  <c r="D58" i="6"/>
  <c r="D66" i="6"/>
  <c r="D67" i="6"/>
  <c r="D65" i="6"/>
  <c r="C397" i="2"/>
  <c r="C11" i="6"/>
  <c r="E10" i="6"/>
  <c r="C689" i="2"/>
  <c r="C671" i="2"/>
  <c r="C685" i="2"/>
  <c r="C663" i="2"/>
  <c r="C405" i="2"/>
  <c r="D69" i="6" l="1"/>
  <c r="C717" i="2"/>
  <c r="C721" i="2" s="1"/>
  <c r="C722" i="2" s="1"/>
  <c r="B721" i="2"/>
  <c r="B722" i="2" s="1"/>
  <c r="C257" i="2"/>
  <c r="C457" i="2"/>
  <c r="C466" i="2" s="1"/>
  <c r="C659" i="2"/>
  <c r="C665" i="2" s="1"/>
  <c r="C609" i="2"/>
  <c r="C469" i="2"/>
  <c r="C88" i="2"/>
  <c r="C91" i="2" l="1"/>
  <c r="C264" i="2"/>
  <c r="C791" i="2"/>
  <c r="C792" i="2"/>
  <c r="C793" i="2"/>
  <c r="B792" i="2"/>
  <c r="B793" i="2"/>
  <c r="C788" i="2"/>
  <c r="B789" i="2"/>
  <c r="B788" i="2"/>
  <c r="C785" i="2"/>
  <c r="C786" i="2"/>
  <c r="B785" i="2"/>
  <c r="B57" i="2" l="1"/>
  <c r="B54" i="2"/>
  <c r="B22" i="2" l="1"/>
  <c r="B20" i="2"/>
  <c r="B13" i="2"/>
  <c r="B17" i="2"/>
  <c r="B7" i="2"/>
  <c r="C20" i="2"/>
  <c r="C17" i="2"/>
  <c r="C14" i="2"/>
  <c r="B109" i="2" l="1"/>
  <c r="B796" i="2" l="1"/>
  <c r="B351" i="2" l="1"/>
  <c r="C351" i="2"/>
  <c r="B154" i="2"/>
  <c r="B117" i="2"/>
  <c r="B119" i="2" s="1"/>
  <c r="B786" i="2" l="1"/>
  <c r="B422" i="2"/>
  <c r="C417" i="2"/>
  <c r="C418" i="2" s="1"/>
  <c r="C423" i="2" s="1"/>
  <c r="B417" i="2"/>
  <c r="B418" i="2" s="1"/>
  <c r="B30" i="2"/>
  <c r="B423" i="2" l="1"/>
  <c r="B790" i="2"/>
  <c r="B737" i="2"/>
  <c r="B651" i="2"/>
  <c r="B791" i="2" s="1"/>
  <c r="B576" i="2"/>
  <c r="B406" i="2"/>
  <c r="B407" i="2" s="1"/>
  <c r="B277" i="2"/>
  <c r="C294" i="2"/>
  <c r="B294" i="2"/>
  <c r="C285" i="2"/>
  <c r="B285" i="2"/>
  <c r="B268" i="2"/>
  <c r="C268" i="2"/>
  <c r="C263" i="2"/>
  <c r="B263" i="2"/>
  <c r="B141" i="2"/>
  <c r="C399" i="2" l="1"/>
  <c r="C789" i="2"/>
  <c r="C790" i="2" s="1"/>
  <c r="C286" i="2"/>
  <c r="C295" i="2" s="1"/>
  <c r="B286" i="2"/>
  <c r="B295" i="2" s="1"/>
  <c r="C406" i="2" l="1"/>
  <c r="C407" i="2" s="1"/>
  <c r="C132" i="2"/>
  <c r="B132" i="2"/>
  <c r="C119" i="2"/>
  <c r="B94" i="2"/>
  <c r="C94" i="2"/>
  <c r="C90" i="2"/>
  <c r="B90" i="2"/>
  <c r="C122" i="2" l="1"/>
  <c r="B122" i="2"/>
  <c r="B134" i="2" s="1"/>
  <c r="E85" i="6"/>
  <c r="E84" i="6"/>
  <c r="E83" i="6"/>
  <c r="E82" i="6"/>
  <c r="E81" i="6"/>
  <c r="E80" i="6"/>
  <c r="E79" i="6"/>
  <c r="E78" i="6"/>
  <c r="E77" i="6"/>
  <c r="E76" i="6"/>
  <c r="D86" i="6"/>
  <c r="C75" i="6"/>
  <c r="E74" i="6"/>
  <c r="E73" i="6"/>
  <c r="E72" i="6"/>
  <c r="E71" i="6"/>
  <c r="E67" i="6"/>
  <c r="E66" i="6"/>
  <c r="E65" i="6"/>
  <c r="D64" i="6"/>
  <c r="C64" i="6"/>
  <c r="E63" i="6"/>
  <c r="E62" i="6"/>
  <c r="E61" i="6"/>
  <c r="E60" i="6"/>
  <c r="D59" i="6"/>
  <c r="C59" i="6"/>
  <c r="E58" i="6"/>
  <c r="E56" i="6"/>
  <c r="D55" i="6"/>
  <c r="C55" i="6"/>
  <c r="E54" i="6"/>
  <c r="E53" i="6"/>
  <c r="E52" i="6"/>
  <c r="E51" i="6"/>
  <c r="D45" i="6"/>
  <c r="C45" i="6"/>
  <c r="E44" i="6"/>
  <c r="E43" i="6"/>
  <c r="E42" i="6"/>
  <c r="E41" i="6"/>
  <c r="D40" i="6"/>
  <c r="C40" i="6"/>
  <c r="E39" i="6"/>
  <c r="E38" i="6"/>
  <c r="E37" i="6"/>
  <c r="E36" i="6"/>
  <c r="D35" i="6"/>
  <c r="E34" i="6"/>
  <c r="E33" i="6"/>
  <c r="E32" i="6"/>
  <c r="C35" i="6"/>
  <c r="E28" i="6"/>
  <c r="E27" i="6"/>
  <c r="E26" i="6"/>
  <c r="E25" i="6"/>
  <c r="E24" i="6"/>
  <c r="E23" i="6"/>
  <c r="E22" i="6"/>
  <c r="D21" i="6"/>
  <c r="E19" i="6"/>
  <c r="E17" i="6"/>
  <c r="D16" i="6"/>
  <c r="C16" i="6"/>
  <c r="E15" i="6"/>
  <c r="E14" i="6"/>
  <c r="E13" i="6"/>
  <c r="E12" i="6"/>
  <c r="D11" i="6"/>
  <c r="E8" i="6"/>
  <c r="D7" i="6"/>
  <c r="C7" i="6"/>
  <c r="E6" i="6"/>
  <c r="E5" i="6"/>
  <c r="C533" i="2"/>
  <c r="C46" i="6" l="1"/>
  <c r="E46" i="6" s="1"/>
  <c r="E40" i="6"/>
  <c r="E55" i="6"/>
  <c r="E64" i="6"/>
  <c r="E59" i="6"/>
  <c r="E16" i="6"/>
  <c r="E7" i="6"/>
  <c r="D47" i="6"/>
  <c r="E75" i="6"/>
  <c r="D70" i="6"/>
  <c r="E21" i="6"/>
  <c r="E29" i="6"/>
  <c r="E45" i="6"/>
  <c r="D30" i="6"/>
  <c r="E11" i="6"/>
  <c r="C47" i="6"/>
  <c r="E35" i="6"/>
  <c r="C86" i="6"/>
  <c r="E86" i="6" s="1"/>
  <c r="E31" i="6"/>
  <c r="E47" i="6" l="1"/>
  <c r="C30" i="6"/>
  <c r="E30" i="6" s="1"/>
  <c r="C760" i="2" l="1"/>
  <c r="C774" i="2" s="1"/>
  <c r="C707" i="2"/>
  <c r="B707" i="2"/>
  <c r="C239" i="2" l="1"/>
  <c r="B760" i="2" l="1"/>
  <c r="B774" i="2" s="1"/>
  <c r="B383" i="2" l="1"/>
  <c r="B533" i="2"/>
  <c r="B239" i="2"/>
  <c r="B178" i="2" l="1"/>
  <c r="C143" i="2"/>
  <c r="B143" i="2"/>
  <c r="B153" i="2"/>
  <c r="C648" i="2"/>
  <c r="C652" i="2" s="1"/>
  <c r="B648" i="2"/>
  <c r="B652" i="2" s="1"/>
  <c r="C379" i="2"/>
  <c r="C384" i="2" s="1"/>
  <c r="C375" i="2"/>
  <c r="B375" i="2"/>
  <c r="C695" i="2"/>
  <c r="B695" i="2"/>
  <c r="B668" i="2"/>
  <c r="C668" i="2"/>
  <c r="C664" i="2"/>
  <c r="B664" i="2"/>
  <c r="C364" i="2"/>
  <c r="C365" i="2" s="1"/>
  <c r="B364" i="2"/>
  <c r="B365" i="2" s="1"/>
  <c r="C748" i="2"/>
  <c r="B748" i="2"/>
  <c r="C634" i="2"/>
  <c r="B634" i="2"/>
  <c r="B613" i="2"/>
  <c r="C613" i="2"/>
  <c r="C608" i="2"/>
  <c r="B608" i="2"/>
  <c r="C589" i="2"/>
  <c r="C590" i="2" s="1"/>
  <c r="C591" i="2" s="1"/>
  <c r="B589" i="2"/>
  <c r="B590" i="2" s="1"/>
  <c r="B591" i="2" s="1"/>
  <c r="C576" i="2"/>
  <c r="C569" i="2"/>
  <c r="C570" i="2" s="1"/>
  <c r="B569" i="2"/>
  <c r="B570" i="2" s="1"/>
  <c r="C548" i="2"/>
  <c r="C549" i="2" s="1"/>
  <c r="C550" i="2" s="1"/>
  <c r="B548" i="2"/>
  <c r="B549" i="2" s="1"/>
  <c r="B550" i="2" s="1"/>
  <c r="C538" i="2"/>
  <c r="B538" i="2"/>
  <c r="B534" i="2"/>
  <c r="C534" i="2"/>
  <c r="C223" i="2"/>
  <c r="B223" i="2"/>
  <c r="C218" i="2"/>
  <c r="B218" i="2"/>
  <c r="B211" i="2"/>
  <c r="C206" i="2"/>
  <c r="B206" i="2"/>
  <c r="C449" i="2"/>
  <c r="B449" i="2"/>
  <c r="C440" i="2"/>
  <c r="C441" i="2" s="1"/>
  <c r="B440" i="2"/>
  <c r="B441" i="2" s="1"/>
  <c r="C189" i="2"/>
  <c r="B189" i="2"/>
  <c r="C178" i="2"/>
  <c r="C506" i="2"/>
  <c r="B506" i="2"/>
  <c r="C490" i="2"/>
  <c r="B490" i="2"/>
  <c r="B470" i="2"/>
  <c r="C470" i="2"/>
  <c r="C465" i="2"/>
  <c r="B465" i="2"/>
  <c r="C249" i="2"/>
  <c r="B249" i="2"/>
  <c r="B250" i="2" s="1"/>
  <c r="B332" i="2"/>
  <c r="C329" i="2"/>
  <c r="C330" i="2" s="1"/>
  <c r="B329" i="2"/>
  <c r="C319" i="2"/>
  <c r="B319" i="2"/>
  <c r="C311" i="2"/>
  <c r="B311" i="2"/>
  <c r="C6" i="2"/>
  <c r="C23" i="2" s="1"/>
  <c r="B6" i="2"/>
  <c r="B23" i="2" s="1"/>
  <c r="B74" i="2" s="1"/>
  <c r="C74" i="2" l="1"/>
  <c r="C795" i="2" s="1"/>
  <c r="C781" i="2"/>
  <c r="C207" i="2"/>
  <c r="B782" i="2"/>
  <c r="B144" i="2"/>
  <c r="B784" i="2"/>
  <c r="B781" i="2"/>
  <c r="B783" i="2"/>
  <c r="C179" i="2"/>
  <c r="C783" i="2"/>
  <c r="C144" i="2"/>
  <c r="C784" i="2"/>
  <c r="B179" i="2"/>
  <c r="B190" i="2" s="1"/>
  <c r="B159" i="2"/>
  <c r="C698" i="2"/>
  <c r="C708" i="2" s="1"/>
  <c r="C332" i="2"/>
  <c r="B219" i="2"/>
  <c r="B224" i="2" s="1"/>
  <c r="C250" i="2"/>
  <c r="C577" i="2"/>
  <c r="C383" i="2"/>
  <c r="C190" i="2"/>
  <c r="C450" i="2"/>
  <c r="B379" i="2"/>
  <c r="B384" i="2" s="1"/>
  <c r="B539" i="2"/>
  <c r="C539" i="2"/>
  <c r="C635" i="2"/>
  <c r="B698" i="2"/>
  <c r="B708" i="2" s="1"/>
  <c r="C491" i="2"/>
  <c r="C516" i="2" s="1"/>
  <c r="B450" i="2"/>
  <c r="B577" i="2"/>
  <c r="B635" i="2"/>
  <c r="B491" i="2"/>
  <c r="B516" i="2" s="1"/>
  <c r="B333" i="2"/>
  <c r="B320" i="2"/>
  <c r="C320" i="2"/>
  <c r="C159" i="2"/>
  <c r="C211" i="2" l="1"/>
  <c r="C219" i="2" s="1"/>
  <c r="C224" i="2" s="1"/>
  <c r="C782" i="2"/>
  <c r="C787" i="2" s="1"/>
  <c r="C794" i="2" s="1"/>
  <c r="C796" i="2" s="1"/>
  <c r="B787" i="2"/>
  <c r="B794" i="2" s="1"/>
  <c r="C333" i="2"/>
  <c r="B795" i="2"/>
  <c r="C134" i="2" l="1"/>
  <c r="B797" i="2"/>
  <c r="B798" i="2"/>
  <c r="C70" i="6" l="1"/>
  <c r="E70" i="6" s="1"/>
  <c r="E69" i="6"/>
</calcChain>
</file>

<file path=xl/sharedStrings.xml><?xml version="1.0" encoding="utf-8"?>
<sst xmlns="http://schemas.openxmlformats.org/spreadsheetml/2006/main" count="924" uniqueCount="347">
  <si>
    <t>Megnevezés</t>
  </si>
  <si>
    <t>Normatív állami hozzájárulás</t>
  </si>
  <si>
    <t>Bevételek mindösszesen:</t>
  </si>
  <si>
    <t>Szociális étkeztetés</t>
  </si>
  <si>
    <t>Állami hozzájárulások összesen:</t>
  </si>
  <si>
    <t>Személyi juttatások összesen:</t>
  </si>
  <si>
    <t>Munkaadót terhelő járulékok:</t>
  </si>
  <si>
    <t>Karbantartási,kisjavítási szolgáltatások</t>
  </si>
  <si>
    <t>Dologi és egyéb folyó kiadások összesen:</t>
  </si>
  <si>
    <t>Működési kiadások összesen:</t>
  </si>
  <si>
    <t>Felhalmozási kiadások összesen:</t>
  </si>
  <si>
    <t>Kiadások mindösszesen:</t>
  </si>
  <si>
    <t>Gépjárműadó</t>
  </si>
  <si>
    <t>Felhalmozási tartalék</t>
  </si>
  <si>
    <t>Kiadások összesen</t>
  </si>
  <si>
    <t>12.000 Ft*12 hó</t>
  </si>
  <si>
    <t>Felhalmozási kiadások összesen</t>
  </si>
  <si>
    <t>Személyi juttatások</t>
  </si>
  <si>
    <t>Munkaadói járulékok</t>
  </si>
  <si>
    <t>Támogatásértékű működési kiadások</t>
  </si>
  <si>
    <t>Szociális célú támogatások</t>
  </si>
  <si>
    <t>Működési kiadások</t>
  </si>
  <si>
    <t>Felújítási kiadások</t>
  </si>
  <si>
    <t>Beruházási kiadások</t>
  </si>
  <si>
    <t>Felhalmozási célú átadás</t>
  </si>
  <si>
    <t>Tartalékok</t>
  </si>
  <si>
    <t>Dologi és ellátotti juttatások</t>
  </si>
  <si>
    <t>cafeteria</t>
  </si>
  <si>
    <t>közfoglalkoztatás támogatása</t>
  </si>
  <si>
    <t>Szociális hozzájárulási adó</t>
  </si>
  <si>
    <t>Óvodapedagógusok elismert létszáma</t>
  </si>
  <si>
    <t>Óvodaped.munkáját segítő létszáma</t>
  </si>
  <si>
    <t>Karbantartási, kisjavítási szolgáltatás</t>
  </si>
  <si>
    <t>Könyvtári,közművelődési feladatok</t>
  </si>
  <si>
    <t>Kistérségi Társulás (házi gondozás)</t>
  </si>
  <si>
    <t>Óvodába bejáró gyermek utaztatása</t>
  </si>
  <si>
    <t>Közös Önkormányzati Hivatal működésének tám.</t>
  </si>
  <si>
    <t>Óvodaműködtetési támogatás</t>
  </si>
  <si>
    <t>Közös Hivatal</t>
  </si>
  <si>
    <t xml:space="preserve">Településüzemeltetéshez kapcsolódó feladatellátás </t>
  </si>
  <si>
    <t>Szociális feladatok egyéb támogatása</t>
  </si>
  <si>
    <t>Gyermekétkeztetés</t>
  </si>
  <si>
    <t>Általános támogatáshoz tartozó kiegészítés</t>
  </si>
  <si>
    <t>Termőföld bérbeadásból származó jöv.ut.SZJA</t>
  </si>
  <si>
    <t>Vagyoni típusú adók</t>
  </si>
  <si>
    <t>magánszemélyek kommunális adója</t>
  </si>
  <si>
    <t>Értékesítési és forgalmi adók</t>
  </si>
  <si>
    <t>állandó tevékenység után fizetett iparűzési adó</t>
  </si>
  <si>
    <t>helyi önkormányzatot megillető rész</t>
  </si>
  <si>
    <t>Egyéb áruhasználati és szolgáltatási adók</t>
  </si>
  <si>
    <t>Önk.vagyon üzemeltetési,koncessziós bevétel</t>
  </si>
  <si>
    <t>Kiszámlázott ÁFA bevétel</t>
  </si>
  <si>
    <t>Kamatbevételek</t>
  </si>
  <si>
    <t>Szolgáltatások ellenértéke</t>
  </si>
  <si>
    <t>Egyéb működési bevételek</t>
  </si>
  <si>
    <t>Üzemeltetési anyagok</t>
  </si>
  <si>
    <t>Szakmai tevékenységet segítő szolgáltatások</t>
  </si>
  <si>
    <t>Működési célú előzetesen felszámított ÁFA</t>
  </si>
  <si>
    <t>Ingatlanok felújítása</t>
  </si>
  <si>
    <t>Kiadások összesen:</t>
  </si>
  <si>
    <t>Ingatlanok beszerzése,létesítése</t>
  </si>
  <si>
    <t>Külső személyi juttatások</t>
  </si>
  <si>
    <t>011130 Önkormányzatok és önkormányzati hivatalok ált.igazgatási tevékenysége</t>
  </si>
  <si>
    <t>Törvény szerinti illetmények,munkabérek</t>
  </si>
  <si>
    <t>Béren kívüli juttatások</t>
  </si>
  <si>
    <t>Választott tisztségviselők juttatása</t>
  </si>
  <si>
    <t>Szakmai anyagok beszerzése</t>
  </si>
  <si>
    <t>Üzemeltetési anyagok beszerzése</t>
  </si>
  <si>
    <t>Informatikai szolgáltatások igénybevétele</t>
  </si>
  <si>
    <t>telefondíj</t>
  </si>
  <si>
    <t>Egyéb kommunikációs szolgáltatás</t>
  </si>
  <si>
    <t>Bérleti és lízing díjak</t>
  </si>
  <si>
    <t>Egyéb szolgáltatások</t>
  </si>
  <si>
    <t>Kiküldetések kiadásai</t>
  </si>
  <si>
    <t xml:space="preserve">Reklám- és propaganda kiadások </t>
  </si>
  <si>
    <t>Egyéb dologi kiadások</t>
  </si>
  <si>
    <t>Működési célú támogatások</t>
  </si>
  <si>
    <t>Egyéb tárgyi eszközök beszerzése, létesítése</t>
  </si>
  <si>
    <t>Beruházási célú előzetesen felszámított ÁFA</t>
  </si>
  <si>
    <t>Törvény szerinti illetmények, munkabérek</t>
  </si>
  <si>
    <t xml:space="preserve">telefondíj </t>
  </si>
  <si>
    <t>Közüzemi díjak</t>
  </si>
  <si>
    <t>tüzoltószertár, üres szolgálati lakások</t>
  </si>
  <si>
    <t>Fizetendő ÁFA</t>
  </si>
  <si>
    <t>Működési célú egyéb támogatások</t>
  </si>
  <si>
    <t>Egyéb tárgyi eszközök beszerzése,létesítése</t>
  </si>
  <si>
    <t>Felhalmozási célú egyéb támogatás</t>
  </si>
  <si>
    <t>013320 Köztemető-fenntartás és működtetés</t>
  </si>
  <si>
    <t>064010 Közvilágítás</t>
  </si>
  <si>
    <t>072111 Háziorvosi alapellátás</t>
  </si>
  <si>
    <t>072112 Háziorvosi ügyeleti ellátás</t>
  </si>
  <si>
    <t>072312 Fogorvosi ügyeleti ellátás</t>
  </si>
  <si>
    <t>074031 Család és nővédelmi egészségügyi gondozás</t>
  </si>
  <si>
    <t>Közlekedési költségtérítés</t>
  </si>
  <si>
    <t>Foglalkoztatottak egyéb személyi juttatásai</t>
  </si>
  <si>
    <t>Karbantartási, kisjavítási szolgáltatások</t>
  </si>
  <si>
    <t>107060 Egyéb szociális pénzbeli ellátások, támogatások</t>
  </si>
  <si>
    <t>Köztemetés</t>
  </si>
  <si>
    <t>Működési kölcsönök nyújtása háztartásoknak</t>
  </si>
  <si>
    <t>082092 Közművelődés-hagyományos közösségi kulturális értékek gondozása</t>
  </si>
  <si>
    <t>081045 Szabadidősport tevékenység és támogatása</t>
  </si>
  <si>
    <t>Működési célú egyéb támogatás</t>
  </si>
  <si>
    <t>045150 Egyéb szárazföldi személyszállítás</t>
  </si>
  <si>
    <t>Egyéb önkormányzati feladatok tám.</t>
  </si>
  <si>
    <t>041233 Hosszabb időtartamú közfoglalkoztatás</t>
  </si>
  <si>
    <t>Egyéb kommunikációs szolgáltatások</t>
  </si>
  <si>
    <t>Intézményi Társulás</t>
  </si>
  <si>
    <t>Felújítási célú előzetesen felszámított ÁFA</t>
  </si>
  <si>
    <t>Informatikai eszközök beszerzése, létesítése</t>
  </si>
  <si>
    <t>Üdülőhelyi feladatok támogatása</t>
  </si>
  <si>
    <t>anyagok,eszközök</t>
  </si>
  <si>
    <t>gépkocsi,fűkaszák</t>
  </si>
  <si>
    <t>052080 Szennyvízcsatorna építése, fenntartása, üzemeltetése</t>
  </si>
  <si>
    <t>Hiteltörlesztés</t>
  </si>
  <si>
    <t>Működési célú költségvetési és kiegészítő támog.</t>
  </si>
  <si>
    <t>Áht-n belüli megelőlegezés</t>
  </si>
  <si>
    <t>Egyéb működési célú támogatás elk.áll.alapoktól</t>
  </si>
  <si>
    <t>Egyéb működési támogatás fejezettől</t>
  </si>
  <si>
    <t>Egyéb működési támogatás központi kezelésű ei.</t>
  </si>
  <si>
    <t>Egyéb működési támogatás társadalombizt.alaptól</t>
  </si>
  <si>
    <t>Egyéb működési célú tám. helyi önkorm.</t>
  </si>
  <si>
    <t>Egyéb felhalmozási célú támogatás fejezettől</t>
  </si>
  <si>
    <t>Egyéb felhalmozási célú támog. önkormányztoktól</t>
  </si>
  <si>
    <t>Ingatlanok értékesítése</t>
  </si>
  <si>
    <t>Egyéb tárgyi eszközök értékesítése</t>
  </si>
  <si>
    <t>Működési célú kölcsön megtérülése</t>
  </si>
  <si>
    <t>Munkaadót terhelő SZJA.</t>
  </si>
  <si>
    <t>Munkáltatót terhelő SZJA.</t>
  </si>
  <si>
    <t>kaszálásokhoz +gépkocsi üzemanyag,eszköz,</t>
  </si>
  <si>
    <t>Táppénz hozzájárulás</t>
  </si>
  <si>
    <t>072311 Fogorvosi alapellátás</t>
  </si>
  <si>
    <t>Egyéb jogviszonyban nem saját foglalkoztatottak</t>
  </si>
  <si>
    <t>Települési támogatás</t>
  </si>
  <si>
    <t>Egyéb az önkorm.rend. megállapított juttatás</t>
  </si>
  <si>
    <t>Fizetendő általános forgalmi adó</t>
  </si>
  <si>
    <t>Működési célú támogatás nyújtása vállalkozásnak</t>
  </si>
  <si>
    <t>018010 Önkormányzatok elszámolásai a központi költségvetéssel</t>
  </si>
  <si>
    <t>Elvonások és befizetések</t>
  </si>
  <si>
    <t>áht-n belüli megelőlegezés, előző évi elszámolás</t>
  </si>
  <si>
    <t>fűkaszák</t>
  </si>
  <si>
    <t>Előző évi maradvány igénybevétele</t>
  </si>
  <si>
    <t>Közalapítvány, lakosság</t>
  </si>
  <si>
    <t>Felhalmozási célú önkormányzati támogatások</t>
  </si>
  <si>
    <t>Ingatlanok beszerzése, létesítése</t>
  </si>
  <si>
    <t>Vásárolt élelmezés</t>
  </si>
  <si>
    <t>Reklám- és propaganda kiadások</t>
  </si>
  <si>
    <t>104037 Intézményen kívüli gyermekétkeztetés</t>
  </si>
  <si>
    <t>042120 Mezőgazdasági támogatások</t>
  </si>
  <si>
    <t>Rászoruló gyermekek szünidei étkeztetésének tám.</t>
  </si>
  <si>
    <t>Közvetített szolgáltatások ellenértéke</t>
  </si>
  <si>
    <t>Szabálysértési bírságok bevétele</t>
  </si>
  <si>
    <t>polgármester,alpolgármester,cafeteria</t>
  </si>
  <si>
    <t>biztosítás</t>
  </si>
  <si>
    <t>Önkormányzat saját hat.adott ellátás</t>
  </si>
  <si>
    <t>Bölcsődei ellátás</t>
  </si>
  <si>
    <t>Megbízási díjak</t>
  </si>
  <si>
    <t>Felújítási célú előzetesen felszámítot ÁFA</t>
  </si>
  <si>
    <t>Részesedések értékesítése</t>
  </si>
  <si>
    <t>Felújítási célú ÁFA</t>
  </si>
  <si>
    <t>Egyéb tárgyi eszközök felújítása</t>
  </si>
  <si>
    <t xml:space="preserve">Egyéb szolgáltatások </t>
  </si>
  <si>
    <t>Bérleti és lízingdíjak</t>
  </si>
  <si>
    <t>Nem saját foglalkoztatottaknak fizetett juttatások</t>
  </si>
  <si>
    <t>Immateriális javak beszerzése,létesítése</t>
  </si>
  <si>
    <t>Működési célúelőzetesen felszámított ÁFA</t>
  </si>
  <si>
    <t>Egyéb közhatalmi bevételek</t>
  </si>
  <si>
    <t>Polgármesteri illetmény támogatása</t>
  </si>
  <si>
    <t>idegenforgalmi adó,</t>
  </si>
  <si>
    <t>talajterhelési díj,pótlék</t>
  </si>
  <si>
    <t>Lekötött betét</t>
  </si>
  <si>
    <t xml:space="preserve">Működési tartalékok </t>
  </si>
  <si>
    <t>zártkerti ing. , gyümölcsfa,kerítés….</t>
  </si>
  <si>
    <t>3 fő</t>
  </si>
  <si>
    <t>biztosítások,tűzvédelmi, munkavédelmi…</t>
  </si>
  <si>
    <t>gyógyszer</t>
  </si>
  <si>
    <t>Kistérségi Társulás (belső ellenőrzés+tagdíj)</t>
  </si>
  <si>
    <t>Vöröskereszt</t>
  </si>
  <si>
    <t xml:space="preserve">Polgárőrség támogatás </t>
  </si>
  <si>
    <t>fogászati ügyelet 60Ft/fő/év</t>
  </si>
  <si>
    <t>7. melléklet</t>
  </si>
  <si>
    <t>szociális tűzifa kiszállítása</t>
  </si>
  <si>
    <t>gyermekek tám.</t>
  </si>
  <si>
    <t>Háztartásoknak egyéb működési célú támogatások kiadásai</t>
  </si>
  <si>
    <t>051040 Nem veszélyes hulladék kezelése, ártalmatlanítása</t>
  </si>
  <si>
    <t>045161 Kerékpárutak üzemeltetése, fenntartása</t>
  </si>
  <si>
    <t>köztéri wifi EFOP 1.5.2</t>
  </si>
  <si>
    <t>szociális tűzifa, téli rezsicsökkentés</t>
  </si>
  <si>
    <t>hulladékszállítás</t>
  </si>
  <si>
    <t xml:space="preserve">Beruházások és felújítások </t>
  </si>
  <si>
    <t>3.melléklet</t>
  </si>
  <si>
    <t>Rovat megnevezése</t>
  </si>
  <si>
    <t>Rovat-szám</t>
  </si>
  <si>
    <t>ÖNKORMÁNYZATI ELŐIRÁNYZATOK</t>
  </si>
  <si>
    <t>KÖZÖS HIVATAL ELŐIRÁNYZAT</t>
  </si>
  <si>
    <t>MINDÖSSZESEN</t>
  </si>
  <si>
    <t>Immateriális javak beszerzése, létesítése</t>
  </si>
  <si>
    <t>K61</t>
  </si>
  <si>
    <t xml:space="preserve">Ingatlanok beszerzése, létesítése </t>
  </si>
  <si>
    <t>K62</t>
  </si>
  <si>
    <t>K63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</si>
  <si>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</si>
  <si>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</si>
  <si>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</si>
  <si>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</si>
  <si>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</si>
  <si>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</si>
  <si>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</si>
  <si>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 xml:space="preserve">Beruházások </t>
  </si>
  <si>
    <t>K6</t>
  </si>
  <si>
    <t>Községháza felújítás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</si>
  <si>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</si>
  <si>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</si>
  <si>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</si>
  <si>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</si>
  <si>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</si>
  <si>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</si>
  <si>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</si>
  <si>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 xml:space="preserve">Felújítások </t>
  </si>
  <si>
    <t>K7</t>
  </si>
  <si>
    <t>nettó</t>
  </si>
  <si>
    <t>áfa</t>
  </si>
  <si>
    <t>Összesen</t>
  </si>
  <si>
    <t>egészségház felújítás</t>
  </si>
  <si>
    <t>Zalaapáti Község Önkormányzatának 2020. évi költségvetése</t>
  </si>
  <si>
    <t>2019. évi várható teljesítés</t>
  </si>
  <si>
    <t>2020. évi terv</t>
  </si>
  <si>
    <t>terembérlet</t>
  </si>
  <si>
    <t>épület karbantartás, kazán javítás</t>
  </si>
  <si>
    <t>018030 Támogatási célú finanszírozási műveletek</t>
  </si>
  <si>
    <t>Nemzetiségi Önkormányzat</t>
  </si>
  <si>
    <t>temető megújítási koncepcióterv</t>
  </si>
  <si>
    <t>hosszab időtartamú közfoglalkoztatás</t>
  </si>
  <si>
    <t>betegszabadság</t>
  </si>
  <si>
    <t>Reklám-és propagandakiadások</t>
  </si>
  <si>
    <t>bérkompenzáció</t>
  </si>
  <si>
    <t>045160 Közutak, hidak, alagutak üzemeltetése, fenntartása</t>
  </si>
  <si>
    <t>062020 Településfejlesztési projektek és támogatásuk</t>
  </si>
  <si>
    <t>066020 Város-, községgazdálkodási egyéb szolgáltatások</t>
  </si>
  <si>
    <t>Egyházi jogi személynek nyújtott támogatás</t>
  </si>
  <si>
    <t>Fogorvosi rendelő eszközfejlesztése</t>
  </si>
  <si>
    <t>helyettesítés</t>
  </si>
  <si>
    <t>TAO támogatáshoz önrész</t>
  </si>
  <si>
    <t>Ingatlan vásárlás</t>
  </si>
  <si>
    <t>107051 Szociális étkeztetés szociális konyhán</t>
  </si>
  <si>
    <t>Működési célú támogatás nyújtása háztartásoknak</t>
  </si>
  <si>
    <t>védőnői szolg.</t>
  </si>
  <si>
    <t>63080 Vízellátással kapcsolatos közmű építése, fenntartása, üzemeltetése</t>
  </si>
  <si>
    <t xml:space="preserve"> közút fejlesztési tervdokumentáció, igazg. szolg. díj</t>
  </si>
  <si>
    <t>ügyeleti díj 80 Ft/fő</t>
  </si>
  <si>
    <t>Irodaszer, nyomtatvány</t>
  </si>
  <si>
    <t>Elszámolásból származó bevételek</t>
  </si>
  <si>
    <t>Tulajdonosi bevételek</t>
  </si>
  <si>
    <t>kerekítés</t>
  </si>
  <si>
    <t>honlap karbantartás, tanácsadó</t>
  </si>
  <si>
    <t>tanácsadói, 1 fő, 10 hónap, 50.000 Ft/hó</t>
  </si>
  <si>
    <t>tagdíj</t>
  </si>
  <si>
    <t>Egészségház  TOP-4.1.1.-15 pályázat előzetes költségei</t>
  </si>
  <si>
    <t>104031 Gyermekek bölcsődében és mini bölcsődében történő ellátása</t>
  </si>
  <si>
    <t>Bölcsőde átalakítás</t>
  </si>
  <si>
    <t>Bölcsődei fejlesztési program, Bölcsőde átalakítás</t>
  </si>
  <si>
    <t>Eszközbeszerzés</t>
  </si>
  <si>
    <t>Önkormányzat 2020. évi költségvetése</t>
  </si>
  <si>
    <t>Kis példaképeink ösztöndíj</t>
  </si>
  <si>
    <t xml:space="preserve">EFOP rendezvénybútorok, CsSP Boróka Néptáncegyüttes, Népdalkör </t>
  </si>
  <si>
    <t>Magyar Falu, Óvodaudvar</t>
  </si>
  <si>
    <t>Magyar Falu, Temető fejlesztés</t>
  </si>
  <si>
    <t>Magyar Falu eszközbeszerzés, traktor</t>
  </si>
  <si>
    <t>Bölcsőde átalakítás, eszközök</t>
  </si>
  <si>
    <t>bérkiegyenlítés, szoc. tűzifa; várható kiegészítés a Közös Hivatal működésének támogatásához</t>
  </si>
  <si>
    <t>lomtalanítás 2019-2020. év</t>
  </si>
  <si>
    <t>Magyar Falu P.: traktor beszerzés (2019), óvoda udvar</t>
  </si>
  <si>
    <t>Magyar Falu P.: Temető útfelújítás + kiegészítés, parkoló kiépítése</t>
  </si>
  <si>
    <t>2019.01-06.hó: bér 19,5%-a, 2019.07. hótól: bér 17,5%-a</t>
  </si>
  <si>
    <t>Település rendezési terv módosítása</t>
  </si>
  <si>
    <t>Betlehemi LED világítás, rendezvénysátor ponyva</t>
  </si>
  <si>
    <t>Helyi közösségi terek fejlesztése, pályázat előkészítése</t>
  </si>
  <si>
    <t>Múzeum vízszigetelése</t>
  </si>
  <si>
    <t>Zalaapáti Értékeiért Alapítvány - Fánkkarnevál</t>
  </si>
  <si>
    <t>"Apáti" nevű települések Közalapítvány</t>
  </si>
  <si>
    <t>Keszthelyi Mentők Alapítvány</t>
  </si>
  <si>
    <t>tisztítószer,eszközök (2019: vizsgálóasztal)</t>
  </si>
  <si>
    <t>Rendezvények, CsSP Boróka Néptáncegyüttes, Népdalkör oktatás; Apáti települések találkozója</t>
  </si>
  <si>
    <t>kiadványok,könyvek (Zalavári bencés apátság története)</t>
  </si>
  <si>
    <t>Zalavíz elszámolásból</t>
  </si>
  <si>
    <t>EFOP 1.5.2, EFOP 3.3.2, Boróka Táncegyüttes, Rozmaring Népdalkör, Zártkerti pályázat 25%-a</t>
  </si>
  <si>
    <t>Zártkerti pályázat ingatlan beszerzés</t>
  </si>
  <si>
    <t>Zártkerti pályázat, útfelújítás</t>
  </si>
  <si>
    <t>046020 Vezetékes műsorelosztás, kábeltelevíziós rendszerek</t>
  </si>
  <si>
    <t>pm.biztosítás, bank szolgáltatási díjak, 2019: községháza műszaki ellenőrzés</t>
  </si>
  <si>
    <t>Megbízási díj</t>
  </si>
  <si>
    <t>Kovács Katalin megbízása 3 hónap: 02-04. hó</t>
  </si>
  <si>
    <t>Egyéb (Galuska 1.000.000 Ft)</t>
  </si>
  <si>
    <t>pm, alpm.</t>
  </si>
  <si>
    <t>Egyéb működési célú tám. alapítványtól</t>
  </si>
  <si>
    <t>B114</t>
  </si>
  <si>
    <t>K1101</t>
  </si>
  <si>
    <t>K121</t>
  </si>
  <si>
    <t>K122</t>
  </si>
  <si>
    <t>K2</t>
  </si>
  <si>
    <t>K311</t>
  </si>
  <si>
    <t>K312</t>
  </si>
  <si>
    <t>K321</t>
  </si>
  <si>
    <t>K322</t>
  </si>
  <si>
    <t>K333</t>
  </si>
  <si>
    <t>K334</t>
  </si>
  <si>
    <t>K336</t>
  </si>
  <si>
    <t>K337</t>
  </si>
  <si>
    <t>K341</t>
  </si>
  <si>
    <t>K342</t>
  </si>
  <si>
    <t>K351</t>
  </si>
  <si>
    <t>K355</t>
  </si>
  <si>
    <t>K914</t>
  </si>
  <si>
    <t>K915</t>
  </si>
  <si>
    <t>K506</t>
  </si>
  <si>
    <t>K331</t>
  </si>
  <si>
    <t>K1113</t>
  </si>
  <si>
    <t>Államháztartáson belüli kamatkiadások</t>
  </si>
  <si>
    <t>K353</t>
  </si>
  <si>
    <t>K1107</t>
  </si>
  <si>
    <t>K512</t>
  </si>
  <si>
    <t>K352</t>
  </si>
  <si>
    <t>K89</t>
  </si>
  <si>
    <t>K1109</t>
  </si>
  <si>
    <t>K332</t>
  </si>
  <si>
    <t>K48</t>
  </si>
  <si>
    <t>K508</t>
  </si>
  <si>
    <t>K513</t>
  </si>
  <si>
    <t>B111</t>
  </si>
  <si>
    <t>B112</t>
  </si>
  <si>
    <t>B113</t>
  </si>
  <si>
    <t>B16</t>
  </si>
  <si>
    <t>B34</t>
  </si>
  <si>
    <t>B351</t>
  </si>
  <si>
    <t>B354</t>
  </si>
  <si>
    <t>B355</t>
  </si>
  <si>
    <t>B36</t>
  </si>
  <si>
    <t>B402</t>
  </si>
  <si>
    <t>B404</t>
  </si>
  <si>
    <t>B403</t>
  </si>
  <si>
    <t>B406</t>
  </si>
  <si>
    <t>B411</t>
  </si>
  <si>
    <t>B64</t>
  </si>
  <si>
    <t>Képviselők felajánlása (Iskola, Óvoda, néptánc cs., Bozsik Program)</t>
  </si>
  <si>
    <t>harangöntés</t>
  </si>
  <si>
    <t>Harangöntés</t>
  </si>
  <si>
    <t>B8131</t>
  </si>
  <si>
    <t>B817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</si>
</sst>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b/>
      <i/>
      <sz val="11"/>
      <color indexed="8"/>
      <name val="Calibri"/>
      <family val="2"/>
      <charset val="238"/>
    </font>
    <font>
      <i/>
      <sz val="11"/>
      <color indexed="8"/>
      <name val="Calibri"/>
      <family val="2"/>
      <charset val="238"/>
    </font>
    <font>
      <b/>
      <sz val="11"/>
      <name val="Calibri"/>
      <family val="2"/>
      <charset val="238"/>
      <scheme val="minor"/>
    </font>
    <font>
      <sz val="11"/>
      <color theme="7"/>
      <name val="Calibri"/>
      <family val="2"/>
      <charset val="238"/>
      <scheme val="minor"/>
    </font>
    <font>
      <sz val="10"/>
      <name val="Arial CE"/>
      <charset val="238"/>
    </font>
    <font>
      <b/>
      <sz val="11"/>
      <color theme="8"/>
      <name val="Calibri"/>
      <family val="2"/>
      <charset val="238"/>
      <scheme val="minor"/>
    </font>
    <font>
      <sz val="11"/>
      <color theme="8"/>
      <name val="Calibri"/>
      <family val="2"/>
      <charset val="238"/>
      <scheme val="minor"/>
    </font>
    <font>
      <b/>
      <sz val="14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b/>
      <sz val="10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sz val="10"/>
      <color theme="1"/>
      <name val="Bookman Old Style"/>
      <family val="1"/>
      <charset val="238"/>
    </font>
    <font>
      <sz val="11"/>
      <color theme="1"/>
      <name val="Bookman Old Style"/>
      <family val="1"/>
      <charset val="238"/>
    </font>
    <font>
      <b/>
      <sz val="10"/>
      <name val="Bookman Old Style"/>
      <family val="1"/>
      <charset val="238"/>
    </font>
    <font>
      <b/>
      <sz val="11"/>
      <color theme="1"/>
      <name val="Bookman Old Style"/>
      <family val="1"/>
      <charset val="238"/>
    </font>
    <font>
      <sz val="10"/>
      <name val="Bookman Old Style"/>
      <family val="1"/>
      <charset val="238"/>
    </font>
    <font>
      <b/>
      <sz val="12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8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double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double">
        <color auto="1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/>
      <top/>
      <bottom style="double">
        <color auto="1"/>
      </bottom>
      <diagonal/>
    </border>
    <border>
      <left style="thin">
        <color auto="1"/>
      </left>
      <right style="medium">
        <color indexed="64"/>
      </right>
      <top/>
      <bottom style="double">
        <color auto="1"/>
      </bottom>
      <diagonal/>
    </border>
    <border>
      <left style="medium">
        <color indexed="64"/>
      </left>
      <right/>
      <top style="double">
        <color auto="1"/>
      </top>
      <bottom style="double">
        <color auto="1"/>
      </bottom>
      <diagonal/>
    </border>
    <border>
      <left style="thin">
        <color auto="1"/>
      </left>
      <right style="medium">
        <color indexed="64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double">
        <color auto="1"/>
      </top>
      <bottom style="thin">
        <color auto="1"/>
      </bottom>
      <diagonal/>
    </border>
    <border>
      <left style="medium">
        <color indexed="64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medium">
        <color indexed="64"/>
      </right>
      <top style="double">
        <color auto="1"/>
      </top>
      <bottom style="double">
        <color auto="1"/>
      </bottom>
      <diagonal/>
    </border>
    <border>
      <left style="medium">
        <color indexed="64"/>
      </left>
      <right/>
      <top style="double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double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 style="medium">
        <color indexed="64"/>
      </left>
      <right style="double">
        <color auto="1"/>
      </right>
      <top/>
      <bottom style="medium">
        <color indexed="64"/>
      </bottom>
      <diagonal/>
    </border>
    <border>
      <left style="double">
        <color auto="1"/>
      </left>
      <right style="double">
        <color auto="1"/>
      </right>
      <top/>
      <bottom style="medium">
        <color indexed="64"/>
      </bottom>
      <diagonal/>
    </border>
    <border>
      <left style="double">
        <color auto="1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double">
        <color auto="1"/>
      </bottom>
      <diagonal/>
    </border>
    <border>
      <left style="medium">
        <color indexed="64"/>
      </left>
      <right style="double">
        <color auto="1"/>
      </right>
      <top style="double">
        <color auto="1"/>
      </top>
      <bottom style="medium">
        <color indexed="64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medium">
        <color indexed="64"/>
      </bottom>
      <diagonal/>
    </border>
    <border>
      <left style="double">
        <color auto="1"/>
      </left>
      <right style="medium">
        <color indexed="64"/>
      </right>
      <top style="double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double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auto="1"/>
      </top>
      <bottom style="double">
        <color auto="1"/>
      </bottom>
      <diagonal/>
    </border>
    <border>
      <left style="medium">
        <color indexed="64"/>
      </left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medium">
        <color indexed="64"/>
      </right>
      <top style="double">
        <color auto="1"/>
      </top>
      <bottom/>
      <diagonal/>
    </border>
    <border>
      <left/>
      <right style="medium">
        <color indexed="64"/>
      </right>
      <top/>
      <bottom style="double">
        <color auto="1"/>
      </bottom>
      <diagonal/>
    </border>
    <border>
      <left style="medium">
        <color indexed="64"/>
      </left>
      <right style="thin">
        <color auto="1"/>
      </right>
      <top style="double">
        <color auto="1"/>
      </top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 style="double">
        <color indexed="64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double">
        <color auto="1"/>
      </right>
      <top style="medium">
        <color indexed="64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medium">
        <color indexed="64"/>
      </top>
      <bottom style="double">
        <color auto="1"/>
      </bottom>
      <diagonal/>
    </border>
    <border>
      <left style="double">
        <color auto="1"/>
      </left>
      <right style="medium">
        <color indexed="64"/>
      </right>
      <top style="medium">
        <color indexed="64"/>
      </top>
      <bottom style="double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medium">
        <color indexed="64"/>
      </right>
      <top style="double">
        <color auto="1"/>
      </top>
      <bottom/>
      <diagonal/>
    </border>
    <border>
      <left style="medium">
        <color indexed="64"/>
      </left>
      <right style="double">
        <color auto="1"/>
      </right>
      <top style="thin">
        <color indexed="64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thin">
        <color indexed="64"/>
      </top>
      <bottom style="double">
        <color auto="1"/>
      </bottom>
      <diagonal/>
    </border>
    <border>
      <left style="double">
        <color auto="1"/>
      </left>
      <right style="medium">
        <color indexed="64"/>
      </right>
      <top style="thin">
        <color indexed="64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/>
      <diagonal/>
    </border>
  </borders>
  <cellStyleXfs count="2">
    <xf numFmtId="0" fontId="0" fillId="0" borderId="0"/>
    <xf numFmtId="0" fontId="9" fillId="0" borderId="0"/>
  </cellStyleXfs>
  <cellXfs count="279">
    <xf numFmtId="0" fontId="0" fillId="0" borderId="0" xfId="0"/>
    <xf numFmtId="0" fontId="0" fillId="0" borderId="0" xfId="0"/>
    <xf numFmtId="0" fontId="3" fillId="0" borderId="0" xfId="0" applyFont="1"/>
    <xf numFmtId="0" fontId="0" fillId="0" borderId="0" xfId="0" applyFill="1"/>
    <xf numFmtId="0" fontId="14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wrapText="1"/>
    </xf>
    <xf numFmtId="0" fontId="14" fillId="0" borderId="1" xfId="0" applyFont="1" applyBorder="1" applyAlignment="1">
      <alignment wrapText="1"/>
    </xf>
    <xf numFmtId="0" fontId="16" fillId="0" borderId="1" xfId="0" applyFont="1" applyBorder="1"/>
    <xf numFmtId="0" fontId="0" fillId="0" borderId="1" xfId="0" applyBorder="1"/>
    <xf numFmtId="3" fontId="17" fillId="0" borderId="1" xfId="0" applyNumberFormat="1" applyFont="1" applyBorder="1"/>
    <xf numFmtId="0" fontId="18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left" vertical="center"/>
    </xf>
    <xf numFmtId="3" fontId="19" fillId="0" borderId="1" xfId="0" applyNumberFormat="1" applyFont="1" applyBorder="1"/>
    <xf numFmtId="0" fontId="20" fillId="0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left" vertical="center"/>
    </xf>
    <xf numFmtId="0" fontId="15" fillId="0" borderId="1" xfId="0" applyFont="1" applyFill="1" applyBorder="1" applyAlignment="1">
      <alignment horizontal="left" vertical="center" wrapText="1"/>
    </xf>
    <xf numFmtId="0" fontId="21" fillId="2" borderId="1" xfId="0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horizontal="left" vertical="center"/>
    </xf>
    <xf numFmtId="3" fontId="17" fillId="0" borderId="1" xfId="0" applyNumberFormat="1" applyFont="1" applyFill="1" applyBorder="1"/>
    <xf numFmtId="3" fontId="17" fillId="0" borderId="0" xfId="0" applyNumberFormat="1" applyFont="1"/>
    <xf numFmtId="0" fontId="22" fillId="0" borderId="1" xfId="0" applyFont="1" applyBorder="1"/>
    <xf numFmtId="3" fontId="22" fillId="0" borderId="1" xfId="0" applyNumberFormat="1" applyFont="1" applyBorder="1"/>
    <xf numFmtId="3" fontId="22" fillId="0" borderId="1" xfId="0" applyNumberFormat="1" applyFont="1" applyBorder="1" applyAlignment="1">
      <alignment horizontal="center" vertical="center"/>
    </xf>
    <xf numFmtId="0" fontId="23" fillId="0" borderId="0" xfId="0" applyFont="1"/>
    <xf numFmtId="0" fontId="23" fillId="0" borderId="1" xfId="0" applyFont="1" applyBorder="1"/>
    <xf numFmtId="3" fontId="15" fillId="0" borderId="1" xfId="0" applyNumberFormat="1" applyFont="1" applyBorder="1"/>
    <xf numFmtId="3" fontId="14" fillId="0" borderId="1" xfId="0" applyNumberFormat="1" applyFont="1" applyBorder="1"/>
    <xf numFmtId="3" fontId="16" fillId="0" borderId="1" xfId="0" applyNumberFormat="1" applyFont="1" applyBorder="1"/>
    <xf numFmtId="0" fontId="14" fillId="0" borderId="1" xfId="0" applyFont="1" applyFill="1" applyBorder="1" applyAlignment="1">
      <alignment horizontal="left" vertical="center" wrapText="1"/>
    </xf>
    <xf numFmtId="0" fontId="0" fillId="0" borderId="0" xfId="0" applyFill="1" applyBorder="1" applyAlignment="1"/>
    <xf numFmtId="0" fontId="2" fillId="0" borderId="0" xfId="0" applyFont="1" applyFill="1" applyBorder="1" applyAlignment="1"/>
    <xf numFmtId="0" fontId="1" fillId="0" borderId="0" xfId="0" applyFont="1" applyFill="1" applyAlignment="1"/>
    <xf numFmtId="3" fontId="1" fillId="0" borderId="13" xfId="0" applyNumberFormat="1" applyFont="1" applyFill="1" applyBorder="1" applyAlignment="1"/>
    <xf numFmtId="3" fontId="0" fillId="0" borderId="3" xfId="0" applyNumberFormat="1" applyFill="1" applyBorder="1" applyAlignment="1"/>
    <xf numFmtId="3" fontId="0" fillId="0" borderId="1" xfId="0" applyNumberFormat="1" applyFont="1" applyFill="1" applyBorder="1" applyAlignment="1"/>
    <xf numFmtId="3" fontId="1" fillId="0" borderId="18" xfId="0" applyNumberFormat="1" applyFont="1" applyFill="1" applyBorder="1" applyAlignment="1"/>
    <xf numFmtId="3" fontId="1" fillId="0" borderId="1" xfId="0" applyNumberFormat="1" applyFont="1" applyFill="1" applyBorder="1" applyAlignment="1"/>
    <xf numFmtId="3" fontId="0" fillId="0" borderId="3" xfId="0" applyNumberFormat="1" applyFont="1" applyFill="1" applyBorder="1" applyAlignment="1"/>
    <xf numFmtId="3" fontId="1" fillId="0" borderId="3" xfId="0" applyNumberFormat="1" applyFont="1" applyFill="1" applyBorder="1" applyAlignment="1"/>
    <xf numFmtId="3" fontId="1" fillId="0" borderId="12" xfId="0" applyNumberFormat="1" applyFont="1" applyFill="1" applyBorder="1" applyAlignment="1"/>
    <xf numFmtId="0" fontId="1" fillId="0" borderId="0" xfId="0" applyFont="1" applyFill="1" applyAlignment="1"/>
    <xf numFmtId="0" fontId="1" fillId="0" borderId="2" xfId="0" applyFont="1" applyFill="1" applyBorder="1" applyAlignment="1">
      <alignment horizontal="center" vertical="center" wrapText="1"/>
    </xf>
    <xf numFmtId="3" fontId="0" fillId="0" borderId="1" xfId="0" applyNumberFormat="1" applyFill="1" applyBorder="1" applyAlignment="1"/>
    <xf numFmtId="3" fontId="0" fillId="0" borderId="17" xfId="0" applyNumberFormat="1" applyFill="1" applyBorder="1" applyAlignment="1"/>
    <xf numFmtId="3" fontId="0" fillId="0" borderId="5" xfId="0" applyNumberFormat="1" applyFill="1" applyBorder="1" applyAlignment="1"/>
    <xf numFmtId="3" fontId="1" fillId="0" borderId="8" xfId="0" applyNumberFormat="1" applyFont="1" applyFill="1" applyBorder="1" applyAlignment="1"/>
    <xf numFmtId="3" fontId="1" fillId="0" borderId="6" xfId="0" applyNumberFormat="1" applyFont="1" applyFill="1" applyBorder="1" applyAlignment="1"/>
    <xf numFmtId="3" fontId="1" fillId="0" borderId="11" xfId="0" applyNumberFormat="1" applyFont="1" applyFill="1" applyBorder="1" applyAlignment="1"/>
    <xf numFmtId="0" fontId="2" fillId="0" borderId="0" xfId="0" applyFont="1" applyFill="1" applyBorder="1" applyAlignment="1"/>
    <xf numFmtId="3" fontId="1" fillId="0" borderId="10" xfId="0" applyNumberFormat="1" applyFont="1" applyFill="1" applyBorder="1" applyAlignment="1"/>
    <xf numFmtId="3" fontId="1" fillId="0" borderId="2" xfId="0" applyNumberFormat="1" applyFont="1" applyFill="1" applyBorder="1" applyAlignment="1"/>
    <xf numFmtId="0" fontId="0" fillId="0" borderId="5" xfId="0" applyFill="1" applyBorder="1" applyAlignment="1"/>
    <xf numFmtId="3" fontId="1" fillId="0" borderId="9" xfId="0" applyNumberFormat="1" applyFont="1" applyFill="1" applyBorder="1" applyAlignment="1"/>
    <xf numFmtId="3" fontId="0" fillId="0" borderId="9" xfId="0" applyNumberFormat="1" applyFont="1" applyFill="1" applyBorder="1" applyAlignment="1"/>
    <xf numFmtId="3" fontId="0" fillId="0" borderId="13" xfId="0" applyNumberFormat="1" applyFont="1" applyFill="1" applyBorder="1" applyAlignment="1"/>
    <xf numFmtId="0" fontId="1" fillId="0" borderId="3" xfId="0" applyFont="1" applyFill="1" applyBorder="1" applyAlignment="1">
      <alignment horizontal="center" vertical="center"/>
    </xf>
    <xf numFmtId="3" fontId="1" fillId="0" borderId="3" xfId="0" applyNumberFormat="1" applyFont="1" applyFill="1" applyBorder="1" applyAlignment="1">
      <alignment horizontal="center" vertical="center"/>
    </xf>
    <xf numFmtId="3" fontId="0" fillId="0" borderId="3" xfId="0" applyNumberFormat="1" applyFont="1" applyFill="1" applyBorder="1" applyAlignment="1">
      <alignment horizontal="right" vertical="center"/>
    </xf>
    <xf numFmtId="0" fontId="1" fillId="0" borderId="0" xfId="0" applyFont="1" applyFill="1" applyBorder="1" applyAlignment="1"/>
    <xf numFmtId="3" fontId="0" fillId="0" borderId="3" xfId="0" applyNumberFormat="1" applyFont="1" applyFill="1" applyBorder="1" applyAlignment="1">
      <alignment horizontal="right" vertical="center" wrapText="1"/>
    </xf>
    <xf numFmtId="3" fontId="0" fillId="0" borderId="6" xfId="0" applyNumberFormat="1" applyFont="1" applyFill="1" applyBorder="1" applyAlignment="1">
      <alignment horizontal="right"/>
    </xf>
    <xf numFmtId="0" fontId="2" fillId="0" borderId="14" xfId="0" applyFont="1" applyFill="1" applyBorder="1" applyAlignment="1"/>
    <xf numFmtId="0" fontId="2" fillId="0" borderId="15" xfId="0" applyFont="1" applyFill="1" applyBorder="1" applyAlignment="1"/>
    <xf numFmtId="0" fontId="3" fillId="0" borderId="0" xfId="0" applyFont="1" applyFill="1"/>
    <xf numFmtId="3" fontId="0" fillId="0" borderId="3" xfId="0" applyNumberFormat="1" applyFont="1" applyFill="1" applyBorder="1" applyAlignment="1">
      <alignment horizontal="right"/>
    </xf>
    <xf numFmtId="3" fontId="1" fillId="0" borderId="0" xfId="0" applyNumberFormat="1" applyFont="1" applyFill="1" applyBorder="1" applyAlignment="1"/>
    <xf numFmtId="3" fontId="0" fillId="0" borderId="0" xfId="0" applyNumberFormat="1" applyFill="1" applyBorder="1" applyAlignment="1"/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3" fontId="0" fillId="0" borderId="9" xfId="0" applyNumberFormat="1" applyFill="1" applyBorder="1" applyAlignment="1"/>
    <xf numFmtId="3" fontId="0" fillId="0" borderId="11" xfId="0" applyNumberFormat="1" applyFont="1" applyFill="1" applyBorder="1" applyAlignment="1"/>
    <xf numFmtId="3" fontId="0" fillId="0" borderId="3" xfId="0" applyNumberFormat="1" applyFont="1" applyFill="1" applyBorder="1" applyAlignment="1">
      <alignment vertical="center"/>
    </xf>
    <xf numFmtId="3" fontId="0" fillId="0" borderId="9" xfId="0" applyNumberFormat="1" applyFill="1" applyBorder="1" applyAlignment="1">
      <alignment horizontal="center"/>
    </xf>
    <xf numFmtId="3" fontId="1" fillId="0" borderId="1" xfId="0" applyNumberFormat="1" applyFont="1" applyFill="1" applyBorder="1" applyAlignment="1">
      <alignment horizontal="center" vertical="center" wrapText="1"/>
    </xf>
    <xf numFmtId="3" fontId="0" fillId="0" borderId="5" xfId="0" applyNumberFormat="1" applyFont="1" applyFill="1" applyBorder="1" applyAlignment="1"/>
    <xf numFmtId="3" fontId="1" fillId="0" borderId="3" xfId="0" applyNumberFormat="1" applyFont="1" applyFill="1" applyBorder="1" applyAlignment="1">
      <alignment horizontal="right" vertical="center"/>
    </xf>
    <xf numFmtId="3" fontId="1" fillId="0" borderId="12" xfId="0" applyNumberFormat="1" applyFont="1" applyFill="1" applyBorder="1" applyAlignment="1">
      <alignment horizontal="right" vertical="center"/>
    </xf>
    <xf numFmtId="3" fontId="1" fillId="0" borderId="9" xfId="0" applyNumberFormat="1" applyFont="1" applyFill="1" applyBorder="1" applyAlignment="1">
      <alignment horizontal="center" vertical="center"/>
    </xf>
    <xf numFmtId="3" fontId="1" fillId="0" borderId="14" xfId="0" applyNumberFormat="1" applyFont="1" applyFill="1" applyBorder="1" applyAlignment="1"/>
    <xf numFmtId="0" fontId="0" fillId="0" borderId="0" xfId="0" applyFont="1" applyAlignment="1">
      <alignment wrapText="1"/>
    </xf>
    <xf numFmtId="0" fontId="0" fillId="0" borderId="0" xfId="0" applyAlignment="1">
      <alignment wrapText="1"/>
    </xf>
    <xf numFmtId="0" fontId="2" fillId="0" borderId="22" xfId="0" applyFont="1" applyFill="1" applyBorder="1" applyAlignment="1"/>
    <xf numFmtId="3" fontId="1" fillId="0" borderId="23" xfId="0" applyNumberFormat="1" applyFont="1" applyFill="1" applyBorder="1" applyAlignment="1"/>
    <xf numFmtId="3" fontId="1" fillId="0" borderId="24" xfId="0" applyNumberFormat="1" applyFont="1" applyFill="1" applyBorder="1" applyAlignment="1"/>
    <xf numFmtId="3" fontId="1" fillId="0" borderId="25" xfId="0" applyNumberFormat="1" applyFont="1" applyFill="1" applyBorder="1" applyAlignment="1"/>
    <xf numFmtId="0" fontId="2" fillId="0" borderId="26" xfId="0" applyFont="1" applyFill="1" applyBorder="1" applyAlignment="1"/>
    <xf numFmtId="0" fontId="0" fillId="0" borderId="0" xfId="0" applyFill="1" applyBorder="1"/>
    <xf numFmtId="0" fontId="2" fillId="0" borderId="29" xfId="0" applyFont="1" applyFill="1" applyBorder="1" applyAlignment="1"/>
    <xf numFmtId="3" fontId="1" fillId="0" borderId="30" xfId="0" applyNumberFormat="1" applyFont="1" applyFill="1" applyBorder="1" applyAlignment="1"/>
    <xf numFmtId="0" fontId="3" fillId="0" borderId="31" xfId="0" applyFont="1" applyFill="1" applyBorder="1" applyAlignment="1"/>
    <xf numFmtId="3" fontId="0" fillId="0" borderId="30" xfId="0" applyNumberFormat="1" applyFont="1" applyFill="1" applyBorder="1" applyAlignment="1"/>
    <xf numFmtId="3" fontId="0" fillId="0" borderId="30" xfId="0" applyNumberFormat="1" applyFill="1" applyBorder="1" applyAlignment="1"/>
    <xf numFmtId="0" fontId="2" fillId="0" borderId="31" xfId="0" applyFont="1" applyFill="1" applyBorder="1" applyAlignment="1"/>
    <xf numFmtId="3" fontId="10" fillId="0" borderId="30" xfId="0" applyNumberFormat="1" applyFont="1" applyFill="1" applyBorder="1" applyAlignment="1"/>
    <xf numFmtId="3" fontId="7" fillId="0" borderId="30" xfId="0" applyNumberFormat="1" applyFont="1" applyFill="1" applyBorder="1" applyAlignment="1"/>
    <xf numFmtId="0" fontId="0" fillId="0" borderId="31" xfId="0" applyFont="1" applyFill="1" applyBorder="1" applyAlignment="1"/>
    <xf numFmtId="0" fontId="0" fillId="0" borderId="32" xfId="0" applyFill="1" applyBorder="1" applyAlignment="1"/>
    <xf numFmtId="3" fontId="0" fillId="0" borderId="33" xfId="0" applyNumberFormat="1" applyFill="1" applyBorder="1" applyAlignment="1"/>
    <xf numFmtId="0" fontId="0" fillId="0" borderId="34" xfId="0" applyFill="1" applyBorder="1" applyAlignment="1"/>
    <xf numFmtId="0" fontId="0" fillId="0" borderId="35" xfId="0" applyFill="1" applyBorder="1" applyAlignment="1"/>
    <xf numFmtId="3" fontId="0" fillId="0" borderId="36" xfId="0" applyNumberFormat="1" applyFill="1" applyBorder="1" applyAlignment="1"/>
    <xf numFmtId="0" fontId="2" fillId="0" borderId="35" xfId="0" applyFont="1" applyFill="1" applyBorder="1" applyAlignment="1"/>
    <xf numFmtId="0" fontId="2" fillId="0" borderId="37" xfId="0" applyFont="1" applyFill="1" applyBorder="1" applyAlignment="1"/>
    <xf numFmtId="3" fontId="1" fillId="0" borderId="38" xfId="0" applyNumberFormat="1" applyFont="1" applyFill="1" applyBorder="1" applyAlignment="1"/>
    <xf numFmtId="0" fontId="0" fillId="0" borderId="29" xfId="0" applyFill="1" applyBorder="1" applyAlignment="1"/>
    <xf numFmtId="3" fontId="1" fillId="0" borderId="36" xfId="0" applyNumberFormat="1" applyFont="1" applyFill="1" applyBorder="1" applyAlignment="1"/>
    <xf numFmtId="0" fontId="0" fillId="0" borderId="31" xfId="0" applyFill="1" applyBorder="1" applyAlignment="1"/>
    <xf numFmtId="3" fontId="0" fillId="0" borderId="39" xfId="0" applyNumberFormat="1" applyFill="1" applyBorder="1" applyAlignment="1"/>
    <xf numFmtId="0" fontId="3" fillId="0" borderId="37" xfId="0" applyFont="1" applyFill="1" applyBorder="1" applyAlignment="1"/>
    <xf numFmtId="0" fontId="0" fillId="0" borderId="37" xfId="0" applyFill="1" applyBorder="1" applyAlignment="1"/>
    <xf numFmtId="0" fontId="2" fillId="0" borderId="40" xfId="0" applyFont="1" applyFill="1" applyBorder="1" applyAlignment="1"/>
    <xf numFmtId="3" fontId="1" fillId="0" borderId="41" xfId="0" applyNumberFormat="1" applyFont="1" applyFill="1" applyBorder="1" applyAlignment="1"/>
    <xf numFmtId="0" fontId="0" fillId="0" borderId="33" xfId="0" applyFont="1" applyFill="1" applyBorder="1" applyAlignment="1"/>
    <xf numFmtId="0" fontId="2" fillId="0" borderId="42" xfId="0" applyFont="1" applyFill="1" applyBorder="1" applyAlignment="1"/>
    <xf numFmtId="3" fontId="1" fillId="0" borderId="43" xfId="0" applyNumberFormat="1" applyFont="1" applyFill="1" applyBorder="1" applyAlignment="1"/>
    <xf numFmtId="0" fontId="3" fillId="0" borderId="42" xfId="0" applyFont="1" applyFill="1" applyBorder="1" applyAlignment="1"/>
    <xf numFmtId="0" fontId="2" fillId="0" borderId="44" xfId="0" applyFont="1" applyFill="1" applyBorder="1" applyAlignment="1"/>
    <xf numFmtId="3" fontId="1" fillId="0" borderId="45" xfId="0" applyNumberFormat="1" applyFont="1" applyFill="1" applyBorder="1" applyAlignment="1"/>
    <xf numFmtId="3" fontId="1" fillId="0" borderId="46" xfId="0" applyNumberFormat="1" applyFont="1" applyFill="1" applyBorder="1" applyAlignment="1"/>
    <xf numFmtId="0" fontId="5" fillId="0" borderId="0" xfId="0" applyFont="1" applyFill="1" applyBorder="1" applyAlignment="1"/>
    <xf numFmtId="3" fontId="4" fillId="0" borderId="0" xfId="0" applyNumberFormat="1" applyFont="1" applyFill="1" applyBorder="1" applyAlignment="1">
      <alignment horizontal="right"/>
    </xf>
    <xf numFmtId="0" fontId="5" fillId="0" borderId="29" xfId="0" applyFont="1" applyFill="1" applyBorder="1" applyAlignment="1"/>
    <xf numFmtId="0" fontId="6" fillId="0" borderId="47" xfId="0" applyFont="1" applyFill="1" applyBorder="1" applyAlignment="1"/>
    <xf numFmtId="3" fontId="0" fillId="0" borderId="39" xfId="0" applyNumberFormat="1" applyFont="1" applyFill="1" applyBorder="1" applyAlignment="1">
      <alignment horizontal="right"/>
    </xf>
    <xf numFmtId="0" fontId="5" fillId="0" borderId="37" xfId="0" applyFont="1" applyFill="1" applyBorder="1" applyAlignment="1">
      <alignment horizontal="left"/>
    </xf>
    <xf numFmtId="3" fontId="0" fillId="0" borderId="38" xfId="0" applyNumberFormat="1" applyFont="1" applyFill="1" applyBorder="1" applyAlignment="1">
      <alignment horizontal="right"/>
    </xf>
    <xf numFmtId="0" fontId="5" fillId="0" borderId="48" xfId="0" applyFont="1" applyFill="1" applyBorder="1" applyAlignment="1"/>
    <xf numFmtId="3" fontId="4" fillId="0" borderId="49" xfId="0" applyNumberFormat="1" applyFont="1" applyFill="1" applyBorder="1" applyAlignment="1">
      <alignment horizontal="right"/>
    </xf>
    <xf numFmtId="3" fontId="4" fillId="0" borderId="50" xfId="0" applyNumberFormat="1" applyFont="1" applyFill="1" applyBorder="1" applyAlignment="1">
      <alignment horizontal="right"/>
    </xf>
    <xf numFmtId="3" fontId="0" fillId="0" borderId="39" xfId="0" applyNumberFormat="1" applyFont="1" applyFill="1" applyBorder="1" applyAlignment="1"/>
    <xf numFmtId="3" fontId="0" fillId="0" borderId="51" xfId="0" applyNumberFormat="1" applyFont="1" applyFill="1" applyBorder="1" applyAlignment="1"/>
    <xf numFmtId="0" fontId="2" fillId="0" borderId="52" xfId="0" applyFont="1" applyFill="1" applyBorder="1" applyAlignment="1"/>
    <xf numFmtId="3" fontId="1" fillId="0" borderId="53" xfId="0" applyNumberFormat="1" applyFont="1" applyFill="1" applyBorder="1" applyAlignment="1"/>
    <xf numFmtId="3" fontId="1" fillId="0" borderId="54" xfId="0" applyNumberFormat="1" applyFont="1" applyFill="1" applyBorder="1" applyAlignment="1"/>
    <xf numFmtId="0" fontId="3" fillId="0" borderId="29" xfId="0" applyFont="1" applyFill="1" applyBorder="1" applyAlignment="1"/>
    <xf numFmtId="0" fontId="2" fillId="0" borderId="31" xfId="0" applyFont="1" applyFill="1" applyBorder="1" applyAlignment="1">
      <alignment vertical="center"/>
    </xf>
    <xf numFmtId="0" fontId="0" fillId="0" borderId="31" xfId="0" applyFill="1" applyBorder="1" applyAlignment="1">
      <alignment vertical="center"/>
    </xf>
    <xf numFmtId="0" fontId="1" fillId="0" borderId="30" xfId="0" applyFont="1" applyFill="1" applyBorder="1" applyAlignment="1">
      <alignment horizontal="center" vertical="center"/>
    </xf>
    <xf numFmtId="0" fontId="2" fillId="0" borderId="55" xfId="0" applyFont="1" applyFill="1" applyBorder="1" applyAlignment="1">
      <alignment vertical="center"/>
    </xf>
    <xf numFmtId="0" fontId="0" fillId="0" borderId="37" xfId="0" applyFill="1" applyBorder="1" applyAlignment="1">
      <alignment vertical="center"/>
    </xf>
    <xf numFmtId="10" fontId="0" fillId="0" borderId="29" xfId="0" applyNumberFormat="1" applyFill="1" applyBorder="1" applyAlignment="1">
      <alignment horizontal="left" vertical="top"/>
    </xf>
    <xf numFmtId="10" fontId="2" fillId="0" borderId="29" xfId="0" applyNumberFormat="1" applyFont="1" applyFill="1" applyBorder="1" applyAlignment="1">
      <alignment horizontal="left" vertical="top"/>
    </xf>
    <xf numFmtId="0" fontId="2" fillId="0" borderId="37" xfId="0" applyFont="1" applyFill="1" applyBorder="1" applyAlignment="1">
      <alignment vertical="center"/>
    </xf>
    <xf numFmtId="0" fontId="1" fillId="0" borderId="56" xfId="0" applyFont="1" applyFill="1" applyBorder="1" applyAlignment="1">
      <alignment horizontal="center" vertical="center"/>
    </xf>
    <xf numFmtId="0" fontId="1" fillId="0" borderId="19" xfId="0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center" vertical="center" wrapText="1"/>
    </xf>
    <xf numFmtId="0" fontId="1" fillId="0" borderId="57" xfId="0" applyFont="1" applyFill="1" applyBorder="1" applyAlignment="1">
      <alignment horizontal="center" vertical="center"/>
    </xf>
    <xf numFmtId="0" fontId="1" fillId="0" borderId="21" xfId="0" applyFont="1" applyFill="1" applyBorder="1" applyAlignment="1">
      <alignment horizontal="center" vertical="center" wrapText="1"/>
    </xf>
    <xf numFmtId="3" fontId="11" fillId="0" borderId="30" xfId="0" applyNumberFormat="1" applyFont="1" applyFill="1" applyBorder="1" applyAlignment="1"/>
    <xf numFmtId="3" fontId="1" fillId="0" borderId="51" xfId="0" applyNumberFormat="1" applyFont="1" applyFill="1" applyBorder="1" applyAlignment="1"/>
    <xf numFmtId="3" fontId="1" fillId="0" borderId="58" xfId="0" applyNumberFormat="1" applyFont="1" applyFill="1" applyBorder="1" applyAlignment="1"/>
    <xf numFmtId="0" fontId="1" fillId="0" borderId="30" xfId="0" applyFont="1" applyFill="1" applyBorder="1" applyAlignment="1"/>
    <xf numFmtId="0" fontId="2" fillId="0" borderId="47" xfId="0" applyFont="1" applyFill="1" applyBorder="1" applyAlignment="1">
      <alignment vertical="center"/>
    </xf>
    <xf numFmtId="0" fontId="1" fillId="0" borderId="39" xfId="0" applyFont="1" applyFill="1" applyBorder="1" applyAlignment="1">
      <alignment horizontal="center" vertical="center"/>
    </xf>
    <xf numFmtId="0" fontId="1" fillId="0" borderId="51" xfId="0" applyFont="1" applyFill="1" applyBorder="1" applyAlignment="1">
      <alignment horizontal="right" vertical="center"/>
    </xf>
    <xf numFmtId="3" fontId="0" fillId="0" borderId="38" xfId="0" applyNumberFormat="1" applyFont="1" applyFill="1" applyBorder="1" applyAlignment="1"/>
    <xf numFmtId="3" fontId="10" fillId="0" borderId="43" xfId="0" applyNumberFormat="1" applyFont="1" applyFill="1" applyBorder="1" applyAlignment="1"/>
    <xf numFmtId="0" fontId="2" fillId="0" borderId="57" xfId="0" applyFont="1" applyFill="1" applyBorder="1" applyAlignment="1"/>
    <xf numFmtId="3" fontId="0" fillId="0" borderId="10" xfId="0" applyNumberFormat="1" applyFont="1" applyFill="1" applyBorder="1" applyAlignment="1"/>
    <xf numFmtId="3" fontId="11" fillId="0" borderId="21" xfId="0" applyNumberFormat="1" applyFont="1" applyFill="1" applyBorder="1" applyAlignment="1"/>
    <xf numFmtId="3" fontId="1" fillId="0" borderId="4" xfId="0" applyNumberFormat="1" applyFont="1" applyFill="1" applyBorder="1" applyAlignment="1"/>
    <xf numFmtId="3" fontId="1" fillId="0" borderId="16" xfId="0" applyNumberFormat="1" applyFont="1" applyFill="1" applyBorder="1" applyAlignment="1"/>
    <xf numFmtId="0" fontId="2" fillId="0" borderId="47" xfId="0" applyFont="1" applyFill="1" applyBorder="1" applyAlignment="1"/>
    <xf numFmtId="3" fontId="1" fillId="0" borderId="39" xfId="0" applyNumberFormat="1" applyFont="1" applyFill="1" applyBorder="1" applyAlignment="1"/>
    <xf numFmtId="0" fontId="2" fillId="0" borderId="59" xfId="0" applyFont="1" applyFill="1" applyBorder="1" applyAlignment="1"/>
    <xf numFmtId="3" fontId="0" fillId="0" borderId="30" xfId="0" applyNumberFormat="1" applyFill="1" applyBorder="1" applyAlignment="1">
      <alignment horizontal="center"/>
    </xf>
    <xf numFmtId="3" fontId="0" fillId="0" borderId="43" xfId="0" applyNumberFormat="1" applyFont="1" applyFill="1" applyBorder="1" applyAlignment="1"/>
    <xf numFmtId="3" fontId="1" fillId="0" borderId="21" xfId="0" applyNumberFormat="1" applyFont="1" applyFill="1" applyBorder="1" applyAlignment="1"/>
    <xf numFmtId="0" fontId="0" fillId="0" borderId="33" xfId="0" applyFill="1" applyBorder="1" applyAlignment="1"/>
    <xf numFmtId="3" fontId="0" fillId="0" borderId="26" xfId="0" applyNumberFormat="1" applyFont="1" applyFill="1" applyBorder="1" applyAlignment="1"/>
    <xf numFmtId="3" fontId="0" fillId="0" borderId="33" xfId="0" applyNumberFormat="1" applyFont="1" applyFill="1" applyBorder="1" applyAlignment="1"/>
    <xf numFmtId="0" fontId="0" fillId="0" borderId="32" xfId="0" applyFont="1" applyFill="1" applyBorder="1" applyAlignment="1"/>
    <xf numFmtId="3" fontId="0" fillId="0" borderId="30" xfId="0" applyNumberFormat="1" applyFont="1" applyFill="1" applyBorder="1" applyAlignment="1">
      <alignment horizontal="right" vertical="center"/>
    </xf>
    <xf numFmtId="0" fontId="1" fillId="0" borderId="31" xfId="0" applyFont="1" applyFill="1" applyBorder="1" applyAlignment="1">
      <alignment vertical="center"/>
    </xf>
    <xf numFmtId="3" fontId="1" fillId="0" borderId="30" xfId="0" applyNumberFormat="1" applyFont="1" applyFill="1" applyBorder="1" applyAlignment="1">
      <alignment horizontal="center" vertical="center"/>
    </xf>
    <xf numFmtId="0" fontId="1" fillId="0" borderId="27" xfId="0" applyFont="1" applyFill="1" applyBorder="1" applyAlignment="1">
      <alignment horizontal="center" vertical="center"/>
    </xf>
    <xf numFmtId="0" fontId="0" fillId="0" borderId="31" xfId="0" applyFont="1" applyFill="1" applyBorder="1" applyAlignment="1">
      <alignment vertical="center"/>
    </xf>
    <xf numFmtId="3" fontId="1" fillId="0" borderId="61" xfId="0" applyNumberFormat="1" applyFont="1" applyFill="1" applyBorder="1" applyAlignment="1"/>
    <xf numFmtId="3" fontId="1" fillId="0" borderId="62" xfId="0" applyNumberFormat="1" applyFont="1" applyFill="1" applyBorder="1" applyAlignment="1"/>
    <xf numFmtId="3" fontId="1" fillId="0" borderId="5" xfId="0" applyNumberFormat="1" applyFont="1" applyFill="1" applyBorder="1" applyAlignment="1"/>
    <xf numFmtId="3" fontId="1" fillId="0" borderId="33" xfId="0" applyNumberFormat="1" applyFont="1" applyFill="1" applyBorder="1" applyAlignment="1"/>
    <xf numFmtId="3" fontId="0" fillId="0" borderId="39" xfId="0" applyNumberFormat="1" applyFill="1" applyBorder="1" applyAlignment="1">
      <alignment horizontal="center"/>
    </xf>
    <xf numFmtId="0" fontId="3" fillId="0" borderId="34" xfId="0" applyFont="1" applyFill="1" applyBorder="1" applyAlignment="1"/>
    <xf numFmtId="0" fontId="2" fillId="0" borderId="31" xfId="0" applyFont="1" applyFill="1" applyBorder="1" applyAlignment="1">
      <alignment horizontal="left"/>
    </xf>
    <xf numFmtId="3" fontId="0" fillId="0" borderId="3" xfId="0" applyNumberFormat="1" applyFill="1" applyBorder="1" applyAlignment="1">
      <alignment horizontal="right"/>
    </xf>
    <xf numFmtId="3" fontId="0" fillId="0" borderId="30" xfId="0" applyNumberFormat="1" applyFill="1" applyBorder="1" applyAlignment="1">
      <alignment horizontal="right"/>
    </xf>
    <xf numFmtId="3" fontId="0" fillId="0" borderId="63" xfId="0" applyNumberFormat="1" applyFill="1" applyBorder="1" applyAlignment="1"/>
    <xf numFmtId="3" fontId="0" fillId="0" borderId="25" xfId="0" applyNumberFormat="1" applyFill="1" applyBorder="1" applyAlignment="1"/>
    <xf numFmtId="3" fontId="1" fillId="0" borderId="39" xfId="0" applyNumberFormat="1" applyFont="1" applyFill="1" applyBorder="1" applyAlignment="1">
      <alignment horizontal="center" vertical="center"/>
    </xf>
    <xf numFmtId="0" fontId="0" fillId="0" borderId="47" xfId="0" applyFill="1" applyBorder="1" applyAlignment="1">
      <alignment vertical="center"/>
    </xf>
    <xf numFmtId="0" fontId="1" fillId="0" borderId="47" xfId="0" applyFont="1" applyFill="1" applyBorder="1" applyAlignment="1">
      <alignment vertical="center"/>
    </xf>
    <xf numFmtId="0" fontId="0" fillId="0" borderId="40" xfId="0" applyFill="1" applyBorder="1" applyAlignment="1"/>
    <xf numFmtId="3" fontId="0" fillId="0" borderId="7" xfId="0" applyNumberFormat="1" applyFont="1" applyFill="1" applyBorder="1" applyAlignment="1"/>
    <xf numFmtId="3" fontId="0" fillId="0" borderId="41" xfId="0" applyNumberFormat="1" applyFont="1" applyFill="1" applyBorder="1" applyAlignment="1"/>
    <xf numFmtId="0" fontId="0" fillId="0" borderId="34" xfId="0" applyFont="1" applyFill="1" applyBorder="1" applyAlignment="1"/>
    <xf numFmtId="0" fontId="8" fillId="0" borderId="32" xfId="0" applyFont="1" applyFill="1" applyBorder="1" applyAlignment="1"/>
    <xf numFmtId="0" fontId="0" fillId="0" borderId="55" xfId="0" applyFill="1" applyBorder="1" applyAlignment="1"/>
    <xf numFmtId="3" fontId="0" fillId="0" borderId="30" xfId="0" applyNumberFormat="1" applyFont="1" applyFill="1" applyBorder="1" applyAlignment="1">
      <alignment horizontal="right" vertical="center" wrapText="1"/>
    </xf>
    <xf numFmtId="3" fontId="1" fillId="0" borderId="30" xfId="0" applyNumberFormat="1" applyFont="1" applyFill="1" applyBorder="1" applyAlignment="1">
      <alignment horizontal="center" vertical="center" wrapText="1"/>
    </xf>
    <xf numFmtId="0" fontId="2" fillId="0" borderId="48" xfId="0" applyFont="1" applyFill="1" applyBorder="1" applyAlignment="1"/>
    <xf numFmtId="3" fontId="1" fillId="0" borderId="49" xfId="0" applyNumberFormat="1" applyFont="1" applyFill="1" applyBorder="1" applyAlignment="1"/>
    <xf numFmtId="3" fontId="1" fillId="0" borderId="50" xfId="0" applyNumberFormat="1" applyFont="1" applyFill="1" applyBorder="1" applyAlignment="1"/>
    <xf numFmtId="0" fontId="2" fillId="0" borderId="60" xfId="0" applyFont="1" applyFill="1" applyBorder="1" applyAlignment="1">
      <alignment horizontal="left" wrapText="1"/>
    </xf>
    <xf numFmtId="0" fontId="2" fillId="0" borderId="55" xfId="0" applyFont="1" applyFill="1" applyBorder="1" applyAlignment="1"/>
    <xf numFmtId="3" fontId="0" fillId="0" borderId="25" xfId="0" applyNumberFormat="1" applyFont="1" applyFill="1" applyBorder="1" applyAlignment="1"/>
    <xf numFmtId="3" fontId="0" fillId="0" borderId="65" xfId="0" applyNumberFormat="1" applyFont="1" applyFill="1" applyBorder="1" applyAlignment="1"/>
    <xf numFmtId="3" fontId="24" fillId="0" borderId="9" xfId="0" applyNumberFormat="1" applyFont="1" applyFill="1" applyBorder="1" applyAlignment="1">
      <alignment horizontal="right"/>
    </xf>
    <xf numFmtId="0" fontId="0" fillId="0" borderId="3" xfId="0" applyFont="1" applyFill="1" applyBorder="1" applyAlignment="1"/>
    <xf numFmtId="3" fontId="25" fillId="0" borderId="1" xfId="0" applyNumberFormat="1" applyFont="1" applyFill="1" applyBorder="1" applyAlignment="1"/>
    <xf numFmtId="3" fontId="0" fillId="0" borderId="12" xfId="0" applyNumberFormat="1" applyFont="1" applyFill="1" applyBorder="1" applyAlignment="1"/>
    <xf numFmtId="3" fontId="0" fillId="0" borderId="66" xfId="0" applyNumberFormat="1" applyFill="1" applyBorder="1" applyAlignment="1"/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/>
    <xf numFmtId="3" fontId="0" fillId="0" borderId="26" xfId="0" applyNumberFormat="1" applyFill="1" applyBorder="1" applyAlignment="1"/>
    <xf numFmtId="3" fontId="0" fillId="0" borderId="18" xfId="0" applyNumberFormat="1" applyFill="1" applyBorder="1" applyAlignment="1"/>
    <xf numFmtId="0" fontId="0" fillId="0" borderId="3" xfId="0" applyFill="1" applyBorder="1" applyAlignment="1">
      <alignment horizontal="center"/>
    </xf>
    <xf numFmtId="0" fontId="0" fillId="0" borderId="30" xfId="0" applyFont="1" applyFill="1" applyBorder="1" applyAlignment="1">
      <alignment horizontal="center"/>
    </xf>
    <xf numFmtId="3" fontId="0" fillId="0" borderId="51" xfId="0" applyNumberFormat="1" applyFill="1" applyBorder="1" applyAlignment="1"/>
    <xf numFmtId="0" fontId="2" fillId="0" borderId="67" xfId="0" applyFont="1" applyFill="1" applyBorder="1" applyAlignment="1"/>
    <xf numFmtId="3" fontId="0" fillId="0" borderId="68" xfId="0" applyNumberFormat="1" applyFont="1" applyFill="1" applyBorder="1" applyAlignment="1"/>
    <xf numFmtId="3" fontId="1" fillId="0" borderId="69" xfId="0" applyNumberFormat="1" applyFont="1" applyFill="1" applyBorder="1" applyAlignment="1"/>
    <xf numFmtId="0" fontId="0" fillId="0" borderId="42" xfId="0" applyFill="1" applyBorder="1" applyAlignment="1"/>
    <xf numFmtId="3" fontId="1" fillId="0" borderId="17" xfId="0" applyNumberFormat="1" applyFont="1" applyFill="1" applyBorder="1" applyAlignment="1"/>
    <xf numFmtId="3" fontId="1" fillId="0" borderId="7" xfId="0" applyNumberFormat="1" applyFont="1" applyFill="1" applyBorder="1" applyAlignment="1"/>
    <xf numFmtId="0" fontId="26" fillId="0" borderId="0" xfId="0" applyFont="1" applyFill="1"/>
    <xf numFmtId="3" fontId="26" fillId="0" borderId="0" xfId="0" applyNumberFormat="1" applyFont="1" applyFill="1"/>
    <xf numFmtId="3" fontId="19" fillId="0" borderId="1" xfId="0" applyNumberFormat="1" applyFont="1" applyFill="1" applyBorder="1"/>
    <xf numFmtId="3" fontId="0" fillId="0" borderId="30" xfId="0" applyNumberFormat="1" applyFont="1" applyFill="1" applyBorder="1" applyAlignment="1">
      <alignment horizontal="right"/>
    </xf>
    <xf numFmtId="0" fontId="0" fillId="0" borderId="31" xfId="0" applyFont="1" applyFill="1" applyBorder="1" applyAlignment="1">
      <alignment wrapText="1"/>
    </xf>
    <xf numFmtId="0" fontId="2" fillId="0" borderId="31" xfId="0" applyFont="1" applyFill="1" applyBorder="1" applyAlignment="1">
      <alignment wrapText="1"/>
    </xf>
    <xf numFmtId="0" fontId="0" fillId="0" borderId="47" xfId="0" applyFont="1" applyFill="1" applyBorder="1" applyAlignment="1">
      <alignment wrapText="1"/>
    </xf>
    <xf numFmtId="0" fontId="0" fillId="0" borderId="37" xfId="0" applyFont="1" applyFill="1" applyBorder="1" applyAlignment="1"/>
    <xf numFmtId="0" fontId="0" fillId="0" borderId="64" xfId="0" applyFont="1" applyFill="1" applyBorder="1" applyAlignment="1"/>
    <xf numFmtId="0" fontId="0" fillId="0" borderId="34" xfId="0" applyFill="1" applyBorder="1" applyAlignment="1">
      <alignment wrapText="1"/>
    </xf>
    <xf numFmtId="3" fontId="4" fillId="0" borderId="1" xfId="0" applyNumberFormat="1" applyFont="1" applyFill="1" applyBorder="1" applyAlignment="1">
      <alignment horizontal="right"/>
    </xf>
    <xf numFmtId="0" fontId="0" fillId="0" borderId="42" xfId="0" applyFont="1" applyFill="1" applyBorder="1" applyAlignment="1"/>
    <xf numFmtId="0" fontId="0" fillId="0" borderId="55" xfId="0" applyFill="1" applyBorder="1" applyAlignment="1">
      <alignment wrapText="1"/>
    </xf>
    <xf numFmtId="3" fontId="25" fillId="0" borderId="3" xfId="0" applyNumberFormat="1" applyFont="1" applyFill="1" applyBorder="1" applyAlignment="1">
      <alignment horizontal="right" vertical="center"/>
    </xf>
    <xf numFmtId="3" fontId="7" fillId="0" borderId="3" xfId="0" applyNumberFormat="1" applyFont="1" applyFill="1" applyBorder="1" applyAlignment="1">
      <alignment horizontal="center" vertical="center"/>
    </xf>
    <xf numFmtId="3" fontId="25" fillId="0" borderId="5" xfId="0" applyNumberFormat="1" applyFont="1" applyFill="1" applyBorder="1" applyAlignment="1"/>
    <xf numFmtId="3" fontId="25" fillId="0" borderId="3" xfId="0" applyNumberFormat="1" applyFont="1" applyFill="1" applyBorder="1" applyAlignment="1"/>
    <xf numFmtId="0" fontId="2" fillId="0" borderId="70" xfId="0" applyFont="1" applyFill="1" applyBorder="1" applyAlignment="1"/>
    <xf numFmtId="0" fontId="3" fillId="0" borderId="71" xfId="0" applyFont="1" applyFill="1" applyBorder="1" applyAlignment="1"/>
    <xf numFmtId="3" fontId="1" fillId="0" borderId="72" xfId="0" applyNumberFormat="1" applyFont="1" applyFill="1" applyBorder="1" applyAlignment="1"/>
    <xf numFmtId="3" fontId="1" fillId="0" borderId="73" xfId="0" applyNumberFormat="1" applyFont="1" applyFill="1" applyBorder="1" applyAlignment="1"/>
    <xf numFmtId="0" fontId="2" fillId="0" borderId="74" xfId="0" applyFont="1" applyFill="1" applyBorder="1" applyAlignment="1"/>
    <xf numFmtId="3" fontId="1" fillId="0" borderId="75" xfId="0" applyNumberFormat="1" applyFont="1" applyFill="1" applyBorder="1" applyAlignment="1"/>
    <xf numFmtId="3" fontId="1" fillId="0" borderId="76" xfId="0" applyNumberFormat="1" applyFont="1" applyFill="1" applyBorder="1" applyAlignment="1"/>
    <xf numFmtId="0" fontId="2" fillId="0" borderId="77" xfId="0" applyFont="1" applyFill="1" applyBorder="1" applyAlignment="1"/>
    <xf numFmtId="3" fontId="1" fillId="0" borderId="78" xfId="0" applyNumberFormat="1" applyFont="1" applyFill="1" applyBorder="1" applyAlignment="1"/>
    <xf numFmtId="3" fontId="1" fillId="0" borderId="79" xfId="0" applyNumberFormat="1" applyFont="1" applyFill="1" applyBorder="1" applyAlignment="1"/>
    <xf numFmtId="3" fontId="25" fillId="0" borderId="30" xfId="0" applyNumberFormat="1" applyFont="1" applyFill="1" applyBorder="1" applyAlignment="1"/>
    <xf numFmtId="0" fontId="0" fillId="0" borderId="37" xfId="0" applyFill="1" applyBorder="1" applyAlignment="1">
      <alignment wrapText="1"/>
    </xf>
    <xf numFmtId="3" fontId="1" fillId="0" borderId="80" xfId="0" applyNumberFormat="1" applyFont="1" applyFill="1" applyBorder="1" applyAlignment="1"/>
    <xf numFmtId="0" fontId="1" fillId="0" borderId="0" xfId="0" applyFont="1" applyFill="1" applyAlignment="1">
      <alignment horizontal="center"/>
    </xf>
    <xf numFmtId="0" fontId="1" fillId="0" borderId="27" xfId="0" applyFont="1" applyFill="1" applyBorder="1" applyAlignment="1">
      <alignment horizontal="center" vertical="center"/>
    </xf>
    <xf numFmtId="0" fontId="1" fillId="0" borderId="28" xfId="0" applyFont="1" applyFill="1" applyBorder="1" applyAlignment="1">
      <alignment vertical="center"/>
    </xf>
    <xf numFmtId="0" fontId="1" fillId="0" borderId="19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center" vertical="center" wrapText="1"/>
    </xf>
    <xf numFmtId="0" fontId="1" fillId="0" borderId="21" xfId="0" applyFont="1" applyFill="1" applyBorder="1" applyAlignment="1">
      <alignment horizontal="center" vertical="center" wrapText="1"/>
    </xf>
    <xf numFmtId="0" fontId="1" fillId="0" borderId="0" xfId="0" applyFont="1" applyFill="1" applyAlignment="1"/>
    <xf numFmtId="0" fontId="4" fillId="0" borderId="0" xfId="0" applyFont="1" applyFill="1" applyAlignment="1"/>
    <xf numFmtId="0" fontId="4" fillId="0" borderId="27" xfId="0" applyFont="1" applyFill="1" applyBorder="1" applyAlignment="1">
      <alignment horizontal="center" vertical="center"/>
    </xf>
    <xf numFmtId="0" fontId="4" fillId="0" borderId="28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1" fillId="0" borderId="26" xfId="0" applyFont="1" applyFill="1" applyBorder="1" applyAlignment="1"/>
    <xf numFmtId="0" fontId="1" fillId="0" borderId="0" xfId="0" applyFont="1" applyFill="1" applyBorder="1" applyAlignment="1"/>
    <xf numFmtId="0" fontId="1" fillId="0" borderId="56" xfId="0" applyFont="1" applyFill="1" applyBorder="1" applyAlignment="1">
      <alignment horizontal="center" vertical="center"/>
    </xf>
    <xf numFmtId="0" fontId="1" fillId="0" borderId="57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vertical="center"/>
    </xf>
    <xf numFmtId="0" fontId="12" fillId="0" borderId="0" xfId="0" applyFont="1" applyAlignment="1">
      <alignment horizontal="center" wrapText="1"/>
    </xf>
    <xf numFmtId="0" fontId="13" fillId="0" borderId="0" xfId="0" applyFont="1" applyAlignment="1">
      <alignment horizontal="center" wrapText="1"/>
    </xf>
    <xf numFmtId="0" fontId="26" fillId="0" borderId="0" xfId="0" applyFont="1" applyFill="1" applyBorder="1"/>
    <xf numFmtId="3" fontId="7" fillId="0" borderId="38" xfId="0" applyNumberFormat="1" applyFont="1" applyFill="1" applyBorder="1" applyAlignment="1"/>
  </cellXfs>
  <cellStyles count="2">
    <cellStyle name="Normál" xfId="0" builtinId="0"/>
    <cellStyle name="Normal_KTRSZJ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799"/>
  <sheetViews>
    <sheetView tabSelected="1" workbookViewId="0">
      <selection activeCell="E795" sqref="E795"/>
    </sheetView>
  </sheetViews>
  <sheetFormatPr defaultColWidth="8.88671875" defaultRowHeight="14.4" x14ac:dyDescent="0.3"/>
  <cols>
    <col min="1" max="1" width="48.33203125" style="3" customWidth="1"/>
    <col min="2" max="2" width="20.44140625" style="3" customWidth="1"/>
    <col min="3" max="3" width="15.44140625" style="3" customWidth="1"/>
    <col min="4" max="4" width="10.88671875" style="225" bestFit="1" customWidth="1"/>
    <col min="5" max="5" width="34.44140625" style="225" bestFit="1" customWidth="1"/>
    <col min="6" max="16384" width="8.88671875" style="1"/>
  </cols>
  <sheetData>
    <row r="1" spans="1:5" x14ac:dyDescent="0.3">
      <c r="C1" s="64" t="s">
        <v>179</v>
      </c>
    </row>
    <row r="2" spans="1:5" x14ac:dyDescent="0.3">
      <c r="A2" s="255" t="s">
        <v>223</v>
      </c>
      <c r="B2" s="255"/>
      <c r="C2" s="255"/>
    </row>
    <row r="3" spans="1:5" ht="15" thickBot="1" x14ac:dyDescent="0.35"/>
    <row r="4" spans="1:5" ht="15" customHeight="1" x14ac:dyDescent="0.3">
      <c r="A4" s="256" t="s">
        <v>0</v>
      </c>
      <c r="B4" s="258" t="s">
        <v>224</v>
      </c>
      <c r="C4" s="260" t="s">
        <v>225</v>
      </c>
    </row>
    <row r="5" spans="1:5" x14ac:dyDescent="0.3">
      <c r="A5" s="257"/>
      <c r="B5" s="259"/>
      <c r="C5" s="261"/>
    </row>
    <row r="6" spans="1:5" x14ac:dyDescent="0.3">
      <c r="A6" s="88" t="s">
        <v>1</v>
      </c>
      <c r="B6" s="37">
        <f>SUM(B7:B22)</f>
        <v>232752288</v>
      </c>
      <c r="C6" s="89">
        <f>SUM(C7:C22)</f>
        <v>245353344</v>
      </c>
    </row>
    <row r="7" spans="1:5" x14ac:dyDescent="0.3">
      <c r="A7" s="90" t="s">
        <v>39</v>
      </c>
      <c r="B7" s="38">
        <f>12600134</f>
        <v>12600134</v>
      </c>
      <c r="C7" s="91">
        <v>13238424</v>
      </c>
      <c r="D7" s="226"/>
      <c r="E7" s="225" t="s">
        <v>327</v>
      </c>
    </row>
    <row r="8" spans="1:5" x14ac:dyDescent="0.3">
      <c r="A8" s="90" t="s">
        <v>36</v>
      </c>
      <c r="B8" s="38">
        <v>54731000</v>
      </c>
      <c r="C8" s="91">
        <v>92688997</v>
      </c>
      <c r="E8" s="225" t="s">
        <v>327</v>
      </c>
    </row>
    <row r="9" spans="1:5" x14ac:dyDescent="0.3">
      <c r="A9" s="90" t="s">
        <v>109</v>
      </c>
      <c r="B9" s="38">
        <v>273400</v>
      </c>
      <c r="C9" s="91">
        <v>315700</v>
      </c>
      <c r="E9" s="225" t="s">
        <v>327</v>
      </c>
    </row>
    <row r="10" spans="1:5" x14ac:dyDescent="0.3">
      <c r="A10" s="90" t="s">
        <v>103</v>
      </c>
      <c r="B10" s="38">
        <v>6000000</v>
      </c>
      <c r="C10" s="91">
        <v>7000000</v>
      </c>
      <c r="E10" s="225" t="s">
        <v>327</v>
      </c>
    </row>
    <row r="11" spans="1:5" x14ac:dyDescent="0.3">
      <c r="A11" s="90" t="s">
        <v>166</v>
      </c>
      <c r="B11" s="38">
        <v>261900</v>
      </c>
      <c r="C11" s="91">
        <v>142200</v>
      </c>
      <c r="E11" s="225" t="s">
        <v>327</v>
      </c>
    </row>
    <row r="12" spans="1:5" x14ac:dyDescent="0.3">
      <c r="A12" s="90" t="s">
        <v>33</v>
      </c>
      <c r="B12" s="38">
        <v>2287932</v>
      </c>
      <c r="C12" s="91">
        <v>2117943</v>
      </c>
      <c r="E12" s="225" t="s">
        <v>294</v>
      </c>
    </row>
    <row r="13" spans="1:5" x14ac:dyDescent="0.3">
      <c r="A13" s="90" t="s">
        <v>30</v>
      </c>
      <c r="B13" s="38">
        <f>42654533+975000</f>
        <v>43629533</v>
      </c>
      <c r="C13" s="91">
        <v>39343500</v>
      </c>
      <c r="D13" s="226"/>
      <c r="E13" s="225" t="s">
        <v>328</v>
      </c>
    </row>
    <row r="14" spans="1:5" x14ac:dyDescent="0.3">
      <c r="A14" s="90" t="s">
        <v>31</v>
      </c>
      <c r="B14" s="38">
        <v>15396500</v>
      </c>
      <c r="C14" s="91">
        <f>12000000+4371500+396700</f>
        <v>16768200</v>
      </c>
      <c r="E14" s="225" t="s">
        <v>328</v>
      </c>
    </row>
    <row r="15" spans="1:5" x14ac:dyDescent="0.3">
      <c r="A15" s="90" t="s">
        <v>37</v>
      </c>
      <c r="B15" s="38">
        <v>9869866</v>
      </c>
      <c r="C15" s="91">
        <v>9350400</v>
      </c>
      <c r="E15" s="225" t="s">
        <v>328</v>
      </c>
    </row>
    <row r="16" spans="1:5" x14ac:dyDescent="0.3">
      <c r="A16" s="90" t="s">
        <v>35</v>
      </c>
      <c r="B16" s="38">
        <v>2835000</v>
      </c>
      <c r="C16" s="91">
        <v>4347000</v>
      </c>
      <c r="E16" s="225" t="s">
        <v>328</v>
      </c>
    </row>
    <row r="17" spans="1:5" x14ac:dyDescent="0.3">
      <c r="A17" s="90" t="s">
        <v>154</v>
      </c>
      <c r="B17" s="38">
        <f>8431500+180000</f>
        <v>8611500</v>
      </c>
      <c r="C17" s="91">
        <f>4419000+4489500+680000</f>
        <v>9588500</v>
      </c>
      <c r="E17" s="225" t="s">
        <v>329</v>
      </c>
    </row>
    <row r="18" spans="1:5" x14ac:dyDescent="0.3">
      <c r="A18" s="90" t="s">
        <v>40</v>
      </c>
      <c r="B18" s="38">
        <v>13875000</v>
      </c>
      <c r="C18" s="91">
        <v>15470000</v>
      </c>
      <c r="E18" s="225" t="s">
        <v>329</v>
      </c>
    </row>
    <row r="19" spans="1:5" x14ac:dyDescent="0.3">
      <c r="A19" s="90" t="s">
        <v>3</v>
      </c>
      <c r="B19" s="35">
        <v>996480</v>
      </c>
      <c r="C19" s="91">
        <v>1634000</v>
      </c>
      <c r="E19" s="225" t="s">
        <v>329</v>
      </c>
    </row>
    <row r="20" spans="1:5" x14ac:dyDescent="0.3">
      <c r="A20" s="90" t="s">
        <v>41</v>
      </c>
      <c r="B20" s="43">
        <f>22069295+1188000</f>
        <v>23257295</v>
      </c>
      <c r="C20" s="92">
        <f>13596000+9857417</f>
        <v>23453417</v>
      </c>
      <c r="E20" s="225" t="s">
        <v>328</v>
      </c>
    </row>
    <row r="21" spans="1:5" x14ac:dyDescent="0.3">
      <c r="A21" s="90" t="s">
        <v>148</v>
      </c>
      <c r="B21" s="65">
        <v>520980</v>
      </c>
      <c r="C21" s="228">
        <v>510720</v>
      </c>
      <c r="E21" s="225" t="s">
        <v>329</v>
      </c>
    </row>
    <row r="22" spans="1:5" x14ac:dyDescent="0.3">
      <c r="A22" s="90" t="s">
        <v>42</v>
      </c>
      <c r="B22" s="38">
        <f>33284973+3708000+612795</f>
        <v>37605768</v>
      </c>
      <c r="C22" s="91">
        <v>9384343</v>
      </c>
      <c r="E22" s="225" t="s">
        <v>327</v>
      </c>
    </row>
    <row r="23" spans="1:5" x14ac:dyDescent="0.3">
      <c r="A23" s="93" t="s">
        <v>4</v>
      </c>
      <c r="B23" s="37">
        <f>SUM(B6)</f>
        <v>232752288</v>
      </c>
      <c r="C23" s="89">
        <f>SUM(C6)</f>
        <v>245353344</v>
      </c>
    </row>
    <row r="24" spans="1:5" x14ac:dyDescent="0.3">
      <c r="A24" s="93" t="s">
        <v>114</v>
      </c>
      <c r="B24" s="37">
        <v>11762180</v>
      </c>
      <c r="C24" s="89"/>
    </row>
    <row r="25" spans="1:5" ht="29.25" customHeight="1" x14ac:dyDescent="0.3">
      <c r="A25" s="229" t="s">
        <v>268</v>
      </c>
      <c r="B25" s="37"/>
      <c r="C25" s="89"/>
    </row>
    <row r="26" spans="1:5" x14ac:dyDescent="0.3">
      <c r="A26" s="230" t="s">
        <v>250</v>
      </c>
      <c r="B26" s="37">
        <v>1332008</v>
      </c>
      <c r="C26" s="89"/>
    </row>
    <row r="27" spans="1:5" x14ac:dyDescent="0.3">
      <c r="A27" s="93" t="s">
        <v>142</v>
      </c>
      <c r="B27" s="37">
        <v>30924140</v>
      </c>
      <c r="C27" s="94"/>
    </row>
    <row r="28" spans="1:5" x14ac:dyDescent="0.3">
      <c r="A28" s="93" t="s">
        <v>115</v>
      </c>
      <c r="B28" s="37">
        <v>10978248</v>
      </c>
      <c r="C28" s="89"/>
    </row>
    <row r="29" spans="1:5" x14ac:dyDescent="0.3">
      <c r="A29" s="93" t="s">
        <v>118</v>
      </c>
      <c r="B29" s="37"/>
      <c r="C29" s="89"/>
    </row>
    <row r="30" spans="1:5" x14ac:dyDescent="0.3">
      <c r="A30" s="93" t="s">
        <v>117</v>
      </c>
      <c r="B30" s="37">
        <f>14600890+2300000</f>
        <v>16900890</v>
      </c>
      <c r="C30" s="95">
        <f>1200000+2772435+2499230+900000</f>
        <v>7371665</v>
      </c>
      <c r="E30" s="225" t="s">
        <v>330</v>
      </c>
    </row>
    <row r="31" spans="1:5" ht="28.95" customHeight="1" x14ac:dyDescent="0.3">
      <c r="A31" s="229" t="s">
        <v>284</v>
      </c>
      <c r="B31" s="35"/>
      <c r="C31" s="95"/>
    </row>
    <row r="32" spans="1:5" x14ac:dyDescent="0.3">
      <c r="A32" s="93" t="s">
        <v>119</v>
      </c>
      <c r="B32" s="37">
        <v>7521674</v>
      </c>
      <c r="C32" s="89">
        <v>7521674</v>
      </c>
      <c r="E32" s="225" t="s">
        <v>330</v>
      </c>
    </row>
    <row r="33" spans="1:5" x14ac:dyDescent="0.3">
      <c r="A33" s="90" t="s">
        <v>245</v>
      </c>
      <c r="B33" s="39"/>
      <c r="C33" s="92"/>
    </row>
    <row r="34" spans="1:5" x14ac:dyDescent="0.3">
      <c r="A34" s="93" t="s">
        <v>116</v>
      </c>
      <c r="B34" s="37">
        <v>21064175</v>
      </c>
      <c r="C34" s="89">
        <f>3091168-1562883</f>
        <v>1528285</v>
      </c>
      <c r="E34" s="225" t="s">
        <v>330</v>
      </c>
    </row>
    <row r="35" spans="1:5" x14ac:dyDescent="0.3">
      <c r="A35" s="90" t="s">
        <v>28</v>
      </c>
      <c r="B35" s="37"/>
      <c r="C35" s="89"/>
    </row>
    <row r="36" spans="1:5" x14ac:dyDescent="0.3">
      <c r="A36" s="93" t="s">
        <v>120</v>
      </c>
      <c r="B36" s="39">
        <v>14814650</v>
      </c>
      <c r="C36" s="89">
        <f>1012130-499719+350975+1157449+174839</f>
        <v>2195674</v>
      </c>
      <c r="E36" s="225" t="s">
        <v>330</v>
      </c>
    </row>
    <row r="37" spans="1:5" x14ac:dyDescent="0.3">
      <c r="A37" s="93"/>
      <c r="B37" s="39"/>
      <c r="C37" s="89"/>
    </row>
    <row r="38" spans="1:5" x14ac:dyDescent="0.3">
      <c r="A38" s="93" t="s">
        <v>293</v>
      </c>
      <c r="B38" s="39"/>
      <c r="C38" s="89">
        <v>2500000</v>
      </c>
      <c r="E38" s="225" t="s">
        <v>330</v>
      </c>
    </row>
    <row r="39" spans="1:5" x14ac:dyDescent="0.3">
      <c r="A39" s="93"/>
      <c r="B39" s="39"/>
      <c r="C39" s="92"/>
    </row>
    <row r="40" spans="1:5" x14ac:dyDescent="0.3">
      <c r="A40" s="93" t="s">
        <v>121</v>
      </c>
      <c r="B40" s="37">
        <v>36266751</v>
      </c>
      <c r="C40" s="89"/>
    </row>
    <row r="41" spans="1:5" x14ac:dyDescent="0.3">
      <c r="A41" s="90"/>
      <c r="B41" s="39"/>
      <c r="C41" s="95"/>
    </row>
    <row r="42" spans="1:5" x14ac:dyDescent="0.3">
      <c r="A42" s="93" t="s">
        <v>122</v>
      </c>
      <c r="B42" s="39"/>
      <c r="C42" s="89"/>
    </row>
    <row r="43" spans="1:5" x14ac:dyDescent="0.3">
      <c r="A43" s="93"/>
      <c r="B43" s="39"/>
      <c r="C43" s="89"/>
    </row>
    <row r="44" spans="1:5" x14ac:dyDescent="0.3">
      <c r="A44" s="93" t="s">
        <v>43</v>
      </c>
      <c r="B44" s="37"/>
      <c r="C44" s="89"/>
    </row>
    <row r="45" spans="1:5" x14ac:dyDescent="0.3">
      <c r="A45" s="93"/>
      <c r="B45" s="37"/>
      <c r="C45" s="89"/>
    </row>
    <row r="46" spans="1:5" x14ac:dyDescent="0.3">
      <c r="A46" s="93" t="s">
        <v>44</v>
      </c>
      <c r="B46" s="39">
        <v>10516346</v>
      </c>
      <c r="C46" s="89">
        <v>10500000</v>
      </c>
      <c r="E46" s="225" t="s">
        <v>331</v>
      </c>
    </row>
    <row r="47" spans="1:5" x14ac:dyDescent="0.3">
      <c r="A47" s="90" t="s">
        <v>45</v>
      </c>
      <c r="B47" s="39"/>
      <c r="C47" s="89"/>
    </row>
    <row r="48" spans="1:5" x14ac:dyDescent="0.3">
      <c r="A48" s="93" t="s">
        <v>46</v>
      </c>
      <c r="B48" s="37">
        <v>15075173</v>
      </c>
      <c r="C48" s="89">
        <v>14000000</v>
      </c>
      <c r="E48" s="225" t="s">
        <v>332</v>
      </c>
    </row>
    <row r="49" spans="1:5" x14ac:dyDescent="0.3">
      <c r="A49" s="90" t="s">
        <v>47</v>
      </c>
      <c r="B49" s="39"/>
      <c r="C49" s="89"/>
    </row>
    <row r="50" spans="1:5" ht="15" thickBot="1" x14ac:dyDescent="0.35">
      <c r="A50" s="242" t="s">
        <v>12</v>
      </c>
      <c r="B50" s="83">
        <v>4557134</v>
      </c>
      <c r="C50" s="84">
        <v>4500000</v>
      </c>
      <c r="E50" s="225" t="s">
        <v>333</v>
      </c>
    </row>
    <row r="51" spans="1:5" x14ac:dyDescent="0.3">
      <c r="A51" s="243" t="s">
        <v>48</v>
      </c>
      <c r="B51" s="244"/>
      <c r="C51" s="245"/>
    </row>
    <row r="52" spans="1:5" x14ac:dyDescent="0.3">
      <c r="A52" s="93" t="s">
        <v>49</v>
      </c>
      <c r="B52" s="37">
        <v>278410</v>
      </c>
      <c r="C52" s="89">
        <v>300000</v>
      </c>
      <c r="E52" s="225" t="s">
        <v>334</v>
      </c>
    </row>
    <row r="53" spans="1:5" x14ac:dyDescent="0.3">
      <c r="A53" s="90" t="s">
        <v>167</v>
      </c>
      <c r="B53" s="37"/>
      <c r="C53" s="89"/>
    </row>
    <row r="54" spans="1:5" x14ac:dyDescent="0.3">
      <c r="A54" s="93" t="s">
        <v>165</v>
      </c>
      <c r="B54" s="39">
        <f>476786+12874</f>
        <v>489660</v>
      </c>
      <c r="C54" s="89">
        <v>500000</v>
      </c>
      <c r="E54" s="225" t="s">
        <v>335</v>
      </c>
    </row>
    <row r="55" spans="1:5" x14ac:dyDescent="0.3">
      <c r="A55" s="90" t="s">
        <v>168</v>
      </c>
      <c r="B55" s="39"/>
      <c r="C55" s="89"/>
    </row>
    <row r="56" spans="1:5" x14ac:dyDescent="0.3">
      <c r="A56" s="93" t="s">
        <v>150</v>
      </c>
      <c r="B56" s="39"/>
      <c r="C56" s="89">
        <v>0</v>
      </c>
    </row>
    <row r="57" spans="1:5" x14ac:dyDescent="0.3">
      <c r="A57" s="93" t="s">
        <v>53</v>
      </c>
      <c r="B57" s="39">
        <f>5261935+5491351</f>
        <v>10753286</v>
      </c>
      <c r="C57" s="89">
        <v>10000000</v>
      </c>
      <c r="E57" s="225" t="s">
        <v>336</v>
      </c>
    </row>
    <row r="58" spans="1:5" x14ac:dyDescent="0.3">
      <c r="A58" s="93" t="s">
        <v>149</v>
      </c>
      <c r="B58" s="39">
        <v>548345</v>
      </c>
      <c r="C58" s="89">
        <v>500000</v>
      </c>
      <c r="E58" s="225" t="s">
        <v>338</v>
      </c>
    </row>
    <row r="59" spans="1:5" x14ac:dyDescent="0.3">
      <c r="A59" s="93" t="s">
        <v>251</v>
      </c>
      <c r="B59" s="39">
        <v>2521829</v>
      </c>
      <c r="C59" s="89">
        <v>400000</v>
      </c>
      <c r="E59" s="225" t="s">
        <v>337</v>
      </c>
    </row>
    <row r="60" spans="1:5" x14ac:dyDescent="0.3">
      <c r="A60" s="93" t="s">
        <v>50</v>
      </c>
      <c r="B60" s="37">
        <v>6535086</v>
      </c>
      <c r="C60" s="89"/>
    </row>
    <row r="61" spans="1:5" x14ac:dyDescent="0.3">
      <c r="A61" s="96" t="s">
        <v>283</v>
      </c>
      <c r="B61" s="37"/>
      <c r="C61" s="89"/>
    </row>
    <row r="62" spans="1:5" x14ac:dyDescent="0.3">
      <c r="A62" s="93" t="s">
        <v>51</v>
      </c>
      <c r="B62" s="37">
        <v>3315016</v>
      </c>
      <c r="C62" s="89">
        <v>1500000</v>
      </c>
      <c r="E62" s="225" t="s">
        <v>339</v>
      </c>
    </row>
    <row r="63" spans="1:5" x14ac:dyDescent="0.3">
      <c r="A63" s="93" t="s">
        <v>52</v>
      </c>
      <c r="B63" s="37">
        <v>55</v>
      </c>
      <c r="C63" s="89">
        <v>50</v>
      </c>
      <c r="E63" s="225" t="s">
        <v>340</v>
      </c>
    </row>
    <row r="64" spans="1:5" x14ac:dyDescent="0.3">
      <c r="A64" s="93" t="s">
        <v>54</v>
      </c>
      <c r="B64" s="39">
        <v>3340620</v>
      </c>
      <c r="C64" s="89">
        <v>2000000</v>
      </c>
      <c r="E64" s="225" t="s">
        <v>340</v>
      </c>
    </row>
    <row r="65" spans="1:5" x14ac:dyDescent="0.3">
      <c r="A65" s="93" t="s">
        <v>123</v>
      </c>
      <c r="B65" s="39"/>
      <c r="C65" s="89"/>
    </row>
    <row r="66" spans="1:5" x14ac:dyDescent="0.3">
      <c r="A66" s="93" t="s">
        <v>124</v>
      </c>
      <c r="B66" s="39"/>
      <c r="C66" s="89"/>
    </row>
    <row r="67" spans="1:5" x14ac:dyDescent="0.3">
      <c r="A67" s="96"/>
      <c r="B67" s="39"/>
      <c r="C67" s="89"/>
    </row>
    <row r="68" spans="1:5" x14ac:dyDescent="0.3">
      <c r="A68" s="93" t="s">
        <v>125</v>
      </c>
      <c r="B68" s="39">
        <v>40000</v>
      </c>
      <c r="C68" s="89">
        <v>50000</v>
      </c>
      <c r="E68" s="225" t="s">
        <v>341</v>
      </c>
    </row>
    <row r="69" spans="1:5" x14ac:dyDescent="0.3">
      <c r="A69" s="93"/>
      <c r="B69" s="39"/>
      <c r="C69" s="89"/>
    </row>
    <row r="70" spans="1:5" x14ac:dyDescent="0.3">
      <c r="A70" s="93" t="s">
        <v>157</v>
      </c>
      <c r="B70" s="39"/>
      <c r="C70" s="89"/>
    </row>
    <row r="71" spans="1:5" x14ac:dyDescent="0.3">
      <c r="A71" s="93"/>
      <c r="B71" s="39"/>
      <c r="C71" s="89"/>
    </row>
    <row r="72" spans="1:5" x14ac:dyDescent="0.3">
      <c r="A72" s="93" t="s">
        <v>140</v>
      </c>
      <c r="B72" s="39">
        <v>67506924</v>
      </c>
      <c r="C72" s="89">
        <v>43424913</v>
      </c>
      <c r="E72" s="225" t="s">
        <v>345</v>
      </c>
    </row>
    <row r="73" spans="1:5" x14ac:dyDescent="0.3">
      <c r="A73" s="93" t="s">
        <v>169</v>
      </c>
      <c r="B73" s="39"/>
      <c r="C73" s="89">
        <v>20000000</v>
      </c>
      <c r="E73" s="225" t="s">
        <v>346</v>
      </c>
    </row>
    <row r="74" spans="1:5" ht="15" thickBot="1" x14ac:dyDescent="0.35">
      <c r="A74" s="82" t="s">
        <v>2</v>
      </c>
      <c r="B74" s="83">
        <f>B23+SUM(B24:B73)</f>
        <v>509794888</v>
      </c>
      <c r="C74" s="84">
        <f>C23+SUM(C24:C73)</f>
        <v>374145605</v>
      </c>
    </row>
    <row r="75" spans="1:5" x14ac:dyDescent="0.3">
      <c r="A75" s="49"/>
      <c r="B75" s="66"/>
      <c r="C75" s="66"/>
    </row>
    <row r="76" spans="1:5" x14ac:dyDescent="0.3">
      <c r="A76" s="49"/>
      <c r="B76" s="66"/>
      <c r="C76" s="66"/>
    </row>
    <row r="78" spans="1:5" x14ac:dyDescent="0.3">
      <c r="A78" s="266" t="s">
        <v>62</v>
      </c>
      <c r="B78" s="267"/>
      <c r="C78" s="267"/>
    </row>
    <row r="79" spans="1:5" ht="15" thickBot="1" x14ac:dyDescent="0.35">
      <c r="A79" s="212"/>
      <c r="B79" s="69"/>
      <c r="C79" s="69"/>
    </row>
    <row r="80" spans="1:5" x14ac:dyDescent="0.3">
      <c r="A80" s="256" t="s">
        <v>0</v>
      </c>
      <c r="B80" s="258" t="s">
        <v>224</v>
      </c>
      <c r="C80" s="260" t="s">
        <v>225</v>
      </c>
    </row>
    <row r="81" spans="1:5" x14ac:dyDescent="0.3">
      <c r="A81" s="257"/>
      <c r="B81" s="259"/>
      <c r="C81" s="261"/>
    </row>
    <row r="82" spans="1:5" x14ac:dyDescent="0.3">
      <c r="A82" s="136" t="s">
        <v>79</v>
      </c>
      <c r="B82" s="43"/>
      <c r="C82" s="92">
        <v>500000</v>
      </c>
      <c r="E82" s="225" t="s">
        <v>295</v>
      </c>
    </row>
    <row r="83" spans="1:5" ht="15" thickBot="1" x14ac:dyDescent="0.35">
      <c r="A83" s="100" t="s">
        <v>254</v>
      </c>
      <c r="B83" s="44"/>
      <c r="C83" s="101"/>
    </row>
    <row r="84" spans="1:5" ht="15" thickTop="1" x14ac:dyDescent="0.3">
      <c r="A84" s="93" t="s">
        <v>65</v>
      </c>
      <c r="B84" s="43">
        <v>6630926</v>
      </c>
      <c r="C84" s="92">
        <f>6823200+200000</f>
        <v>7023200</v>
      </c>
      <c r="E84" s="225" t="s">
        <v>296</v>
      </c>
    </row>
    <row r="85" spans="1:5" ht="15" thickBot="1" x14ac:dyDescent="0.35">
      <c r="A85" s="100" t="s">
        <v>151</v>
      </c>
      <c r="B85" s="44"/>
      <c r="C85" s="101"/>
    </row>
    <row r="86" spans="1:5" ht="15" thickTop="1" x14ac:dyDescent="0.3">
      <c r="A86" s="136" t="s">
        <v>289</v>
      </c>
      <c r="B86" s="43"/>
      <c r="C86" s="92">
        <v>601504</v>
      </c>
      <c r="E86" s="225" t="s">
        <v>297</v>
      </c>
    </row>
    <row r="87" spans="1:5" ht="15" thickBot="1" x14ac:dyDescent="0.35">
      <c r="A87" s="100" t="s">
        <v>290</v>
      </c>
      <c r="B87" s="44"/>
      <c r="C87" s="101"/>
    </row>
    <row r="88" spans="1:5" ht="15.6" thickTop="1" thickBot="1" x14ac:dyDescent="0.35">
      <c r="A88" s="102" t="s">
        <v>155</v>
      </c>
      <c r="B88" s="44">
        <v>180000</v>
      </c>
      <c r="C88" s="101">
        <f>90000+240000</f>
        <v>330000</v>
      </c>
      <c r="E88" s="225" t="s">
        <v>297</v>
      </c>
    </row>
    <row r="89" spans="1:5" ht="15.6" thickTop="1" thickBot="1" x14ac:dyDescent="0.35">
      <c r="A89" s="100" t="s">
        <v>253</v>
      </c>
      <c r="B89" s="44"/>
      <c r="C89" s="101"/>
    </row>
    <row r="90" spans="1:5" ht="15.6" thickTop="1" thickBot="1" x14ac:dyDescent="0.35">
      <c r="A90" s="103" t="s">
        <v>5</v>
      </c>
      <c r="B90" s="47">
        <f>SUM(B82:B89)</f>
        <v>6810926</v>
      </c>
      <c r="C90" s="104">
        <f>SUM(C82:C89)</f>
        <v>8454704</v>
      </c>
      <c r="D90" s="225">
        <v>1</v>
      </c>
    </row>
    <row r="91" spans="1:5" ht="15" thickTop="1" x14ac:dyDescent="0.3">
      <c r="A91" s="93" t="s">
        <v>29</v>
      </c>
      <c r="B91" s="43">
        <v>1265375</v>
      </c>
      <c r="C91" s="92">
        <f>(C82+C84)*0.175+(C86+C88)*0.9*0.175</f>
        <v>1463271.88</v>
      </c>
      <c r="E91" s="225" t="s">
        <v>298</v>
      </c>
    </row>
    <row r="92" spans="1:5" x14ac:dyDescent="0.3">
      <c r="A92" s="105" t="s">
        <v>272</v>
      </c>
      <c r="B92" s="43"/>
      <c r="C92" s="92"/>
    </row>
    <row r="93" spans="1:5" x14ac:dyDescent="0.3">
      <c r="A93" s="88" t="s">
        <v>126</v>
      </c>
      <c r="B93" s="43">
        <v>30000</v>
      </c>
      <c r="C93" s="92">
        <v>30000</v>
      </c>
      <c r="E93" s="225" t="s">
        <v>298</v>
      </c>
    </row>
    <row r="94" spans="1:5" ht="15" thickBot="1" x14ac:dyDescent="0.35">
      <c r="A94" s="102" t="s">
        <v>6</v>
      </c>
      <c r="B94" s="36">
        <f>SUM(B91:B93)</f>
        <v>1295375</v>
      </c>
      <c r="C94" s="106">
        <f>SUM(C91:C93)</f>
        <v>1493271.88</v>
      </c>
      <c r="D94" s="225">
        <v>2</v>
      </c>
    </row>
    <row r="95" spans="1:5" ht="15" thickTop="1" x14ac:dyDescent="0.3">
      <c r="A95" s="93" t="s">
        <v>66</v>
      </c>
      <c r="B95" s="43">
        <v>20315</v>
      </c>
      <c r="C95" s="92">
        <v>20000</v>
      </c>
      <c r="E95" s="225" t="s">
        <v>299</v>
      </c>
    </row>
    <row r="96" spans="1:5" x14ac:dyDescent="0.3">
      <c r="A96" s="97" t="s">
        <v>249</v>
      </c>
      <c r="B96" s="45"/>
      <c r="C96" s="98"/>
    </row>
    <row r="97" spans="1:5" x14ac:dyDescent="0.3">
      <c r="A97" s="93" t="s">
        <v>67</v>
      </c>
      <c r="B97" s="43">
        <v>328372</v>
      </c>
      <c r="C97" s="92">
        <v>100000</v>
      </c>
      <c r="E97" s="225" t="s">
        <v>300</v>
      </c>
    </row>
    <row r="98" spans="1:5" x14ac:dyDescent="0.3">
      <c r="A98" s="105" t="s">
        <v>110</v>
      </c>
      <c r="B98" s="43"/>
      <c r="C98" s="92"/>
    </row>
    <row r="99" spans="1:5" x14ac:dyDescent="0.3">
      <c r="A99" s="88" t="s">
        <v>68</v>
      </c>
      <c r="B99" s="43">
        <v>164979</v>
      </c>
      <c r="C99" s="92">
        <v>175000</v>
      </c>
      <c r="E99" s="225" t="s">
        <v>301</v>
      </c>
    </row>
    <row r="100" spans="1:5" x14ac:dyDescent="0.3">
      <c r="A100" s="105" t="s">
        <v>69</v>
      </c>
      <c r="B100" s="43"/>
      <c r="C100" s="92"/>
    </row>
    <row r="101" spans="1:5" x14ac:dyDescent="0.3">
      <c r="A101" s="93" t="s">
        <v>70</v>
      </c>
      <c r="B101" s="43">
        <v>251014</v>
      </c>
      <c r="C101" s="92">
        <v>50000</v>
      </c>
      <c r="E101" s="225" t="s">
        <v>302</v>
      </c>
    </row>
    <row r="102" spans="1:5" x14ac:dyDescent="0.3">
      <c r="A102" s="107" t="s">
        <v>282</v>
      </c>
      <c r="B102" s="43"/>
      <c r="C102" s="92"/>
    </row>
    <row r="103" spans="1:5" x14ac:dyDescent="0.3">
      <c r="A103" s="93" t="s">
        <v>71</v>
      </c>
      <c r="B103" s="43">
        <v>39370</v>
      </c>
      <c r="C103" s="92"/>
      <c r="E103" s="225" t="s">
        <v>303</v>
      </c>
    </row>
    <row r="104" spans="1:5" x14ac:dyDescent="0.3">
      <c r="A104" s="97" t="s">
        <v>226</v>
      </c>
      <c r="B104" s="45"/>
      <c r="C104" s="98"/>
    </row>
    <row r="105" spans="1:5" x14ac:dyDescent="0.3">
      <c r="A105" s="93" t="s">
        <v>7</v>
      </c>
      <c r="B105" s="43">
        <v>429668</v>
      </c>
      <c r="C105" s="92">
        <v>150000</v>
      </c>
      <c r="E105" s="225" t="s">
        <v>304</v>
      </c>
    </row>
    <row r="106" spans="1:5" x14ac:dyDescent="0.3">
      <c r="A106" s="97" t="s">
        <v>227</v>
      </c>
      <c r="B106" s="45"/>
      <c r="C106" s="98"/>
    </row>
    <row r="107" spans="1:5" x14ac:dyDescent="0.3">
      <c r="A107" s="93" t="s">
        <v>56</v>
      </c>
      <c r="B107" s="43">
        <v>42325</v>
      </c>
      <c r="C107" s="92">
        <v>45000</v>
      </c>
      <c r="E107" s="225" t="s">
        <v>305</v>
      </c>
    </row>
    <row r="108" spans="1:5" x14ac:dyDescent="0.3">
      <c r="A108" s="99"/>
      <c r="B108" s="45"/>
      <c r="C108" s="98"/>
    </row>
    <row r="109" spans="1:5" x14ac:dyDescent="0.3">
      <c r="A109" s="93" t="s">
        <v>72</v>
      </c>
      <c r="B109" s="43">
        <f>3564582+3578+483244</f>
        <v>4051404</v>
      </c>
      <c r="C109" s="92">
        <v>3800000</v>
      </c>
      <c r="E109" s="225" t="s">
        <v>306</v>
      </c>
    </row>
    <row r="110" spans="1:5" ht="29.4" customHeight="1" x14ac:dyDescent="0.3">
      <c r="A110" s="234" t="s">
        <v>288</v>
      </c>
      <c r="B110" s="45"/>
      <c r="C110" s="98"/>
    </row>
    <row r="111" spans="1:5" x14ac:dyDescent="0.3">
      <c r="A111" s="88" t="s">
        <v>73</v>
      </c>
      <c r="B111" s="43">
        <v>896840</v>
      </c>
      <c r="C111" s="92">
        <f>900000+12*16000</f>
        <v>1092000</v>
      </c>
      <c r="E111" s="225" t="s">
        <v>307</v>
      </c>
    </row>
    <row r="112" spans="1:5" x14ac:dyDescent="0.3">
      <c r="A112" s="107" t="s">
        <v>292</v>
      </c>
      <c r="B112" s="34"/>
      <c r="C112" s="92"/>
    </row>
    <row r="113" spans="1:5" x14ac:dyDescent="0.3">
      <c r="A113" s="93" t="s">
        <v>74</v>
      </c>
      <c r="B113" s="43">
        <v>138298</v>
      </c>
      <c r="C113" s="92">
        <v>140000</v>
      </c>
      <c r="E113" s="225" t="s">
        <v>308</v>
      </c>
    </row>
    <row r="114" spans="1:5" x14ac:dyDescent="0.3">
      <c r="A114" s="107"/>
      <c r="B114" s="34"/>
      <c r="C114" s="92"/>
    </row>
    <row r="115" spans="1:5" x14ac:dyDescent="0.3">
      <c r="A115" s="93" t="s">
        <v>57</v>
      </c>
      <c r="B115" s="34">
        <v>631255</v>
      </c>
      <c r="C115" s="92">
        <v>300000</v>
      </c>
      <c r="E115" s="225" t="s">
        <v>309</v>
      </c>
    </row>
    <row r="116" spans="1:5" x14ac:dyDescent="0.3">
      <c r="A116" s="107"/>
      <c r="B116" s="34"/>
      <c r="C116" s="92"/>
    </row>
    <row r="117" spans="1:5" x14ac:dyDescent="0.3">
      <c r="A117" s="93" t="s">
        <v>75</v>
      </c>
      <c r="B117" s="43">
        <f>558829-17000</f>
        <v>541829</v>
      </c>
      <c r="C117" s="92">
        <v>250000</v>
      </c>
      <c r="E117" s="225" t="s">
        <v>310</v>
      </c>
    </row>
    <row r="118" spans="1:5" ht="15" thickBot="1" x14ac:dyDescent="0.35">
      <c r="A118" s="97"/>
      <c r="B118" s="70"/>
      <c r="C118" s="108"/>
    </row>
    <row r="119" spans="1:5" ht="15.6" thickTop="1" thickBot="1" x14ac:dyDescent="0.35">
      <c r="A119" s="103" t="s">
        <v>8</v>
      </c>
      <c r="B119" s="104">
        <f>SUM(B95:B118)</f>
        <v>7535669</v>
      </c>
      <c r="C119" s="104">
        <f>SUM(C95:C118)</f>
        <v>6122000</v>
      </c>
      <c r="D119" s="225">
        <v>3</v>
      </c>
    </row>
    <row r="120" spans="1:5" ht="15.6" thickTop="1" thickBot="1" x14ac:dyDescent="0.35">
      <c r="A120" s="103" t="s">
        <v>76</v>
      </c>
      <c r="B120" s="33"/>
      <c r="C120" s="104"/>
      <c r="D120" s="225">
        <v>6</v>
      </c>
    </row>
    <row r="121" spans="1:5" ht="15.6" thickTop="1" thickBot="1" x14ac:dyDescent="0.35">
      <c r="A121" s="109"/>
      <c r="B121" s="33"/>
      <c r="C121" s="104"/>
    </row>
    <row r="122" spans="1:5" ht="15.6" thickTop="1" thickBot="1" x14ac:dyDescent="0.35">
      <c r="A122" s="103" t="s">
        <v>9</v>
      </c>
      <c r="B122" s="33">
        <f>B90+B94+B119+B120</f>
        <v>15641970</v>
      </c>
      <c r="C122" s="104">
        <f>C90+C94+C119+C120</f>
        <v>16069975.879999999</v>
      </c>
    </row>
    <row r="123" spans="1:5" ht="15.6" thickTop="1" thickBot="1" x14ac:dyDescent="0.35">
      <c r="A123" s="103" t="s">
        <v>170</v>
      </c>
      <c r="B123" s="47"/>
      <c r="C123" s="278">
        <f>16027273+1081099-650000-235000</f>
        <v>16223372</v>
      </c>
      <c r="D123" s="225">
        <v>10</v>
      </c>
      <c r="E123" s="225" t="s">
        <v>326</v>
      </c>
    </row>
    <row r="124" spans="1:5" ht="15.6" thickTop="1" thickBot="1" x14ac:dyDescent="0.35">
      <c r="A124" s="103" t="s">
        <v>60</v>
      </c>
      <c r="B124" s="33"/>
      <c r="C124" s="104"/>
      <c r="D124" s="225">
        <v>8</v>
      </c>
      <c r="E124" s="225" t="s">
        <v>198</v>
      </c>
    </row>
    <row r="125" spans="1:5" ht="15.6" thickTop="1" thickBot="1" x14ac:dyDescent="0.35">
      <c r="A125" s="110"/>
      <c r="B125" s="33"/>
      <c r="C125" s="104"/>
    </row>
    <row r="126" spans="1:5" ht="15" thickTop="1" x14ac:dyDescent="0.3">
      <c r="A126" s="111" t="s">
        <v>77</v>
      </c>
      <c r="B126" s="46"/>
      <c r="C126" s="112"/>
      <c r="D126" s="225">
        <v>8</v>
      </c>
      <c r="E126" s="225" t="s">
        <v>200</v>
      </c>
    </row>
    <row r="127" spans="1:5" ht="15" thickBot="1" x14ac:dyDescent="0.35">
      <c r="A127" s="99"/>
      <c r="B127" s="52"/>
      <c r="C127" s="113"/>
    </row>
    <row r="128" spans="1:5" ht="15.6" thickTop="1" thickBot="1" x14ac:dyDescent="0.35">
      <c r="A128" s="114" t="s">
        <v>78</v>
      </c>
      <c r="B128" s="48"/>
      <c r="C128" s="115"/>
      <c r="D128" s="225">
        <v>8</v>
      </c>
      <c r="E128" s="225" t="s">
        <v>206</v>
      </c>
    </row>
    <row r="129" spans="1:5" ht="15.6" thickTop="1" thickBot="1" x14ac:dyDescent="0.35">
      <c r="A129" s="114" t="s">
        <v>58</v>
      </c>
      <c r="B129" s="48">
        <v>28086650</v>
      </c>
      <c r="C129" s="115"/>
      <c r="D129" s="225">
        <v>7</v>
      </c>
      <c r="E129" s="225" t="s">
        <v>210</v>
      </c>
    </row>
    <row r="130" spans="1:5" ht="15.6" thickTop="1" thickBot="1" x14ac:dyDescent="0.35">
      <c r="A130" s="116" t="s">
        <v>209</v>
      </c>
      <c r="B130" s="48"/>
      <c r="C130" s="115"/>
    </row>
    <row r="131" spans="1:5" ht="15.6" thickTop="1" thickBot="1" x14ac:dyDescent="0.35">
      <c r="A131" s="114" t="s">
        <v>156</v>
      </c>
      <c r="B131" s="48">
        <v>7583395</v>
      </c>
      <c r="C131" s="115"/>
      <c r="D131" s="225">
        <v>7</v>
      </c>
      <c r="E131" s="225" t="s">
        <v>216</v>
      </c>
    </row>
    <row r="132" spans="1:5" ht="15.6" thickTop="1" thickBot="1" x14ac:dyDescent="0.35">
      <c r="A132" s="103" t="s">
        <v>10</v>
      </c>
      <c r="B132" s="47">
        <f>SUM(B124:B131)</f>
        <v>35670045</v>
      </c>
      <c r="C132" s="104">
        <f>SUM(C124:C131)</f>
        <v>0</v>
      </c>
    </row>
    <row r="133" spans="1:5" ht="15.6" thickTop="1" thickBot="1" x14ac:dyDescent="0.35">
      <c r="A133" s="103" t="s">
        <v>13</v>
      </c>
      <c r="B133" s="33"/>
      <c r="C133" s="104"/>
    </row>
    <row r="134" spans="1:5" ht="15.6" thickTop="1" thickBot="1" x14ac:dyDescent="0.35">
      <c r="A134" s="117" t="s">
        <v>11</v>
      </c>
      <c r="B134" s="118">
        <f>SUM(B122+B123+B132+B133)</f>
        <v>51312015</v>
      </c>
      <c r="C134" s="119">
        <f>SUM(C122+C123+C132+C133)</f>
        <v>32293347.879999999</v>
      </c>
    </row>
    <row r="135" spans="1:5" x14ac:dyDescent="0.3">
      <c r="A135" s="49"/>
      <c r="B135" s="66"/>
      <c r="C135" s="66"/>
    </row>
    <row r="136" spans="1:5" x14ac:dyDescent="0.3">
      <c r="A136" s="49"/>
      <c r="B136" s="66"/>
      <c r="C136" s="66"/>
    </row>
    <row r="137" spans="1:5" x14ac:dyDescent="0.3">
      <c r="A137" s="263" t="s">
        <v>136</v>
      </c>
      <c r="B137" s="263"/>
      <c r="C137" s="263"/>
    </row>
    <row r="138" spans="1:5" ht="15" thickBot="1" x14ac:dyDescent="0.35"/>
    <row r="139" spans="1:5" ht="15" customHeight="1" x14ac:dyDescent="0.3">
      <c r="A139" s="264" t="s">
        <v>0</v>
      </c>
      <c r="B139" s="258" t="s">
        <v>224</v>
      </c>
      <c r="C139" s="260" t="s">
        <v>225</v>
      </c>
    </row>
    <row r="140" spans="1:5" x14ac:dyDescent="0.3">
      <c r="A140" s="265"/>
      <c r="B140" s="259"/>
      <c r="C140" s="261"/>
    </row>
    <row r="141" spans="1:5" x14ac:dyDescent="0.3">
      <c r="A141" s="122" t="s">
        <v>137</v>
      </c>
      <c r="B141" s="235">
        <f>1396559+9832201</f>
        <v>11228760</v>
      </c>
      <c r="C141" s="89">
        <v>9295349</v>
      </c>
      <c r="E141" s="225" t="s">
        <v>311</v>
      </c>
    </row>
    <row r="142" spans="1:5" ht="15" thickBot="1" x14ac:dyDescent="0.35">
      <c r="A142" s="123" t="s">
        <v>138</v>
      </c>
      <c r="B142" s="207"/>
      <c r="C142" s="124"/>
    </row>
    <row r="143" spans="1:5" ht="15.6" thickTop="1" thickBot="1" x14ac:dyDescent="0.35">
      <c r="A143" s="125" t="s">
        <v>8</v>
      </c>
      <c r="B143" s="61">
        <f>SUM(B141:B142)</f>
        <v>11228760</v>
      </c>
      <c r="C143" s="126">
        <f>SUM(C141:C142)</f>
        <v>9295349</v>
      </c>
      <c r="D143" s="225">
        <v>4</v>
      </c>
    </row>
    <row r="144" spans="1:5" ht="15.6" thickTop="1" thickBot="1" x14ac:dyDescent="0.35">
      <c r="A144" s="127" t="s">
        <v>11</v>
      </c>
      <c r="B144" s="128">
        <f>SUM(B143)</f>
        <v>11228760</v>
      </c>
      <c r="C144" s="129">
        <f>SUM(C143)</f>
        <v>9295349</v>
      </c>
    </row>
    <row r="145" spans="1:5" x14ac:dyDescent="0.3">
      <c r="A145" s="120"/>
      <c r="B145" s="121"/>
      <c r="C145" s="121"/>
    </row>
    <row r="146" spans="1:5" x14ac:dyDescent="0.3">
      <c r="A146" s="120"/>
      <c r="B146" s="121"/>
      <c r="C146" s="121"/>
    </row>
    <row r="147" spans="1:5" x14ac:dyDescent="0.3">
      <c r="A147" s="120"/>
      <c r="B147" s="121"/>
      <c r="C147" s="121"/>
    </row>
    <row r="148" spans="1:5" x14ac:dyDescent="0.3">
      <c r="A148" s="120"/>
      <c r="B148" s="121"/>
      <c r="C148" s="121"/>
    </row>
    <row r="149" spans="1:5" x14ac:dyDescent="0.3">
      <c r="A149" s="262" t="s">
        <v>228</v>
      </c>
      <c r="B149" s="262"/>
      <c r="C149" s="262"/>
    </row>
    <row r="150" spans="1:5" ht="15" thickBot="1" x14ac:dyDescent="0.35"/>
    <row r="151" spans="1:5" x14ac:dyDescent="0.3">
      <c r="A151" s="256" t="s">
        <v>0</v>
      </c>
      <c r="B151" s="258" t="s">
        <v>224</v>
      </c>
      <c r="C151" s="260" t="s">
        <v>225</v>
      </c>
    </row>
    <row r="152" spans="1:5" x14ac:dyDescent="0.3">
      <c r="A152" s="257"/>
      <c r="B152" s="259"/>
      <c r="C152" s="261"/>
    </row>
    <row r="153" spans="1:5" x14ac:dyDescent="0.3">
      <c r="A153" s="88" t="s">
        <v>84</v>
      </c>
      <c r="B153" s="37">
        <f>SUM(B154:B158)</f>
        <v>199199785</v>
      </c>
      <c r="C153" s="89">
        <f>SUM(C154:C158)</f>
        <v>200780693</v>
      </c>
      <c r="D153" s="225">
        <v>4</v>
      </c>
    </row>
    <row r="154" spans="1:5" x14ac:dyDescent="0.3">
      <c r="A154" s="90" t="s">
        <v>106</v>
      </c>
      <c r="B154" s="38">
        <f>104699906-4019872</f>
        <v>100680034</v>
      </c>
      <c r="C154" s="91">
        <v>104503088</v>
      </c>
      <c r="E154" s="225" t="s">
        <v>313</v>
      </c>
    </row>
    <row r="155" spans="1:5" x14ac:dyDescent="0.3">
      <c r="A155" s="90" t="s">
        <v>38</v>
      </c>
      <c r="B155" s="38">
        <v>94489879</v>
      </c>
      <c r="C155" s="91">
        <v>93035831</v>
      </c>
      <c r="E155" s="225" t="s">
        <v>312</v>
      </c>
    </row>
    <row r="156" spans="1:5" x14ac:dyDescent="0.3">
      <c r="A156" s="90" t="s">
        <v>229</v>
      </c>
      <c r="B156" s="54">
        <v>10000</v>
      </c>
      <c r="C156" s="130"/>
    </row>
    <row r="157" spans="1:5" ht="15" thickBot="1" x14ac:dyDescent="0.35">
      <c r="A157" s="90" t="s">
        <v>34</v>
      </c>
      <c r="B157" s="210">
        <v>3388281</v>
      </c>
      <c r="C157" s="131">
        <v>2610183</v>
      </c>
      <c r="E157" s="225" t="s">
        <v>313</v>
      </c>
    </row>
    <row r="158" spans="1:5" ht="15.6" thickTop="1" thickBot="1" x14ac:dyDescent="0.35">
      <c r="A158" s="90" t="s">
        <v>175</v>
      </c>
      <c r="B158" s="210">
        <v>631591</v>
      </c>
      <c r="C158" s="91">
        <v>631591</v>
      </c>
      <c r="E158" s="225" t="s">
        <v>313</v>
      </c>
    </row>
    <row r="159" spans="1:5" ht="15.6" thickTop="1" thickBot="1" x14ac:dyDescent="0.35">
      <c r="A159" s="132" t="s">
        <v>11</v>
      </c>
      <c r="B159" s="133">
        <f>SUM(B153)</f>
        <v>199199785</v>
      </c>
      <c r="C159" s="134">
        <f>SUM(C153)</f>
        <v>200780693</v>
      </c>
    </row>
    <row r="160" spans="1:5" x14ac:dyDescent="0.3">
      <c r="A160" s="49"/>
      <c r="B160" s="66"/>
      <c r="C160" s="66"/>
    </row>
    <row r="161" spans="1:5" x14ac:dyDescent="0.3">
      <c r="A161" s="49"/>
      <c r="B161" s="66"/>
      <c r="C161" s="66"/>
    </row>
    <row r="162" spans="1:5" x14ac:dyDescent="0.3">
      <c r="A162" s="262" t="s">
        <v>87</v>
      </c>
      <c r="B162" s="262"/>
      <c r="C162" s="262"/>
    </row>
    <row r="163" spans="1:5" ht="15" thickBot="1" x14ac:dyDescent="0.35"/>
    <row r="164" spans="1:5" ht="15" customHeight="1" x14ac:dyDescent="0.3">
      <c r="A164" s="256" t="s">
        <v>0</v>
      </c>
      <c r="B164" s="258" t="s">
        <v>224</v>
      </c>
      <c r="C164" s="260" t="s">
        <v>225</v>
      </c>
    </row>
    <row r="165" spans="1:5" x14ac:dyDescent="0.3">
      <c r="A165" s="257"/>
      <c r="B165" s="259"/>
      <c r="C165" s="261"/>
    </row>
    <row r="166" spans="1:5" x14ac:dyDescent="0.3">
      <c r="A166" s="93" t="s">
        <v>67</v>
      </c>
      <c r="B166" s="43">
        <v>67560</v>
      </c>
      <c r="C166" s="92">
        <v>70000</v>
      </c>
      <c r="E166" s="225" t="s">
        <v>300</v>
      </c>
    </row>
    <row r="167" spans="1:5" x14ac:dyDescent="0.3">
      <c r="A167" s="97"/>
      <c r="B167" s="45"/>
      <c r="C167" s="98"/>
    </row>
    <row r="168" spans="1:5" x14ac:dyDescent="0.3">
      <c r="A168" s="93" t="s">
        <v>81</v>
      </c>
      <c r="B168" s="43">
        <v>17995</v>
      </c>
      <c r="C168" s="92">
        <v>20000</v>
      </c>
      <c r="E168" s="225" t="s">
        <v>314</v>
      </c>
    </row>
    <row r="169" spans="1:5" x14ac:dyDescent="0.3">
      <c r="A169" s="105"/>
      <c r="B169" s="43"/>
      <c r="C169" s="92"/>
    </row>
    <row r="170" spans="1:5" x14ac:dyDescent="0.3">
      <c r="A170" s="88" t="s">
        <v>95</v>
      </c>
      <c r="B170" s="43"/>
      <c r="C170" s="92">
        <v>80000</v>
      </c>
      <c r="E170" s="225" t="s">
        <v>304</v>
      </c>
    </row>
    <row r="171" spans="1:5" x14ac:dyDescent="0.3">
      <c r="A171" s="105"/>
      <c r="B171" s="43"/>
      <c r="C171" s="92"/>
    </row>
    <row r="172" spans="1:5" x14ac:dyDescent="0.3">
      <c r="A172" s="88" t="s">
        <v>72</v>
      </c>
      <c r="B172" s="43">
        <v>567937</v>
      </c>
      <c r="C172" s="92">
        <v>500000</v>
      </c>
      <c r="E172" s="225" t="s">
        <v>306</v>
      </c>
    </row>
    <row r="173" spans="1:5" x14ac:dyDescent="0.3">
      <c r="A173" s="105" t="s">
        <v>187</v>
      </c>
      <c r="B173" s="209"/>
      <c r="C173" s="92"/>
    </row>
    <row r="174" spans="1:5" x14ac:dyDescent="0.3">
      <c r="A174" s="93" t="s">
        <v>57</v>
      </c>
      <c r="B174" s="43">
        <v>144479</v>
      </c>
      <c r="C174" s="92">
        <v>135000</v>
      </c>
      <c r="E174" s="225" t="s">
        <v>309</v>
      </c>
    </row>
    <row r="175" spans="1:5" x14ac:dyDescent="0.3">
      <c r="A175" s="93"/>
      <c r="B175" s="43"/>
      <c r="C175" s="92"/>
    </row>
    <row r="176" spans="1:5" x14ac:dyDescent="0.3">
      <c r="A176" s="93" t="s">
        <v>75</v>
      </c>
      <c r="B176" s="34">
        <v>1</v>
      </c>
      <c r="C176" s="92"/>
      <c r="E176" s="225" t="s">
        <v>310</v>
      </c>
    </row>
    <row r="177" spans="1:5" ht="15" thickBot="1" x14ac:dyDescent="0.35">
      <c r="A177" s="172" t="s">
        <v>252</v>
      </c>
      <c r="B177" s="214"/>
      <c r="C177" s="98"/>
    </row>
    <row r="178" spans="1:5" ht="15.6" thickTop="1" thickBot="1" x14ac:dyDescent="0.35">
      <c r="A178" s="103" t="s">
        <v>8</v>
      </c>
      <c r="B178" s="47">
        <f>SUM(B166:B176)</f>
        <v>797972</v>
      </c>
      <c r="C178" s="104">
        <f>SUM(C166:C176)</f>
        <v>805000</v>
      </c>
      <c r="D178" s="225">
        <v>3</v>
      </c>
    </row>
    <row r="179" spans="1:5" ht="15.6" thickTop="1" thickBot="1" x14ac:dyDescent="0.35">
      <c r="A179" s="114" t="s">
        <v>9</v>
      </c>
      <c r="B179" s="48">
        <f>SUM(B178)</f>
        <v>797972</v>
      </c>
      <c r="C179" s="115">
        <f>SUM(C178)</f>
        <v>805000</v>
      </c>
    </row>
    <row r="180" spans="1:5" ht="15" thickTop="1" x14ac:dyDescent="0.3">
      <c r="A180" s="93" t="s">
        <v>143</v>
      </c>
      <c r="B180" s="39"/>
      <c r="C180" s="94"/>
      <c r="D180" s="225">
        <v>8</v>
      </c>
      <c r="E180" s="225" t="s">
        <v>198</v>
      </c>
    </row>
    <row r="181" spans="1:5" x14ac:dyDescent="0.3">
      <c r="A181" s="107"/>
      <c r="B181" s="39"/>
      <c r="C181" s="94"/>
    </row>
    <row r="182" spans="1:5" x14ac:dyDescent="0.3">
      <c r="A182" s="93" t="s">
        <v>77</v>
      </c>
      <c r="B182" s="39"/>
      <c r="C182" s="94"/>
      <c r="D182" s="225">
        <v>8</v>
      </c>
      <c r="E182" s="225" t="s">
        <v>200</v>
      </c>
    </row>
    <row r="183" spans="1:5" x14ac:dyDescent="0.3">
      <c r="A183" s="107"/>
      <c r="B183" s="39"/>
      <c r="C183" s="94"/>
    </row>
    <row r="184" spans="1:5" x14ac:dyDescent="0.3">
      <c r="A184" s="88" t="s">
        <v>78</v>
      </c>
      <c r="B184" s="37"/>
      <c r="C184" s="94"/>
      <c r="D184" s="225">
        <v>8</v>
      </c>
      <c r="E184" s="225" t="s">
        <v>206</v>
      </c>
    </row>
    <row r="185" spans="1:5" x14ac:dyDescent="0.3">
      <c r="A185" s="88"/>
      <c r="B185" s="37"/>
      <c r="C185" s="89"/>
    </row>
    <row r="186" spans="1:5" x14ac:dyDescent="0.3">
      <c r="A186" s="88" t="s">
        <v>58</v>
      </c>
      <c r="B186" s="37">
        <v>600000</v>
      </c>
      <c r="C186" s="94"/>
      <c r="D186" s="225">
        <v>7</v>
      </c>
      <c r="E186" s="225" t="s">
        <v>210</v>
      </c>
    </row>
    <row r="187" spans="1:5" x14ac:dyDescent="0.3">
      <c r="A187" s="135" t="s">
        <v>230</v>
      </c>
      <c r="B187" s="37"/>
      <c r="C187" s="89"/>
    </row>
    <row r="188" spans="1:5" ht="15" thickBot="1" x14ac:dyDescent="0.35">
      <c r="A188" s="88" t="s">
        <v>107</v>
      </c>
      <c r="B188" s="37"/>
      <c r="C188" s="94"/>
      <c r="D188" s="225">
        <v>7</v>
      </c>
      <c r="E188" s="225" t="s">
        <v>216</v>
      </c>
    </row>
    <row r="189" spans="1:5" ht="15.6" thickTop="1" thickBot="1" x14ac:dyDescent="0.35">
      <c r="A189" s="114" t="s">
        <v>10</v>
      </c>
      <c r="B189" s="48">
        <f>SUM(B180:B188)</f>
        <v>600000</v>
      </c>
      <c r="C189" s="115">
        <f>SUM(C180:C188)</f>
        <v>0</v>
      </c>
    </row>
    <row r="190" spans="1:5" ht="15.6" thickTop="1" thickBot="1" x14ac:dyDescent="0.35">
      <c r="A190" s="117" t="s">
        <v>11</v>
      </c>
      <c r="B190" s="118">
        <f>SUM(B179+B189)</f>
        <v>1397972</v>
      </c>
      <c r="C190" s="119">
        <f>SUM(C179+C189)</f>
        <v>805000</v>
      </c>
    </row>
    <row r="191" spans="1:5" x14ac:dyDescent="0.3">
      <c r="A191" s="49"/>
      <c r="B191" s="66"/>
      <c r="C191" s="66"/>
    </row>
    <row r="192" spans="1:5" x14ac:dyDescent="0.3">
      <c r="A192" s="49"/>
      <c r="B192" s="66"/>
      <c r="C192" s="66"/>
    </row>
    <row r="193" spans="1:5" x14ac:dyDescent="0.3">
      <c r="A193" s="49"/>
      <c r="B193" s="66"/>
      <c r="C193" s="66"/>
    </row>
    <row r="194" spans="1:5" x14ac:dyDescent="0.3">
      <c r="A194" s="49"/>
      <c r="B194" s="66"/>
      <c r="C194" s="66"/>
    </row>
    <row r="195" spans="1:5" x14ac:dyDescent="0.3">
      <c r="A195" s="49"/>
      <c r="B195" s="66"/>
      <c r="C195" s="66"/>
    </row>
    <row r="196" spans="1:5" x14ac:dyDescent="0.3">
      <c r="A196" s="49"/>
      <c r="B196" s="66"/>
      <c r="C196" s="66"/>
    </row>
    <row r="197" spans="1:5" x14ac:dyDescent="0.3">
      <c r="A197" s="49"/>
      <c r="B197" s="66"/>
      <c r="C197" s="66"/>
    </row>
    <row r="198" spans="1:5" x14ac:dyDescent="0.3">
      <c r="A198" s="262" t="s">
        <v>104</v>
      </c>
      <c r="B198" s="262"/>
      <c r="C198" s="262"/>
    </row>
    <row r="199" spans="1:5" ht="15" thickBot="1" x14ac:dyDescent="0.35"/>
    <row r="200" spans="1:5" x14ac:dyDescent="0.3">
      <c r="A200" s="256" t="s">
        <v>0</v>
      </c>
      <c r="B200" s="258" t="s">
        <v>224</v>
      </c>
      <c r="C200" s="260" t="s">
        <v>225</v>
      </c>
    </row>
    <row r="201" spans="1:5" x14ac:dyDescent="0.3">
      <c r="A201" s="257"/>
      <c r="B201" s="259"/>
      <c r="C201" s="261"/>
    </row>
    <row r="202" spans="1:5" x14ac:dyDescent="0.3">
      <c r="A202" s="136" t="s">
        <v>63</v>
      </c>
      <c r="B202" s="38">
        <v>20957073</v>
      </c>
      <c r="C202" s="252">
        <f>2630781</f>
        <v>2630781</v>
      </c>
      <c r="E202" s="225" t="s">
        <v>295</v>
      </c>
    </row>
    <row r="203" spans="1:5" x14ac:dyDescent="0.3">
      <c r="A203" s="137" t="s">
        <v>231</v>
      </c>
      <c r="B203" s="56"/>
      <c r="C203" s="138"/>
    </row>
    <row r="204" spans="1:5" ht="15" thickBot="1" x14ac:dyDescent="0.35">
      <c r="A204" s="139" t="s">
        <v>94</v>
      </c>
      <c r="B204" s="38">
        <v>325914</v>
      </c>
      <c r="C204" s="91"/>
      <c r="E204" s="225" t="s">
        <v>315</v>
      </c>
    </row>
    <row r="205" spans="1:5" ht="15.6" thickTop="1" thickBot="1" x14ac:dyDescent="0.35">
      <c r="A205" s="140" t="s">
        <v>232</v>
      </c>
      <c r="B205" s="56"/>
      <c r="C205" s="138"/>
    </row>
    <row r="206" spans="1:5" ht="15.6" thickTop="1" thickBot="1" x14ac:dyDescent="0.35">
      <c r="A206" s="103" t="s">
        <v>5</v>
      </c>
      <c r="B206" s="47">
        <f>SUM(B202:B205)</f>
        <v>21282987</v>
      </c>
      <c r="C206" s="104">
        <f>SUM(C202:C205)</f>
        <v>2630781</v>
      </c>
      <c r="D206" s="225">
        <v>1</v>
      </c>
    </row>
    <row r="207" spans="1:5" ht="15" thickTop="1" x14ac:dyDescent="0.3">
      <c r="A207" s="93" t="s">
        <v>29</v>
      </c>
      <c r="B207" s="43">
        <v>1960735</v>
      </c>
      <c r="C207" s="92">
        <f>C206*0.175*0.5</f>
        <v>230193.33749999999</v>
      </c>
      <c r="E207" s="225" t="s">
        <v>298</v>
      </c>
    </row>
    <row r="208" spans="1:5" x14ac:dyDescent="0.3">
      <c r="A208" s="105" t="s">
        <v>272</v>
      </c>
      <c r="B208" s="43"/>
      <c r="C208" s="92"/>
    </row>
    <row r="209" spans="1:5" x14ac:dyDescent="0.3">
      <c r="A209" s="142" t="s">
        <v>129</v>
      </c>
      <c r="B209" s="43">
        <v>121349</v>
      </c>
      <c r="C209" s="92"/>
      <c r="E209" s="225" t="s">
        <v>298</v>
      </c>
    </row>
    <row r="210" spans="1:5" x14ac:dyDescent="0.3">
      <c r="A210" s="141"/>
      <c r="B210" s="43"/>
      <c r="C210" s="92"/>
    </row>
    <row r="211" spans="1:5" ht="15" thickBot="1" x14ac:dyDescent="0.35">
      <c r="A211" s="102" t="s">
        <v>6</v>
      </c>
      <c r="B211" s="36">
        <f>SUM(B207:B209)</f>
        <v>2082084</v>
      </c>
      <c r="C211" s="106">
        <f>SUM(C207:C209)</f>
        <v>230193.33749999999</v>
      </c>
      <c r="D211" s="225">
        <v>2</v>
      </c>
    </row>
    <row r="212" spans="1:5" ht="15" thickTop="1" x14ac:dyDescent="0.3">
      <c r="A212" s="93" t="s">
        <v>67</v>
      </c>
      <c r="B212" s="34">
        <v>938042</v>
      </c>
      <c r="C212" s="92"/>
      <c r="E212" s="225" t="s">
        <v>300</v>
      </c>
    </row>
    <row r="213" spans="1:5" x14ac:dyDescent="0.3">
      <c r="A213" s="93"/>
      <c r="B213" s="34"/>
      <c r="C213" s="92"/>
    </row>
    <row r="214" spans="1:5" x14ac:dyDescent="0.3">
      <c r="A214" s="93" t="s">
        <v>57</v>
      </c>
      <c r="B214" s="43">
        <v>253268</v>
      </c>
      <c r="C214" s="92"/>
      <c r="E214" s="225" t="s">
        <v>309</v>
      </c>
    </row>
    <row r="215" spans="1:5" x14ac:dyDescent="0.3">
      <c r="A215" s="93"/>
      <c r="B215" s="34"/>
      <c r="C215" s="92"/>
    </row>
    <row r="216" spans="1:5" x14ac:dyDescent="0.3">
      <c r="A216" s="93" t="s">
        <v>316</v>
      </c>
      <c r="B216" s="43">
        <v>71</v>
      </c>
      <c r="C216" s="92"/>
      <c r="E216" s="225" t="s">
        <v>317</v>
      </c>
    </row>
    <row r="217" spans="1:5" ht="15" thickBot="1" x14ac:dyDescent="0.35">
      <c r="A217" s="93" t="s">
        <v>75</v>
      </c>
      <c r="B217" s="34">
        <v>16850</v>
      </c>
      <c r="C217" s="92"/>
      <c r="E217" s="225" t="s">
        <v>310</v>
      </c>
    </row>
    <row r="218" spans="1:5" ht="15.6" thickTop="1" thickBot="1" x14ac:dyDescent="0.35">
      <c r="A218" s="103" t="s">
        <v>8</v>
      </c>
      <c r="B218" s="47">
        <f>SUM(B212:B217)</f>
        <v>1208231</v>
      </c>
      <c r="C218" s="104">
        <f>SUM(C212:C217)</f>
        <v>0</v>
      </c>
      <c r="D218" s="225">
        <v>3</v>
      </c>
    </row>
    <row r="219" spans="1:5" ht="15.6" thickTop="1" thickBot="1" x14ac:dyDescent="0.35">
      <c r="A219" s="114" t="s">
        <v>9</v>
      </c>
      <c r="B219" s="48">
        <f>SUM(B218,B211,B206)</f>
        <v>24573302</v>
      </c>
      <c r="C219" s="115">
        <f>SUM(C218,C211,C206)</f>
        <v>2860974.3374999999</v>
      </c>
    </row>
    <row r="220" spans="1:5" ht="15" thickTop="1" x14ac:dyDescent="0.3">
      <c r="A220" s="93" t="s">
        <v>85</v>
      </c>
      <c r="B220" s="39">
        <v>637560</v>
      </c>
      <c r="C220" s="89"/>
      <c r="D220" s="225">
        <v>8</v>
      </c>
      <c r="E220" s="225" t="s">
        <v>200</v>
      </c>
    </row>
    <row r="221" spans="1:5" x14ac:dyDescent="0.3">
      <c r="A221" s="107" t="s">
        <v>139</v>
      </c>
      <c r="B221" s="39"/>
      <c r="C221" s="89"/>
    </row>
    <row r="222" spans="1:5" ht="15" thickBot="1" x14ac:dyDescent="0.35">
      <c r="A222" s="88" t="s">
        <v>78</v>
      </c>
      <c r="B222" s="37">
        <v>172140</v>
      </c>
      <c r="C222" s="89"/>
      <c r="D222" s="225">
        <v>8</v>
      </c>
      <c r="E222" s="225" t="s">
        <v>206</v>
      </c>
    </row>
    <row r="223" spans="1:5" ht="15.6" thickTop="1" thickBot="1" x14ac:dyDescent="0.35">
      <c r="A223" s="114" t="s">
        <v>10</v>
      </c>
      <c r="B223" s="48">
        <f>SUM(B220:B222)</f>
        <v>809700</v>
      </c>
      <c r="C223" s="115">
        <f>SUM(C220:C222)</f>
        <v>0</v>
      </c>
    </row>
    <row r="224" spans="1:5" ht="15.6" thickTop="1" thickBot="1" x14ac:dyDescent="0.35">
      <c r="A224" s="117" t="s">
        <v>11</v>
      </c>
      <c r="B224" s="118">
        <f>SUM(B219+B223)</f>
        <v>25383002</v>
      </c>
      <c r="C224" s="119">
        <f>SUM(C219+C223)</f>
        <v>2860974.3374999999</v>
      </c>
    </row>
    <row r="225" spans="1:5" x14ac:dyDescent="0.3">
      <c r="A225" s="49"/>
      <c r="B225" s="66"/>
      <c r="C225" s="66"/>
    </row>
    <row r="226" spans="1:5" x14ac:dyDescent="0.3">
      <c r="A226" s="49"/>
      <c r="B226" s="66"/>
      <c r="C226" s="66"/>
    </row>
    <row r="227" spans="1:5" x14ac:dyDescent="0.3">
      <c r="A227" s="262" t="s">
        <v>147</v>
      </c>
      <c r="B227" s="262"/>
      <c r="C227" s="262"/>
    </row>
    <row r="228" spans="1:5" ht="15" thickBot="1" x14ac:dyDescent="0.35"/>
    <row r="229" spans="1:5" x14ac:dyDescent="0.3">
      <c r="A229" s="256" t="s">
        <v>0</v>
      </c>
      <c r="B229" s="258" t="s">
        <v>224</v>
      </c>
      <c r="C229" s="260" t="s">
        <v>225</v>
      </c>
    </row>
    <row r="230" spans="1:5" x14ac:dyDescent="0.3">
      <c r="A230" s="257"/>
      <c r="B230" s="259"/>
      <c r="C230" s="261"/>
    </row>
    <row r="231" spans="1:5" x14ac:dyDescent="0.3">
      <c r="A231" s="93" t="s">
        <v>72</v>
      </c>
      <c r="B231" s="43">
        <v>26400</v>
      </c>
      <c r="C231" s="92"/>
      <c r="E231" s="225" t="s">
        <v>306</v>
      </c>
    </row>
    <row r="232" spans="1:5" x14ac:dyDescent="0.3">
      <c r="A232" s="97"/>
      <c r="B232" s="45"/>
      <c r="C232" s="98"/>
    </row>
    <row r="233" spans="1:5" x14ac:dyDescent="0.3">
      <c r="A233" s="93" t="s">
        <v>233</v>
      </c>
      <c r="B233" s="43">
        <v>30000</v>
      </c>
      <c r="C233" s="92"/>
      <c r="E233" s="225" t="s">
        <v>308</v>
      </c>
    </row>
    <row r="234" spans="1:5" x14ac:dyDescent="0.3">
      <c r="A234" s="97"/>
      <c r="B234" s="45"/>
      <c r="C234" s="98"/>
    </row>
    <row r="235" spans="1:5" x14ac:dyDescent="0.3">
      <c r="A235" s="93" t="s">
        <v>57</v>
      </c>
      <c r="B235" s="43">
        <v>32095</v>
      </c>
      <c r="C235" s="92"/>
      <c r="E235" s="225" t="s">
        <v>309</v>
      </c>
    </row>
    <row r="236" spans="1:5" x14ac:dyDescent="0.3">
      <c r="A236" s="93"/>
      <c r="B236" s="34"/>
      <c r="C236" s="92"/>
    </row>
    <row r="237" spans="1:5" x14ac:dyDescent="0.3">
      <c r="A237" s="93" t="s">
        <v>75</v>
      </c>
      <c r="B237" s="34">
        <v>88869</v>
      </c>
      <c r="C237" s="92"/>
      <c r="E237" s="225" t="s">
        <v>310</v>
      </c>
    </row>
    <row r="238" spans="1:5" ht="15" thickBot="1" x14ac:dyDescent="0.35">
      <c r="A238" s="107"/>
      <c r="B238" s="34"/>
      <c r="C238" s="92"/>
    </row>
    <row r="239" spans="1:5" ht="15.6" thickTop="1" thickBot="1" x14ac:dyDescent="0.35">
      <c r="A239" s="103" t="s">
        <v>8</v>
      </c>
      <c r="B239" s="47">
        <f>SUM(B231:B238)</f>
        <v>177364</v>
      </c>
      <c r="C239" s="104">
        <f>SUM(C231:C238)</f>
        <v>0</v>
      </c>
      <c r="D239" s="225">
        <v>3</v>
      </c>
    </row>
    <row r="240" spans="1:5" ht="15" thickTop="1" x14ac:dyDescent="0.3">
      <c r="A240" s="93" t="s">
        <v>143</v>
      </c>
      <c r="B240" s="254">
        <v>3816082</v>
      </c>
      <c r="C240" s="179">
        <f>501800+338582+100000</f>
        <v>940382</v>
      </c>
      <c r="D240" s="225">
        <v>8</v>
      </c>
      <c r="E240" s="225" t="s">
        <v>198</v>
      </c>
    </row>
    <row r="241" spans="1:5" x14ac:dyDescent="0.3">
      <c r="A241" s="107" t="s">
        <v>171</v>
      </c>
      <c r="B241" s="37"/>
      <c r="C241" s="89"/>
    </row>
    <row r="242" spans="1:5" x14ac:dyDescent="0.3">
      <c r="A242" s="93" t="s">
        <v>85</v>
      </c>
      <c r="B242" s="37">
        <v>458240</v>
      </c>
      <c r="C242" s="89"/>
      <c r="D242" s="225">
        <v>8</v>
      </c>
      <c r="E242" s="225" t="s">
        <v>200</v>
      </c>
    </row>
    <row r="243" spans="1:5" x14ac:dyDescent="0.3">
      <c r="A243" s="107"/>
      <c r="B243" s="37"/>
      <c r="C243" s="89"/>
    </row>
    <row r="244" spans="1:5" x14ac:dyDescent="0.3">
      <c r="A244" s="88" t="s">
        <v>78</v>
      </c>
      <c r="B244" s="37">
        <v>350144</v>
      </c>
      <c r="C244" s="89">
        <v>91418</v>
      </c>
      <c r="D244" s="225">
        <v>8</v>
      </c>
      <c r="E244" s="225" t="s">
        <v>206</v>
      </c>
    </row>
    <row r="245" spans="1:5" x14ac:dyDescent="0.3">
      <c r="A245" s="88"/>
      <c r="B245" s="37"/>
      <c r="C245" s="89"/>
    </row>
    <row r="246" spans="1:5" x14ac:dyDescent="0.3">
      <c r="A246" s="88" t="s">
        <v>58</v>
      </c>
      <c r="B246" s="37"/>
      <c r="C246" s="89">
        <v>7059150</v>
      </c>
      <c r="D246" s="225">
        <v>7</v>
      </c>
      <c r="E246" s="225" t="s">
        <v>210</v>
      </c>
    </row>
    <row r="247" spans="1:5" x14ac:dyDescent="0.3">
      <c r="A247" s="88"/>
      <c r="B247" s="37"/>
      <c r="C247" s="89"/>
    </row>
    <row r="248" spans="1:5" ht="15" thickBot="1" x14ac:dyDescent="0.35">
      <c r="A248" s="88" t="s">
        <v>158</v>
      </c>
      <c r="B248" s="223"/>
      <c r="C248" s="106">
        <v>1905970</v>
      </c>
      <c r="D248" s="225">
        <v>7</v>
      </c>
      <c r="E248" s="225" t="s">
        <v>216</v>
      </c>
    </row>
    <row r="249" spans="1:5" ht="15.6" thickTop="1" thickBot="1" x14ac:dyDescent="0.35">
      <c r="A249" s="114" t="s">
        <v>10</v>
      </c>
      <c r="B249" s="33">
        <f>SUM(B240:B248)</f>
        <v>4624466</v>
      </c>
      <c r="C249" s="104">
        <f>SUM(C240:C248)</f>
        <v>9996920</v>
      </c>
    </row>
    <row r="250" spans="1:5" ht="15.6" thickTop="1" thickBot="1" x14ac:dyDescent="0.35">
      <c r="A250" s="117" t="s">
        <v>11</v>
      </c>
      <c r="B250" s="118">
        <f>SUM(B249,B239)</f>
        <v>4801830</v>
      </c>
      <c r="C250" s="119">
        <f>SUM(C249,C239)</f>
        <v>9996920</v>
      </c>
    </row>
    <row r="251" spans="1:5" x14ac:dyDescent="0.3">
      <c r="A251" s="49"/>
      <c r="B251" s="66"/>
      <c r="C251" s="66"/>
    </row>
    <row r="252" spans="1:5" x14ac:dyDescent="0.3">
      <c r="A252" s="49"/>
      <c r="B252" s="66"/>
      <c r="C252" s="66"/>
    </row>
    <row r="253" spans="1:5" x14ac:dyDescent="0.3">
      <c r="A253" s="262" t="s">
        <v>102</v>
      </c>
      <c r="B253" s="262"/>
      <c r="C253" s="262"/>
    </row>
    <row r="254" spans="1:5" ht="15" thickBot="1" x14ac:dyDescent="0.35"/>
    <row r="255" spans="1:5" x14ac:dyDescent="0.3">
      <c r="A255" s="256" t="s">
        <v>0</v>
      </c>
      <c r="B255" s="258" t="s">
        <v>224</v>
      </c>
      <c r="C255" s="260" t="s">
        <v>225</v>
      </c>
    </row>
    <row r="256" spans="1:5" x14ac:dyDescent="0.3">
      <c r="A256" s="257"/>
      <c r="B256" s="259"/>
      <c r="C256" s="261"/>
    </row>
    <row r="257" spans="1:5" x14ac:dyDescent="0.3">
      <c r="A257" s="136" t="s">
        <v>63</v>
      </c>
      <c r="B257" s="38">
        <v>2372550</v>
      </c>
      <c r="C257" s="91">
        <f>12*220600</f>
        <v>2647200</v>
      </c>
      <c r="E257" s="225" t="s">
        <v>295</v>
      </c>
    </row>
    <row r="258" spans="1:5" x14ac:dyDescent="0.3">
      <c r="A258" s="137"/>
      <c r="B258" s="56"/>
      <c r="C258" s="138"/>
    </row>
    <row r="259" spans="1:5" ht="15" thickBot="1" x14ac:dyDescent="0.35">
      <c r="A259" s="139" t="s">
        <v>64</v>
      </c>
      <c r="B259" s="38">
        <v>100000</v>
      </c>
      <c r="C259" s="91">
        <v>100000</v>
      </c>
      <c r="E259" s="225" t="s">
        <v>318</v>
      </c>
    </row>
    <row r="260" spans="1:5" ht="15.6" thickTop="1" thickBot="1" x14ac:dyDescent="0.35">
      <c r="A260" s="140" t="s">
        <v>27</v>
      </c>
      <c r="B260" s="38"/>
      <c r="C260" s="138"/>
    </row>
    <row r="261" spans="1:5" ht="15.6" thickTop="1" thickBot="1" x14ac:dyDescent="0.35">
      <c r="A261" s="143" t="s">
        <v>94</v>
      </c>
      <c r="B261" s="38">
        <v>49352</v>
      </c>
      <c r="C261" s="91"/>
      <c r="E261" s="225" t="s">
        <v>315</v>
      </c>
    </row>
    <row r="262" spans="1:5" ht="15.6" thickTop="1" thickBot="1" x14ac:dyDescent="0.35">
      <c r="A262" s="140" t="s">
        <v>234</v>
      </c>
      <c r="B262" s="38"/>
      <c r="C262" s="138"/>
    </row>
    <row r="263" spans="1:5" ht="15.6" thickTop="1" thickBot="1" x14ac:dyDescent="0.35">
      <c r="A263" s="103" t="s">
        <v>5</v>
      </c>
      <c r="B263" s="47">
        <f>SUM(B257:B262)</f>
        <v>2521902</v>
      </c>
      <c r="C263" s="104">
        <f>SUM(C257:C262)</f>
        <v>2747200</v>
      </c>
      <c r="D263" s="225">
        <v>1</v>
      </c>
    </row>
    <row r="264" spans="1:5" ht="15" thickTop="1" x14ac:dyDescent="0.3">
      <c r="A264" s="93" t="s">
        <v>29</v>
      </c>
      <c r="B264" s="43">
        <v>470170</v>
      </c>
      <c r="C264" s="92">
        <f>(C257+C259+C261)*0.175</f>
        <v>480759.99999999994</v>
      </c>
      <c r="E264" s="225" t="s">
        <v>298</v>
      </c>
    </row>
    <row r="265" spans="1:5" x14ac:dyDescent="0.3">
      <c r="A265" s="105" t="s">
        <v>272</v>
      </c>
      <c r="B265" s="43"/>
      <c r="C265" s="92"/>
    </row>
    <row r="266" spans="1:5" x14ac:dyDescent="0.3">
      <c r="A266" s="142" t="s">
        <v>127</v>
      </c>
      <c r="B266" s="43">
        <v>15000</v>
      </c>
      <c r="C266" s="92">
        <v>15000</v>
      </c>
      <c r="E266" s="225" t="s">
        <v>298</v>
      </c>
    </row>
    <row r="267" spans="1:5" x14ac:dyDescent="0.3">
      <c r="A267" s="141"/>
      <c r="B267" s="43"/>
      <c r="C267" s="92"/>
    </row>
    <row r="268" spans="1:5" ht="15" thickBot="1" x14ac:dyDescent="0.35">
      <c r="A268" s="102" t="s">
        <v>6</v>
      </c>
      <c r="B268" s="36">
        <f>SUM(B264:B267)</f>
        <v>485170</v>
      </c>
      <c r="C268" s="106">
        <f>SUM(C264:C267)</f>
        <v>495759.99999999994</v>
      </c>
      <c r="D268" s="225">
        <v>2</v>
      </c>
    </row>
    <row r="269" spans="1:5" ht="15" thickTop="1" x14ac:dyDescent="0.3">
      <c r="A269" s="93" t="s">
        <v>66</v>
      </c>
      <c r="B269" s="43"/>
      <c r="C269" s="92">
        <v>10000</v>
      </c>
      <c r="E269" s="225" t="s">
        <v>299</v>
      </c>
    </row>
    <row r="270" spans="1:5" x14ac:dyDescent="0.3">
      <c r="A270" s="97"/>
      <c r="B270" s="45"/>
      <c r="C270" s="98"/>
    </row>
    <row r="271" spans="1:5" x14ac:dyDescent="0.3">
      <c r="A271" s="93" t="s">
        <v>67</v>
      </c>
      <c r="B271" s="34">
        <v>1666649</v>
      </c>
      <c r="C271" s="92">
        <v>1700000</v>
      </c>
      <c r="E271" s="225" t="s">
        <v>300</v>
      </c>
    </row>
    <row r="272" spans="1:5" x14ac:dyDescent="0.3">
      <c r="A272" s="107"/>
      <c r="B272" s="34"/>
      <c r="C272" s="92"/>
    </row>
    <row r="273" spans="1:5" x14ac:dyDescent="0.3">
      <c r="A273" s="93" t="s">
        <v>68</v>
      </c>
      <c r="B273" s="43">
        <v>17728</v>
      </c>
      <c r="C273" s="92">
        <v>20000</v>
      </c>
      <c r="E273" s="225" t="s">
        <v>301</v>
      </c>
    </row>
    <row r="274" spans="1:5" x14ac:dyDescent="0.3">
      <c r="A274" s="105" t="s">
        <v>69</v>
      </c>
      <c r="B274" s="43"/>
      <c r="C274" s="92"/>
    </row>
    <row r="275" spans="1:5" x14ac:dyDescent="0.3">
      <c r="A275" s="93" t="s">
        <v>7</v>
      </c>
      <c r="B275" s="43">
        <v>1040469</v>
      </c>
      <c r="C275" s="92">
        <v>1100000</v>
      </c>
      <c r="E275" s="225" t="s">
        <v>304</v>
      </c>
    </row>
    <row r="276" spans="1:5" x14ac:dyDescent="0.3">
      <c r="A276" s="107"/>
      <c r="B276" s="43"/>
      <c r="C276" s="92"/>
    </row>
    <row r="277" spans="1:5" x14ac:dyDescent="0.3">
      <c r="A277" s="93" t="s">
        <v>72</v>
      </c>
      <c r="B277" s="43">
        <f>71948+310200</f>
        <v>382148</v>
      </c>
      <c r="C277" s="92">
        <v>700000</v>
      </c>
      <c r="E277" s="225" t="s">
        <v>306</v>
      </c>
    </row>
    <row r="278" spans="1:5" x14ac:dyDescent="0.3">
      <c r="A278" s="96" t="s">
        <v>152</v>
      </c>
      <c r="B278" s="43"/>
      <c r="C278" s="92"/>
    </row>
    <row r="279" spans="1:5" x14ac:dyDescent="0.3">
      <c r="A279" s="93" t="s">
        <v>73</v>
      </c>
      <c r="B279" s="43">
        <v>6515</v>
      </c>
      <c r="C279" s="92">
        <v>10000</v>
      </c>
      <c r="E279" s="225" t="s">
        <v>307</v>
      </c>
    </row>
    <row r="280" spans="1:5" x14ac:dyDescent="0.3">
      <c r="A280" s="97"/>
      <c r="B280" s="45"/>
      <c r="C280" s="98"/>
    </row>
    <row r="281" spans="1:5" x14ac:dyDescent="0.3">
      <c r="A281" s="93" t="s">
        <v>57</v>
      </c>
      <c r="B281" s="43">
        <v>665467</v>
      </c>
      <c r="C281" s="92">
        <v>765000</v>
      </c>
      <c r="E281" s="225" t="s">
        <v>309</v>
      </c>
    </row>
    <row r="282" spans="1:5" x14ac:dyDescent="0.3">
      <c r="A282" s="99"/>
      <c r="B282" s="45"/>
      <c r="C282" s="98"/>
    </row>
    <row r="283" spans="1:5" x14ac:dyDescent="0.3">
      <c r="A283" s="93"/>
      <c r="B283" s="43"/>
      <c r="C283" s="92"/>
    </row>
    <row r="284" spans="1:5" ht="15" thickBot="1" x14ac:dyDescent="0.35">
      <c r="A284" s="97"/>
      <c r="B284" s="70"/>
      <c r="C284" s="108"/>
    </row>
    <row r="285" spans="1:5" ht="15.6" thickTop="1" thickBot="1" x14ac:dyDescent="0.35">
      <c r="A285" s="103" t="s">
        <v>8</v>
      </c>
      <c r="B285" s="47">
        <f>SUM(B269:B284)</f>
        <v>3778976</v>
      </c>
      <c r="C285" s="104">
        <f>SUM(C269:C284)</f>
        <v>4305000</v>
      </c>
      <c r="D285" s="225">
        <v>3</v>
      </c>
    </row>
    <row r="286" spans="1:5" ht="15.6" thickTop="1" thickBot="1" x14ac:dyDescent="0.35">
      <c r="A286" s="114" t="s">
        <v>9</v>
      </c>
      <c r="B286" s="48">
        <f>SUM(B285,B268,B263)</f>
        <v>6786048</v>
      </c>
      <c r="C286" s="115">
        <f>SUM(C285,C268,C263)</f>
        <v>7547960</v>
      </c>
    </row>
    <row r="287" spans="1:5" ht="15.6" thickTop="1" thickBot="1" x14ac:dyDescent="0.35">
      <c r="A287" s="114" t="s">
        <v>77</v>
      </c>
      <c r="B287" s="48"/>
      <c r="C287" s="115"/>
      <c r="D287" s="225">
        <v>8</v>
      </c>
      <c r="E287" s="225" t="s">
        <v>200</v>
      </c>
    </row>
    <row r="288" spans="1:5" ht="15.6" thickTop="1" thickBot="1" x14ac:dyDescent="0.35">
      <c r="A288" s="114"/>
      <c r="B288" s="48"/>
      <c r="C288" s="115"/>
    </row>
    <row r="289" spans="1:5" ht="15.6" thickTop="1" thickBot="1" x14ac:dyDescent="0.35">
      <c r="A289" s="114" t="s">
        <v>78</v>
      </c>
      <c r="B289" s="48"/>
      <c r="C289" s="115"/>
      <c r="D289" s="225">
        <v>8</v>
      </c>
      <c r="E289" s="225" t="s">
        <v>206</v>
      </c>
    </row>
    <row r="290" spans="1:5" ht="15.6" thickTop="1" thickBot="1" x14ac:dyDescent="0.35">
      <c r="A290" s="114"/>
      <c r="B290" s="48"/>
      <c r="C290" s="115"/>
    </row>
    <row r="291" spans="1:5" ht="15.6" thickTop="1" thickBot="1" x14ac:dyDescent="0.35">
      <c r="A291" s="114" t="s">
        <v>159</v>
      </c>
      <c r="B291" s="48"/>
      <c r="C291" s="115"/>
      <c r="D291" s="225">
        <v>7</v>
      </c>
      <c r="E291" s="225" t="s">
        <v>214</v>
      </c>
    </row>
    <row r="292" spans="1:5" ht="15.6" thickTop="1" thickBot="1" x14ac:dyDescent="0.35">
      <c r="A292" s="114"/>
      <c r="B292" s="48"/>
      <c r="C292" s="115"/>
    </row>
    <row r="293" spans="1:5" ht="15" thickTop="1" x14ac:dyDescent="0.3">
      <c r="A293" s="246" t="s">
        <v>107</v>
      </c>
      <c r="B293" s="247"/>
      <c r="C293" s="248"/>
      <c r="D293" s="225">
        <v>7</v>
      </c>
      <c r="E293" s="225" t="s">
        <v>216</v>
      </c>
    </row>
    <row r="294" spans="1:5" ht="15" thickBot="1" x14ac:dyDescent="0.35">
      <c r="A294" s="249" t="s">
        <v>10</v>
      </c>
      <c r="B294" s="250">
        <f>SUM(B287:B293)</f>
        <v>0</v>
      </c>
      <c r="C294" s="251">
        <f>SUM(C287:C293)</f>
        <v>0</v>
      </c>
    </row>
    <row r="295" spans="1:5" ht="15.6" thickTop="1" thickBot="1" x14ac:dyDescent="0.35">
      <c r="A295" s="117" t="s">
        <v>11</v>
      </c>
      <c r="B295" s="118">
        <f>SUM(B286+B294)</f>
        <v>6786048</v>
      </c>
      <c r="C295" s="119">
        <f>SUM(C286+C294)</f>
        <v>7547960</v>
      </c>
    </row>
    <row r="296" spans="1:5" x14ac:dyDescent="0.3">
      <c r="A296" s="49"/>
      <c r="B296" s="66"/>
      <c r="C296" s="66"/>
    </row>
    <row r="297" spans="1:5" x14ac:dyDescent="0.3">
      <c r="A297" s="49"/>
      <c r="B297" s="66"/>
      <c r="C297" s="66"/>
    </row>
    <row r="298" spans="1:5" x14ac:dyDescent="0.3">
      <c r="A298" s="41" t="s">
        <v>235</v>
      </c>
      <c r="B298" s="41"/>
      <c r="C298" s="41"/>
    </row>
    <row r="299" spans="1:5" ht="15" thickBot="1" x14ac:dyDescent="0.35">
      <c r="A299" s="49"/>
      <c r="B299" s="66"/>
      <c r="C299" s="66"/>
    </row>
    <row r="300" spans="1:5" ht="28.8" x14ac:dyDescent="0.3">
      <c r="A300" s="144" t="s">
        <v>0</v>
      </c>
      <c r="B300" s="145" t="s">
        <v>224</v>
      </c>
      <c r="C300" s="146" t="s">
        <v>225</v>
      </c>
    </row>
    <row r="301" spans="1:5" x14ac:dyDescent="0.3">
      <c r="A301" s="147"/>
      <c r="B301" s="42"/>
      <c r="C301" s="148"/>
    </row>
    <row r="302" spans="1:5" x14ac:dyDescent="0.3">
      <c r="A302" s="93" t="s">
        <v>55</v>
      </c>
      <c r="B302" s="34">
        <v>82846</v>
      </c>
      <c r="C302" s="92">
        <v>40000</v>
      </c>
      <c r="E302" s="225" t="s">
        <v>300</v>
      </c>
    </row>
    <row r="303" spans="1:5" x14ac:dyDescent="0.3">
      <c r="A303" s="107"/>
      <c r="B303" s="34"/>
      <c r="C303" s="92"/>
    </row>
    <row r="304" spans="1:5" x14ac:dyDescent="0.3">
      <c r="A304" s="93" t="s">
        <v>32</v>
      </c>
      <c r="B304" s="34"/>
      <c r="C304" s="92">
        <v>100000</v>
      </c>
      <c r="E304" s="225" t="s">
        <v>304</v>
      </c>
    </row>
    <row r="305" spans="1:5" x14ac:dyDescent="0.3">
      <c r="A305" s="93"/>
      <c r="B305" s="34"/>
      <c r="C305" s="92"/>
    </row>
    <row r="306" spans="1:5" x14ac:dyDescent="0.3">
      <c r="A306" s="93" t="s">
        <v>72</v>
      </c>
      <c r="B306" s="43">
        <v>435800</v>
      </c>
      <c r="C306" s="92">
        <v>50000</v>
      </c>
      <c r="E306" s="225" t="s">
        <v>306</v>
      </c>
    </row>
    <row r="307" spans="1:5" x14ac:dyDescent="0.3">
      <c r="A307" s="99" t="s">
        <v>247</v>
      </c>
      <c r="B307" s="45"/>
      <c r="C307" s="98"/>
    </row>
    <row r="308" spans="1:5" x14ac:dyDescent="0.3">
      <c r="A308" s="93" t="s">
        <v>57</v>
      </c>
      <c r="B308" s="43">
        <v>27769</v>
      </c>
      <c r="C308" s="92">
        <v>51300</v>
      </c>
      <c r="E308" s="225" t="s">
        <v>309</v>
      </c>
    </row>
    <row r="309" spans="1:5" x14ac:dyDescent="0.3">
      <c r="A309" s="93"/>
      <c r="B309" s="43"/>
      <c r="C309" s="92"/>
    </row>
    <row r="310" spans="1:5" ht="15" thickBot="1" x14ac:dyDescent="0.35">
      <c r="A310" s="93" t="s">
        <v>75</v>
      </c>
      <c r="B310" s="34"/>
      <c r="C310" s="92"/>
      <c r="E310" s="225" t="s">
        <v>310</v>
      </c>
    </row>
    <row r="311" spans="1:5" ht="15.6" thickTop="1" thickBot="1" x14ac:dyDescent="0.35">
      <c r="A311" s="103" t="s">
        <v>8</v>
      </c>
      <c r="B311" s="47">
        <f>SUM(B302:B310)</f>
        <v>546415</v>
      </c>
      <c r="C311" s="104">
        <f>SUM(C302:C310)</f>
        <v>241300</v>
      </c>
      <c r="D311" s="225">
        <v>3</v>
      </c>
    </row>
    <row r="312" spans="1:5" ht="15" thickTop="1" x14ac:dyDescent="0.3">
      <c r="A312" s="88" t="s">
        <v>60</v>
      </c>
      <c r="B312" s="37"/>
      <c r="C312" s="89"/>
      <c r="D312" s="225">
        <v>8</v>
      </c>
      <c r="E312" s="225" t="s">
        <v>198</v>
      </c>
    </row>
    <row r="313" spans="1:5" x14ac:dyDescent="0.3">
      <c r="A313" s="105"/>
      <c r="B313" s="38"/>
      <c r="C313" s="91"/>
    </row>
    <row r="314" spans="1:5" ht="15" thickBot="1" x14ac:dyDescent="0.35">
      <c r="A314" s="102" t="s">
        <v>78</v>
      </c>
      <c r="B314" s="85"/>
      <c r="C314" s="150"/>
      <c r="D314" s="225">
        <v>8</v>
      </c>
      <c r="E314" s="225" t="s">
        <v>206</v>
      </c>
    </row>
    <row r="315" spans="1:5" ht="15" thickTop="1" x14ac:dyDescent="0.3">
      <c r="A315" s="93"/>
      <c r="B315" s="159"/>
      <c r="C315" s="149"/>
    </row>
    <row r="316" spans="1:5" x14ac:dyDescent="0.3">
      <c r="A316" s="93" t="s">
        <v>58</v>
      </c>
      <c r="B316" s="39"/>
      <c r="C316" s="94"/>
      <c r="D316" s="225">
        <v>7</v>
      </c>
      <c r="E316" s="225" t="s">
        <v>210</v>
      </c>
    </row>
    <row r="317" spans="1:5" ht="15" customHeight="1" thickBot="1" x14ac:dyDescent="0.35">
      <c r="A317" s="107"/>
      <c r="B317" s="39"/>
      <c r="C317" s="89"/>
    </row>
    <row r="318" spans="1:5" ht="15.6" thickTop="1" thickBot="1" x14ac:dyDescent="0.35">
      <c r="A318" s="114" t="s">
        <v>107</v>
      </c>
      <c r="B318" s="40"/>
      <c r="C318" s="150"/>
      <c r="D318" s="225">
        <v>7</v>
      </c>
      <c r="E318" s="225" t="s">
        <v>216</v>
      </c>
    </row>
    <row r="319" spans="1:5" ht="15.6" thickTop="1" thickBot="1" x14ac:dyDescent="0.35">
      <c r="A319" s="103" t="s">
        <v>10</v>
      </c>
      <c r="B319" s="47">
        <f>SUM(B312+B314+B316+B317+B318)</f>
        <v>0</v>
      </c>
      <c r="C319" s="104">
        <f>SUM(C312+C314+C316+C317+C318)</f>
        <v>0</v>
      </c>
    </row>
    <row r="320" spans="1:5" ht="15.6" thickTop="1" thickBot="1" x14ac:dyDescent="0.35">
      <c r="A320" s="132" t="s">
        <v>59</v>
      </c>
      <c r="B320" s="133">
        <f>SUM(B311+B319)</f>
        <v>546415</v>
      </c>
      <c r="C320" s="134">
        <f>SUM(C311+C319)</f>
        <v>241300</v>
      </c>
    </row>
    <row r="321" spans="1:5" x14ac:dyDescent="0.3">
      <c r="A321" s="1"/>
      <c r="B321" s="1"/>
      <c r="C321" s="1"/>
    </row>
    <row r="322" spans="1:5" x14ac:dyDescent="0.3">
      <c r="A322" s="1"/>
      <c r="B322" s="1"/>
      <c r="C322" s="1"/>
    </row>
    <row r="323" spans="1:5" x14ac:dyDescent="0.3">
      <c r="A323" s="266" t="s">
        <v>287</v>
      </c>
      <c r="B323" s="268"/>
      <c r="C323" s="268"/>
    </row>
    <row r="324" spans="1:5" ht="15" thickBot="1" x14ac:dyDescent="0.35">
      <c r="A324" s="68"/>
      <c r="B324" s="69"/>
      <c r="C324" s="69"/>
    </row>
    <row r="325" spans="1:5" x14ac:dyDescent="0.3">
      <c r="A325" s="256" t="s">
        <v>0</v>
      </c>
      <c r="B325" s="258" t="s">
        <v>224</v>
      </c>
      <c r="C325" s="260" t="s">
        <v>225</v>
      </c>
    </row>
    <row r="326" spans="1:5" x14ac:dyDescent="0.3">
      <c r="A326" s="257"/>
      <c r="B326" s="259"/>
      <c r="C326" s="261"/>
    </row>
    <row r="327" spans="1:5" x14ac:dyDescent="0.3">
      <c r="A327" s="93" t="s">
        <v>61</v>
      </c>
      <c r="B327" s="43">
        <v>144000</v>
      </c>
      <c r="C327" s="92">
        <v>144000</v>
      </c>
      <c r="E327" s="225" t="s">
        <v>297</v>
      </c>
    </row>
    <row r="328" spans="1:5" ht="15" thickBot="1" x14ac:dyDescent="0.35">
      <c r="A328" s="97" t="s">
        <v>15</v>
      </c>
      <c r="B328" s="45"/>
      <c r="C328" s="98"/>
    </row>
    <row r="329" spans="1:5" ht="15.6" thickTop="1" thickBot="1" x14ac:dyDescent="0.35">
      <c r="A329" s="103" t="s">
        <v>5</v>
      </c>
      <c r="B329" s="47">
        <f>SUM(B327:B328)</f>
        <v>144000</v>
      </c>
      <c r="C329" s="104">
        <f>SUM(C327:C328)</f>
        <v>144000</v>
      </c>
      <c r="D329" s="225">
        <v>1</v>
      </c>
    </row>
    <row r="330" spans="1:5" ht="15" thickTop="1" x14ac:dyDescent="0.3">
      <c r="A330" s="93" t="s">
        <v>29</v>
      </c>
      <c r="B330" s="43">
        <v>24192</v>
      </c>
      <c r="C330" s="92">
        <f>C329*0.9*0.175</f>
        <v>22680</v>
      </c>
      <c r="E330" s="225" t="s">
        <v>298</v>
      </c>
    </row>
    <row r="331" spans="1:5" ht="15" thickBot="1" x14ac:dyDescent="0.35">
      <c r="A331" s="105" t="s">
        <v>272</v>
      </c>
      <c r="B331" s="45"/>
      <c r="C331" s="98"/>
    </row>
    <row r="332" spans="1:5" ht="15.6" thickTop="1" thickBot="1" x14ac:dyDescent="0.35">
      <c r="A332" s="103" t="s">
        <v>6</v>
      </c>
      <c r="B332" s="47">
        <f>SUM(B330:B331)</f>
        <v>24192</v>
      </c>
      <c r="C332" s="104">
        <f>SUM(C330:C331)</f>
        <v>22680</v>
      </c>
      <c r="D332" s="225">
        <v>2</v>
      </c>
    </row>
    <row r="333" spans="1:5" ht="15.6" thickTop="1" thickBot="1" x14ac:dyDescent="0.35">
      <c r="A333" s="117" t="s">
        <v>9</v>
      </c>
      <c r="B333" s="151">
        <f>SUM(B329+B332)</f>
        <v>168192</v>
      </c>
      <c r="C333" s="119">
        <f>SUM(C329+C332)</f>
        <v>166680</v>
      </c>
    </row>
    <row r="334" spans="1:5" x14ac:dyDescent="0.3">
      <c r="A334" s="1"/>
      <c r="B334" s="1"/>
      <c r="C334" s="1"/>
    </row>
    <row r="335" spans="1:5" x14ac:dyDescent="0.3">
      <c r="A335" s="1"/>
      <c r="B335" s="1"/>
      <c r="C335" s="1"/>
    </row>
    <row r="336" spans="1:5" x14ac:dyDescent="0.3">
      <c r="A336" s="1"/>
      <c r="B336" s="1"/>
      <c r="C336" s="1"/>
    </row>
    <row r="337" spans="1:5" x14ac:dyDescent="0.3">
      <c r="A337" s="1"/>
      <c r="B337" s="1"/>
      <c r="C337" s="1"/>
    </row>
    <row r="338" spans="1:5" x14ac:dyDescent="0.3">
      <c r="A338" s="1"/>
      <c r="B338" s="1"/>
      <c r="C338" s="1"/>
    </row>
    <row r="339" spans="1:5" x14ac:dyDescent="0.3">
      <c r="A339" s="1"/>
      <c r="B339" s="1"/>
      <c r="C339" s="1"/>
    </row>
    <row r="340" spans="1:5" x14ac:dyDescent="0.3">
      <c r="A340" s="1"/>
      <c r="B340" s="1"/>
      <c r="C340" s="1"/>
    </row>
    <row r="341" spans="1:5" x14ac:dyDescent="0.3">
      <c r="A341" s="1"/>
      <c r="B341" s="1"/>
      <c r="C341" s="1"/>
    </row>
    <row r="342" spans="1:5" x14ac:dyDescent="0.3">
      <c r="A342" s="269" t="s">
        <v>184</v>
      </c>
      <c r="B342" s="270"/>
      <c r="C342" s="270"/>
      <c r="D342" s="277"/>
    </row>
    <row r="343" spans="1:5" ht="15" thickBot="1" x14ac:dyDescent="0.35">
      <c r="A343" s="86"/>
      <c r="B343" s="66"/>
      <c r="C343" s="66"/>
      <c r="D343" s="277"/>
    </row>
    <row r="344" spans="1:5" ht="15" customHeight="1" x14ac:dyDescent="0.3">
      <c r="A344" s="271" t="s">
        <v>0</v>
      </c>
      <c r="B344" s="258" t="s">
        <v>224</v>
      </c>
      <c r="C344" s="260" t="s">
        <v>225</v>
      </c>
    </row>
    <row r="345" spans="1:5" x14ac:dyDescent="0.3">
      <c r="A345" s="272"/>
      <c r="B345" s="259"/>
      <c r="C345" s="261"/>
    </row>
    <row r="346" spans="1:5" x14ac:dyDescent="0.3">
      <c r="A346" s="93" t="s">
        <v>55</v>
      </c>
      <c r="B346" s="34">
        <v>14020</v>
      </c>
      <c r="C346" s="92">
        <v>15000</v>
      </c>
      <c r="E346" s="225" t="s">
        <v>300</v>
      </c>
    </row>
    <row r="347" spans="1:5" x14ac:dyDescent="0.3">
      <c r="A347" s="107"/>
      <c r="B347" s="34"/>
      <c r="C347" s="92"/>
    </row>
    <row r="348" spans="1:5" x14ac:dyDescent="0.3">
      <c r="A348" s="93" t="s">
        <v>57</v>
      </c>
      <c r="B348" s="43">
        <v>3785</v>
      </c>
      <c r="C348" s="92">
        <v>4600</v>
      </c>
      <c r="E348" s="225" t="s">
        <v>309</v>
      </c>
    </row>
    <row r="349" spans="1:5" x14ac:dyDescent="0.3">
      <c r="A349" s="93" t="s">
        <v>75</v>
      </c>
      <c r="B349" s="43">
        <v>17000</v>
      </c>
      <c r="C349" s="211">
        <v>17000</v>
      </c>
      <c r="E349" s="225" t="s">
        <v>310</v>
      </c>
    </row>
    <row r="350" spans="1:5" ht="15" thickBot="1" x14ac:dyDescent="0.35">
      <c r="A350" s="96" t="s">
        <v>255</v>
      </c>
      <c r="B350" s="215"/>
      <c r="C350" s="211"/>
    </row>
    <row r="351" spans="1:5" ht="15.6" thickTop="1" thickBot="1" x14ac:dyDescent="0.35">
      <c r="A351" s="132" t="s">
        <v>59</v>
      </c>
      <c r="B351" s="134">
        <f>SUM(B346+B348+B349)</f>
        <v>34805</v>
      </c>
      <c r="C351" s="134">
        <f>SUM(C346+C348+C349)</f>
        <v>36600</v>
      </c>
      <c r="D351" s="225">
        <v>3</v>
      </c>
    </row>
    <row r="352" spans="1:5" x14ac:dyDescent="0.3">
      <c r="A352" s="30"/>
      <c r="B352" s="67"/>
      <c r="C352" s="67"/>
    </row>
    <row r="353" spans="1:5" x14ac:dyDescent="0.3">
      <c r="A353" s="31"/>
      <c r="B353" s="66"/>
      <c r="C353" s="66"/>
    </row>
    <row r="354" spans="1:5" x14ac:dyDescent="0.3">
      <c r="A354" s="262" t="s">
        <v>183</v>
      </c>
      <c r="B354" s="262"/>
      <c r="C354" s="262"/>
    </row>
    <row r="355" spans="1:5" ht="15" thickBot="1" x14ac:dyDescent="0.35"/>
    <row r="356" spans="1:5" x14ac:dyDescent="0.3">
      <c r="A356" s="256" t="s">
        <v>0</v>
      </c>
      <c r="B356" s="258" t="s">
        <v>224</v>
      </c>
      <c r="C356" s="260" t="s">
        <v>225</v>
      </c>
    </row>
    <row r="357" spans="1:5" ht="15" customHeight="1" x14ac:dyDescent="0.3">
      <c r="A357" s="257"/>
      <c r="B357" s="259"/>
      <c r="C357" s="261"/>
    </row>
    <row r="358" spans="1:5" x14ac:dyDescent="0.3">
      <c r="A358" s="136" t="s">
        <v>56</v>
      </c>
      <c r="B358" s="38"/>
      <c r="C358" s="91"/>
      <c r="E358" s="225" t="s">
        <v>305</v>
      </c>
    </row>
    <row r="359" spans="1:5" x14ac:dyDescent="0.3">
      <c r="A359" s="137"/>
      <c r="B359" s="208"/>
      <c r="C359" s="152"/>
    </row>
    <row r="360" spans="1:5" x14ac:dyDescent="0.3">
      <c r="A360" s="136" t="s">
        <v>160</v>
      </c>
      <c r="B360" s="35"/>
      <c r="C360" s="91">
        <v>540000</v>
      </c>
      <c r="E360" s="225" t="s">
        <v>306</v>
      </c>
    </row>
    <row r="361" spans="1:5" x14ac:dyDescent="0.3">
      <c r="A361" s="137" t="s">
        <v>269</v>
      </c>
      <c r="B361" s="208"/>
      <c r="C361" s="152"/>
    </row>
    <row r="362" spans="1:5" x14ac:dyDescent="0.3">
      <c r="A362" s="93" t="s">
        <v>57</v>
      </c>
      <c r="B362" s="35"/>
      <c r="C362" s="92">
        <v>148500</v>
      </c>
      <c r="E362" s="225" t="s">
        <v>309</v>
      </c>
    </row>
    <row r="363" spans="1:5" ht="15" thickBot="1" x14ac:dyDescent="0.35">
      <c r="A363" s="97"/>
      <c r="B363" s="45"/>
      <c r="C363" s="98"/>
    </row>
    <row r="364" spans="1:5" ht="15.6" thickTop="1" thickBot="1" x14ac:dyDescent="0.35">
      <c r="A364" s="103" t="s">
        <v>8</v>
      </c>
      <c r="B364" s="47">
        <f>SUM(B358:B363)</f>
        <v>0</v>
      </c>
      <c r="C364" s="104">
        <f>SUM(C358:C363)</f>
        <v>688500</v>
      </c>
      <c r="D364" s="225">
        <v>3</v>
      </c>
    </row>
    <row r="365" spans="1:5" ht="15.6" thickTop="1" thickBot="1" x14ac:dyDescent="0.35">
      <c r="A365" s="117" t="s">
        <v>9</v>
      </c>
      <c r="B365" s="118">
        <f>SUM(B364)</f>
        <v>0</v>
      </c>
      <c r="C365" s="119">
        <f>SUM(C364)</f>
        <v>688500</v>
      </c>
    </row>
    <row r="366" spans="1:5" x14ac:dyDescent="0.3">
      <c r="A366" s="49"/>
      <c r="B366" s="66"/>
      <c r="C366" s="66"/>
    </row>
    <row r="367" spans="1:5" x14ac:dyDescent="0.3">
      <c r="A367" s="49"/>
      <c r="B367" s="66"/>
      <c r="C367" s="66"/>
    </row>
    <row r="368" spans="1:5" x14ac:dyDescent="0.3">
      <c r="A368" s="262" t="s">
        <v>112</v>
      </c>
      <c r="B368" s="262"/>
      <c r="C368" s="262"/>
    </row>
    <row r="369" spans="1:5" ht="15" thickBot="1" x14ac:dyDescent="0.35"/>
    <row r="370" spans="1:5" x14ac:dyDescent="0.3">
      <c r="A370" s="256" t="s">
        <v>0</v>
      </c>
      <c r="B370" s="258" t="s">
        <v>224</v>
      </c>
      <c r="C370" s="260" t="s">
        <v>225</v>
      </c>
    </row>
    <row r="371" spans="1:5" x14ac:dyDescent="0.3">
      <c r="A371" s="257"/>
      <c r="B371" s="259"/>
      <c r="C371" s="261"/>
    </row>
    <row r="372" spans="1:5" x14ac:dyDescent="0.3">
      <c r="A372" s="153" t="s">
        <v>95</v>
      </c>
      <c r="B372" s="76"/>
      <c r="C372" s="154"/>
      <c r="E372" s="225" t="s">
        <v>304</v>
      </c>
    </row>
    <row r="373" spans="1:5" x14ac:dyDescent="0.3">
      <c r="A373" s="153" t="s">
        <v>72</v>
      </c>
      <c r="B373" s="76"/>
      <c r="C373" s="154"/>
      <c r="E373" s="225" t="s">
        <v>306</v>
      </c>
    </row>
    <row r="374" spans="1:5" ht="15" thickBot="1" x14ac:dyDescent="0.35">
      <c r="A374" s="153" t="s">
        <v>57</v>
      </c>
      <c r="B374" s="76"/>
      <c r="C374" s="154"/>
      <c r="E374" s="225" t="s">
        <v>309</v>
      </c>
    </row>
    <row r="375" spans="1:5" ht="15.6" thickTop="1" thickBot="1" x14ac:dyDescent="0.35">
      <c r="A375" s="103" t="s">
        <v>8</v>
      </c>
      <c r="B375" s="77">
        <f>SUM(B372:B374)</f>
        <v>0</v>
      </c>
      <c r="C375" s="155">
        <f>SUM(C372:C374)</f>
        <v>0</v>
      </c>
      <c r="D375" s="225">
        <v>3</v>
      </c>
    </row>
    <row r="376" spans="1:5" ht="15.6" thickTop="1" thickBot="1" x14ac:dyDescent="0.35">
      <c r="A376" s="103" t="s">
        <v>135</v>
      </c>
      <c r="B376" s="33"/>
      <c r="C376" s="104"/>
      <c r="D376" s="225">
        <v>6</v>
      </c>
      <c r="E376" s="225" t="s">
        <v>319</v>
      </c>
    </row>
    <row r="377" spans="1:5" ht="15.6" thickTop="1" thickBot="1" x14ac:dyDescent="0.35">
      <c r="A377" s="110"/>
      <c r="B377" s="55"/>
      <c r="C377" s="156"/>
    </row>
    <row r="378" spans="1:5" ht="15.6" thickTop="1" thickBot="1" x14ac:dyDescent="0.35">
      <c r="A378" s="110"/>
      <c r="B378" s="55"/>
      <c r="C378" s="156"/>
    </row>
    <row r="379" spans="1:5" ht="15.6" thickTop="1" thickBot="1" x14ac:dyDescent="0.35">
      <c r="A379" s="103" t="s">
        <v>9</v>
      </c>
      <c r="B379" s="47">
        <f>SUM(B376+B375)</f>
        <v>0</v>
      </c>
      <c r="C379" s="104">
        <f>SUM(C376)</f>
        <v>0</v>
      </c>
    </row>
    <row r="380" spans="1:5" ht="15.6" thickTop="1" thickBot="1" x14ac:dyDescent="0.35">
      <c r="A380" s="114" t="s">
        <v>58</v>
      </c>
      <c r="B380" s="48">
        <v>7209240</v>
      </c>
      <c r="C380" s="157"/>
      <c r="D380" s="225">
        <v>7</v>
      </c>
      <c r="E380" s="225" t="s">
        <v>210</v>
      </c>
    </row>
    <row r="381" spans="1:5" ht="15.6" thickTop="1" thickBot="1" x14ac:dyDescent="0.35">
      <c r="A381" s="236" t="s">
        <v>283</v>
      </c>
      <c r="B381" s="48"/>
      <c r="C381" s="157"/>
    </row>
    <row r="382" spans="1:5" ht="15.6" thickTop="1" thickBot="1" x14ac:dyDescent="0.35">
      <c r="A382" s="114" t="s">
        <v>156</v>
      </c>
      <c r="B382" s="48">
        <v>1946495</v>
      </c>
      <c r="C382" s="157"/>
      <c r="D382" s="225">
        <v>7</v>
      </c>
      <c r="E382" s="225" t="s">
        <v>216</v>
      </c>
    </row>
    <row r="383" spans="1:5" ht="15.6" thickTop="1" thickBot="1" x14ac:dyDescent="0.35">
      <c r="A383" s="103" t="s">
        <v>10</v>
      </c>
      <c r="B383" s="47">
        <f>SUM(B380:B382)</f>
        <v>9155735</v>
      </c>
      <c r="C383" s="104">
        <f>SUM(C375:C382)</f>
        <v>0</v>
      </c>
    </row>
    <row r="384" spans="1:5" ht="15.6" thickTop="1" thickBot="1" x14ac:dyDescent="0.35">
      <c r="A384" s="117" t="s">
        <v>11</v>
      </c>
      <c r="B384" s="118">
        <f>SUM(B379+B383)</f>
        <v>9155735</v>
      </c>
      <c r="C384" s="119">
        <f>SUM(C379)</f>
        <v>0</v>
      </c>
    </row>
    <row r="385" spans="1:5" x14ac:dyDescent="0.3">
      <c r="A385" s="31"/>
      <c r="B385" s="66"/>
      <c r="C385" s="66"/>
    </row>
    <row r="386" spans="1:5" x14ac:dyDescent="0.3">
      <c r="A386" s="49"/>
      <c r="B386" s="66"/>
      <c r="C386" s="66"/>
    </row>
    <row r="387" spans="1:5" x14ac:dyDescent="0.3">
      <c r="A387" s="49"/>
      <c r="B387" s="66"/>
      <c r="C387" s="66"/>
    </row>
    <row r="388" spans="1:5" x14ac:dyDescent="0.3">
      <c r="A388" s="49"/>
      <c r="B388" s="66"/>
      <c r="C388" s="66"/>
    </row>
    <row r="389" spans="1:5" x14ac:dyDescent="0.3">
      <c r="A389" s="49"/>
      <c r="B389" s="66"/>
      <c r="C389" s="66"/>
    </row>
    <row r="390" spans="1:5" x14ac:dyDescent="0.3">
      <c r="A390" s="49"/>
      <c r="B390" s="66"/>
      <c r="C390" s="66"/>
    </row>
    <row r="391" spans="1:5" x14ac:dyDescent="0.3">
      <c r="A391" s="262" t="s">
        <v>236</v>
      </c>
      <c r="B391" s="262"/>
      <c r="C391" s="262"/>
    </row>
    <row r="392" spans="1:5" ht="15" thickBot="1" x14ac:dyDescent="0.35">
      <c r="A392" s="41"/>
      <c r="B392" s="41"/>
      <c r="C392" s="41"/>
    </row>
    <row r="393" spans="1:5" x14ac:dyDescent="0.3">
      <c r="A393" s="256" t="s">
        <v>0</v>
      </c>
      <c r="B393" s="258" t="s">
        <v>224</v>
      </c>
      <c r="C393" s="260" t="s">
        <v>225</v>
      </c>
    </row>
    <row r="394" spans="1:5" x14ac:dyDescent="0.3">
      <c r="A394" s="257"/>
      <c r="B394" s="259"/>
      <c r="C394" s="261"/>
    </row>
    <row r="395" spans="1:5" x14ac:dyDescent="0.3">
      <c r="A395" s="88" t="s">
        <v>60</v>
      </c>
      <c r="B395" s="37"/>
      <c r="C395" s="89"/>
      <c r="D395" s="225">
        <v>8</v>
      </c>
      <c r="E395" s="225" t="s">
        <v>198</v>
      </c>
    </row>
    <row r="396" spans="1:5" x14ac:dyDescent="0.3">
      <c r="A396" s="163"/>
      <c r="B396" s="39"/>
      <c r="C396" s="89"/>
    </row>
    <row r="397" spans="1:5" x14ac:dyDescent="0.3">
      <c r="A397" s="88" t="s">
        <v>77</v>
      </c>
      <c r="B397" s="161">
        <v>13405791</v>
      </c>
      <c r="C397" s="89">
        <f>(24885061-17025355-4893759)/1.27</f>
        <v>2335391.3385826773</v>
      </c>
      <c r="D397" s="225">
        <v>8</v>
      </c>
      <c r="E397" s="226" t="s">
        <v>200</v>
      </c>
    </row>
    <row r="398" spans="1:5" x14ac:dyDescent="0.3">
      <c r="A398" s="105" t="s">
        <v>270</v>
      </c>
      <c r="B398" s="161"/>
      <c r="C398" s="89"/>
    </row>
    <row r="399" spans="1:5" ht="15" thickBot="1" x14ac:dyDescent="0.35">
      <c r="A399" s="165" t="s">
        <v>78</v>
      </c>
      <c r="B399" s="162">
        <v>3619564</v>
      </c>
      <c r="C399" s="150">
        <f>C397*0.27</f>
        <v>630555.66141732293</v>
      </c>
      <c r="D399" s="225">
        <v>8</v>
      </c>
      <c r="E399" s="225" t="s">
        <v>206</v>
      </c>
    </row>
    <row r="400" spans="1:5" ht="15" thickTop="1" x14ac:dyDescent="0.3">
      <c r="A400" s="158"/>
      <c r="B400" s="159"/>
      <c r="C400" s="160"/>
    </row>
    <row r="401" spans="1:5" x14ac:dyDescent="0.3">
      <c r="A401" s="93" t="s">
        <v>58</v>
      </c>
      <c r="B401" s="39"/>
      <c r="C401" s="95">
        <f>4893759/1.27+3000000/1.27</f>
        <v>6215558.2677165354</v>
      </c>
      <c r="D401" s="225">
        <v>7</v>
      </c>
      <c r="E401" s="225" t="s">
        <v>210</v>
      </c>
    </row>
    <row r="402" spans="1:5" ht="28.8" x14ac:dyDescent="0.3">
      <c r="A402" s="231" t="s">
        <v>271</v>
      </c>
      <c r="B402" s="39"/>
      <c r="C402" s="94"/>
    </row>
    <row r="403" spans="1:5" x14ac:dyDescent="0.3">
      <c r="A403" s="88" t="s">
        <v>159</v>
      </c>
      <c r="B403" s="161"/>
      <c r="C403" s="94"/>
      <c r="D403" s="225">
        <v>7</v>
      </c>
      <c r="E403" s="225" t="s">
        <v>214</v>
      </c>
    </row>
    <row r="404" spans="1:5" x14ac:dyDescent="0.3">
      <c r="A404" s="97"/>
      <c r="B404" s="53"/>
      <c r="C404" s="164"/>
    </row>
    <row r="405" spans="1:5" ht="15" thickBot="1" x14ac:dyDescent="0.35">
      <c r="A405" s="165" t="s">
        <v>107</v>
      </c>
      <c r="B405" s="85"/>
      <c r="C405" s="150">
        <f>C401*0.27</f>
        <v>1678200.7322834646</v>
      </c>
      <c r="D405" s="225">
        <v>7</v>
      </c>
      <c r="E405" s="225" t="s">
        <v>216</v>
      </c>
    </row>
    <row r="406" spans="1:5" ht="15.6" thickTop="1" thickBot="1" x14ac:dyDescent="0.35">
      <c r="A406" s="102" t="s">
        <v>10</v>
      </c>
      <c r="B406" s="36">
        <f>SUM(B395+B397+B399+B401+B403+B405)</f>
        <v>17025355</v>
      </c>
      <c r="C406" s="106">
        <f>C395+C397+C399+C401+C403+C405</f>
        <v>10859706</v>
      </c>
    </row>
    <row r="407" spans="1:5" ht="15.6" thickTop="1" thickBot="1" x14ac:dyDescent="0.35">
      <c r="A407" s="132" t="s">
        <v>59</v>
      </c>
      <c r="B407" s="133">
        <f>SUM(B394+B406)</f>
        <v>17025355</v>
      </c>
      <c r="C407" s="134">
        <f>C406</f>
        <v>10859706</v>
      </c>
    </row>
    <row r="408" spans="1:5" x14ac:dyDescent="0.3">
      <c r="A408" s="49"/>
      <c r="B408" s="66"/>
      <c r="C408" s="66"/>
    </row>
    <row r="409" spans="1:5" x14ac:dyDescent="0.3">
      <c r="A409" s="49"/>
      <c r="B409" s="66"/>
      <c r="C409" s="66"/>
    </row>
    <row r="410" spans="1:5" x14ac:dyDescent="0.3">
      <c r="A410" s="262" t="s">
        <v>246</v>
      </c>
      <c r="B410" s="262"/>
      <c r="C410" s="262"/>
    </row>
    <row r="411" spans="1:5" ht="15" thickBot="1" x14ac:dyDescent="0.35"/>
    <row r="412" spans="1:5" ht="14.4" customHeight="1" x14ac:dyDescent="0.3">
      <c r="A412" s="256" t="s">
        <v>0</v>
      </c>
      <c r="B412" s="258" t="s">
        <v>224</v>
      </c>
      <c r="C412" s="260" t="s">
        <v>225</v>
      </c>
    </row>
    <row r="413" spans="1:5" x14ac:dyDescent="0.3">
      <c r="A413" s="257"/>
      <c r="B413" s="259"/>
      <c r="C413" s="261"/>
    </row>
    <row r="414" spans="1:5" ht="14.4" customHeight="1" x14ac:dyDescent="0.3">
      <c r="A414" s="153" t="s">
        <v>95</v>
      </c>
      <c r="B414" s="76"/>
      <c r="C414" s="138"/>
      <c r="E414" s="225" t="s">
        <v>304</v>
      </c>
    </row>
    <row r="415" spans="1:5" x14ac:dyDescent="0.3">
      <c r="A415" s="153" t="s">
        <v>72</v>
      </c>
      <c r="B415" s="76">
        <v>66044</v>
      </c>
      <c r="C415" s="89">
        <v>70000</v>
      </c>
      <c r="E415" s="225" t="s">
        <v>306</v>
      </c>
    </row>
    <row r="416" spans="1:5" ht="15" thickBot="1" x14ac:dyDescent="0.35">
      <c r="A416" s="153" t="s">
        <v>57</v>
      </c>
      <c r="B416" s="76">
        <v>17832</v>
      </c>
      <c r="C416" s="89">
        <v>18900</v>
      </c>
      <c r="E416" s="225" t="s">
        <v>309</v>
      </c>
    </row>
    <row r="417" spans="1:5" ht="15.6" thickTop="1" thickBot="1" x14ac:dyDescent="0.35">
      <c r="A417" s="103" t="s">
        <v>8</v>
      </c>
      <c r="B417" s="77">
        <f>SUM(B414:B416)</f>
        <v>83876</v>
      </c>
      <c r="C417" s="106">
        <f>SUM(C414:C416)</f>
        <v>88900</v>
      </c>
    </row>
    <row r="418" spans="1:5" ht="15.6" thickTop="1" thickBot="1" x14ac:dyDescent="0.35">
      <c r="A418" s="103" t="s">
        <v>9</v>
      </c>
      <c r="B418" s="47">
        <f>SUM(B417)</f>
        <v>83876</v>
      </c>
      <c r="C418" s="104">
        <f>SUM(C417)</f>
        <v>88900</v>
      </c>
      <c r="D418" s="225">
        <v>3</v>
      </c>
    </row>
    <row r="419" spans="1:5" ht="15.6" thickTop="1" thickBot="1" x14ac:dyDescent="0.35">
      <c r="A419" s="114" t="s">
        <v>58</v>
      </c>
      <c r="B419" s="48"/>
      <c r="C419" s="157"/>
      <c r="D419" s="225">
        <v>7</v>
      </c>
      <c r="E419" s="225" t="s">
        <v>210</v>
      </c>
    </row>
    <row r="420" spans="1:5" ht="15.6" thickTop="1" thickBot="1" x14ac:dyDescent="0.35">
      <c r="A420" s="116"/>
      <c r="B420" s="48"/>
      <c r="C420" s="157"/>
    </row>
    <row r="421" spans="1:5" ht="15.6" thickTop="1" thickBot="1" x14ac:dyDescent="0.35">
      <c r="A421" s="114" t="s">
        <v>156</v>
      </c>
      <c r="B421" s="48"/>
      <c r="C421" s="157"/>
      <c r="D421" s="225">
        <v>7</v>
      </c>
      <c r="E421" s="225" t="s">
        <v>216</v>
      </c>
    </row>
    <row r="422" spans="1:5" ht="15.6" thickTop="1" thickBot="1" x14ac:dyDescent="0.35">
      <c r="A422" s="103" t="s">
        <v>10</v>
      </c>
      <c r="B422" s="47">
        <f>SUM(B419:B421)</f>
        <v>0</v>
      </c>
      <c r="C422" s="47">
        <f>SUM(C419:C421)</f>
        <v>0</v>
      </c>
    </row>
    <row r="423" spans="1:5" ht="15.6" thickTop="1" thickBot="1" x14ac:dyDescent="0.35">
      <c r="A423" s="117" t="s">
        <v>11</v>
      </c>
      <c r="B423" s="118">
        <f>SUM(B418+B422)</f>
        <v>83876</v>
      </c>
      <c r="C423" s="119">
        <f>SUM(C418)</f>
        <v>88900</v>
      </c>
    </row>
    <row r="424" spans="1:5" x14ac:dyDescent="0.3">
      <c r="A424" s="49"/>
      <c r="B424" s="66"/>
      <c r="C424" s="66"/>
    </row>
    <row r="425" spans="1:5" x14ac:dyDescent="0.3">
      <c r="A425" s="49"/>
      <c r="B425" s="66"/>
      <c r="C425" s="66"/>
    </row>
    <row r="426" spans="1:5" x14ac:dyDescent="0.3">
      <c r="A426" s="262" t="s">
        <v>88</v>
      </c>
      <c r="B426" s="262"/>
      <c r="C426" s="262"/>
    </row>
    <row r="427" spans="1:5" ht="15" thickBot="1" x14ac:dyDescent="0.35"/>
    <row r="428" spans="1:5" x14ac:dyDescent="0.3">
      <c r="A428" s="256" t="s">
        <v>0</v>
      </c>
      <c r="B428" s="258" t="s">
        <v>224</v>
      </c>
      <c r="C428" s="260" t="s">
        <v>225</v>
      </c>
    </row>
    <row r="429" spans="1:5" x14ac:dyDescent="0.3">
      <c r="A429" s="257"/>
      <c r="B429" s="259"/>
      <c r="C429" s="261"/>
    </row>
    <row r="430" spans="1:5" x14ac:dyDescent="0.3">
      <c r="A430" s="93" t="s">
        <v>81</v>
      </c>
      <c r="B430" s="209">
        <v>2485279</v>
      </c>
      <c r="C430" s="92">
        <v>3700000</v>
      </c>
      <c r="E430" s="225" t="s">
        <v>314</v>
      </c>
    </row>
    <row r="431" spans="1:5" x14ac:dyDescent="0.3">
      <c r="A431" s="97"/>
      <c r="B431" s="45"/>
      <c r="C431" s="98"/>
    </row>
    <row r="432" spans="1:5" x14ac:dyDescent="0.3">
      <c r="A432" s="93" t="s">
        <v>161</v>
      </c>
      <c r="B432" s="43">
        <v>2381729</v>
      </c>
      <c r="C432" s="92">
        <v>2400000</v>
      </c>
      <c r="E432" s="225" t="s">
        <v>303</v>
      </c>
    </row>
    <row r="433" spans="1:5" x14ac:dyDescent="0.3">
      <c r="A433" s="105"/>
      <c r="B433" s="43"/>
      <c r="C433" s="92"/>
    </row>
    <row r="434" spans="1:5" x14ac:dyDescent="0.3">
      <c r="A434" s="88" t="s">
        <v>95</v>
      </c>
      <c r="B434" s="43"/>
      <c r="C434" s="92"/>
      <c r="E434" s="225" t="s">
        <v>304</v>
      </c>
    </row>
    <row r="435" spans="1:5" x14ac:dyDescent="0.3">
      <c r="A435" s="105"/>
      <c r="B435" s="43"/>
      <c r="C435" s="92"/>
    </row>
    <row r="436" spans="1:5" x14ac:dyDescent="0.3">
      <c r="A436" s="88" t="s">
        <v>72</v>
      </c>
      <c r="B436" s="43">
        <v>411659</v>
      </c>
      <c r="C436" s="92">
        <v>410000</v>
      </c>
      <c r="E436" s="225" t="s">
        <v>306</v>
      </c>
    </row>
    <row r="437" spans="1:5" x14ac:dyDescent="0.3">
      <c r="A437" s="105"/>
      <c r="B437" s="43"/>
      <c r="C437" s="92"/>
    </row>
    <row r="438" spans="1:5" x14ac:dyDescent="0.3">
      <c r="A438" s="93" t="s">
        <v>57</v>
      </c>
      <c r="B438" s="43">
        <v>1379047</v>
      </c>
      <c r="C438" s="92">
        <v>1458000</v>
      </c>
      <c r="E438" s="225" t="s">
        <v>309</v>
      </c>
    </row>
    <row r="439" spans="1:5" ht="15" thickBot="1" x14ac:dyDescent="0.35">
      <c r="A439" s="107"/>
      <c r="B439" s="34"/>
      <c r="C439" s="92"/>
    </row>
    <row r="440" spans="1:5" ht="15.6" thickTop="1" thickBot="1" x14ac:dyDescent="0.35">
      <c r="A440" s="103" t="s">
        <v>8</v>
      </c>
      <c r="B440" s="47">
        <f>SUM(B430:B439)</f>
        <v>6657714</v>
      </c>
      <c r="C440" s="104">
        <f>SUM(C430:C439)</f>
        <v>7968000</v>
      </c>
      <c r="D440" s="225">
        <v>3</v>
      </c>
    </row>
    <row r="441" spans="1:5" ht="15.6" thickTop="1" thickBot="1" x14ac:dyDescent="0.35">
      <c r="A441" s="114" t="s">
        <v>9</v>
      </c>
      <c r="B441" s="48">
        <f>SUM(B440)</f>
        <v>6657714</v>
      </c>
      <c r="C441" s="115">
        <f>SUM(C440)</f>
        <v>7968000</v>
      </c>
    </row>
    <row r="442" spans="1:5" ht="15.6" thickTop="1" thickBot="1" x14ac:dyDescent="0.35">
      <c r="A442" s="114" t="s">
        <v>77</v>
      </c>
      <c r="B442" s="48"/>
      <c r="C442" s="115"/>
      <c r="D442" s="225">
        <v>8</v>
      </c>
      <c r="E442" s="225" t="s">
        <v>200</v>
      </c>
    </row>
    <row r="443" spans="1:5" ht="15.6" thickTop="1" thickBot="1" x14ac:dyDescent="0.35">
      <c r="A443" s="114"/>
      <c r="B443" s="48"/>
      <c r="C443" s="115"/>
    </row>
    <row r="444" spans="1:5" ht="15.6" thickTop="1" thickBot="1" x14ac:dyDescent="0.35">
      <c r="A444" s="114" t="s">
        <v>78</v>
      </c>
      <c r="B444" s="48"/>
      <c r="C444" s="115"/>
      <c r="D444" s="225">
        <v>8</v>
      </c>
      <c r="E444" s="225" t="s">
        <v>206</v>
      </c>
    </row>
    <row r="445" spans="1:5" ht="15.6" thickTop="1" thickBot="1" x14ac:dyDescent="0.35">
      <c r="A445" s="114"/>
      <c r="B445" s="48"/>
      <c r="C445" s="115"/>
    </row>
    <row r="446" spans="1:5" ht="15.6" thickTop="1" thickBot="1" x14ac:dyDescent="0.35">
      <c r="A446" s="114" t="s">
        <v>159</v>
      </c>
      <c r="B446" s="48"/>
      <c r="C446" s="115"/>
      <c r="D446" s="225">
        <v>7</v>
      </c>
      <c r="E446" s="225" t="s">
        <v>214</v>
      </c>
    </row>
    <row r="447" spans="1:5" ht="15.6" thickTop="1" thickBot="1" x14ac:dyDescent="0.35">
      <c r="A447" s="114"/>
      <c r="B447" s="48"/>
      <c r="C447" s="115"/>
    </row>
    <row r="448" spans="1:5" ht="15.6" thickTop="1" thickBot="1" x14ac:dyDescent="0.35">
      <c r="A448" s="114" t="s">
        <v>107</v>
      </c>
      <c r="B448" s="48"/>
      <c r="C448" s="115"/>
      <c r="D448" s="225">
        <v>7</v>
      </c>
      <c r="E448" s="225" t="s">
        <v>216</v>
      </c>
    </row>
    <row r="449" spans="1:5" ht="15.6" thickTop="1" thickBot="1" x14ac:dyDescent="0.35">
      <c r="A449" s="114" t="s">
        <v>10</v>
      </c>
      <c r="B449" s="48">
        <f>SUM(B442:B448)</f>
        <v>0</v>
      </c>
      <c r="C449" s="115">
        <f>SUM(C442:C448)</f>
        <v>0</v>
      </c>
    </row>
    <row r="450" spans="1:5" ht="15.6" thickTop="1" thickBot="1" x14ac:dyDescent="0.35">
      <c r="A450" s="117" t="s">
        <v>11</v>
      </c>
      <c r="B450" s="118">
        <f>SUM(B441+B449)</f>
        <v>6657714</v>
      </c>
      <c r="C450" s="119">
        <f>SUM(C441+C449)</f>
        <v>7968000</v>
      </c>
    </row>
    <row r="452" spans="1:5" x14ac:dyDescent="0.3">
      <c r="A452" s="49"/>
      <c r="B452" s="66"/>
      <c r="C452" s="66"/>
    </row>
    <row r="453" spans="1:5" x14ac:dyDescent="0.3">
      <c r="A453" s="262" t="s">
        <v>237</v>
      </c>
      <c r="B453" s="262"/>
      <c r="C453" s="262"/>
    </row>
    <row r="454" spans="1:5" ht="15" thickBot="1" x14ac:dyDescent="0.35"/>
    <row r="455" spans="1:5" ht="15" customHeight="1" x14ac:dyDescent="0.3">
      <c r="A455" s="256" t="s">
        <v>0</v>
      </c>
      <c r="B455" s="258" t="s">
        <v>224</v>
      </c>
      <c r="C455" s="260" t="s">
        <v>225</v>
      </c>
    </row>
    <row r="456" spans="1:5" x14ac:dyDescent="0.3">
      <c r="A456" s="257"/>
      <c r="B456" s="259"/>
      <c r="C456" s="261"/>
    </row>
    <row r="457" spans="1:5" x14ac:dyDescent="0.3">
      <c r="A457" s="136" t="s">
        <v>79</v>
      </c>
      <c r="B457" s="38">
        <v>7892632</v>
      </c>
      <c r="C457" s="91">
        <f>3*220600*12</f>
        <v>7941600</v>
      </c>
      <c r="E457" s="225" t="s">
        <v>295</v>
      </c>
    </row>
    <row r="458" spans="1:5" x14ac:dyDescent="0.3">
      <c r="A458" s="137" t="s">
        <v>172</v>
      </c>
      <c r="B458" s="38"/>
      <c r="C458" s="91"/>
    </row>
    <row r="459" spans="1:5" x14ac:dyDescent="0.3">
      <c r="A459" s="136" t="s">
        <v>64</v>
      </c>
      <c r="B459" s="38">
        <v>300000</v>
      </c>
      <c r="C459" s="91">
        <v>300000</v>
      </c>
      <c r="E459" s="225" t="s">
        <v>318</v>
      </c>
    </row>
    <row r="460" spans="1:5" x14ac:dyDescent="0.3">
      <c r="A460" s="93"/>
      <c r="B460" s="38"/>
      <c r="C460" s="91"/>
    </row>
    <row r="461" spans="1:5" x14ac:dyDescent="0.3">
      <c r="A461" s="93" t="s">
        <v>94</v>
      </c>
      <c r="B461" s="38">
        <v>25000</v>
      </c>
      <c r="C461" s="91"/>
      <c r="E461" s="225" t="s">
        <v>315</v>
      </c>
    </row>
    <row r="462" spans="1:5" x14ac:dyDescent="0.3">
      <c r="A462" s="93"/>
      <c r="B462" s="38"/>
      <c r="C462" s="91"/>
    </row>
    <row r="463" spans="1:5" x14ac:dyDescent="0.3">
      <c r="A463" s="93" t="s">
        <v>162</v>
      </c>
      <c r="B463" s="38">
        <v>213300</v>
      </c>
      <c r="C463" s="91"/>
      <c r="E463" s="225" t="s">
        <v>297</v>
      </c>
    </row>
    <row r="464" spans="1:5" ht="15" thickBot="1" x14ac:dyDescent="0.35">
      <c r="A464" s="172"/>
      <c r="B464" s="170"/>
      <c r="C464" s="171"/>
    </row>
    <row r="465" spans="1:5" ht="15.6" thickTop="1" thickBot="1" x14ac:dyDescent="0.35">
      <c r="A465" s="103" t="s">
        <v>5</v>
      </c>
      <c r="B465" s="47">
        <f>SUM(B457:B463)</f>
        <v>8430932</v>
      </c>
      <c r="C465" s="104">
        <f>SUM(C457:C463)</f>
        <v>8241600</v>
      </c>
      <c r="D465" s="225">
        <v>1</v>
      </c>
    </row>
    <row r="466" spans="1:5" ht="15" thickTop="1" x14ac:dyDescent="0.3">
      <c r="A466" s="93" t="s">
        <v>29</v>
      </c>
      <c r="B466" s="43">
        <v>1561964</v>
      </c>
      <c r="C466" s="92">
        <f>(C457+C459+C461+C463)*0.175</f>
        <v>1442280</v>
      </c>
      <c r="E466" s="225" t="s">
        <v>298</v>
      </c>
    </row>
    <row r="467" spans="1:5" x14ac:dyDescent="0.3">
      <c r="A467" s="105" t="s">
        <v>272</v>
      </c>
      <c r="B467" s="43"/>
      <c r="C467" s="92"/>
    </row>
    <row r="468" spans="1:5" x14ac:dyDescent="0.3">
      <c r="A468" s="88" t="s">
        <v>129</v>
      </c>
      <c r="B468" s="43"/>
      <c r="C468" s="166"/>
      <c r="E468" s="225" t="s">
        <v>298</v>
      </c>
    </row>
    <row r="469" spans="1:5" x14ac:dyDescent="0.3">
      <c r="A469" s="88" t="s">
        <v>127</v>
      </c>
      <c r="B469" s="43">
        <v>45000</v>
      </c>
      <c r="C469" s="92">
        <f>C459*0.15</f>
        <v>45000</v>
      </c>
      <c r="E469" s="225" t="s">
        <v>298</v>
      </c>
    </row>
    <row r="470" spans="1:5" ht="15" thickBot="1" x14ac:dyDescent="0.35">
      <c r="A470" s="102" t="s">
        <v>6</v>
      </c>
      <c r="B470" s="36">
        <f>SUM(B466:B469)</f>
        <v>1606964</v>
      </c>
      <c r="C470" s="106">
        <f>SUM(C466:C469)</f>
        <v>1487280</v>
      </c>
      <c r="D470" s="225">
        <v>2</v>
      </c>
    </row>
    <row r="471" spans="1:5" ht="15" thickTop="1" x14ac:dyDescent="0.3">
      <c r="A471" s="93" t="s">
        <v>67</v>
      </c>
      <c r="B471" s="209">
        <v>3505501</v>
      </c>
      <c r="C471" s="92">
        <v>3000000</v>
      </c>
      <c r="E471" s="225" t="s">
        <v>300</v>
      </c>
    </row>
    <row r="472" spans="1:5" x14ac:dyDescent="0.3">
      <c r="A472" s="97" t="s">
        <v>128</v>
      </c>
      <c r="B472" s="45"/>
      <c r="C472" s="98"/>
    </row>
    <row r="473" spans="1:5" x14ac:dyDescent="0.3">
      <c r="A473" s="93" t="s">
        <v>68</v>
      </c>
      <c r="B473" s="43">
        <v>52515</v>
      </c>
      <c r="C473" s="92">
        <v>80000</v>
      </c>
      <c r="E473" s="225" t="s">
        <v>301</v>
      </c>
    </row>
    <row r="474" spans="1:5" x14ac:dyDescent="0.3">
      <c r="A474" s="107" t="s">
        <v>80</v>
      </c>
      <c r="B474" s="43"/>
      <c r="C474" s="92"/>
    </row>
    <row r="475" spans="1:5" x14ac:dyDescent="0.3">
      <c r="A475" s="93" t="s">
        <v>105</v>
      </c>
      <c r="B475" s="43"/>
      <c r="C475" s="92"/>
      <c r="E475" s="225" t="s">
        <v>302</v>
      </c>
    </row>
    <row r="476" spans="1:5" x14ac:dyDescent="0.3">
      <c r="A476" s="107"/>
      <c r="B476" s="43"/>
      <c r="C476" s="92"/>
    </row>
    <row r="477" spans="1:5" x14ac:dyDescent="0.3">
      <c r="A477" s="88" t="s">
        <v>81</v>
      </c>
      <c r="B477" s="43">
        <v>605384</v>
      </c>
      <c r="C477" s="92">
        <v>800000</v>
      </c>
      <c r="E477" s="225" t="s">
        <v>314</v>
      </c>
    </row>
    <row r="478" spans="1:5" x14ac:dyDescent="0.3">
      <c r="A478" s="105" t="s">
        <v>82</v>
      </c>
      <c r="B478" s="43"/>
      <c r="C478" s="92"/>
    </row>
    <row r="479" spans="1:5" x14ac:dyDescent="0.3">
      <c r="A479" s="93" t="s">
        <v>7</v>
      </c>
      <c r="B479" s="43">
        <v>467788</v>
      </c>
      <c r="C479" s="92">
        <v>500000</v>
      </c>
      <c r="E479" s="225" t="s">
        <v>304</v>
      </c>
    </row>
    <row r="480" spans="1:5" x14ac:dyDescent="0.3">
      <c r="A480" s="107" t="s">
        <v>111</v>
      </c>
      <c r="B480" s="43"/>
      <c r="C480" s="92"/>
    </row>
    <row r="481" spans="1:5" x14ac:dyDescent="0.3">
      <c r="A481" s="88" t="s">
        <v>72</v>
      </c>
      <c r="B481" s="209">
        <f>2048911+236026</f>
        <v>2284937</v>
      </c>
      <c r="C481" s="92">
        <v>2300000</v>
      </c>
      <c r="E481" s="225" t="s">
        <v>306</v>
      </c>
    </row>
    <row r="482" spans="1:5" x14ac:dyDescent="0.3">
      <c r="A482" s="105" t="s">
        <v>173</v>
      </c>
      <c r="B482" s="43"/>
      <c r="C482" s="92"/>
    </row>
    <row r="483" spans="1:5" x14ac:dyDescent="0.3">
      <c r="A483" s="93" t="s">
        <v>145</v>
      </c>
      <c r="B483" s="43">
        <v>48000</v>
      </c>
      <c r="C483" s="92"/>
      <c r="E483" s="225" t="s">
        <v>308</v>
      </c>
    </row>
    <row r="484" spans="1:5" x14ac:dyDescent="0.3">
      <c r="A484" s="105"/>
      <c r="B484" s="43"/>
      <c r="C484" s="92"/>
    </row>
    <row r="485" spans="1:5" x14ac:dyDescent="0.3">
      <c r="A485" s="93" t="s">
        <v>57</v>
      </c>
      <c r="B485" s="43">
        <v>1290435</v>
      </c>
      <c r="C485" s="92">
        <v>1500000</v>
      </c>
      <c r="E485" s="225" t="s">
        <v>309</v>
      </c>
    </row>
    <row r="486" spans="1:5" x14ac:dyDescent="0.3">
      <c r="A486" s="105"/>
      <c r="B486" s="43"/>
      <c r="C486" s="92"/>
    </row>
    <row r="487" spans="1:5" x14ac:dyDescent="0.3">
      <c r="A487" s="93" t="s">
        <v>83</v>
      </c>
      <c r="B487" s="43">
        <v>548000</v>
      </c>
      <c r="C487" s="92">
        <v>550000</v>
      </c>
      <c r="E487" s="225" t="s">
        <v>320</v>
      </c>
    </row>
    <row r="488" spans="1:5" x14ac:dyDescent="0.3">
      <c r="A488" s="93" t="s">
        <v>75</v>
      </c>
      <c r="B488" s="43">
        <v>101136</v>
      </c>
      <c r="C488" s="92">
        <v>100000</v>
      </c>
      <c r="E488" s="225" t="s">
        <v>310</v>
      </c>
    </row>
    <row r="489" spans="1:5" ht="15" thickBot="1" x14ac:dyDescent="0.35">
      <c r="A489" s="97"/>
      <c r="B489" s="45"/>
      <c r="C489" s="98"/>
    </row>
    <row r="490" spans="1:5" ht="15.6" thickTop="1" thickBot="1" x14ac:dyDescent="0.35">
      <c r="A490" s="103" t="s">
        <v>8</v>
      </c>
      <c r="B490" s="47">
        <f>SUM(B471:B489)</f>
        <v>8903696</v>
      </c>
      <c r="C490" s="104">
        <f>SUM(C471:C489)</f>
        <v>8830000</v>
      </c>
      <c r="D490" s="225">
        <v>3</v>
      </c>
    </row>
    <row r="491" spans="1:5" ht="15.6" thickTop="1" thickBot="1" x14ac:dyDescent="0.35">
      <c r="A491" s="114" t="s">
        <v>9</v>
      </c>
      <c r="B491" s="48">
        <f>SUM(B490,B470,B465)</f>
        <v>18941592</v>
      </c>
      <c r="C491" s="115">
        <f>SUM(C490,C470,C465)</f>
        <v>18558880</v>
      </c>
    </row>
    <row r="492" spans="1:5" ht="15.6" thickTop="1" thickBot="1" x14ac:dyDescent="0.35">
      <c r="A492" s="114"/>
      <c r="B492" s="71"/>
      <c r="C492" s="167"/>
    </row>
    <row r="493" spans="1:5" ht="15" thickTop="1" x14ac:dyDescent="0.3">
      <c r="A493" s="158" t="s">
        <v>163</v>
      </c>
      <c r="B493" s="50">
        <v>450000</v>
      </c>
      <c r="C493" s="168"/>
      <c r="D493" s="225">
        <v>8</v>
      </c>
      <c r="E493" s="225" t="s">
        <v>196</v>
      </c>
    </row>
    <row r="494" spans="1:5" x14ac:dyDescent="0.3">
      <c r="A494" s="107" t="s">
        <v>273</v>
      </c>
      <c r="B494" s="38"/>
      <c r="C494" s="91"/>
    </row>
    <row r="495" spans="1:5" x14ac:dyDescent="0.3">
      <c r="A495" s="93" t="s">
        <v>60</v>
      </c>
      <c r="B495" s="39"/>
      <c r="C495" s="89">
        <v>393700</v>
      </c>
      <c r="D495" s="225">
        <v>8</v>
      </c>
      <c r="E495" s="225" t="s">
        <v>198</v>
      </c>
    </row>
    <row r="496" spans="1:5" x14ac:dyDescent="0.3">
      <c r="A496" s="107" t="s">
        <v>275</v>
      </c>
      <c r="B496" s="39"/>
      <c r="C496" s="89"/>
    </row>
    <row r="497" spans="1:5" x14ac:dyDescent="0.3">
      <c r="A497" s="158" t="s">
        <v>77</v>
      </c>
      <c r="B497" s="51">
        <v>517744</v>
      </c>
      <c r="C497" s="168"/>
      <c r="D497" s="225">
        <v>8</v>
      </c>
      <c r="E497" s="225" t="s">
        <v>200</v>
      </c>
    </row>
    <row r="498" spans="1:5" x14ac:dyDescent="0.3">
      <c r="A498" s="99" t="s">
        <v>274</v>
      </c>
      <c r="B498" s="52"/>
      <c r="C498" s="169"/>
    </row>
    <row r="499" spans="1:5" x14ac:dyDescent="0.3">
      <c r="A499" s="88" t="s">
        <v>78</v>
      </c>
      <c r="B499" s="37">
        <v>139791</v>
      </c>
      <c r="C499" s="89">
        <f>212600/2</f>
        <v>106300</v>
      </c>
      <c r="D499" s="225">
        <v>8</v>
      </c>
      <c r="E499" s="225" t="s">
        <v>206</v>
      </c>
    </row>
    <row r="500" spans="1:5" x14ac:dyDescent="0.3">
      <c r="A500" s="88"/>
      <c r="B500" s="37"/>
      <c r="C500" s="89"/>
    </row>
    <row r="501" spans="1:5" x14ac:dyDescent="0.3">
      <c r="A501" s="88" t="s">
        <v>58</v>
      </c>
      <c r="B501" s="37">
        <v>1898879</v>
      </c>
      <c r="C501" s="89"/>
      <c r="D501" s="225">
        <v>7</v>
      </c>
      <c r="E501" s="225" t="s">
        <v>210</v>
      </c>
    </row>
    <row r="502" spans="1:5" x14ac:dyDescent="0.3">
      <c r="A502" s="105" t="s">
        <v>276</v>
      </c>
      <c r="B502" s="37"/>
      <c r="C502" s="89"/>
    </row>
    <row r="503" spans="1:5" x14ac:dyDescent="0.3">
      <c r="A503" s="88" t="s">
        <v>107</v>
      </c>
      <c r="B503" s="37"/>
      <c r="C503" s="89"/>
      <c r="D503" s="225">
        <v>7</v>
      </c>
      <c r="E503" s="225" t="s">
        <v>216</v>
      </c>
    </row>
    <row r="504" spans="1:5" x14ac:dyDescent="0.3">
      <c r="A504" s="163" t="s">
        <v>86</v>
      </c>
      <c r="B504" s="53"/>
      <c r="C504" s="164">
        <v>200000</v>
      </c>
      <c r="D504" s="225">
        <v>9</v>
      </c>
      <c r="E504" s="225" t="s">
        <v>321</v>
      </c>
    </row>
    <row r="505" spans="1:5" ht="15.75" customHeight="1" thickBot="1" x14ac:dyDescent="0.35">
      <c r="A505" s="237" t="s">
        <v>141</v>
      </c>
      <c r="B505" s="54"/>
      <c r="C505" s="130"/>
    </row>
    <row r="506" spans="1:5" ht="15.6" thickTop="1" thickBot="1" x14ac:dyDescent="0.35">
      <c r="A506" s="114" t="s">
        <v>10</v>
      </c>
      <c r="B506" s="48">
        <f>SUM(B493:B505)</f>
        <v>3006414</v>
      </c>
      <c r="C506" s="115">
        <f>SUM(C493:C505)</f>
        <v>700000</v>
      </c>
    </row>
    <row r="507" spans="1:5" ht="15.6" thickTop="1" thickBot="1" x14ac:dyDescent="0.35">
      <c r="A507" s="103" t="s">
        <v>84</v>
      </c>
      <c r="B507" s="33">
        <f>SUM(B508:B515)</f>
        <v>2749175</v>
      </c>
      <c r="C507" s="104">
        <f>SUM(C508:C515)</f>
        <v>4750000</v>
      </c>
      <c r="D507" s="225">
        <v>6</v>
      </c>
      <c r="E507" s="225" t="s">
        <v>319</v>
      </c>
    </row>
    <row r="508" spans="1:5" ht="15.6" thickTop="1" thickBot="1" x14ac:dyDescent="0.35">
      <c r="A508" s="232" t="s">
        <v>277</v>
      </c>
      <c r="B508" s="55">
        <v>1500000</v>
      </c>
      <c r="C508" s="156">
        <v>2000000</v>
      </c>
      <c r="E508" s="226"/>
    </row>
    <row r="509" spans="1:5" ht="15.6" thickTop="1" thickBot="1" x14ac:dyDescent="0.35">
      <c r="A509" s="232" t="s">
        <v>278</v>
      </c>
      <c r="B509" s="55">
        <v>379175</v>
      </c>
      <c r="C509" s="104"/>
    </row>
    <row r="510" spans="1:5" ht="15.6" thickTop="1" thickBot="1" x14ac:dyDescent="0.35">
      <c r="A510" s="110" t="s">
        <v>279</v>
      </c>
      <c r="B510" s="55">
        <v>10000</v>
      </c>
      <c r="C510" s="104"/>
    </row>
    <row r="511" spans="1:5" ht="15.6" thickTop="1" thickBot="1" x14ac:dyDescent="0.35">
      <c r="A511" s="110" t="s">
        <v>176</v>
      </c>
      <c r="B511" s="55">
        <v>100000</v>
      </c>
      <c r="C511" s="156">
        <f>100000+220000</f>
        <v>320000</v>
      </c>
    </row>
    <row r="512" spans="1:5" ht="15.6" thickTop="1" thickBot="1" x14ac:dyDescent="0.35">
      <c r="A512" s="110" t="s">
        <v>177</v>
      </c>
      <c r="B512" s="55">
        <v>250000</v>
      </c>
      <c r="C512" s="156">
        <v>270000</v>
      </c>
    </row>
    <row r="513" spans="1:5" ht="30.6" customHeight="1" thickTop="1" thickBot="1" x14ac:dyDescent="0.35">
      <c r="A513" s="253" t="s">
        <v>342</v>
      </c>
      <c r="B513" s="55">
        <v>410000</v>
      </c>
      <c r="C513" s="156">
        <f>900000-240000</f>
        <v>660000</v>
      </c>
    </row>
    <row r="514" spans="1:5" ht="15.6" thickTop="1" thickBot="1" x14ac:dyDescent="0.35">
      <c r="A514" s="110" t="s">
        <v>238</v>
      </c>
      <c r="B514" s="55">
        <v>100000</v>
      </c>
      <c r="C514" s="156"/>
    </row>
    <row r="515" spans="1:5" ht="15.6" thickTop="1" thickBot="1" x14ac:dyDescent="0.35">
      <c r="A515" s="110" t="s">
        <v>291</v>
      </c>
      <c r="B515" s="55"/>
      <c r="C515" s="156">
        <v>1500000</v>
      </c>
    </row>
    <row r="516" spans="1:5" ht="15.6" thickTop="1" thickBot="1" x14ac:dyDescent="0.35">
      <c r="A516" s="117" t="s">
        <v>11</v>
      </c>
      <c r="B516" s="118">
        <f>SUM(B491+B506+B507)</f>
        <v>24697181</v>
      </c>
      <c r="C516" s="119">
        <f>SUM(C491+C506+C507)</f>
        <v>24008880</v>
      </c>
    </row>
    <row r="517" spans="1:5" x14ac:dyDescent="0.3">
      <c r="A517" s="31"/>
      <c r="B517" s="66"/>
      <c r="C517" s="66"/>
    </row>
    <row r="519" spans="1:5" x14ac:dyDescent="0.3">
      <c r="A519" s="262" t="s">
        <v>89</v>
      </c>
      <c r="B519" s="262"/>
      <c r="C519" s="262"/>
    </row>
    <row r="520" spans="1:5" ht="15" thickBot="1" x14ac:dyDescent="0.35">
      <c r="A520" s="32"/>
      <c r="B520" s="32"/>
      <c r="C520" s="32"/>
    </row>
    <row r="521" spans="1:5" ht="15" customHeight="1" x14ac:dyDescent="0.3">
      <c r="A521" s="256" t="s">
        <v>0</v>
      </c>
      <c r="B521" s="258" t="s">
        <v>224</v>
      </c>
      <c r="C521" s="260" t="s">
        <v>225</v>
      </c>
    </row>
    <row r="522" spans="1:5" x14ac:dyDescent="0.3">
      <c r="A522" s="257"/>
      <c r="B522" s="259"/>
      <c r="C522" s="261"/>
    </row>
    <row r="523" spans="1:5" x14ac:dyDescent="0.3">
      <c r="A523" s="93" t="s">
        <v>67</v>
      </c>
      <c r="B523" s="34">
        <v>13693</v>
      </c>
      <c r="C523" s="92">
        <v>50000</v>
      </c>
      <c r="E523" s="225" t="s">
        <v>300</v>
      </c>
    </row>
    <row r="524" spans="1:5" x14ac:dyDescent="0.3">
      <c r="A524" s="107"/>
      <c r="B524" s="34"/>
      <c r="C524" s="92"/>
    </row>
    <row r="525" spans="1:5" x14ac:dyDescent="0.3">
      <c r="A525" s="136" t="s">
        <v>81</v>
      </c>
      <c r="B525" s="238">
        <v>205226</v>
      </c>
      <c r="C525" s="173">
        <v>200000</v>
      </c>
      <c r="E525" s="225" t="s">
        <v>314</v>
      </c>
    </row>
    <row r="526" spans="1:5" x14ac:dyDescent="0.3">
      <c r="A526" s="174"/>
      <c r="B526" s="239"/>
      <c r="C526" s="175"/>
    </row>
    <row r="527" spans="1:5" x14ac:dyDescent="0.3">
      <c r="A527" s="93" t="s">
        <v>95</v>
      </c>
      <c r="B527" s="209">
        <v>130740</v>
      </c>
      <c r="C527" s="92">
        <v>100000</v>
      </c>
      <c r="E527" s="225" t="s">
        <v>304</v>
      </c>
    </row>
    <row r="528" spans="1:5" x14ac:dyDescent="0.3">
      <c r="A528" s="93"/>
      <c r="B528" s="209"/>
      <c r="C528" s="92"/>
    </row>
    <row r="529" spans="1:5" x14ac:dyDescent="0.3">
      <c r="A529" s="93" t="s">
        <v>72</v>
      </c>
      <c r="B529" s="209">
        <f>685000-260000</f>
        <v>425000</v>
      </c>
      <c r="C529" s="92">
        <v>50000</v>
      </c>
      <c r="E529" s="225" t="s">
        <v>306</v>
      </c>
    </row>
    <row r="530" spans="1:5" x14ac:dyDescent="0.3">
      <c r="A530" s="97" t="s">
        <v>256</v>
      </c>
      <c r="B530" s="240"/>
      <c r="C530" s="98"/>
    </row>
    <row r="531" spans="1:5" x14ac:dyDescent="0.3">
      <c r="A531" s="93" t="s">
        <v>57</v>
      </c>
      <c r="B531" s="43">
        <v>107383</v>
      </c>
      <c r="C531" s="92">
        <v>81000</v>
      </c>
      <c r="E531" s="225" t="s">
        <v>309</v>
      </c>
    </row>
    <row r="532" spans="1:5" ht="15" thickBot="1" x14ac:dyDescent="0.35">
      <c r="A532" s="97"/>
      <c r="B532" s="45"/>
      <c r="C532" s="98"/>
    </row>
    <row r="533" spans="1:5" ht="15.6" thickTop="1" thickBot="1" x14ac:dyDescent="0.35">
      <c r="A533" s="103" t="s">
        <v>8</v>
      </c>
      <c r="B533" s="47">
        <f>SUM(B523:B531)</f>
        <v>882042</v>
      </c>
      <c r="C533" s="104">
        <f>SUM(C523:C532)</f>
        <v>481000</v>
      </c>
      <c r="D533" s="225">
        <v>3</v>
      </c>
    </row>
    <row r="534" spans="1:5" ht="15.6" thickTop="1" thickBot="1" x14ac:dyDescent="0.35">
      <c r="A534" s="103" t="s">
        <v>9</v>
      </c>
      <c r="B534" s="47">
        <f>SUM(B533)</f>
        <v>882042</v>
      </c>
      <c r="C534" s="104">
        <f>SUM(C533)</f>
        <v>481000</v>
      </c>
    </row>
    <row r="535" spans="1:5" ht="15" thickTop="1" x14ac:dyDescent="0.3">
      <c r="A535" s="111" t="s">
        <v>58</v>
      </c>
      <c r="B535" s="224">
        <f>616186+260000</f>
        <v>876186</v>
      </c>
      <c r="C535" s="112"/>
      <c r="D535" s="225">
        <v>7</v>
      </c>
      <c r="E535" s="225" t="s">
        <v>210</v>
      </c>
    </row>
    <row r="536" spans="1:5" ht="15" thickBot="1" x14ac:dyDescent="0.35">
      <c r="A536" s="107" t="s">
        <v>222</v>
      </c>
      <c r="B536" s="40"/>
      <c r="C536" s="150"/>
    </row>
    <row r="537" spans="1:5" ht="15.6" thickTop="1" thickBot="1" x14ac:dyDescent="0.35">
      <c r="A537" s="88" t="s">
        <v>107</v>
      </c>
      <c r="B537" s="33">
        <v>53150</v>
      </c>
      <c r="C537" s="104"/>
      <c r="D537" s="225">
        <v>7</v>
      </c>
      <c r="E537" s="225" t="s">
        <v>216</v>
      </c>
    </row>
    <row r="538" spans="1:5" ht="15.6" thickTop="1" thickBot="1" x14ac:dyDescent="0.35">
      <c r="A538" s="114" t="s">
        <v>10</v>
      </c>
      <c r="B538" s="33">
        <f>SUM(B535:B537)</f>
        <v>929336</v>
      </c>
      <c r="C538" s="104">
        <f>SUM(C535:C537)</f>
        <v>0</v>
      </c>
    </row>
    <row r="539" spans="1:5" ht="15.6" thickTop="1" thickBot="1" x14ac:dyDescent="0.35">
      <c r="A539" s="117" t="s">
        <v>11</v>
      </c>
      <c r="B539" s="118">
        <f>SUM(B534+B538)</f>
        <v>1811378</v>
      </c>
      <c r="C539" s="119">
        <f>SUM(C534+C538)</f>
        <v>481000</v>
      </c>
    </row>
    <row r="540" spans="1:5" x14ac:dyDescent="0.3">
      <c r="A540" s="1"/>
      <c r="B540" s="1"/>
      <c r="C540" s="1"/>
    </row>
    <row r="541" spans="1:5" x14ac:dyDescent="0.3">
      <c r="A541" s="1"/>
      <c r="B541" s="1"/>
      <c r="C541" s="1"/>
    </row>
    <row r="542" spans="1:5" x14ac:dyDescent="0.3">
      <c r="A542" s="270" t="s">
        <v>90</v>
      </c>
      <c r="B542" s="270"/>
      <c r="C542" s="270"/>
    </row>
    <row r="543" spans="1:5" ht="15" thickBot="1" x14ac:dyDescent="0.35">
      <c r="A543" s="59"/>
      <c r="B543" s="59"/>
      <c r="C543" s="59"/>
    </row>
    <row r="544" spans="1:5" x14ac:dyDescent="0.3">
      <c r="A544" s="256" t="s">
        <v>0</v>
      </c>
      <c r="B544" s="258" t="s">
        <v>224</v>
      </c>
      <c r="C544" s="260" t="s">
        <v>225</v>
      </c>
    </row>
    <row r="545" spans="1:5" x14ac:dyDescent="0.3">
      <c r="A545" s="257"/>
      <c r="B545" s="259"/>
      <c r="C545" s="261"/>
    </row>
    <row r="546" spans="1:5" x14ac:dyDescent="0.3">
      <c r="A546" s="93" t="s">
        <v>56</v>
      </c>
      <c r="B546" s="209">
        <v>1590794</v>
      </c>
      <c r="C546" s="92">
        <v>1625280</v>
      </c>
      <c r="E546" s="225" t="s">
        <v>305</v>
      </c>
    </row>
    <row r="547" spans="1:5" ht="15" thickBot="1" x14ac:dyDescent="0.35">
      <c r="A547" s="107" t="s">
        <v>248</v>
      </c>
      <c r="B547" s="34"/>
      <c r="C547" s="92"/>
    </row>
    <row r="548" spans="1:5" ht="15" customHeight="1" thickTop="1" thickBot="1" x14ac:dyDescent="0.35">
      <c r="A548" s="103" t="s">
        <v>8</v>
      </c>
      <c r="B548" s="47">
        <f>SUM(B546)</f>
        <v>1590794</v>
      </c>
      <c r="C548" s="104">
        <f>SUM(C546)</f>
        <v>1625280</v>
      </c>
      <c r="D548" s="225">
        <v>3</v>
      </c>
    </row>
    <row r="549" spans="1:5" ht="15.6" thickTop="1" thickBot="1" x14ac:dyDescent="0.35">
      <c r="A549" s="103" t="s">
        <v>9</v>
      </c>
      <c r="B549" s="47">
        <f>SUM(B548)</f>
        <v>1590794</v>
      </c>
      <c r="C549" s="104">
        <f>SUM(C548)</f>
        <v>1625280</v>
      </c>
    </row>
    <row r="550" spans="1:5" ht="15.6" thickTop="1" thickBot="1" x14ac:dyDescent="0.35">
      <c r="A550" s="117" t="s">
        <v>11</v>
      </c>
      <c r="B550" s="118">
        <f>SUM(B549)</f>
        <v>1590794</v>
      </c>
      <c r="C550" s="119">
        <f>SUM(C549)</f>
        <v>1625280</v>
      </c>
    </row>
    <row r="551" spans="1:5" x14ac:dyDescent="0.3">
      <c r="A551" s="1"/>
      <c r="B551" s="1"/>
      <c r="C551" s="1"/>
    </row>
    <row r="552" spans="1:5" x14ac:dyDescent="0.3">
      <c r="A552" s="1"/>
      <c r="B552" s="1"/>
      <c r="C552" s="1"/>
    </row>
    <row r="553" spans="1:5" x14ac:dyDescent="0.3">
      <c r="A553" s="41" t="s">
        <v>130</v>
      </c>
      <c r="B553" s="41"/>
      <c r="C553" s="41"/>
    </row>
    <row r="554" spans="1:5" ht="15" thickBot="1" x14ac:dyDescent="0.35">
      <c r="A554" s="41"/>
      <c r="B554" s="41"/>
      <c r="C554" s="41"/>
    </row>
    <row r="555" spans="1:5" ht="38.25" customHeight="1" x14ac:dyDescent="0.3">
      <c r="A555" s="176" t="s">
        <v>0</v>
      </c>
      <c r="B555" s="145" t="s">
        <v>224</v>
      </c>
      <c r="C555" s="146" t="s">
        <v>225</v>
      </c>
    </row>
    <row r="556" spans="1:5" x14ac:dyDescent="0.3">
      <c r="A556" s="136" t="s">
        <v>67</v>
      </c>
      <c r="B556" s="72">
        <v>2332639</v>
      </c>
      <c r="C556" s="173"/>
      <c r="E556" s="225" t="s">
        <v>300</v>
      </c>
    </row>
    <row r="557" spans="1:5" x14ac:dyDescent="0.3">
      <c r="A557" s="177" t="s">
        <v>239</v>
      </c>
      <c r="B557" s="57"/>
      <c r="C557" s="175"/>
    </row>
    <row r="558" spans="1:5" x14ac:dyDescent="0.3">
      <c r="A558" s="93" t="s">
        <v>81</v>
      </c>
      <c r="B558" s="209">
        <v>292674</v>
      </c>
      <c r="C558" s="92">
        <v>300000</v>
      </c>
      <c r="E558" s="225" t="s">
        <v>314</v>
      </c>
    </row>
    <row r="559" spans="1:5" x14ac:dyDescent="0.3">
      <c r="A559" s="105"/>
      <c r="B559" s="43"/>
      <c r="C559" s="92"/>
    </row>
    <row r="560" spans="1:5" x14ac:dyDescent="0.3">
      <c r="A560" s="88" t="s">
        <v>95</v>
      </c>
      <c r="B560" s="43">
        <v>31496</v>
      </c>
      <c r="C560" s="92">
        <v>100000</v>
      </c>
      <c r="E560" s="225" t="s">
        <v>304</v>
      </c>
    </row>
    <row r="561" spans="1:5" x14ac:dyDescent="0.3">
      <c r="A561" s="105"/>
      <c r="B561" s="43"/>
      <c r="C561" s="92"/>
    </row>
    <row r="562" spans="1:5" x14ac:dyDescent="0.3">
      <c r="A562" s="88" t="s">
        <v>72</v>
      </c>
      <c r="B562" s="43">
        <v>2992</v>
      </c>
      <c r="C562" s="92">
        <v>10000</v>
      </c>
      <c r="E562" s="225" t="s">
        <v>306</v>
      </c>
    </row>
    <row r="563" spans="1:5" x14ac:dyDescent="0.3">
      <c r="A563" s="135"/>
      <c r="B563" s="43"/>
      <c r="C563" s="92"/>
    </row>
    <row r="564" spans="1:5" x14ac:dyDescent="0.3">
      <c r="A564" s="93" t="s">
        <v>145</v>
      </c>
      <c r="B564" s="43">
        <v>30000</v>
      </c>
      <c r="C564" s="92"/>
      <c r="E564" s="225" t="s">
        <v>308</v>
      </c>
    </row>
    <row r="565" spans="1:5" x14ac:dyDescent="0.3">
      <c r="A565" s="90"/>
      <c r="B565" s="43"/>
      <c r="C565" s="92"/>
    </row>
    <row r="566" spans="1:5" x14ac:dyDescent="0.3">
      <c r="A566" s="93" t="s">
        <v>57</v>
      </c>
      <c r="B566" s="43">
        <v>725783</v>
      </c>
      <c r="C566" s="92">
        <v>110000</v>
      </c>
      <c r="E566" s="225" t="s">
        <v>309</v>
      </c>
    </row>
    <row r="567" spans="1:5" x14ac:dyDescent="0.3">
      <c r="A567" s="105"/>
      <c r="B567" s="43"/>
      <c r="C567" s="92"/>
    </row>
    <row r="568" spans="1:5" x14ac:dyDescent="0.3">
      <c r="A568" s="88" t="s">
        <v>75</v>
      </c>
      <c r="B568" s="43"/>
      <c r="C568" s="92"/>
      <c r="E568" s="225" t="s">
        <v>310</v>
      </c>
    </row>
    <row r="569" spans="1:5" ht="15" thickBot="1" x14ac:dyDescent="0.35">
      <c r="A569" s="102" t="s">
        <v>8</v>
      </c>
      <c r="B569" s="36">
        <f>SUM(B556:B568)</f>
        <v>3415584</v>
      </c>
      <c r="C569" s="106">
        <f>SUM(C556:C568)</f>
        <v>520000</v>
      </c>
      <c r="D569" s="225">
        <v>3</v>
      </c>
    </row>
    <row r="570" spans="1:5" ht="15.6" thickTop="1" thickBot="1" x14ac:dyDescent="0.35">
      <c r="A570" s="103" t="s">
        <v>9</v>
      </c>
      <c r="B570" s="47">
        <f>SUM(B569)</f>
        <v>3415584</v>
      </c>
      <c r="C570" s="104">
        <f>SUM(C569)</f>
        <v>520000</v>
      </c>
    </row>
    <row r="571" spans="1:5" ht="15" thickTop="1" x14ac:dyDescent="0.3">
      <c r="A571" s="111" t="s">
        <v>108</v>
      </c>
      <c r="B571" s="46">
        <v>812753</v>
      </c>
      <c r="C571" s="112"/>
      <c r="D571" s="225">
        <v>8</v>
      </c>
      <c r="E571" s="225" t="s">
        <v>199</v>
      </c>
    </row>
    <row r="572" spans="1:5" ht="15" thickBot="1" x14ac:dyDescent="0.35">
      <c r="A572" s="177" t="s">
        <v>239</v>
      </c>
      <c r="B572" s="180"/>
      <c r="C572" s="181"/>
    </row>
    <row r="573" spans="1:5" ht="15" customHeight="1" thickTop="1" x14ac:dyDescent="0.3">
      <c r="A573" s="111" t="s">
        <v>77</v>
      </c>
      <c r="B573" s="46">
        <v>12194394</v>
      </c>
      <c r="C573" s="112"/>
      <c r="D573" s="225">
        <v>8</v>
      </c>
      <c r="E573" s="225" t="s">
        <v>200</v>
      </c>
    </row>
    <row r="574" spans="1:5" ht="15" thickBot="1" x14ac:dyDescent="0.35">
      <c r="A574" s="177" t="s">
        <v>239</v>
      </c>
      <c r="B574" s="52"/>
      <c r="C574" s="169"/>
    </row>
    <row r="575" spans="1:5" ht="15.6" thickTop="1" thickBot="1" x14ac:dyDescent="0.35">
      <c r="A575" s="114" t="s">
        <v>78</v>
      </c>
      <c r="B575" s="48">
        <v>3293231</v>
      </c>
      <c r="C575" s="115"/>
      <c r="D575" s="225">
        <v>8</v>
      </c>
      <c r="E575" s="225" t="s">
        <v>206</v>
      </c>
    </row>
    <row r="576" spans="1:5" ht="15.6" thickTop="1" thickBot="1" x14ac:dyDescent="0.35">
      <c r="A576" s="103" t="s">
        <v>10</v>
      </c>
      <c r="B576" s="47">
        <f>SUM(B571:B575)</f>
        <v>16300378</v>
      </c>
      <c r="C576" s="104">
        <f>SUM(C573:C575)</f>
        <v>0</v>
      </c>
    </row>
    <row r="577" spans="1:6" ht="15.6" thickTop="1" thickBot="1" x14ac:dyDescent="0.35">
      <c r="A577" s="117" t="s">
        <v>11</v>
      </c>
      <c r="B577" s="118">
        <f>SUM(B570+B576)</f>
        <v>19715962</v>
      </c>
      <c r="C577" s="119">
        <f>SUM(C570+C576)</f>
        <v>520000</v>
      </c>
    </row>
    <row r="578" spans="1:6" x14ac:dyDescent="0.3">
      <c r="A578" s="31"/>
      <c r="B578" s="66"/>
      <c r="C578" s="66"/>
    </row>
    <row r="579" spans="1:6" x14ac:dyDescent="0.3">
      <c r="A579" s="49"/>
      <c r="B579" s="66"/>
      <c r="C579" s="66"/>
    </row>
    <row r="580" spans="1:6" x14ac:dyDescent="0.3">
      <c r="A580" s="49"/>
      <c r="B580" s="66"/>
      <c r="C580" s="66"/>
    </row>
    <row r="581" spans="1:6" x14ac:dyDescent="0.3">
      <c r="A581" s="49"/>
      <c r="B581" s="66"/>
      <c r="C581" s="66"/>
    </row>
    <row r="582" spans="1:6" x14ac:dyDescent="0.3">
      <c r="A582" s="49"/>
      <c r="B582" s="66"/>
      <c r="C582" s="66"/>
    </row>
    <row r="583" spans="1:6" x14ac:dyDescent="0.3">
      <c r="A583" s="262" t="s">
        <v>91</v>
      </c>
      <c r="B583" s="262"/>
      <c r="C583" s="262"/>
    </row>
    <row r="584" spans="1:6" ht="15" thickBot="1" x14ac:dyDescent="0.35">
      <c r="A584" s="32"/>
      <c r="B584" s="32"/>
      <c r="C584" s="32"/>
    </row>
    <row r="585" spans="1:6" x14ac:dyDescent="0.3">
      <c r="A585" s="256" t="s">
        <v>0</v>
      </c>
      <c r="B585" s="258" t="s">
        <v>224</v>
      </c>
      <c r="C585" s="260" t="s">
        <v>225</v>
      </c>
    </row>
    <row r="586" spans="1:6" x14ac:dyDescent="0.3">
      <c r="A586" s="257"/>
      <c r="B586" s="259"/>
      <c r="C586" s="261"/>
    </row>
    <row r="587" spans="1:6" x14ac:dyDescent="0.3">
      <c r="A587" s="93" t="s">
        <v>56</v>
      </c>
      <c r="B587" s="43">
        <v>101580</v>
      </c>
      <c r="C587" s="92">
        <v>102000</v>
      </c>
      <c r="E587" s="225" t="s">
        <v>305</v>
      </c>
      <c r="F587" s="3"/>
    </row>
    <row r="588" spans="1:6" ht="15" customHeight="1" thickBot="1" x14ac:dyDescent="0.35">
      <c r="A588" s="107" t="s">
        <v>178</v>
      </c>
      <c r="B588" s="34"/>
      <c r="C588" s="92"/>
    </row>
    <row r="589" spans="1:6" ht="15.6" thickTop="1" thickBot="1" x14ac:dyDescent="0.35">
      <c r="A589" s="103" t="s">
        <v>8</v>
      </c>
      <c r="B589" s="47">
        <f>SUM(B587)</f>
        <v>101580</v>
      </c>
      <c r="C589" s="104">
        <f>SUM(C587)</f>
        <v>102000</v>
      </c>
      <c r="D589" s="225">
        <v>3</v>
      </c>
    </row>
    <row r="590" spans="1:6" ht="15.6" thickTop="1" thickBot="1" x14ac:dyDescent="0.35">
      <c r="A590" s="103" t="s">
        <v>9</v>
      </c>
      <c r="B590" s="47">
        <f>SUM(B589)</f>
        <v>101580</v>
      </c>
      <c r="C590" s="104">
        <f>SUM(C589)</f>
        <v>102000</v>
      </c>
    </row>
    <row r="591" spans="1:6" ht="15.6" thickTop="1" thickBot="1" x14ac:dyDescent="0.35">
      <c r="A591" s="117" t="s">
        <v>11</v>
      </c>
      <c r="B591" s="118">
        <f>SUM(B590)</f>
        <v>101580</v>
      </c>
      <c r="C591" s="119">
        <f>SUM(C590)</f>
        <v>102000</v>
      </c>
    </row>
    <row r="592" spans="1:6" x14ac:dyDescent="0.3">
      <c r="A592" s="1"/>
      <c r="B592" s="1"/>
      <c r="C592" s="1"/>
    </row>
    <row r="593" spans="1:5" x14ac:dyDescent="0.3">
      <c r="A593" s="1"/>
      <c r="B593" s="1"/>
      <c r="C593" s="1"/>
    </row>
    <row r="594" spans="1:5" x14ac:dyDescent="0.3">
      <c r="A594" s="270" t="s">
        <v>92</v>
      </c>
      <c r="B594" s="262"/>
      <c r="C594" s="262"/>
    </row>
    <row r="595" spans="1:5" ht="15" thickBot="1" x14ac:dyDescent="0.35"/>
    <row r="596" spans="1:5" ht="15" customHeight="1" x14ac:dyDescent="0.3">
      <c r="A596" s="256" t="s">
        <v>0</v>
      </c>
      <c r="B596" s="258" t="s">
        <v>224</v>
      </c>
      <c r="C596" s="260" t="s">
        <v>225</v>
      </c>
    </row>
    <row r="597" spans="1:5" x14ac:dyDescent="0.3">
      <c r="A597" s="257"/>
      <c r="B597" s="259"/>
      <c r="C597" s="261"/>
    </row>
    <row r="598" spans="1:5" x14ac:dyDescent="0.3">
      <c r="A598" s="93" t="s">
        <v>63</v>
      </c>
      <c r="B598" s="43">
        <v>5210974</v>
      </c>
      <c r="C598" s="92">
        <v>8282496</v>
      </c>
      <c r="E598" s="225" t="s">
        <v>295</v>
      </c>
    </row>
    <row r="599" spans="1:5" x14ac:dyDescent="0.3">
      <c r="A599" s="97"/>
      <c r="B599" s="45"/>
      <c r="C599" s="98"/>
    </row>
    <row r="600" spans="1:5" x14ac:dyDescent="0.3">
      <c r="A600" s="93" t="s">
        <v>64</v>
      </c>
      <c r="B600" s="43">
        <v>150000</v>
      </c>
      <c r="C600" s="92">
        <v>200000</v>
      </c>
      <c r="E600" s="225" t="s">
        <v>318</v>
      </c>
    </row>
    <row r="601" spans="1:5" x14ac:dyDescent="0.3">
      <c r="A601" s="99"/>
      <c r="B601" s="45"/>
      <c r="C601" s="98"/>
    </row>
    <row r="602" spans="1:5" x14ac:dyDescent="0.3">
      <c r="A602" s="93" t="s">
        <v>93</v>
      </c>
      <c r="B602" s="43">
        <v>197400</v>
      </c>
      <c r="C602" s="92">
        <v>200000</v>
      </c>
      <c r="E602" s="225" t="s">
        <v>322</v>
      </c>
    </row>
    <row r="603" spans="1:5" x14ac:dyDescent="0.3">
      <c r="A603" s="97"/>
      <c r="B603" s="45"/>
      <c r="C603" s="98"/>
    </row>
    <row r="604" spans="1:5" x14ac:dyDescent="0.3">
      <c r="A604" s="88" t="s">
        <v>94</v>
      </c>
      <c r="B604" s="43">
        <v>20112</v>
      </c>
      <c r="C604" s="92"/>
      <c r="E604" s="225" t="s">
        <v>315</v>
      </c>
    </row>
    <row r="605" spans="1:5" x14ac:dyDescent="0.3">
      <c r="A605" s="163"/>
      <c r="B605" s="70"/>
      <c r="C605" s="108"/>
    </row>
    <row r="606" spans="1:5" x14ac:dyDescent="0.3">
      <c r="A606" s="88" t="s">
        <v>131</v>
      </c>
      <c r="B606" s="43">
        <v>1188811</v>
      </c>
      <c r="C606" s="92"/>
      <c r="E606" s="225" t="s">
        <v>297</v>
      </c>
    </row>
    <row r="607" spans="1:5" ht="15" thickBot="1" x14ac:dyDescent="0.35">
      <c r="A607" s="99" t="s">
        <v>240</v>
      </c>
      <c r="B607" s="45"/>
      <c r="C607" s="98"/>
    </row>
    <row r="608" spans="1:5" ht="15.6" thickTop="1" thickBot="1" x14ac:dyDescent="0.35">
      <c r="A608" s="103" t="s">
        <v>5</v>
      </c>
      <c r="B608" s="47">
        <f>SUM(B598:B607)</f>
        <v>6767297</v>
      </c>
      <c r="C608" s="104">
        <f>SUM(C598:C607)</f>
        <v>8682496</v>
      </c>
      <c r="D608" s="225">
        <v>1</v>
      </c>
    </row>
    <row r="609" spans="1:5" ht="15" thickTop="1" x14ac:dyDescent="0.3">
      <c r="A609" s="93" t="s">
        <v>29</v>
      </c>
      <c r="B609" s="43">
        <v>1194452</v>
      </c>
      <c r="C609" s="92">
        <f>(C598+C600+C606)*0.175</f>
        <v>1484436.7999999998</v>
      </c>
      <c r="E609" s="225" t="s">
        <v>298</v>
      </c>
    </row>
    <row r="610" spans="1:5" x14ac:dyDescent="0.3">
      <c r="A610" s="105" t="s">
        <v>272</v>
      </c>
      <c r="B610" s="73"/>
      <c r="C610" s="182"/>
    </row>
    <row r="611" spans="1:5" x14ac:dyDescent="0.3">
      <c r="A611" s="184" t="s">
        <v>127</v>
      </c>
      <c r="B611" s="185">
        <v>22500</v>
      </c>
      <c r="C611" s="186">
        <v>30000</v>
      </c>
      <c r="E611" s="225" t="s">
        <v>298</v>
      </c>
    </row>
    <row r="612" spans="1:5" ht="15" thickBot="1" x14ac:dyDescent="0.35">
      <c r="A612" s="100"/>
      <c r="B612" s="188"/>
      <c r="C612" s="187"/>
    </row>
    <row r="613" spans="1:5" ht="15.6" thickTop="1" thickBot="1" x14ac:dyDescent="0.35">
      <c r="A613" s="103" t="s">
        <v>6</v>
      </c>
      <c r="B613" s="47">
        <f>SUM(B609:B612)</f>
        <v>1216952</v>
      </c>
      <c r="C613" s="104">
        <f>SUM(C609:C612)</f>
        <v>1514436.7999999998</v>
      </c>
      <c r="D613" s="225">
        <v>2</v>
      </c>
    </row>
    <row r="614" spans="1:5" ht="15" thickTop="1" x14ac:dyDescent="0.3">
      <c r="A614" s="88" t="s">
        <v>66</v>
      </c>
      <c r="B614" s="34">
        <v>12820</v>
      </c>
      <c r="C614" s="92">
        <v>15000</v>
      </c>
      <c r="E614" s="225" t="s">
        <v>299</v>
      </c>
    </row>
    <row r="615" spans="1:5" x14ac:dyDescent="0.3">
      <c r="A615" s="107" t="s">
        <v>174</v>
      </c>
      <c r="B615" s="34"/>
      <c r="C615" s="92"/>
    </row>
    <row r="616" spans="1:5" x14ac:dyDescent="0.3">
      <c r="A616" s="93" t="s">
        <v>55</v>
      </c>
      <c r="B616" s="209">
        <v>264341</v>
      </c>
      <c r="C616" s="92">
        <v>100000</v>
      </c>
      <c r="E616" s="225" t="s">
        <v>300</v>
      </c>
    </row>
    <row r="617" spans="1:5" x14ac:dyDescent="0.3">
      <c r="A617" s="195" t="s">
        <v>280</v>
      </c>
      <c r="B617" s="45"/>
      <c r="C617" s="98"/>
    </row>
    <row r="618" spans="1:5" x14ac:dyDescent="0.3">
      <c r="A618" s="93" t="s">
        <v>68</v>
      </c>
      <c r="B618" s="43">
        <v>17792</v>
      </c>
      <c r="C618" s="92">
        <v>20000</v>
      </c>
      <c r="E618" s="225" t="s">
        <v>301</v>
      </c>
    </row>
    <row r="619" spans="1:5" x14ac:dyDescent="0.3">
      <c r="A619" s="183" t="s">
        <v>69</v>
      </c>
      <c r="B619" s="45"/>
      <c r="C619" s="98"/>
    </row>
    <row r="620" spans="1:5" x14ac:dyDescent="0.3">
      <c r="A620" s="93" t="s">
        <v>81</v>
      </c>
      <c r="B620" s="34">
        <v>269467</v>
      </c>
      <c r="C620" s="92">
        <v>280000</v>
      </c>
      <c r="E620" s="225" t="s">
        <v>314</v>
      </c>
    </row>
    <row r="621" spans="1:5" x14ac:dyDescent="0.3">
      <c r="A621" s="107"/>
      <c r="B621" s="34"/>
      <c r="C621" s="92"/>
    </row>
    <row r="622" spans="1:5" x14ac:dyDescent="0.3">
      <c r="A622" s="93" t="s">
        <v>95</v>
      </c>
      <c r="B622" s="43">
        <v>44000</v>
      </c>
      <c r="C622" s="92">
        <v>50000</v>
      </c>
      <c r="E622" s="225" t="s">
        <v>304</v>
      </c>
    </row>
    <row r="623" spans="1:5" x14ac:dyDescent="0.3">
      <c r="A623" s="97"/>
      <c r="B623" s="45"/>
      <c r="C623" s="98"/>
    </row>
    <row r="624" spans="1:5" x14ac:dyDescent="0.3">
      <c r="A624" s="93" t="s">
        <v>56</v>
      </c>
      <c r="B624" s="43">
        <v>65800</v>
      </c>
      <c r="C624" s="92">
        <v>70000</v>
      </c>
      <c r="E624" s="225" t="s">
        <v>305</v>
      </c>
    </row>
    <row r="625" spans="1:5" x14ac:dyDescent="0.3">
      <c r="A625" s="97"/>
      <c r="B625" s="45"/>
      <c r="C625" s="98"/>
    </row>
    <row r="626" spans="1:5" x14ac:dyDescent="0.3">
      <c r="A626" s="93" t="s">
        <v>72</v>
      </c>
      <c r="B626" s="43">
        <v>25828</v>
      </c>
      <c r="C626" s="92">
        <v>30000</v>
      </c>
      <c r="E626" s="225" t="s">
        <v>306</v>
      </c>
    </row>
    <row r="627" spans="1:5" x14ac:dyDescent="0.3">
      <c r="A627" s="97"/>
      <c r="B627" s="45"/>
      <c r="C627" s="98"/>
    </row>
    <row r="628" spans="1:5" x14ac:dyDescent="0.3">
      <c r="A628" s="93" t="s">
        <v>73</v>
      </c>
      <c r="B628" s="43">
        <v>83065</v>
      </c>
      <c r="C628" s="92">
        <v>100000</v>
      </c>
      <c r="E628" s="225" t="s">
        <v>307</v>
      </c>
    </row>
    <row r="629" spans="1:5" x14ac:dyDescent="0.3">
      <c r="A629" s="99"/>
      <c r="B629" s="45"/>
      <c r="C629" s="98"/>
    </row>
    <row r="630" spans="1:5" x14ac:dyDescent="0.3">
      <c r="A630" s="93" t="s">
        <v>57</v>
      </c>
      <c r="B630" s="43">
        <v>163942</v>
      </c>
      <c r="C630" s="92">
        <v>150000</v>
      </c>
      <c r="E630" s="225" t="s">
        <v>309</v>
      </c>
    </row>
    <row r="631" spans="1:5" x14ac:dyDescent="0.3">
      <c r="A631" s="107"/>
      <c r="B631" s="43"/>
      <c r="C631" s="92"/>
    </row>
    <row r="632" spans="1:5" x14ac:dyDescent="0.3">
      <c r="A632" s="93" t="s">
        <v>75</v>
      </c>
      <c r="B632" s="43"/>
      <c r="C632" s="92"/>
      <c r="E632" s="225" t="s">
        <v>310</v>
      </c>
    </row>
    <row r="633" spans="1:5" ht="15" thickBot="1" x14ac:dyDescent="0.35">
      <c r="A633" s="97"/>
      <c r="B633" s="45"/>
      <c r="C633" s="98"/>
    </row>
    <row r="634" spans="1:5" ht="15.6" thickTop="1" thickBot="1" x14ac:dyDescent="0.35">
      <c r="A634" s="103" t="s">
        <v>8</v>
      </c>
      <c r="B634" s="47">
        <f>SUM(B614:B633)</f>
        <v>947055</v>
      </c>
      <c r="C634" s="104">
        <f>SUM(C614:C633)</f>
        <v>815000</v>
      </c>
      <c r="D634" s="225">
        <v>3</v>
      </c>
    </row>
    <row r="635" spans="1:5" ht="15.6" thickTop="1" thickBot="1" x14ac:dyDescent="0.35">
      <c r="A635" s="117" t="s">
        <v>11</v>
      </c>
      <c r="B635" s="118">
        <f>SUM(B634+B608+B613)</f>
        <v>8931304</v>
      </c>
      <c r="C635" s="119">
        <f>SUM(C634+C608+C613)</f>
        <v>11011932.800000001</v>
      </c>
    </row>
    <row r="638" spans="1:5" x14ac:dyDescent="0.3">
      <c r="A638" s="262" t="s">
        <v>100</v>
      </c>
      <c r="B638" s="262"/>
      <c r="C638" s="262"/>
    </row>
    <row r="639" spans="1:5" ht="15" thickBot="1" x14ac:dyDescent="0.35"/>
    <row r="640" spans="1:5" x14ac:dyDescent="0.3">
      <c r="A640" s="256" t="s">
        <v>0</v>
      </c>
      <c r="B640" s="258" t="s">
        <v>224</v>
      </c>
      <c r="C640" s="260" t="s">
        <v>225</v>
      </c>
    </row>
    <row r="641" spans="1:5" x14ac:dyDescent="0.3">
      <c r="A641" s="257"/>
      <c r="B641" s="259"/>
      <c r="C641" s="261"/>
    </row>
    <row r="642" spans="1:5" x14ac:dyDescent="0.3">
      <c r="A642" s="153" t="s">
        <v>72</v>
      </c>
      <c r="B642" s="58"/>
      <c r="C642" s="189"/>
      <c r="E642" s="225" t="s">
        <v>306</v>
      </c>
    </row>
    <row r="643" spans="1:5" x14ac:dyDescent="0.3">
      <c r="A643" s="190"/>
      <c r="B643" s="78"/>
      <c r="C643" s="189"/>
    </row>
    <row r="644" spans="1:5" x14ac:dyDescent="0.3">
      <c r="A644" s="93" t="s">
        <v>57</v>
      </c>
      <c r="B644" s="58"/>
      <c r="C644" s="189"/>
      <c r="E644" s="225" t="s">
        <v>309</v>
      </c>
    </row>
    <row r="645" spans="1:5" ht="15" thickBot="1" x14ac:dyDescent="0.35">
      <c r="A645" s="191"/>
      <c r="B645" s="78"/>
      <c r="C645" s="189"/>
    </row>
    <row r="646" spans="1:5" ht="15.6" thickTop="1" thickBot="1" x14ac:dyDescent="0.35">
      <c r="A646" s="103" t="s">
        <v>101</v>
      </c>
      <c r="B646" s="55">
        <v>2000000</v>
      </c>
      <c r="C646" s="156">
        <v>2000000</v>
      </c>
      <c r="D646" s="225">
        <v>6</v>
      </c>
      <c r="E646" s="225" t="s">
        <v>313</v>
      </c>
    </row>
    <row r="647" spans="1:5" ht="15.6" thickTop="1" thickBot="1" x14ac:dyDescent="0.35">
      <c r="A647" s="192"/>
      <c r="B647" s="193"/>
      <c r="C647" s="194"/>
    </row>
    <row r="648" spans="1:5" ht="15.6" thickTop="1" thickBot="1" x14ac:dyDescent="0.35">
      <c r="A648" s="103" t="s">
        <v>9</v>
      </c>
      <c r="B648" s="47">
        <f>SUM(B642:B647)</f>
        <v>2000000</v>
      </c>
      <c r="C648" s="104">
        <f>SUM(C642:C647)</f>
        <v>2000000</v>
      </c>
    </row>
    <row r="649" spans="1:5" ht="15.6" thickTop="1" thickBot="1" x14ac:dyDescent="0.35">
      <c r="A649" s="103" t="s">
        <v>86</v>
      </c>
      <c r="B649" s="178">
        <v>800000</v>
      </c>
      <c r="C649" s="179"/>
      <c r="E649" s="225" t="s">
        <v>321</v>
      </c>
    </row>
    <row r="650" spans="1:5" ht="15" thickTop="1" x14ac:dyDescent="0.3">
      <c r="A650" s="233" t="s">
        <v>241</v>
      </c>
      <c r="B650" s="46"/>
      <c r="C650" s="112"/>
    </row>
    <row r="651" spans="1:5" ht="15" thickBot="1" x14ac:dyDescent="0.35">
      <c r="A651" s="102" t="s">
        <v>10</v>
      </c>
      <c r="B651" s="180">
        <f>B649</f>
        <v>800000</v>
      </c>
      <c r="C651" s="181"/>
      <c r="D651" s="225">
        <v>9</v>
      </c>
    </row>
    <row r="652" spans="1:5" ht="15.6" thickTop="1" thickBot="1" x14ac:dyDescent="0.35">
      <c r="A652" s="117" t="s">
        <v>11</v>
      </c>
      <c r="B652" s="118">
        <f>SUM(B648,B651)</f>
        <v>2800000</v>
      </c>
      <c r="C652" s="119">
        <f>SUM(C648)</f>
        <v>2000000</v>
      </c>
    </row>
    <row r="655" spans="1:5" x14ac:dyDescent="0.3">
      <c r="A655" s="262" t="s">
        <v>99</v>
      </c>
      <c r="B655" s="262"/>
      <c r="C655" s="262"/>
    </row>
    <row r="656" spans="1:5" ht="15" thickBot="1" x14ac:dyDescent="0.35"/>
    <row r="657" spans="1:5" x14ac:dyDescent="0.3">
      <c r="A657" s="256" t="s">
        <v>0</v>
      </c>
      <c r="B657" s="258" t="s">
        <v>224</v>
      </c>
      <c r="C657" s="260" t="s">
        <v>225</v>
      </c>
    </row>
    <row r="658" spans="1:5" x14ac:dyDescent="0.3">
      <c r="A658" s="257"/>
      <c r="B658" s="259"/>
      <c r="C658" s="261"/>
    </row>
    <row r="659" spans="1:5" x14ac:dyDescent="0.3">
      <c r="A659" s="93" t="s">
        <v>63</v>
      </c>
      <c r="B659" s="43">
        <v>2934066</v>
      </c>
      <c r="C659" s="92">
        <f>12*142300+1.5*111760</f>
        <v>1875240</v>
      </c>
      <c r="E659" s="225" t="s">
        <v>295</v>
      </c>
    </row>
    <row r="660" spans="1:5" x14ac:dyDescent="0.3">
      <c r="A660" s="99"/>
      <c r="B660" s="45"/>
      <c r="C660" s="98"/>
    </row>
    <row r="661" spans="1:5" x14ac:dyDescent="0.3">
      <c r="A661" s="88" t="s">
        <v>64</v>
      </c>
      <c r="B661" s="43"/>
      <c r="C661" s="92"/>
      <c r="E661" s="225" t="s">
        <v>318</v>
      </c>
    </row>
    <row r="662" spans="1:5" x14ac:dyDescent="0.3">
      <c r="A662" s="107"/>
      <c r="B662" s="216"/>
      <c r="C662" s="217"/>
    </row>
    <row r="663" spans="1:5" ht="15" thickBot="1" x14ac:dyDescent="0.35">
      <c r="A663" s="165" t="s">
        <v>131</v>
      </c>
      <c r="B663" s="188">
        <v>719918</v>
      </c>
      <c r="C663" s="218">
        <f>12*32000+12*16000+3*3000+1.5*25000</f>
        <v>622500</v>
      </c>
      <c r="E663" s="225" t="s">
        <v>297</v>
      </c>
    </row>
    <row r="664" spans="1:5" ht="15.6" thickTop="1" thickBot="1" x14ac:dyDescent="0.35">
      <c r="A664" s="102" t="s">
        <v>5</v>
      </c>
      <c r="B664" s="36">
        <f>SUM(B659:B663)</f>
        <v>3653984</v>
      </c>
      <c r="C664" s="106">
        <f>SUM(C659:C663)</f>
        <v>2497740</v>
      </c>
      <c r="D664" s="225">
        <v>1</v>
      </c>
    </row>
    <row r="665" spans="1:5" ht="15" thickTop="1" x14ac:dyDescent="0.3">
      <c r="A665" s="93" t="s">
        <v>29</v>
      </c>
      <c r="B665" s="43">
        <v>667887</v>
      </c>
      <c r="C665" s="92">
        <f>(C659+C661+C663)*0.175</f>
        <v>437104.5</v>
      </c>
      <c r="E665" s="225" t="s">
        <v>298</v>
      </c>
    </row>
    <row r="666" spans="1:5" x14ac:dyDescent="0.3">
      <c r="A666" s="105" t="s">
        <v>272</v>
      </c>
      <c r="B666" s="43"/>
      <c r="C666" s="92"/>
    </row>
    <row r="667" spans="1:5" x14ac:dyDescent="0.3">
      <c r="A667" s="88" t="s">
        <v>127</v>
      </c>
      <c r="B667" s="43"/>
      <c r="C667" s="92"/>
      <c r="E667" s="225" t="s">
        <v>298</v>
      </c>
    </row>
    <row r="668" spans="1:5" ht="15" thickBot="1" x14ac:dyDescent="0.35">
      <c r="A668" s="102" t="s">
        <v>6</v>
      </c>
      <c r="B668" s="36">
        <f>SUM(B665:B667)</f>
        <v>667887</v>
      </c>
      <c r="C668" s="106">
        <f>SUM(C665:C667)</f>
        <v>437104.5</v>
      </c>
      <c r="D668" s="225">
        <v>2</v>
      </c>
    </row>
    <row r="669" spans="1:5" ht="15" thickTop="1" x14ac:dyDescent="0.3">
      <c r="A669" s="93" t="s">
        <v>66</v>
      </c>
      <c r="B669" s="209">
        <v>524001</v>
      </c>
      <c r="C669" s="92">
        <v>100000</v>
      </c>
      <c r="E669" s="225" t="s">
        <v>299</v>
      </c>
    </row>
    <row r="670" spans="1:5" x14ac:dyDescent="0.3">
      <c r="A670" s="97"/>
      <c r="B670" s="240"/>
      <c r="C670" s="98"/>
    </row>
    <row r="671" spans="1:5" x14ac:dyDescent="0.3">
      <c r="A671" s="93" t="s">
        <v>67</v>
      </c>
      <c r="B671" s="209">
        <v>1659899</v>
      </c>
      <c r="C671" s="92">
        <f>3000000+726000+78000+472441</f>
        <v>4276441</v>
      </c>
      <c r="E671" s="225" t="s">
        <v>300</v>
      </c>
    </row>
    <row r="672" spans="1:5" x14ac:dyDescent="0.3">
      <c r="A672" s="105" t="s">
        <v>263</v>
      </c>
      <c r="B672" s="209"/>
      <c r="C672" s="92"/>
    </row>
    <row r="673" spans="1:5" x14ac:dyDescent="0.3">
      <c r="A673" s="93" t="s">
        <v>68</v>
      </c>
      <c r="B673" s="209">
        <v>66765</v>
      </c>
      <c r="C673" s="92">
        <v>71000</v>
      </c>
      <c r="E673" s="225" t="s">
        <v>301</v>
      </c>
    </row>
    <row r="674" spans="1:5" x14ac:dyDescent="0.3">
      <c r="A674" s="99" t="s">
        <v>69</v>
      </c>
      <c r="B674" s="240"/>
      <c r="C674" s="98"/>
    </row>
    <row r="675" spans="1:5" x14ac:dyDescent="0.3">
      <c r="A675" s="93" t="s">
        <v>70</v>
      </c>
      <c r="B675" s="241"/>
      <c r="C675" s="92">
        <v>40000</v>
      </c>
      <c r="E675" s="225" t="s">
        <v>302</v>
      </c>
    </row>
    <row r="676" spans="1:5" x14ac:dyDescent="0.3">
      <c r="A676" s="107"/>
      <c r="B676" s="241"/>
      <c r="C676" s="92"/>
    </row>
    <row r="677" spans="1:5" x14ac:dyDescent="0.3">
      <c r="A677" s="93" t="s">
        <v>81</v>
      </c>
      <c r="B677" s="209">
        <v>733613</v>
      </c>
      <c r="C677" s="92">
        <v>500000</v>
      </c>
      <c r="E677" s="225" t="s">
        <v>314</v>
      </c>
    </row>
    <row r="678" spans="1:5" x14ac:dyDescent="0.3">
      <c r="A678" s="97"/>
      <c r="B678" s="240"/>
      <c r="C678" s="98"/>
    </row>
    <row r="679" spans="1:5" x14ac:dyDescent="0.3">
      <c r="A679" s="93" t="s">
        <v>7</v>
      </c>
      <c r="B679" s="209">
        <v>2000</v>
      </c>
      <c r="C679" s="92">
        <v>50000</v>
      </c>
      <c r="E679" s="225" t="s">
        <v>304</v>
      </c>
    </row>
    <row r="680" spans="1:5" x14ac:dyDescent="0.3">
      <c r="A680" s="105"/>
      <c r="B680" s="209"/>
      <c r="C680" s="92"/>
    </row>
    <row r="681" spans="1:5" x14ac:dyDescent="0.3">
      <c r="A681" s="93" t="s">
        <v>56</v>
      </c>
      <c r="B681" s="209">
        <v>26743109</v>
      </c>
      <c r="C681" s="92">
        <f>4000000+806798+298740+472441+1800000</f>
        <v>7377979</v>
      </c>
      <c r="E681" s="225" t="s">
        <v>305</v>
      </c>
    </row>
    <row r="682" spans="1:5" ht="28.8" x14ac:dyDescent="0.3">
      <c r="A682" s="234" t="s">
        <v>281</v>
      </c>
      <c r="B682" s="240"/>
      <c r="C682" s="98"/>
    </row>
    <row r="683" spans="1:5" x14ac:dyDescent="0.3">
      <c r="A683" s="93" t="s">
        <v>72</v>
      </c>
      <c r="B683" s="43">
        <v>2312629</v>
      </c>
      <c r="C683" s="92">
        <v>200000</v>
      </c>
      <c r="E683" s="225" t="s">
        <v>306</v>
      </c>
    </row>
    <row r="684" spans="1:5" x14ac:dyDescent="0.3">
      <c r="A684" s="99"/>
      <c r="B684" s="45"/>
      <c r="C684" s="98"/>
    </row>
    <row r="685" spans="1:5" x14ac:dyDescent="0.3">
      <c r="A685" s="93" t="s">
        <v>73</v>
      </c>
      <c r="B685" s="43">
        <v>77115</v>
      </c>
      <c r="C685" s="92">
        <f>80000+175000</f>
        <v>255000</v>
      </c>
      <c r="E685" s="225" t="s">
        <v>307</v>
      </c>
    </row>
    <row r="686" spans="1:5" x14ac:dyDescent="0.3">
      <c r="A686" s="93"/>
      <c r="B686" s="43"/>
      <c r="C686" s="92"/>
    </row>
    <row r="687" spans="1:5" x14ac:dyDescent="0.3">
      <c r="A687" s="93" t="s">
        <v>145</v>
      </c>
      <c r="B687" s="43">
        <v>258000</v>
      </c>
      <c r="C687" s="92">
        <v>500000</v>
      </c>
      <c r="E687" s="225" t="s">
        <v>308</v>
      </c>
    </row>
    <row r="688" spans="1:5" x14ac:dyDescent="0.3">
      <c r="A688" s="196"/>
      <c r="B688" s="45"/>
      <c r="C688" s="98"/>
    </row>
    <row r="689" spans="1:5" x14ac:dyDescent="0.3">
      <c r="A689" s="93" t="s">
        <v>57</v>
      </c>
      <c r="B689" s="43">
        <v>6217767</v>
      </c>
      <c r="C689" s="92">
        <f>2750000+255120</f>
        <v>3005120</v>
      </c>
      <c r="E689" s="225" t="s">
        <v>309</v>
      </c>
    </row>
    <row r="690" spans="1:5" x14ac:dyDescent="0.3">
      <c r="A690" s="196"/>
      <c r="B690" s="45"/>
      <c r="C690" s="98"/>
    </row>
    <row r="691" spans="1:5" x14ac:dyDescent="0.3">
      <c r="A691" s="93" t="s">
        <v>134</v>
      </c>
      <c r="B691" s="43"/>
      <c r="C691" s="92"/>
      <c r="E691" s="225" t="s">
        <v>320</v>
      </c>
    </row>
    <row r="692" spans="1:5" x14ac:dyDescent="0.3">
      <c r="A692" s="97"/>
      <c r="B692" s="45"/>
      <c r="C692" s="98"/>
    </row>
    <row r="693" spans="1:5" x14ac:dyDescent="0.3">
      <c r="A693" s="93" t="s">
        <v>75</v>
      </c>
      <c r="B693" s="43">
        <v>1087385</v>
      </c>
      <c r="C693" s="92">
        <v>1000000</v>
      </c>
      <c r="E693" s="225" t="s">
        <v>310</v>
      </c>
    </row>
    <row r="694" spans="1:5" ht="15" thickBot="1" x14ac:dyDescent="0.35">
      <c r="A694" s="97"/>
      <c r="B694" s="45"/>
      <c r="C694" s="98"/>
    </row>
    <row r="695" spans="1:5" ht="15.6" thickTop="1" thickBot="1" x14ac:dyDescent="0.35">
      <c r="A695" s="103" t="s">
        <v>8</v>
      </c>
      <c r="B695" s="47">
        <f>SUM(B669:B694)</f>
        <v>39682283</v>
      </c>
      <c r="C695" s="104">
        <f>SUM(C669:C694)</f>
        <v>17375540</v>
      </c>
      <c r="D695" s="225">
        <v>3</v>
      </c>
    </row>
    <row r="696" spans="1:5" ht="29.4" thickTop="1" x14ac:dyDescent="0.3">
      <c r="A696" s="203" t="s">
        <v>182</v>
      </c>
      <c r="B696" s="43">
        <v>250000</v>
      </c>
      <c r="C696" s="92">
        <v>250000</v>
      </c>
      <c r="D696" s="225">
        <v>6</v>
      </c>
      <c r="E696" s="225" t="s">
        <v>313</v>
      </c>
    </row>
    <row r="697" spans="1:5" ht="15" thickBot="1" x14ac:dyDescent="0.35">
      <c r="A697" s="197" t="s">
        <v>262</v>
      </c>
      <c r="B697" s="45"/>
      <c r="C697" s="98"/>
    </row>
    <row r="698" spans="1:5" ht="15.6" thickTop="1" thickBot="1" x14ac:dyDescent="0.35">
      <c r="A698" s="103" t="s">
        <v>9</v>
      </c>
      <c r="B698" s="47">
        <f>SUM(B664+B668+B695+B696)</f>
        <v>44254154</v>
      </c>
      <c r="C698" s="104">
        <f>SUM(C664+C668+C695+C696)</f>
        <v>20560384.5</v>
      </c>
    </row>
    <row r="699" spans="1:5" ht="15.6" thickTop="1" thickBot="1" x14ac:dyDescent="0.35">
      <c r="A699" s="114" t="s">
        <v>143</v>
      </c>
      <c r="B699" s="71">
        <v>9000000</v>
      </c>
      <c r="C699" s="115"/>
      <c r="D699" s="225">
        <v>8</v>
      </c>
      <c r="E699" s="225" t="s">
        <v>198</v>
      </c>
    </row>
    <row r="700" spans="1:5" ht="15.6" thickTop="1" thickBot="1" x14ac:dyDescent="0.35">
      <c r="A700" s="222" t="s">
        <v>242</v>
      </c>
      <c r="B700" s="71"/>
      <c r="C700" s="115"/>
    </row>
    <row r="701" spans="1:5" ht="15.6" thickTop="1" thickBot="1" x14ac:dyDescent="0.35">
      <c r="A701" s="111" t="s">
        <v>77</v>
      </c>
      <c r="B701" s="71"/>
      <c r="C701" s="115">
        <v>511810</v>
      </c>
      <c r="D701" s="225">
        <v>8</v>
      </c>
      <c r="E701" s="225" t="s">
        <v>200</v>
      </c>
    </row>
    <row r="702" spans="1:5" ht="15.6" thickTop="1" thickBot="1" x14ac:dyDescent="0.35">
      <c r="A702" s="222" t="s">
        <v>343</v>
      </c>
      <c r="B702" s="71"/>
      <c r="C702" s="115"/>
    </row>
    <row r="703" spans="1:5" ht="15.6" thickTop="1" thickBot="1" x14ac:dyDescent="0.35">
      <c r="A703" s="114" t="s">
        <v>78</v>
      </c>
      <c r="B703" s="71"/>
      <c r="C703" s="115">
        <v>138190</v>
      </c>
      <c r="D703" s="225">
        <v>8</v>
      </c>
      <c r="E703" s="225" t="s">
        <v>206</v>
      </c>
    </row>
    <row r="704" spans="1:5" ht="15.6" thickTop="1" thickBot="1" x14ac:dyDescent="0.35">
      <c r="A704" s="93" t="s">
        <v>58</v>
      </c>
      <c r="B704" s="33">
        <v>1945031</v>
      </c>
      <c r="C704" s="104"/>
      <c r="D704" s="225">
        <v>7</v>
      </c>
      <c r="E704" s="225" t="s">
        <v>210</v>
      </c>
    </row>
    <row r="705" spans="1:5" ht="15.6" thickTop="1" thickBot="1" x14ac:dyDescent="0.35">
      <c r="A705" s="107" t="s">
        <v>185</v>
      </c>
      <c r="B705" s="33"/>
      <c r="C705" s="104"/>
    </row>
    <row r="706" spans="1:5" ht="15.6" thickTop="1" thickBot="1" x14ac:dyDescent="0.35">
      <c r="A706" s="88" t="s">
        <v>107</v>
      </c>
      <c r="B706" s="33">
        <v>525159</v>
      </c>
      <c r="C706" s="104"/>
      <c r="D706" s="225">
        <v>7</v>
      </c>
      <c r="E706" s="225" t="s">
        <v>216</v>
      </c>
    </row>
    <row r="707" spans="1:5" ht="15.6" thickTop="1" thickBot="1" x14ac:dyDescent="0.35">
      <c r="A707" s="103" t="s">
        <v>10</v>
      </c>
      <c r="B707" s="48">
        <f>SUM(B699:B706)</f>
        <v>11470190</v>
      </c>
      <c r="C707" s="115">
        <f>SUM(C699:C706)</f>
        <v>650000</v>
      </c>
    </row>
    <row r="708" spans="1:5" ht="15.6" thickTop="1" thickBot="1" x14ac:dyDescent="0.35">
      <c r="A708" s="117" t="s">
        <v>11</v>
      </c>
      <c r="B708" s="118">
        <f>SUM(B698+B707)</f>
        <v>55724344</v>
      </c>
      <c r="C708" s="119">
        <f>SUM(C698+C707)</f>
        <v>21210384.5</v>
      </c>
    </row>
    <row r="709" spans="1:5" x14ac:dyDescent="0.3">
      <c r="A709" s="49"/>
      <c r="B709" s="66"/>
      <c r="C709" s="66"/>
    </row>
    <row r="710" spans="1:5" x14ac:dyDescent="0.3">
      <c r="A710" s="49"/>
      <c r="B710" s="66"/>
      <c r="C710" s="66"/>
    </row>
    <row r="711" spans="1:5" x14ac:dyDescent="0.3">
      <c r="A711" s="213" t="s">
        <v>257</v>
      </c>
      <c r="B711" s="66"/>
      <c r="C711" s="66"/>
    </row>
    <row r="712" spans="1:5" ht="15" thickBot="1" x14ac:dyDescent="0.35">
      <c r="A712" s="49"/>
      <c r="B712" s="66"/>
      <c r="C712" s="66"/>
    </row>
    <row r="713" spans="1:5" ht="15" thickBot="1" x14ac:dyDescent="0.35">
      <c r="A713" s="219" t="s">
        <v>143</v>
      </c>
      <c r="B713" s="220"/>
      <c r="C713" s="221">
        <v>8493000</v>
      </c>
      <c r="D713" s="225">
        <v>8</v>
      </c>
      <c r="E713" s="225" t="s">
        <v>198</v>
      </c>
    </row>
    <row r="714" spans="1:5" ht="15.6" thickTop="1" thickBot="1" x14ac:dyDescent="0.35">
      <c r="A714" s="222" t="s">
        <v>259</v>
      </c>
      <c r="B714" s="71"/>
      <c r="C714" s="115"/>
    </row>
    <row r="715" spans="1:5" ht="15.6" thickTop="1" thickBot="1" x14ac:dyDescent="0.35">
      <c r="A715" s="219" t="s">
        <v>260</v>
      </c>
      <c r="B715" s="220"/>
      <c r="C715" s="221">
        <v>2965000</v>
      </c>
      <c r="D715" s="225">
        <v>8</v>
      </c>
      <c r="E715" s="225" t="s">
        <v>200</v>
      </c>
    </row>
    <row r="716" spans="1:5" ht="15.6" thickTop="1" thickBot="1" x14ac:dyDescent="0.35">
      <c r="A716" s="222" t="s">
        <v>259</v>
      </c>
      <c r="B716" s="71"/>
      <c r="C716" s="115"/>
    </row>
    <row r="717" spans="1:5" ht="15.6" thickTop="1" thickBot="1" x14ac:dyDescent="0.35">
      <c r="A717" s="114" t="s">
        <v>78</v>
      </c>
      <c r="B717" s="71"/>
      <c r="C717" s="115">
        <f>(C713+C715)*0.27</f>
        <v>3093660</v>
      </c>
      <c r="D717" s="225">
        <v>8</v>
      </c>
      <c r="E717" s="225" t="s">
        <v>206</v>
      </c>
    </row>
    <row r="718" spans="1:5" ht="15" thickTop="1" x14ac:dyDescent="0.3">
      <c r="A718" s="93" t="s">
        <v>58</v>
      </c>
      <c r="B718" s="224"/>
      <c r="C718" s="112"/>
      <c r="D718" s="225">
        <v>7</v>
      </c>
      <c r="E718" s="225" t="s">
        <v>210</v>
      </c>
    </row>
    <row r="719" spans="1:5" x14ac:dyDescent="0.3">
      <c r="A719" s="107"/>
      <c r="B719" s="39"/>
      <c r="C719" s="89"/>
    </row>
    <row r="720" spans="1:5" ht="15" thickBot="1" x14ac:dyDescent="0.35">
      <c r="A720" s="88" t="s">
        <v>107</v>
      </c>
      <c r="B720" s="223"/>
      <c r="C720" s="106"/>
      <c r="D720" s="225">
        <v>7</v>
      </c>
      <c r="E720" s="225" t="s">
        <v>216</v>
      </c>
    </row>
    <row r="721" spans="1:5" ht="15.6" thickTop="1" thickBot="1" x14ac:dyDescent="0.35">
      <c r="A721" s="103" t="s">
        <v>10</v>
      </c>
      <c r="B721" s="48">
        <f>SUM(B713:B720)</f>
        <v>0</v>
      </c>
      <c r="C721" s="115">
        <f>SUM(C713:C720)</f>
        <v>14551660</v>
      </c>
    </row>
    <row r="722" spans="1:5" ht="15.6" thickTop="1" thickBot="1" x14ac:dyDescent="0.35">
      <c r="A722" s="117" t="s">
        <v>11</v>
      </c>
      <c r="B722" s="118">
        <f>B721</f>
        <v>0</v>
      </c>
      <c r="C722" s="119">
        <f>C721</f>
        <v>14551660</v>
      </c>
    </row>
    <row r="723" spans="1:5" x14ac:dyDescent="0.3">
      <c r="A723" s="49"/>
      <c r="B723" s="66"/>
      <c r="C723" s="66"/>
    </row>
    <row r="724" spans="1:5" x14ac:dyDescent="0.3">
      <c r="A724" s="49"/>
      <c r="B724" s="66"/>
      <c r="C724" s="66"/>
    </row>
    <row r="725" spans="1:5" x14ac:dyDescent="0.3">
      <c r="A725" s="49"/>
      <c r="B725" s="66"/>
      <c r="C725" s="66"/>
    </row>
    <row r="726" spans="1:5" x14ac:dyDescent="0.3">
      <c r="A726" s="49"/>
      <c r="B726" s="66"/>
      <c r="C726" s="66"/>
    </row>
    <row r="727" spans="1:5" x14ac:dyDescent="0.3">
      <c r="A727" s="49"/>
      <c r="B727" s="66"/>
      <c r="C727" s="66"/>
    </row>
    <row r="728" spans="1:5" x14ac:dyDescent="0.3">
      <c r="A728" s="87"/>
      <c r="B728" s="87"/>
      <c r="C728" s="87"/>
      <c r="D728" s="277"/>
    </row>
    <row r="729" spans="1:5" x14ac:dyDescent="0.3">
      <c r="A729" s="270" t="s">
        <v>146</v>
      </c>
      <c r="B729" s="270"/>
      <c r="C729" s="270"/>
      <c r="D729" s="277"/>
    </row>
    <row r="730" spans="1:5" ht="15" thickBot="1" x14ac:dyDescent="0.35">
      <c r="A730" s="87"/>
      <c r="B730" s="87"/>
      <c r="C730" s="87"/>
      <c r="D730" s="277"/>
    </row>
    <row r="731" spans="1:5" x14ac:dyDescent="0.3">
      <c r="A731" s="256" t="s">
        <v>0</v>
      </c>
      <c r="B731" s="258" t="s">
        <v>224</v>
      </c>
      <c r="C731" s="260" t="s">
        <v>225</v>
      </c>
      <c r="D731" s="277"/>
    </row>
    <row r="732" spans="1:5" x14ac:dyDescent="0.3">
      <c r="A732" s="257"/>
      <c r="B732" s="259"/>
      <c r="C732" s="261"/>
      <c r="D732" s="277"/>
    </row>
    <row r="733" spans="1:5" x14ac:dyDescent="0.3">
      <c r="A733" s="93" t="s">
        <v>144</v>
      </c>
      <c r="B733" s="35">
        <v>337063</v>
      </c>
      <c r="C733" s="91">
        <v>402142</v>
      </c>
      <c r="D733" s="277"/>
      <c r="E733" s="225" t="s">
        <v>323</v>
      </c>
    </row>
    <row r="734" spans="1:5" x14ac:dyDescent="0.3">
      <c r="A734" s="90"/>
      <c r="B734" s="38"/>
      <c r="C734" s="91"/>
      <c r="D734" s="277"/>
    </row>
    <row r="735" spans="1:5" x14ac:dyDescent="0.3">
      <c r="A735" s="93" t="s">
        <v>164</v>
      </c>
      <c r="B735" s="38">
        <v>91007</v>
      </c>
      <c r="C735" s="91">
        <v>108578</v>
      </c>
      <c r="D735" s="277"/>
      <c r="E735" s="225" t="s">
        <v>309</v>
      </c>
    </row>
    <row r="736" spans="1:5" x14ac:dyDescent="0.3">
      <c r="A736" s="90"/>
      <c r="B736" s="38"/>
      <c r="C736" s="91"/>
      <c r="D736" s="277"/>
    </row>
    <row r="737" spans="1:5" ht="15" thickBot="1" x14ac:dyDescent="0.35">
      <c r="A737" s="200" t="s">
        <v>11</v>
      </c>
      <c r="B737" s="201">
        <f>SUM(B733+B735)</f>
        <v>428070</v>
      </c>
      <c r="C737" s="202">
        <f>SUM(C733:C736)</f>
        <v>510720</v>
      </c>
      <c r="D737" s="277">
        <v>3</v>
      </c>
    </row>
    <row r="738" spans="1:5" x14ac:dyDescent="0.3">
      <c r="A738" s="87"/>
      <c r="B738" s="87"/>
      <c r="C738" s="87"/>
      <c r="D738" s="277"/>
    </row>
    <row r="739" spans="1:5" x14ac:dyDescent="0.3">
      <c r="A739" s="87"/>
      <c r="B739" s="87"/>
      <c r="C739" s="87"/>
      <c r="D739" s="277"/>
    </row>
    <row r="740" spans="1:5" x14ac:dyDescent="0.3">
      <c r="A740" s="270" t="s">
        <v>243</v>
      </c>
      <c r="B740" s="270"/>
      <c r="C740" s="270"/>
      <c r="D740" s="277"/>
    </row>
    <row r="741" spans="1:5" ht="15" thickBot="1" x14ac:dyDescent="0.35">
      <c r="A741" s="87"/>
      <c r="B741" s="87"/>
      <c r="C741" s="87"/>
      <c r="D741" s="277"/>
    </row>
    <row r="742" spans="1:5" ht="15" customHeight="1" x14ac:dyDescent="0.3">
      <c r="A742" s="256" t="s">
        <v>0</v>
      </c>
      <c r="B742" s="258" t="s">
        <v>224</v>
      </c>
      <c r="C742" s="260" t="s">
        <v>225</v>
      </c>
    </row>
    <row r="743" spans="1:5" x14ac:dyDescent="0.3">
      <c r="A743" s="257"/>
      <c r="B743" s="259"/>
      <c r="C743" s="261"/>
    </row>
    <row r="744" spans="1:5" x14ac:dyDescent="0.3">
      <c r="A744" s="136" t="s">
        <v>144</v>
      </c>
      <c r="B744" s="60">
        <v>1043701</v>
      </c>
      <c r="C744" s="198">
        <v>1286614</v>
      </c>
      <c r="E744" s="225" t="s">
        <v>323</v>
      </c>
    </row>
    <row r="745" spans="1:5" x14ac:dyDescent="0.3">
      <c r="A745" s="174"/>
      <c r="B745" s="74"/>
      <c r="C745" s="199"/>
    </row>
    <row r="746" spans="1:5" x14ac:dyDescent="0.3">
      <c r="A746" s="93" t="s">
        <v>57</v>
      </c>
      <c r="B746" s="75">
        <v>281800</v>
      </c>
      <c r="C746" s="171">
        <v>347386</v>
      </c>
      <c r="E746" s="225" t="s">
        <v>309</v>
      </c>
    </row>
    <row r="747" spans="1:5" ht="15" thickBot="1" x14ac:dyDescent="0.35">
      <c r="A747" s="97"/>
      <c r="B747" s="43"/>
      <c r="C747" s="92"/>
    </row>
    <row r="748" spans="1:5" ht="15.6" thickTop="1" thickBot="1" x14ac:dyDescent="0.35">
      <c r="A748" s="132" t="s">
        <v>11</v>
      </c>
      <c r="B748" s="133">
        <f>SUM(B744:B747)</f>
        <v>1325501</v>
      </c>
      <c r="C748" s="134">
        <f>SUM(C744:C747)</f>
        <v>1634000</v>
      </c>
      <c r="D748" s="225">
        <v>3</v>
      </c>
    </row>
    <row r="749" spans="1:5" x14ac:dyDescent="0.3">
      <c r="A749" s="87"/>
      <c r="B749" s="87"/>
      <c r="C749" s="87"/>
    </row>
    <row r="751" spans="1:5" x14ac:dyDescent="0.3">
      <c r="A751" s="262" t="s">
        <v>96</v>
      </c>
      <c r="B751" s="262"/>
      <c r="C751" s="262"/>
    </row>
    <row r="752" spans="1:5" ht="15" thickBot="1" x14ac:dyDescent="0.35"/>
    <row r="753" spans="1:5" ht="15" customHeight="1" x14ac:dyDescent="0.3">
      <c r="A753" s="256" t="s">
        <v>0</v>
      </c>
      <c r="B753" s="258" t="s">
        <v>224</v>
      </c>
      <c r="C753" s="260" t="s">
        <v>225</v>
      </c>
    </row>
    <row r="754" spans="1:5" x14ac:dyDescent="0.3">
      <c r="A754" s="257"/>
      <c r="B754" s="259"/>
      <c r="C754" s="261"/>
    </row>
    <row r="755" spans="1:5" x14ac:dyDescent="0.3">
      <c r="A755" s="93" t="s">
        <v>55</v>
      </c>
      <c r="B755" s="43">
        <v>3259013</v>
      </c>
      <c r="C755" s="92"/>
      <c r="E755" s="225" t="s">
        <v>300</v>
      </c>
    </row>
    <row r="756" spans="1:5" x14ac:dyDescent="0.3">
      <c r="A756" s="105" t="s">
        <v>186</v>
      </c>
      <c r="B756" s="45"/>
      <c r="C756" s="98"/>
    </row>
    <row r="757" spans="1:5" x14ac:dyDescent="0.3">
      <c r="A757" s="88" t="s">
        <v>72</v>
      </c>
      <c r="B757" s="43">
        <v>357000</v>
      </c>
      <c r="C757" s="92"/>
      <c r="E757" s="225" t="s">
        <v>306</v>
      </c>
    </row>
    <row r="758" spans="1:5" x14ac:dyDescent="0.3">
      <c r="A758" s="105" t="s">
        <v>180</v>
      </c>
      <c r="B758" s="43"/>
      <c r="C758" s="92"/>
    </row>
    <row r="759" spans="1:5" ht="15" thickBot="1" x14ac:dyDescent="0.35">
      <c r="A759" s="204" t="s">
        <v>57</v>
      </c>
      <c r="B759" s="205">
        <v>976327</v>
      </c>
      <c r="C759" s="131"/>
      <c r="E759" s="225" t="s">
        <v>309</v>
      </c>
    </row>
    <row r="760" spans="1:5" ht="15.6" thickTop="1" thickBot="1" x14ac:dyDescent="0.35">
      <c r="A760" s="102" t="s">
        <v>8</v>
      </c>
      <c r="B760" s="36">
        <f>SUM(B755:B759)</f>
        <v>4592340</v>
      </c>
      <c r="C760" s="106">
        <f>SUM(C755:C759)</f>
        <v>0</v>
      </c>
      <c r="D760" s="225">
        <v>3</v>
      </c>
    </row>
    <row r="761" spans="1:5" ht="15" thickTop="1" x14ac:dyDescent="0.3">
      <c r="A761" s="88" t="s">
        <v>133</v>
      </c>
      <c r="B761" s="35">
        <v>320747</v>
      </c>
      <c r="C761" s="91">
        <v>444000</v>
      </c>
      <c r="D761" s="225">
        <v>5</v>
      </c>
      <c r="E761" s="225" t="s">
        <v>324</v>
      </c>
    </row>
    <row r="762" spans="1:5" x14ac:dyDescent="0.3">
      <c r="A762" s="88" t="s">
        <v>97</v>
      </c>
      <c r="B762" s="38">
        <v>900667</v>
      </c>
      <c r="C762" s="91">
        <v>880000</v>
      </c>
      <c r="D762" s="225">
        <v>5</v>
      </c>
      <c r="E762" s="225" t="s">
        <v>324</v>
      </c>
    </row>
    <row r="763" spans="1:5" x14ac:dyDescent="0.3">
      <c r="A763" s="88" t="s">
        <v>132</v>
      </c>
      <c r="B763" s="35">
        <v>9324870</v>
      </c>
      <c r="C763" s="91">
        <f>15470000-C761-C762-C765-2610183</f>
        <v>10035817</v>
      </c>
      <c r="D763" s="225">
        <v>5</v>
      </c>
      <c r="E763" s="225" t="s">
        <v>324</v>
      </c>
    </row>
    <row r="764" spans="1:5" x14ac:dyDescent="0.3">
      <c r="A764" s="105" t="s">
        <v>181</v>
      </c>
      <c r="B764" s="35"/>
      <c r="C764" s="91"/>
    </row>
    <row r="765" spans="1:5" x14ac:dyDescent="0.3">
      <c r="A765" s="88" t="s">
        <v>153</v>
      </c>
      <c r="B765" s="35">
        <v>178733</v>
      </c>
      <c r="C765" s="91">
        <v>1500000</v>
      </c>
      <c r="D765" s="225">
        <v>5</v>
      </c>
      <c r="E765" s="225" t="s">
        <v>324</v>
      </c>
    </row>
    <row r="766" spans="1:5" x14ac:dyDescent="0.3">
      <c r="A766" s="88"/>
      <c r="B766" s="35"/>
      <c r="C766" s="91"/>
    </row>
    <row r="767" spans="1:5" x14ac:dyDescent="0.3">
      <c r="A767" s="88"/>
      <c r="B767" s="35"/>
      <c r="C767" s="91"/>
    </row>
    <row r="768" spans="1:5" x14ac:dyDescent="0.3">
      <c r="A768" s="88"/>
      <c r="B768" s="35"/>
      <c r="C768" s="91"/>
    </row>
    <row r="769" spans="1:5" x14ac:dyDescent="0.3">
      <c r="A769" s="88"/>
      <c r="B769" s="35"/>
      <c r="C769" s="91"/>
    </row>
    <row r="770" spans="1:5" x14ac:dyDescent="0.3">
      <c r="A770" s="88"/>
      <c r="B770" s="35"/>
      <c r="C770" s="91"/>
    </row>
    <row r="771" spans="1:5" x14ac:dyDescent="0.3">
      <c r="A771" s="88"/>
      <c r="B771" s="35"/>
      <c r="C771" s="91"/>
    </row>
    <row r="772" spans="1:5" x14ac:dyDescent="0.3">
      <c r="A772" s="88" t="s">
        <v>98</v>
      </c>
      <c r="B772" s="35">
        <v>70000</v>
      </c>
      <c r="C772" s="91"/>
      <c r="D772" s="225">
        <v>5</v>
      </c>
      <c r="E772" s="225" t="s">
        <v>325</v>
      </c>
    </row>
    <row r="773" spans="1:5" ht="15" thickBot="1" x14ac:dyDescent="0.35">
      <c r="A773" s="165" t="s">
        <v>244</v>
      </c>
      <c r="B773" s="205">
        <v>75000</v>
      </c>
      <c r="C773" s="206"/>
      <c r="D773" s="225">
        <v>5</v>
      </c>
      <c r="E773" s="225" t="s">
        <v>319</v>
      </c>
    </row>
    <row r="774" spans="1:5" ht="15.6" thickTop="1" thickBot="1" x14ac:dyDescent="0.35">
      <c r="A774" s="200" t="s">
        <v>11</v>
      </c>
      <c r="B774" s="201">
        <f>B760+SUM(B761:B765)</f>
        <v>15317357</v>
      </c>
      <c r="C774" s="202">
        <f>C760+SUM(C761:C765)</f>
        <v>12859817</v>
      </c>
    </row>
    <row r="778" spans="1:5" ht="15" thickBot="1" x14ac:dyDescent="0.35"/>
    <row r="779" spans="1:5" ht="15.75" customHeight="1" thickBot="1" x14ac:dyDescent="0.35">
      <c r="A779" s="273" t="s">
        <v>0</v>
      </c>
      <c r="B779" s="258" t="s">
        <v>224</v>
      </c>
      <c r="C779" s="260" t="s">
        <v>225</v>
      </c>
    </row>
    <row r="780" spans="1:5" ht="15" thickBot="1" x14ac:dyDescent="0.35">
      <c r="A780" s="274"/>
      <c r="B780" s="259"/>
      <c r="C780" s="261"/>
    </row>
    <row r="781" spans="1:5" ht="15" thickBot="1" x14ac:dyDescent="0.35">
      <c r="A781" s="62" t="s">
        <v>17</v>
      </c>
      <c r="B781" s="79">
        <f t="shared" ref="B781:B786" si="0">SUMIF($D$82:$D$774,$D781,$B$82:$B$774)</f>
        <v>49612028</v>
      </c>
      <c r="C781" s="79">
        <f t="shared" ref="C781:C786" si="1">SUMIF($D$82:$D$774,$D781,$C$82:$C$774)</f>
        <v>33398521</v>
      </c>
      <c r="D781" s="225">
        <v>1</v>
      </c>
    </row>
    <row r="782" spans="1:5" ht="15" thickBot="1" x14ac:dyDescent="0.35">
      <c r="A782" s="62" t="s">
        <v>18</v>
      </c>
      <c r="B782" s="79">
        <f t="shared" si="0"/>
        <v>7378624</v>
      </c>
      <c r="C782" s="79">
        <f t="shared" si="1"/>
        <v>5680726.5175000001</v>
      </c>
      <c r="D782" s="225">
        <v>2</v>
      </c>
    </row>
    <row r="783" spans="1:5" ht="15" thickBot="1" x14ac:dyDescent="0.35">
      <c r="A783" s="62" t="s">
        <v>26</v>
      </c>
      <c r="B783" s="79">
        <f t="shared" si="0"/>
        <v>82689967</v>
      </c>
      <c r="C783" s="79">
        <f t="shared" si="1"/>
        <v>52148840</v>
      </c>
      <c r="D783" s="225">
        <v>3</v>
      </c>
    </row>
    <row r="784" spans="1:5" ht="15" thickBot="1" x14ac:dyDescent="0.35">
      <c r="A784" s="62" t="s">
        <v>19</v>
      </c>
      <c r="B784" s="79">
        <f t="shared" si="0"/>
        <v>210428545</v>
      </c>
      <c r="C784" s="79">
        <f t="shared" si="1"/>
        <v>210076042</v>
      </c>
      <c r="D784" s="225">
        <v>4</v>
      </c>
    </row>
    <row r="785" spans="1:4" ht="15" thickBot="1" x14ac:dyDescent="0.35">
      <c r="A785" s="62" t="s">
        <v>20</v>
      </c>
      <c r="B785" s="79">
        <f t="shared" si="0"/>
        <v>10870017</v>
      </c>
      <c r="C785" s="79">
        <f t="shared" si="1"/>
        <v>12859817</v>
      </c>
      <c r="D785" s="225">
        <v>5</v>
      </c>
    </row>
    <row r="786" spans="1:4" ht="15" thickBot="1" x14ac:dyDescent="0.35">
      <c r="A786" s="62" t="s">
        <v>76</v>
      </c>
      <c r="B786" s="79">
        <f t="shared" si="0"/>
        <v>4999175</v>
      </c>
      <c r="C786" s="79">
        <f t="shared" si="1"/>
        <v>7000000</v>
      </c>
      <c r="D786" s="225">
        <v>6</v>
      </c>
    </row>
    <row r="787" spans="1:4" ht="15" thickBot="1" x14ac:dyDescent="0.35">
      <c r="A787" s="62" t="s">
        <v>21</v>
      </c>
      <c r="B787" s="79">
        <f>SUM(B781:B786)</f>
        <v>365978356</v>
      </c>
      <c r="C787" s="79">
        <f>SUM(C781:C786)</f>
        <v>321163946.51749998</v>
      </c>
    </row>
    <row r="788" spans="1:4" ht="15" thickBot="1" x14ac:dyDescent="0.35">
      <c r="A788" s="62" t="s">
        <v>22</v>
      </c>
      <c r="B788" s="79">
        <f>SUMIF($D$82:$D$774,$D788,B$82:B$774)</f>
        <v>50724185</v>
      </c>
      <c r="C788" s="79">
        <f>SUMIF($D$82:$D$774,$D788,C$82:C$774)</f>
        <v>16858879</v>
      </c>
      <c r="D788" s="225">
        <v>7</v>
      </c>
    </row>
    <row r="789" spans="1:4" ht="15" thickBot="1" x14ac:dyDescent="0.35">
      <c r="A789" s="62" t="s">
        <v>23</v>
      </c>
      <c r="B789" s="79">
        <f>SUMIF($D$82:$D$774,$D789,B$82:B$774)</f>
        <v>48867434</v>
      </c>
      <c r="C789" s="79">
        <f>SUMIF($D$82:$D$774,$D789,C$82:C$774)</f>
        <v>19699407</v>
      </c>
      <c r="D789" s="225">
        <v>8</v>
      </c>
    </row>
    <row r="790" spans="1:4" ht="15" thickBot="1" x14ac:dyDescent="0.35">
      <c r="A790" s="62" t="s">
        <v>16</v>
      </c>
      <c r="B790" s="79">
        <f>B788+B789</f>
        <v>99591619</v>
      </c>
      <c r="C790" s="79">
        <f>C788+C789</f>
        <v>36558286</v>
      </c>
    </row>
    <row r="791" spans="1:4" ht="15" thickBot="1" x14ac:dyDescent="0.35">
      <c r="A791" s="63" t="s">
        <v>24</v>
      </c>
      <c r="B791" s="79">
        <f t="shared" ref="B791:C793" si="2">SUMIF($D$82:$D$774,$D791,B$82:B$774)</f>
        <v>800000</v>
      </c>
      <c r="C791" s="79">
        <f t="shared" si="2"/>
        <v>200000</v>
      </c>
      <c r="D791" s="225">
        <v>9</v>
      </c>
    </row>
    <row r="792" spans="1:4" ht="15" thickBot="1" x14ac:dyDescent="0.35">
      <c r="A792" s="63" t="s">
        <v>25</v>
      </c>
      <c r="B792" s="79">
        <f t="shared" si="2"/>
        <v>0</v>
      </c>
      <c r="C792" s="79">
        <f t="shared" si="2"/>
        <v>16223372</v>
      </c>
      <c r="D792" s="225">
        <v>10</v>
      </c>
    </row>
    <row r="793" spans="1:4" ht="15" thickBot="1" x14ac:dyDescent="0.35">
      <c r="A793" s="63" t="s">
        <v>113</v>
      </c>
      <c r="B793" s="79">
        <f t="shared" si="2"/>
        <v>0</v>
      </c>
      <c r="C793" s="79">
        <f t="shared" si="2"/>
        <v>0</v>
      </c>
      <c r="D793" s="225">
        <v>11</v>
      </c>
    </row>
    <row r="794" spans="1:4" ht="15" thickBot="1" x14ac:dyDescent="0.35">
      <c r="A794" s="62" t="s">
        <v>14</v>
      </c>
      <c r="B794" s="79">
        <f>B787+B790+B791+B792+B793</f>
        <v>466369975</v>
      </c>
      <c r="C794" s="79">
        <f>C787+C790+C791+C792+C793</f>
        <v>374145604.51749998</v>
      </c>
    </row>
    <row r="795" spans="1:4" ht="15" thickBot="1" x14ac:dyDescent="0.35">
      <c r="A795" s="82" t="s">
        <v>2</v>
      </c>
      <c r="B795" s="83">
        <f>B74</f>
        <v>509794888</v>
      </c>
      <c r="C795" s="84">
        <f>C74</f>
        <v>374145605</v>
      </c>
    </row>
    <row r="796" spans="1:4" x14ac:dyDescent="0.3">
      <c r="B796" s="225">
        <f>362047895+104322080</f>
        <v>466369975</v>
      </c>
      <c r="C796" s="226">
        <f>C795-C794</f>
        <v>0.48250001668930054</v>
      </c>
    </row>
    <row r="797" spans="1:4" x14ac:dyDescent="0.3">
      <c r="B797" s="226">
        <f>B794-B796</f>
        <v>0</v>
      </c>
    </row>
    <row r="798" spans="1:4" x14ac:dyDescent="0.3">
      <c r="B798" s="226">
        <f>B795-B794</f>
        <v>43424913</v>
      </c>
    </row>
    <row r="799" spans="1:4" x14ac:dyDescent="0.3">
      <c r="B799" s="225"/>
    </row>
  </sheetData>
  <mergeCells count="103">
    <mergeCell ref="A779:A780"/>
    <mergeCell ref="B779:B780"/>
    <mergeCell ref="C779:C780"/>
    <mergeCell ref="A412:A413"/>
    <mergeCell ref="B412:B413"/>
    <mergeCell ref="C412:C413"/>
    <mergeCell ref="A151:A152"/>
    <mergeCell ref="B151:B152"/>
    <mergeCell ref="C151:C152"/>
    <mergeCell ref="A731:A732"/>
    <mergeCell ref="B731:B732"/>
    <mergeCell ref="C731:C732"/>
    <mergeCell ref="A594:C594"/>
    <mergeCell ref="A596:A597"/>
    <mergeCell ref="B596:B597"/>
    <mergeCell ref="C596:C597"/>
    <mergeCell ref="A729:C729"/>
    <mergeCell ref="A638:C638"/>
    <mergeCell ref="A640:A641"/>
    <mergeCell ref="B640:B641"/>
    <mergeCell ref="C640:C641"/>
    <mergeCell ref="A544:A545"/>
    <mergeCell ref="B544:B545"/>
    <mergeCell ref="C544:C545"/>
    <mergeCell ref="A751:C751"/>
    <mergeCell ref="A753:A754"/>
    <mergeCell ref="B753:B754"/>
    <mergeCell ref="C753:C754"/>
    <mergeCell ref="A354:C354"/>
    <mergeCell ref="A356:A357"/>
    <mergeCell ref="B356:B357"/>
    <mergeCell ref="C356:C357"/>
    <mergeCell ref="A655:C655"/>
    <mergeCell ref="A657:A658"/>
    <mergeCell ref="B657:B658"/>
    <mergeCell ref="C657:C658"/>
    <mergeCell ref="A368:C368"/>
    <mergeCell ref="A370:A371"/>
    <mergeCell ref="B370:B371"/>
    <mergeCell ref="C370:C371"/>
    <mergeCell ref="A740:C740"/>
    <mergeCell ref="A742:A743"/>
    <mergeCell ref="B742:B743"/>
    <mergeCell ref="C742:C743"/>
    <mergeCell ref="A583:C583"/>
    <mergeCell ref="A585:A586"/>
    <mergeCell ref="B585:B586"/>
    <mergeCell ref="C585:C586"/>
    <mergeCell ref="A519:C519"/>
    <mergeCell ref="A521:A522"/>
    <mergeCell ref="B521:B522"/>
    <mergeCell ref="C521:C522"/>
    <mergeCell ref="A542:C542"/>
    <mergeCell ref="A453:C453"/>
    <mergeCell ref="A455:A456"/>
    <mergeCell ref="B455:B456"/>
    <mergeCell ref="C455:C456"/>
    <mergeCell ref="A393:A394"/>
    <mergeCell ref="B393:B394"/>
    <mergeCell ref="C393:C394"/>
    <mergeCell ref="A426:C426"/>
    <mergeCell ref="A428:A429"/>
    <mergeCell ref="B428:B429"/>
    <mergeCell ref="C428:C429"/>
    <mergeCell ref="A410:C410"/>
    <mergeCell ref="A344:A345"/>
    <mergeCell ref="B344:B345"/>
    <mergeCell ref="C344:C345"/>
    <mergeCell ref="A391:C391"/>
    <mergeCell ref="B229:B230"/>
    <mergeCell ref="C229:C230"/>
    <mergeCell ref="A323:C323"/>
    <mergeCell ref="A325:A326"/>
    <mergeCell ref="B325:B326"/>
    <mergeCell ref="C325:C326"/>
    <mergeCell ref="A342:C342"/>
    <mergeCell ref="A255:A256"/>
    <mergeCell ref="B255:B256"/>
    <mergeCell ref="C255:C256"/>
    <mergeCell ref="A2:C2"/>
    <mergeCell ref="A4:A5"/>
    <mergeCell ref="B4:B5"/>
    <mergeCell ref="C4:C5"/>
    <mergeCell ref="A80:A81"/>
    <mergeCell ref="B80:B81"/>
    <mergeCell ref="C80:C81"/>
    <mergeCell ref="A253:C253"/>
    <mergeCell ref="A149:C149"/>
    <mergeCell ref="A137:C137"/>
    <mergeCell ref="A139:A140"/>
    <mergeCell ref="B139:B140"/>
    <mergeCell ref="C139:C140"/>
    <mergeCell ref="A162:C162"/>
    <mergeCell ref="A164:A165"/>
    <mergeCell ref="B164:B165"/>
    <mergeCell ref="C164:C165"/>
    <mergeCell ref="A198:C198"/>
    <mergeCell ref="A200:A201"/>
    <mergeCell ref="B200:B201"/>
    <mergeCell ref="C200:C201"/>
    <mergeCell ref="A78:C78"/>
    <mergeCell ref="A227:C227"/>
    <mergeCell ref="A229:A23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90"/>
  <sheetViews>
    <sheetView topLeftCell="A7" workbookViewId="0">
      <selection activeCell="J14" sqref="J14"/>
    </sheetView>
  </sheetViews>
  <sheetFormatPr defaultRowHeight="14.4" x14ac:dyDescent="0.3"/>
  <cols>
    <col min="1" max="1" width="64.6640625" style="1" customWidth="1"/>
    <col min="2" max="2" width="9.44140625" style="1" customWidth="1"/>
    <col min="3" max="3" width="22.44140625" style="1" customWidth="1"/>
    <col min="4" max="4" width="18.88671875" style="1" customWidth="1"/>
    <col min="5" max="6" width="18.6640625" style="1" customWidth="1"/>
    <col min="7" max="256" width="8.88671875" style="1"/>
    <col min="257" max="257" width="64.6640625" style="1" customWidth="1"/>
    <col min="258" max="258" width="9.44140625" style="1" customWidth="1"/>
    <col min="259" max="259" width="22.44140625" style="1" customWidth="1"/>
    <col min="260" max="260" width="18.88671875" style="1" customWidth="1"/>
    <col min="261" max="262" width="18.6640625" style="1" customWidth="1"/>
    <col min="263" max="512" width="8.88671875" style="1"/>
    <col min="513" max="513" width="64.6640625" style="1" customWidth="1"/>
    <col min="514" max="514" width="9.44140625" style="1" customWidth="1"/>
    <col min="515" max="515" width="22.44140625" style="1" customWidth="1"/>
    <col min="516" max="516" width="18.88671875" style="1" customWidth="1"/>
    <col min="517" max="518" width="18.6640625" style="1" customWidth="1"/>
    <col min="519" max="768" width="8.88671875" style="1"/>
    <col min="769" max="769" width="64.6640625" style="1" customWidth="1"/>
    <col min="770" max="770" width="9.44140625" style="1" customWidth="1"/>
    <col min="771" max="771" width="22.44140625" style="1" customWidth="1"/>
    <col min="772" max="772" width="18.88671875" style="1" customWidth="1"/>
    <col min="773" max="774" width="18.6640625" style="1" customWidth="1"/>
    <col min="775" max="1024" width="8.88671875" style="1"/>
    <col min="1025" max="1025" width="64.6640625" style="1" customWidth="1"/>
    <col min="1026" max="1026" width="9.44140625" style="1" customWidth="1"/>
    <col min="1027" max="1027" width="22.44140625" style="1" customWidth="1"/>
    <col min="1028" max="1028" width="18.88671875" style="1" customWidth="1"/>
    <col min="1029" max="1030" width="18.6640625" style="1" customWidth="1"/>
    <col min="1031" max="1280" width="8.88671875" style="1"/>
    <col min="1281" max="1281" width="64.6640625" style="1" customWidth="1"/>
    <col min="1282" max="1282" width="9.44140625" style="1" customWidth="1"/>
    <col min="1283" max="1283" width="22.44140625" style="1" customWidth="1"/>
    <col min="1284" max="1284" width="18.88671875" style="1" customWidth="1"/>
    <col min="1285" max="1286" width="18.6640625" style="1" customWidth="1"/>
    <col min="1287" max="1536" width="8.88671875" style="1"/>
    <col min="1537" max="1537" width="64.6640625" style="1" customWidth="1"/>
    <col min="1538" max="1538" width="9.44140625" style="1" customWidth="1"/>
    <col min="1539" max="1539" width="22.44140625" style="1" customWidth="1"/>
    <col min="1540" max="1540" width="18.88671875" style="1" customWidth="1"/>
    <col min="1541" max="1542" width="18.6640625" style="1" customWidth="1"/>
    <col min="1543" max="1792" width="8.88671875" style="1"/>
    <col min="1793" max="1793" width="64.6640625" style="1" customWidth="1"/>
    <col min="1794" max="1794" width="9.44140625" style="1" customWidth="1"/>
    <col min="1795" max="1795" width="22.44140625" style="1" customWidth="1"/>
    <col min="1796" max="1796" width="18.88671875" style="1" customWidth="1"/>
    <col min="1797" max="1798" width="18.6640625" style="1" customWidth="1"/>
    <col min="1799" max="2048" width="8.88671875" style="1"/>
    <col min="2049" max="2049" width="64.6640625" style="1" customWidth="1"/>
    <col min="2050" max="2050" width="9.44140625" style="1" customWidth="1"/>
    <col min="2051" max="2051" width="22.44140625" style="1" customWidth="1"/>
    <col min="2052" max="2052" width="18.88671875" style="1" customWidth="1"/>
    <col min="2053" max="2054" width="18.6640625" style="1" customWidth="1"/>
    <col min="2055" max="2304" width="8.88671875" style="1"/>
    <col min="2305" max="2305" width="64.6640625" style="1" customWidth="1"/>
    <col min="2306" max="2306" width="9.44140625" style="1" customWidth="1"/>
    <col min="2307" max="2307" width="22.44140625" style="1" customWidth="1"/>
    <col min="2308" max="2308" width="18.88671875" style="1" customWidth="1"/>
    <col min="2309" max="2310" width="18.6640625" style="1" customWidth="1"/>
    <col min="2311" max="2560" width="8.88671875" style="1"/>
    <col min="2561" max="2561" width="64.6640625" style="1" customWidth="1"/>
    <col min="2562" max="2562" width="9.44140625" style="1" customWidth="1"/>
    <col min="2563" max="2563" width="22.44140625" style="1" customWidth="1"/>
    <col min="2564" max="2564" width="18.88671875" style="1" customWidth="1"/>
    <col min="2565" max="2566" width="18.6640625" style="1" customWidth="1"/>
    <col min="2567" max="2816" width="8.88671875" style="1"/>
    <col min="2817" max="2817" width="64.6640625" style="1" customWidth="1"/>
    <col min="2818" max="2818" width="9.44140625" style="1" customWidth="1"/>
    <col min="2819" max="2819" width="22.44140625" style="1" customWidth="1"/>
    <col min="2820" max="2820" width="18.88671875" style="1" customWidth="1"/>
    <col min="2821" max="2822" width="18.6640625" style="1" customWidth="1"/>
    <col min="2823" max="3072" width="8.88671875" style="1"/>
    <col min="3073" max="3073" width="64.6640625" style="1" customWidth="1"/>
    <col min="3074" max="3074" width="9.44140625" style="1" customWidth="1"/>
    <col min="3075" max="3075" width="22.44140625" style="1" customWidth="1"/>
    <col min="3076" max="3076" width="18.88671875" style="1" customWidth="1"/>
    <col min="3077" max="3078" width="18.6640625" style="1" customWidth="1"/>
    <col min="3079" max="3328" width="8.88671875" style="1"/>
    <col min="3329" max="3329" width="64.6640625" style="1" customWidth="1"/>
    <col min="3330" max="3330" width="9.44140625" style="1" customWidth="1"/>
    <col min="3331" max="3331" width="22.44140625" style="1" customWidth="1"/>
    <col min="3332" max="3332" width="18.88671875" style="1" customWidth="1"/>
    <col min="3333" max="3334" width="18.6640625" style="1" customWidth="1"/>
    <col min="3335" max="3584" width="8.88671875" style="1"/>
    <col min="3585" max="3585" width="64.6640625" style="1" customWidth="1"/>
    <col min="3586" max="3586" width="9.44140625" style="1" customWidth="1"/>
    <col min="3587" max="3587" width="22.44140625" style="1" customWidth="1"/>
    <col min="3588" max="3588" width="18.88671875" style="1" customWidth="1"/>
    <col min="3589" max="3590" width="18.6640625" style="1" customWidth="1"/>
    <col min="3591" max="3840" width="8.88671875" style="1"/>
    <col min="3841" max="3841" width="64.6640625" style="1" customWidth="1"/>
    <col min="3842" max="3842" width="9.44140625" style="1" customWidth="1"/>
    <col min="3843" max="3843" width="22.44140625" style="1" customWidth="1"/>
    <col min="3844" max="3844" width="18.88671875" style="1" customWidth="1"/>
    <col min="3845" max="3846" width="18.6640625" style="1" customWidth="1"/>
    <col min="3847" max="4096" width="8.88671875" style="1"/>
    <col min="4097" max="4097" width="64.6640625" style="1" customWidth="1"/>
    <col min="4098" max="4098" width="9.44140625" style="1" customWidth="1"/>
    <col min="4099" max="4099" width="22.44140625" style="1" customWidth="1"/>
    <col min="4100" max="4100" width="18.88671875" style="1" customWidth="1"/>
    <col min="4101" max="4102" width="18.6640625" style="1" customWidth="1"/>
    <col min="4103" max="4352" width="8.88671875" style="1"/>
    <col min="4353" max="4353" width="64.6640625" style="1" customWidth="1"/>
    <col min="4354" max="4354" width="9.44140625" style="1" customWidth="1"/>
    <col min="4355" max="4355" width="22.44140625" style="1" customWidth="1"/>
    <col min="4356" max="4356" width="18.88671875" style="1" customWidth="1"/>
    <col min="4357" max="4358" width="18.6640625" style="1" customWidth="1"/>
    <col min="4359" max="4608" width="8.88671875" style="1"/>
    <col min="4609" max="4609" width="64.6640625" style="1" customWidth="1"/>
    <col min="4610" max="4610" width="9.44140625" style="1" customWidth="1"/>
    <col min="4611" max="4611" width="22.44140625" style="1" customWidth="1"/>
    <col min="4612" max="4612" width="18.88671875" style="1" customWidth="1"/>
    <col min="4613" max="4614" width="18.6640625" style="1" customWidth="1"/>
    <col min="4615" max="4864" width="8.88671875" style="1"/>
    <col min="4865" max="4865" width="64.6640625" style="1" customWidth="1"/>
    <col min="4866" max="4866" width="9.44140625" style="1" customWidth="1"/>
    <col min="4867" max="4867" width="22.44140625" style="1" customWidth="1"/>
    <col min="4868" max="4868" width="18.88671875" style="1" customWidth="1"/>
    <col min="4869" max="4870" width="18.6640625" style="1" customWidth="1"/>
    <col min="4871" max="5120" width="8.88671875" style="1"/>
    <col min="5121" max="5121" width="64.6640625" style="1" customWidth="1"/>
    <col min="5122" max="5122" width="9.44140625" style="1" customWidth="1"/>
    <col min="5123" max="5123" width="22.44140625" style="1" customWidth="1"/>
    <col min="5124" max="5124" width="18.88671875" style="1" customWidth="1"/>
    <col min="5125" max="5126" width="18.6640625" style="1" customWidth="1"/>
    <col min="5127" max="5376" width="8.88671875" style="1"/>
    <col min="5377" max="5377" width="64.6640625" style="1" customWidth="1"/>
    <col min="5378" max="5378" width="9.44140625" style="1" customWidth="1"/>
    <col min="5379" max="5379" width="22.44140625" style="1" customWidth="1"/>
    <col min="5380" max="5380" width="18.88671875" style="1" customWidth="1"/>
    <col min="5381" max="5382" width="18.6640625" style="1" customWidth="1"/>
    <col min="5383" max="5632" width="8.88671875" style="1"/>
    <col min="5633" max="5633" width="64.6640625" style="1" customWidth="1"/>
    <col min="5634" max="5634" width="9.44140625" style="1" customWidth="1"/>
    <col min="5635" max="5635" width="22.44140625" style="1" customWidth="1"/>
    <col min="5636" max="5636" width="18.88671875" style="1" customWidth="1"/>
    <col min="5637" max="5638" width="18.6640625" style="1" customWidth="1"/>
    <col min="5639" max="5888" width="8.88671875" style="1"/>
    <col min="5889" max="5889" width="64.6640625" style="1" customWidth="1"/>
    <col min="5890" max="5890" width="9.44140625" style="1" customWidth="1"/>
    <col min="5891" max="5891" width="22.44140625" style="1" customWidth="1"/>
    <col min="5892" max="5892" width="18.88671875" style="1" customWidth="1"/>
    <col min="5893" max="5894" width="18.6640625" style="1" customWidth="1"/>
    <col min="5895" max="6144" width="8.88671875" style="1"/>
    <col min="6145" max="6145" width="64.6640625" style="1" customWidth="1"/>
    <col min="6146" max="6146" width="9.44140625" style="1" customWidth="1"/>
    <col min="6147" max="6147" width="22.44140625" style="1" customWidth="1"/>
    <col min="6148" max="6148" width="18.88671875" style="1" customWidth="1"/>
    <col min="6149" max="6150" width="18.6640625" style="1" customWidth="1"/>
    <col min="6151" max="6400" width="8.88671875" style="1"/>
    <col min="6401" max="6401" width="64.6640625" style="1" customWidth="1"/>
    <col min="6402" max="6402" width="9.44140625" style="1" customWidth="1"/>
    <col min="6403" max="6403" width="22.44140625" style="1" customWidth="1"/>
    <col min="6404" max="6404" width="18.88671875" style="1" customWidth="1"/>
    <col min="6405" max="6406" width="18.6640625" style="1" customWidth="1"/>
    <col min="6407" max="6656" width="8.88671875" style="1"/>
    <col min="6657" max="6657" width="64.6640625" style="1" customWidth="1"/>
    <col min="6658" max="6658" width="9.44140625" style="1" customWidth="1"/>
    <col min="6659" max="6659" width="22.44140625" style="1" customWidth="1"/>
    <col min="6660" max="6660" width="18.88671875" style="1" customWidth="1"/>
    <col min="6661" max="6662" width="18.6640625" style="1" customWidth="1"/>
    <col min="6663" max="6912" width="8.88671875" style="1"/>
    <col min="6913" max="6913" width="64.6640625" style="1" customWidth="1"/>
    <col min="6914" max="6914" width="9.44140625" style="1" customWidth="1"/>
    <col min="6915" max="6915" width="22.44140625" style="1" customWidth="1"/>
    <col min="6916" max="6916" width="18.88671875" style="1" customWidth="1"/>
    <col min="6917" max="6918" width="18.6640625" style="1" customWidth="1"/>
    <col min="6919" max="7168" width="8.88671875" style="1"/>
    <col min="7169" max="7169" width="64.6640625" style="1" customWidth="1"/>
    <col min="7170" max="7170" width="9.44140625" style="1" customWidth="1"/>
    <col min="7171" max="7171" width="22.44140625" style="1" customWidth="1"/>
    <col min="7172" max="7172" width="18.88671875" style="1" customWidth="1"/>
    <col min="7173" max="7174" width="18.6640625" style="1" customWidth="1"/>
    <col min="7175" max="7424" width="8.88671875" style="1"/>
    <col min="7425" max="7425" width="64.6640625" style="1" customWidth="1"/>
    <col min="7426" max="7426" width="9.44140625" style="1" customWidth="1"/>
    <col min="7427" max="7427" width="22.44140625" style="1" customWidth="1"/>
    <col min="7428" max="7428" width="18.88671875" style="1" customWidth="1"/>
    <col min="7429" max="7430" width="18.6640625" style="1" customWidth="1"/>
    <col min="7431" max="7680" width="8.88671875" style="1"/>
    <col min="7681" max="7681" width="64.6640625" style="1" customWidth="1"/>
    <col min="7682" max="7682" width="9.44140625" style="1" customWidth="1"/>
    <col min="7683" max="7683" width="22.44140625" style="1" customWidth="1"/>
    <col min="7684" max="7684" width="18.88671875" style="1" customWidth="1"/>
    <col min="7685" max="7686" width="18.6640625" style="1" customWidth="1"/>
    <col min="7687" max="7936" width="8.88671875" style="1"/>
    <col min="7937" max="7937" width="64.6640625" style="1" customWidth="1"/>
    <col min="7938" max="7938" width="9.44140625" style="1" customWidth="1"/>
    <col min="7939" max="7939" width="22.44140625" style="1" customWidth="1"/>
    <col min="7940" max="7940" width="18.88671875" style="1" customWidth="1"/>
    <col min="7941" max="7942" width="18.6640625" style="1" customWidth="1"/>
    <col min="7943" max="8192" width="8.88671875" style="1"/>
    <col min="8193" max="8193" width="64.6640625" style="1" customWidth="1"/>
    <col min="8194" max="8194" width="9.44140625" style="1" customWidth="1"/>
    <col min="8195" max="8195" width="22.44140625" style="1" customWidth="1"/>
    <col min="8196" max="8196" width="18.88671875" style="1" customWidth="1"/>
    <col min="8197" max="8198" width="18.6640625" style="1" customWidth="1"/>
    <col min="8199" max="8448" width="8.88671875" style="1"/>
    <col min="8449" max="8449" width="64.6640625" style="1" customWidth="1"/>
    <col min="8450" max="8450" width="9.44140625" style="1" customWidth="1"/>
    <col min="8451" max="8451" width="22.44140625" style="1" customWidth="1"/>
    <col min="8452" max="8452" width="18.88671875" style="1" customWidth="1"/>
    <col min="8453" max="8454" width="18.6640625" style="1" customWidth="1"/>
    <col min="8455" max="8704" width="8.88671875" style="1"/>
    <col min="8705" max="8705" width="64.6640625" style="1" customWidth="1"/>
    <col min="8706" max="8706" width="9.44140625" style="1" customWidth="1"/>
    <col min="8707" max="8707" width="22.44140625" style="1" customWidth="1"/>
    <col min="8708" max="8708" width="18.88671875" style="1" customWidth="1"/>
    <col min="8709" max="8710" width="18.6640625" style="1" customWidth="1"/>
    <col min="8711" max="8960" width="8.88671875" style="1"/>
    <col min="8961" max="8961" width="64.6640625" style="1" customWidth="1"/>
    <col min="8962" max="8962" width="9.44140625" style="1" customWidth="1"/>
    <col min="8963" max="8963" width="22.44140625" style="1" customWidth="1"/>
    <col min="8964" max="8964" width="18.88671875" style="1" customWidth="1"/>
    <col min="8965" max="8966" width="18.6640625" style="1" customWidth="1"/>
    <col min="8967" max="9216" width="8.88671875" style="1"/>
    <col min="9217" max="9217" width="64.6640625" style="1" customWidth="1"/>
    <col min="9218" max="9218" width="9.44140625" style="1" customWidth="1"/>
    <col min="9219" max="9219" width="22.44140625" style="1" customWidth="1"/>
    <col min="9220" max="9220" width="18.88671875" style="1" customWidth="1"/>
    <col min="9221" max="9222" width="18.6640625" style="1" customWidth="1"/>
    <col min="9223" max="9472" width="8.88671875" style="1"/>
    <col min="9473" max="9473" width="64.6640625" style="1" customWidth="1"/>
    <col min="9474" max="9474" width="9.44140625" style="1" customWidth="1"/>
    <col min="9475" max="9475" width="22.44140625" style="1" customWidth="1"/>
    <col min="9476" max="9476" width="18.88671875" style="1" customWidth="1"/>
    <col min="9477" max="9478" width="18.6640625" style="1" customWidth="1"/>
    <col min="9479" max="9728" width="8.88671875" style="1"/>
    <col min="9729" max="9729" width="64.6640625" style="1" customWidth="1"/>
    <col min="9730" max="9730" width="9.44140625" style="1" customWidth="1"/>
    <col min="9731" max="9731" width="22.44140625" style="1" customWidth="1"/>
    <col min="9732" max="9732" width="18.88671875" style="1" customWidth="1"/>
    <col min="9733" max="9734" width="18.6640625" style="1" customWidth="1"/>
    <col min="9735" max="9984" width="8.88671875" style="1"/>
    <col min="9985" max="9985" width="64.6640625" style="1" customWidth="1"/>
    <col min="9986" max="9986" width="9.44140625" style="1" customWidth="1"/>
    <col min="9987" max="9987" width="22.44140625" style="1" customWidth="1"/>
    <col min="9988" max="9988" width="18.88671875" style="1" customWidth="1"/>
    <col min="9989" max="9990" width="18.6640625" style="1" customWidth="1"/>
    <col min="9991" max="10240" width="8.88671875" style="1"/>
    <col min="10241" max="10241" width="64.6640625" style="1" customWidth="1"/>
    <col min="10242" max="10242" width="9.44140625" style="1" customWidth="1"/>
    <col min="10243" max="10243" width="22.44140625" style="1" customWidth="1"/>
    <col min="10244" max="10244" width="18.88671875" style="1" customWidth="1"/>
    <col min="10245" max="10246" width="18.6640625" style="1" customWidth="1"/>
    <col min="10247" max="10496" width="8.88671875" style="1"/>
    <col min="10497" max="10497" width="64.6640625" style="1" customWidth="1"/>
    <col min="10498" max="10498" width="9.44140625" style="1" customWidth="1"/>
    <col min="10499" max="10499" width="22.44140625" style="1" customWidth="1"/>
    <col min="10500" max="10500" width="18.88671875" style="1" customWidth="1"/>
    <col min="10501" max="10502" width="18.6640625" style="1" customWidth="1"/>
    <col min="10503" max="10752" width="8.88671875" style="1"/>
    <col min="10753" max="10753" width="64.6640625" style="1" customWidth="1"/>
    <col min="10754" max="10754" width="9.44140625" style="1" customWidth="1"/>
    <col min="10755" max="10755" width="22.44140625" style="1" customWidth="1"/>
    <col min="10756" max="10756" width="18.88671875" style="1" customWidth="1"/>
    <col min="10757" max="10758" width="18.6640625" style="1" customWidth="1"/>
    <col min="10759" max="11008" width="8.88671875" style="1"/>
    <col min="11009" max="11009" width="64.6640625" style="1" customWidth="1"/>
    <col min="11010" max="11010" width="9.44140625" style="1" customWidth="1"/>
    <col min="11011" max="11011" width="22.44140625" style="1" customWidth="1"/>
    <col min="11012" max="11012" width="18.88671875" style="1" customWidth="1"/>
    <col min="11013" max="11014" width="18.6640625" style="1" customWidth="1"/>
    <col min="11015" max="11264" width="8.88671875" style="1"/>
    <col min="11265" max="11265" width="64.6640625" style="1" customWidth="1"/>
    <col min="11266" max="11266" width="9.44140625" style="1" customWidth="1"/>
    <col min="11267" max="11267" width="22.44140625" style="1" customWidth="1"/>
    <col min="11268" max="11268" width="18.88671875" style="1" customWidth="1"/>
    <col min="11269" max="11270" width="18.6640625" style="1" customWidth="1"/>
    <col min="11271" max="11520" width="8.88671875" style="1"/>
    <col min="11521" max="11521" width="64.6640625" style="1" customWidth="1"/>
    <col min="11522" max="11522" width="9.44140625" style="1" customWidth="1"/>
    <col min="11523" max="11523" width="22.44140625" style="1" customWidth="1"/>
    <col min="11524" max="11524" width="18.88671875" style="1" customWidth="1"/>
    <col min="11525" max="11526" width="18.6640625" style="1" customWidth="1"/>
    <col min="11527" max="11776" width="8.88671875" style="1"/>
    <col min="11777" max="11777" width="64.6640625" style="1" customWidth="1"/>
    <col min="11778" max="11778" width="9.44140625" style="1" customWidth="1"/>
    <col min="11779" max="11779" width="22.44140625" style="1" customWidth="1"/>
    <col min="11780" max="11780" width="18.88671875" style="1" customWidth="1"/>
    <col min="11781" max="11782" width="18.6640625" style="1" customWidth="1"/>
    <col min="11783" max="12032" width="8.88671875" style="1"/>
    <col min="12033" max="12033" width="64.6640625" style="1" customWidth="1"/>
    <col min="12034" max="12034" width="9.44140625" style="1" customWidth="1"/>
    <col min="12035" max="12035" width="22.44140625" style="1" customWidth="1"/>
    <col min="12036" max="12036" width="18.88671875" style="1" customWidth="1"/>
    <col min="12037" max="12038" width="18.6640625" style="1" customWidth="1"/>
    <col min="12039" max="12288" width="8.88671875" style="1"/>
    <col min="12289" max="12289" width="64.6640625" style="1" customWidth="1"/>
    <col min="12290" max="12290" width="9.44140625" style="1" customWidth="1"/>
    <col min="12291" max="12291" width="22.44140625" style="1" customWidth="1"/>
    <col min="12292" max="12292" width="18.88671875" style="1" customWidth="1"/>
    <col min="12293" max="12294" width="18.6640625" style="1" customWidth="1"/>
    <col min="12295" max="12544" width="8.88671875" style="1"/>
    <col min="12545" max="12545" width="64.6640625" style="1" customWidth="1"/>
    <col min="12546" max="12546" width="9.44140625" style="1" customWidth="1"/>
    <col min="12547" max="12547" width="22.44140625" style="1" customWidth="1"/>
    <col min="12548" max="12548" width="18.88671875" style="1" customWidth="1"/>
    <col min="12549" max="12550" width="18.6640625" style="1" customWidth="1"/>
    <col min="12551" max="12800" width="8.88671875" style="1"/>
    <col min="12801" max="12801" width="64.6640625" style="1" customWidth="1"/>
    <col min="12802" max="12802" width="9.44140625" style="1" customWidth="1"/>
    <col min="12803" max="12803" width="22.44140625" style="1" customWidth="1"/>
    <col min="12804" max="12804" width="18.88671875" style="1" customWidth="1"/>
    <col min="12805" max="12806" width="18.6640625" style="1" customWidth="1"/>
    <col min="12807" max="13056" width="8.88671875" style="1"/>
    <col min="13057" max="13057" width="64.6640625" style="1" customWidth="1"/>
    <col min="13058" max="13058" width="9.44140625" style="1" customWidth="1"/>
    <col min="13059" max="13059" width="22.44140625" style="1" customWidth="1"/>
    <col min="13060" max="13060" width="18.88671875" style="1" customWidth="1"/>
    <col min="13061" max="13062" width="18.6640625" style="1" customWidth="1"/>
    <col min="13063" max="13312" width="8.88671875" style="1"/>
    <col min="13313" max="13313" width="64.6640625" style="1" customWidth="1"/>
    <col min="13314" max="13314" width="9.44140625" style="1" customWidth="1"/>
    <col min="13315" max="13315" width="22.44140625" style="1" customWidth="1"/>
    <col min="13316" max="13316" width="18.88671875" style="1" customWidth="1"/>
    <col min="13317" max="13318" width="18.6640625" style="1" customWidth="1"/>
    <col min="13319" max="13568" width="8.88671875" style="1"/>
    <col min="13569" max="13569" width="64.6640625" style="1" customWidth="1"/>
    <col min="13570" max="13570" width="9.44140625" style="1" customWidth="1"/>
    <col min="13571" max="13571" width="22.44140625" style="1" customWidth="1"/>
    <col min="13572" max="13572" width="18.88671875" style="1" customWidth="1"/>
    <col min="13573" max="13574" width="18.6640625" style="1" customWidth="1"/>
    <col min="13575" max="13824" width="8.88671875" style="1"/>
    <col min="13825" max="13825" width="64.6640625" style="1" customWidth="1"/>
    <col min="13826" max="13826" width="9.44140625" style="1" customWidth="1"/>
    <col min="13827" max="13827" width="22.44140625" style="1" customWidth="1"/>
    <col min="13828" max="13828" width="18.88671875" style="1" customWidth="1"/>
    <col min="13829" max="13830" width="18.6640625" style="1" customWidth="1"/>
    <col min="13831" max="14080" width="8.88671875" style="1"/>
    <col min="14081" max="14081" width="64.6640625" style="1" customWidth="1"/>
    <col min="14082" max="14082" width="9.44140625" style="1" customWidth="1"/>
    <col min="14083" max="14083" width="22.44140625" style="1" customWidth="1"/>
    <col min="14084" max="14084" width="18.88671875" style="1" customWidth="1"/>
    <col min="14085" max="14086" width="18.6640625" style="1" customWidth="1"/>
    <col min="14087" max="14336" width="8.88671875" style="1"/>
    <col min="14337" max="14337" width="64.6640625" style="1" customWidth="1"/>
    <col min="14338" max="14338" width="9.44140625" style="1" customWidth="1"/>
    <col min="14339" max="14339" width="22.44140625" style="1" customWidth="1"/>
    <col min="14340" max="14340" width="18.88671875" style="1" customWidth="1"/>
    <col min="14341" max="14342" width="18.6640625" style="1" customWidth="1"/>
    <col min="14343" max="14592" width="8.88671875" style="1"/>
    <col min="14593" max="14593" width="64.6640625" style="1" customWidth="1"/>
    <col min="14594" max="14594" width="9.44140625" style="1" customWidth="1"/>
    <col min="14595" max="14595" width="22.44140625" style="1" customWidth="1"/>
    <col min="14596" max="14596" width="18.88671875" style="1" customWidth="1"/>
    <col min="14597" max="14598" width="18.6640625" style="1" customWidth="1"/>
    <col min="14599" max="14848" width="8.88671875" style="1"/>
    <col min="14849" max="14849" width="64.6640625" style="1" customWidth="1"/>
    <col min="14850" max="14850" width="9.44140625" style="1" customWidth="1"/>
    <col min="14851" max="14851" width="22.44140625" style="1" customWidth="1"/>
    <col min="14852" max="14852" width="18.88671875" style="1" customWidth="1"/>
    <col min="14853" max="14854" width="18.6640625" style="1" customWidth="1"/>
    <col min="14855" max="15104" width="8.88671875" style="1"/>
    <col min="15105" max="15105" width="64.6640625" style="1" customWidth="1"/>
    <col min="15106" max="15106" width="9.44140625" style="1" customWidth="1"/>
    <col min="15107" max="15107" width="22.44140625" style="1" customWidth="1"/>
    <col min="15108" max="15108" width="18.88671875" style="1" customWidth="1"/>
    <col min="15109" max="15110" width="18.6640625" style="1" customWidth="1"/>
    <col min="15111" max="15360" width="8.88671875" style="1"/>
    <col min="15361" max="15361" width="64.6640625" style="1" customWidth="1"/>
    <col min="15362" max="15362" width="9.44140625" style="1" customWidth="1"/>
    <col min="15363" max="15363" width="22.44140625" style="1" customWidth="1"/>
    <col min="15364" max="15364" width="18.88671875" style="1" customWidth="1"/>
    <col min="15365" max="15366" width="18.6640625" style="1" customWidth="1"/>
    <col min="15367" max="15616" width="8.88671875" style="1"/>
    <col min="15617" max="15617" width="64.6640625" style="1" customWidth="1"/>
    <col min="15618" max="15618" width="9.44140625" style="1" customWidth="1"/>
    <col min="15619" max="15619" width="22.44140625" style="1" customWidth="1"/>
    <col min="15620" max="15620" width="18.88671875" style="1" customWidth="1"/>
    <col min="15621" max="15622" width="18.6640625" style="1" customWidth="1"/>
    <col min="15623" max="15872" width="8.88671875" style="1"/>
    <col min="15873" max="15873" width="64.6640625" style="1" customWidth="1"/>
    <col min="15874" max="15874" width="9.44140625" style="1" customWidth="1"/>
    <col min="15875" max="15875" width="22.44140625" style="1" customWidth="1"/>
    <col min="15876" max="15876" width="18.88671875" style="1" customWidth="1"/>
    <col min="15877" max="15878" width="18.6640625" style="1" customWidth="1"/>
    <col min="15879" max="16128" width="8.88671875" style="1"/>
    <col min="16129" max="16129" width="64.6640625" style="1" customWidth="1"/>
    <col min="16130" max="16130" width="9.44140625" style="1" customWidth="1"/>
    <col min="16131" max="16131" width="22.44140625" style="1" customWidth="1"/>
    <col min="16132" max="16132" width="18.88671875" style="1" customWidth="1"/>
    <col min="16133" max="16134" width="18.6640625" style="1" customWidth="1"/>
    <col min="16135" max="16384" width="8.88671875" style="1"/>
  </cols>
  <sheetData>
    <row r="1" spans="1:6" ht="21.75" customHeight="1" x14ac:dyDescent="0.35">
      <c r="A1" s="275" t="s">
        <v>261</v>
      </c>
      <c r="B1" s="275"/>
      <c r="C1" s="275"/>
      <c r="D1" s="275"/>
      <c r="E1" s="275"/>
      <c r="F1" s="80"/>
    </row>
    <row r="2" spans="1:6" ht="26.25" customHeight="1" x14ac:dyDescent="0.35">
      <c r="A2" s="276" t="s">
        <v>188</v>
      </c>
      <c r="B2" s="276"/>
      <c r="C2" s="276"/>
      <c r="D2" s="276"/>
      <c r="E2" s="276"/>
      <c r="F2" s="81"/>
    </row>
    <row r="3" spans="1:6" x14ac:dyDescent="0.3">
      <c r="E3" s="2" t="s">
        <v>189</v>
      </c>
    </row>
    <row r="4" spans="1:6" ht="27" x14ac:dyDescent="0.3">
      <c r="A4" s="4" t="s">
        <v>190</v>
      </c>
      <c r="B4" s="5" t="s">
        <v>191</v>
      </c>
      <c r="C4" s="6" t="s">
        <v>192</v>
      </c>
      <c r="D4" s="6" t="s">
        <v>193</v>
      </c>
      <c r="E4" s="7" t="s">
        <v>194</v>
      </c>
    </row>
    <row r="5" spans="1:6" x14ac:dyDescent="0.3">
      <c r="A5" s="8"/>
      <c r="B5" s="9"/>
      <c r="C5" s="10"/>
      <c r="D5" s="10"/>
      <c r="E5" s="10">
        <f t="shared" ref="E5:E47" si="0">SUM(C5:D5)</f>
        <v>0</v>
      </c>
    </row>
    <row r="6" spans="1:6" x14ac:dyDescent="0.3">
      <c r="A6" s="8"/>
      <c r="B6" s="9"/>
      <c r="C6" s="10"/>
      <c r="D6" s="10"/>
      <c r="E6" s="10">
        <f t="shared" si="0"/>
        <v>0</v>
      </c>
    </row>
    <row r="7" spans="1:6" x14ac:dyDescent="0.3">
      <c r="A7" s="11" t="s">
        <v>195</v>
      </c>
      <c r="B7" s="12" t="s">
        <v>196</v>
      </c>
      <c r="C7" s="13">
        <f>SUM(C5:C6)</f>
        <v>0</v>
      </c>
      <c r="D7" s="13">
        <f>SUM(D5:D6)</f>
        <v>0</v>
      </c>
      <c r="E7" s="13">
        <f t="shared" si="0"/>
        <v>0</v>
      </c>
    </row>
    <row r="8" spans="1:6" x14ac:dyDescent="0.3">
      <c r="A8" s="14" t="s">
        <v>275</v>
      </c>
      <c r="B8" s="15"/>
      <c r="C8" s="19">
        <v>393700</v>
      </c>
      <c r="D8" s="10"/>
      <c r="E8" s="10">
        <f t="shared" si="0"/>
        <v>393700</v>
      </c>
    </row>
    <row r="9" spans="1:6" x14ac:dyDescent="0.3">
      <c r="A9" s="14" t="s">
        <v>285</v>
      </c>
      <c r="B9" s="15"/>
      <c r="C9" s="19">
        <v>940382</v>
      </c>
      <c r="D9" s="10"/>
      <c r="E9" s="10">
        <f t="shared" si="0"/>
        <v>940382</v>
      </c>
    </row>
    <row r="10" spans="1:6" x14ac:dyDescent="0.3">
      <c r="A10" s="14" t="s">
        <v>258</v>
      </c>
      <c r="B10" s="15"/>
      <c r="C10" s="19">
        <v>8493000</v>
      </c>
      <c r="D10" s="10"/>
      <c r="E10" s="10">
        <f t="shared" si="0"/>
        <v>8493000</v>
      </c>
    </row>
    <row r="11" spans="1:6" x14ac:dyDescent="0.3">
      <c r="A11" s="11" t="s">
        <v>197</v>
      </c>
      <c r="B11" s="12" t="s">
        <v>198</v>
      </c>
      <c r="C11" s="227">
        <f>SUM(C8:C10)</f>
        <v>9827082</v>
      </c>
      <c r="D11" s="13">
        <f>SUM(D8:D8)</f>
        <v>0</v>
      </c>
      <c r="E11" s="13">
        <f t="shared" si="0"/>
        <v>9827082</v>
      </c>
    </row>
    <row r="12" spans="1:6" x14ac:dyDescent="0.3">
      <c r="A12" s="14"/>
      <c r="B12" s="15"/>
      <c r="C12" s="19"/>
      <c r="D12" s="10"/>
      <c r="E12" s="10">
        <f t="shared" si="0"/>
        <v>0</v>
      </c>
    </row>
    <row r="13" spans="1:6" x14ac:dyDescent="0.3">
      <c r="A13" s="14"/>
      <c r="B13" s="15"/>
      <c r="C13" s="19"/>
      <c r="D13" s="10"/>
      <c r="E13" s="10">
        <f t="shared" si="0"/>
        <v>0</v>
      </c>
    </row>
    <row r="14" spans="1:6" x14ac:dyDescent="0.3">
      <c r="A14" s="14"/>
      <c r="B14" s="15"/>
      <c r="C14" s="19"/>
      <c r="D14" s="10"/>
      <c r="E14" s="10">
        <f t="shared" si="0"/>
        <v>0</v>
      </c>
    </row>
    <row r="15" spans="1:6" x14ac:dyDescent="0.3">
      <c r="A15" s="14"/>
      <c r="B15" s="15"/>
      <c r="C15" s="19"/>
      <c r="D15" s="10"/>
      <c r="E15" s="10">
        <f t="shared" si="0"/>
        <v>0</v>
      </c>
    </row>
    <row r="16" spans="1:6" x14ac:dyDescent="0.3">
      <c r="A16" s="29" t="s">
        <v>108</v>
      </c>
      <c r="B16" s="12" t="s">
        <v>199</v>
      </c>
      <c r="C16" s="227">
        <f>SUM(C12:C15)</f>
        <v>0</v>
      </c>
      <c r="D16" s="13">
        <f>SUM(D12:D15)</f>
        <v>0</v>
      </c>
      <c r="E16" s="13">
        <f t="shared" si="0"/>
        <v>0</v>
      </c>
    </row>
    <row r="17" spans="1:5" x14ac:dyDescent="0.3">
      <c r="A17" s="14" t="s">
        <v>266</v>
      </c>
      <c r="B17" s="15"/>
      <c r="C17" s="19">
        <v>291118</v>
      </c>
      <c r="D17" s="10"/>
      <c r="E17" s="10">
        <f t="shared" si="0"/>
        <v>291118</v>
      </c>
    </row>
    <row r="18" spans="1:5" x14ac:dyDescent="0.3">
      <c r="A18" s="14" t="s">
        <v>264</v>
      </c>
      <c r="B18" s="15"/>
      <c r="C18" s="19">
        <v>2044273</v>
      </c>
      <c r="D18" s="10"/>
      <c r="E18" s="10"/>
    </row>
    <row r="19" spans="1:5" x14ac:dyDescent="0.3">
      <c r="A19" s="14" t="s">
        <v>267</v>
      </c>
      <c r="B19" s="15"/>
      <c r="C19" s="19">
        <v>2965000</v>
      </c>
      <c r="D19" s="10"/>
      <c r="E19" s="10">
        <f t="shared" si="0"/>
        <v>2965000</v>
      </c>
    </row>
    <row r="20" spans="1:5" x14ac:dyDescent="0.3">
      <c r="A20" s="14" t="s">
        <v>344</v>
      </c>
      <c r="B20" s="15"/>
      <c r="C20" s="19">
        <v>511810</v>
      </c>
      <c r="D20" s="10"/>
      <c r="E20" s="10">
        <f t="shared" si="0"/>
        <v>511810</v>
      </c>
    </row>
    <row r="21" spans="1:5" x14ac:dyDescent="0.3">
      <c r="A21" s="11" t="s">
        <v>77</v>
      </c>
      <c r="B21" s="12" t="s">
        <v>200</v>
      </c>
      <c r="C21" s="227">
        <f>SUM(C17:C20)</f>
        <v>5812201</v>
      </c>
      <c r="D21" s="13">
        <f>SUM(D17:D19)</f>
        <v>0</v>
      </c>
      <c r="E21" s="13">
        <f t="shared" si="0"/>
        <v>5812201</v>
      </c>
    </row>
    <row r="22" spans="1:5" x14ac:dyDescent="0.3">
      <c r="A22" s="14"/>
      <c r="B22" s="15"/>
      <c r="C22" s="10"/>
      <c r="D22" s="10"/>
      <c r="E22" s="10">
        <f t="shared" si="0"/>
        <v>0</v>
      </c>
    </row>
    <row r="23" spans="1:5" x14ac:dyDescent="0.3">
      <c r="A23" s="14"/>
      <c r="B23" s="15"/>
      <c r="C23" s="10"/>
      <c r="D23" s="10"/>
      <c r="E23" s="10">
        <f t="shared" si="0"/>
        <v>0</v>
      </c>
    </row>
    <row r="24" spans="1:5" x14ac:dyDescent="0.3">
      <c r="A24" s="14"/>
      <c r="B24" s="12"/>
      <c r="C24" s="10"/>
      <c r="D24" s="10"/>
      <c r="E24" s="10">
        <f t="shared" si="0"/>
        <v>0</v>
      </c>
    </row>
    <row r="25" spans="1:5" x14ac:dyDescent="0.3">
      <c r="A25" s="14" t="s">
        <v>201</v>
      </c>
      <c r="B25" s="12" t="s">
        <v>202</v>
      </c>
      <c r="C25" s="10"/>
      <c r="D25" s="10"/>
      <c r="E25" s="10">
        <f t="shared" si="0"/>
        <v>0</v>
      </c>
    </row>
    <row r="26" spans="1:5" x14ac:dyDescent="0.3">
      <c r="A26" s="14"/>
      <c r="B26" s="12"/>
      <c r="C26" s="10"/>
      <c r="D26" s="10"/>
      <c r="E26" s="10">
        <f t="shared" si="0"/>
        <v>0</v>
      </c>
    </row>
    <row r="27" spans="1:5" x14ac:dyDescent="0.3">
      <c r="A27" s="14"/>
      <c r="B27" s="12"/>
      <c r="C27" s="10"/>
      <c r="D27" s="10"/>
      <c r="E27" s="10">
        <f t="shared" si="0"/>
        <v>0</v>
      </c>
    </row>
    <row r="28" spans="1:5" x14ac:dyDescent="0.3">
      <c r="A28" s="16" t="s">
        <v>203</v>
      </c>
      <c r="B28" s="12" t="s">
        <v>204</v>
      </c>
      <c r="C28" s="10"/>
      <c r="D28" s="10"/>
      <c r="E28" s="10">
        <f t="shared" si="0"/>
        <v>0</v>
      </c>
    </row>
    <row r="29" spans="1:5" x14ac:dyDescent="0.3">
      <c r="A29" s="16" t="s">
        <v>205</v>
      </c>
      <c r="B29" s="12" t="s">
        <v>206</v>
      </c>
      <c r="C29" s="10">
        <f>106300+C10*0.27+C21*0.27+91418+2</f>
        <v>4060124.27</v>
      </c>
      <c r="D29" s="10"/>
      <c r="E29" s="10">
        <f t="shared" si="0"/>
        <v>4060124.27</v>
      </c>
    </row>
    <row r="30" spans="1:5" ht="15.6" x14ac:dyDescent="0.3">
      <c r="A30" s="17" t="s">
        <v>207</v>
      </c>
      <c r="B30" s="18" t="s">
        <v>208</v>
      </c>
      <c r="C30" s="13">
        <f>SUM(C7+C11+C16+C21+C25+C28+C29)</f>
        <v>19699407.27</v>
      </c>
      <c r="D30" s="13">
        <f>SUM(D7+D11+D16+D21+D25+D28+D29)</f>
        <v>0</v>
      </c>
      <c r="E30" s="13">
        <f t="shared" si="0"/>
        <v>19699407.27</v>
      </c>
    </row>
    <row r="31" spans="1:5" x14ac:dyDescent="0.3">
      <c r="A31" s="14" t="s">
        <v>265</v>
      </c>
      <c r="B31" s="12"/>
      <c r="C31" s="19">
        <f>3853354+3000000/1.27</f>
        <v>6215558.7244094489</v>
      </c>
      <c r="D31" s="10"/>
      <c r="E31" s="10">
        <f t="shared" si="0"/>
        <v>6215558.7244094489</v>
      </c>
    </row>
    <row r="32" spans="1:5" x14ac:dyDescent="0.3">
      <c r="A32" s="14" t="s">
        <v>286</v>
      </c>
      <c r="B32" s="12"/>
      <c r="C32" s="19">
        <v>7059150</v>
      </c>
      <c r="D32" s="10"/>
      <c r="E32" s="10">
        <f t="shared" si="0"/>
        <v>7059150</v>
      </c>
    </row>
    <row r="33" spans="1:5" x14ac:dyDescent="0.3">
      <c r="A33" s="14"/>
      <c r="B33" s="12"/>
      <c r="C33" s="19"/>
      <c r="D33" s="10"/>
      <c r="E33" s="10">
        <f t="shared" si="0"/>
        <v>0</v>
      </c>
    </row>
    <row r="34" spans="1:5" x14ac:dyDescent="0.3">
      <c r="A34" s="14"/>
      <c r="B34" s="12"/>
      <c r="C34" s="19"/>
      <c r="D34" s="10"/>
      <c r="E34" s="10">
        <f t="shared" si="0"/>
        <v>0</v>
      </c>
    </row>
    <row r="35" spans="1:5" x14ac:dyDescent="0.3">
      <c r="A35" s="14" t="s">
        <v>58</v>
      </c>
      <c r="B35" s="12" t="s">
        <v>210</v>
      </c>
      <c r="C35" s="19">
        <f>SUM(C31:C34)</f>
        <v>13274708.72440945</v>
      </c>
      <c r="D35" s="10">
        <f>SUM(D31:D34)</f>
        <v>0</v>
      </c>
      <c r="E35" s="10">
        <f t="shared" si="0"/>
        <v>13274708.72440945</v>
      </c>
    </row>
    <row r="36" spans="1:5" x14ac:dyDescent="0.3">
      <c r="A36" s="14"/>
      <c r="B36" s="12"/>
      <c r="C36" s="10"/>
      <c r="D36" s="10"/>
      <c r="E36" s="10">
        <f t="shared" si="0"/>
        <v>0</v>
      </c>
    </row>
    <row r="37" spans="1:5" x14ac:dyDescent="0.3">
      <c r="A37" s="14"/>
      <c r="B37" s="12"/>
      <c r="C37" s="10"/>
      <c r="D37" s="10"/>
      <c r="E37" s="10">
        <f t="shared" si="0"/>
        <v>0</v>
      </c>
    </row>
    <row r="38" spans="1:5" x14ac:dyDescent="0.3">
      <c r="A38" s="14"/>
      <c r="B38" s="12"/>
      <c r="C38" s="10"/>
      <c r="D38" s="10"/>
      <c r="E38" s="10">
        <f t="shared" si="0"/>
        <v>0</v>
      </c>
    </row>
    <row r="39" spans="1:5" x14ac:dyDescent="0.3">
      <c r="A39" s="14"/>
      <c r="B39" s="12"/>
      <c r="C39" s="10"/>
      <c r="D39" s="10"/>
      <c r="E39" s="10">
        <f t="shared" si="0"/>
        <v>0</v>
      </c>
    </row>
    <row r="40" spans="1:5" x14ac:dyDescent="0.3">
      <c r="A40" s="14" t="s">
        <v>211</v>
      </c>
      <c r="B40" s="12" t="s">
        <v>212</v>
      </c>
      <c r="C40" s="10">
        <f>SUM(C36:C39)</f>
        <v>0</v>
      </c>
      <c r="D40" s="10">
        <f>SUM(D36:D39)</f>
        <v>0</v>
      </c>
      <c r="E40" s="10">
        <f t="shared" si="0"/>
        <v>0</v>
      </c>
    </row>
    <row r="41" spans="1:5" x14ac:dyDescent="0.3">
      <c r="A41" s="14"/>
      <c r="B41" s="12"/>
      <c r="C41" s="10"/>
      <c r="D41" s="10"/>
      <c r="E41" s="10">
        <f t="shared" si="0"/>
        <v>0</v>
      </c>
    </row>
    <row r="42" spans="1:5" x14ac:dyDescent="0.3">
      <c r="A42" s="14"/>
      <c r="B42" s="12"/>
      <c r="C42" s="10"/>
      <c r="D42" s="10"/>
      <c r="E42" s="10">
        <f t="shared" si="0"/>
        <v>0</v>
      </c>
    </row>
    <row r="43" spans="1:5" x14ac:dyDescent="0.3">
      <c r="A43" s="14"/>
      <c r="B43" s="12"/>
      <c r="C43" s="10"/>
      <c r="D43" s="10"/>
      <c r="E43" s="10">
        <f t="shared" si="0"/>
        <v>0</v>
      </c>
    </row>
    <row r="44" spans="1:5" x14ac:dyDescent="0.3">
      <c r="A44" s="14"/>
      <c r="B44" s="12"/>
      <c r="C44" s="10"/>
      <c r="D44" s="10"/>
      <c r="E44" s="10">
        <f t="shared" si="0"/>
        <v>0</v>
      </c>
    </row>
    <row r="45" spans="1:5" x14ac:dyDescent="0.3">
      <c r="A45" s="14" t="s">
        <v>213</v>
      </c>
      <c r="B45" s="12" t="s">
        <v>214</v>
      </c>
      <c r="C45" s="10">
        <f>SUM(C41:C44)</f>
        <v>0</v>
      </c>
      <c r="D45" s="10">
        <f>SUM(D41:D44)</f>
        <v>0</v>
      </c>
      <c r="E45" s="10">
        <f t="shared" si="0"/>
        <v>0</v>
      </c>
    </row>
    <row r="46" spans="1:5" x14ac:dyDescent="0.3">
      <c r="A46" s="14" t="s">
        <v>215</v>
      </c>
      <c r="B46" s="12" t="s">
        <v>216</v>
      </c>
      <c r="C46" s="10">
        <f>C35*0.27-1</f>
        <v>3584170.3555905516</v>
      </c>
      <c r="D46" s="10"/>
      <c r="E46" s="10">
        <f t="shared" si="0"/>
        <v>3584170.3555905516</v>
      </c>
    </row>
    <row r="47" spans="1:5" ht="15.6" x14ac:dyDescent="0.3">
      <c r="A47" s="17" t="s">
        <v>217</v>
      </c>
      <c r="B47" s="18" t="s">
        <v>218</v>
      </c>
      <c r="C47" s="13">
        <f>SUM(C35+C40+C45+C46)</f>
        <v>16858879.080000002</v>
      </c>
      <c r="D47" s="13">
        <f>SUM(D35+D40+D45+D46)</f>
        <v>0</v>
      </c>
      <c r="E47" s="13">
        <f t="shared" si="0"/>
        <v>16858879.080000002</v>
      </c>
    </row>
    <row r="48" spans="1:5" x14ac:dyDescent="0.3">
      <c r="C48" s="20"/>
      <c r="D48" s="20"/>
      <c r="E48" s="20"/>
    </row>
    <row r="49" spans="1:5" x14ac:dyDescent="0.3">
      <c r="C49" s="20"/>
      <c r="D49" s="20"/>
      <c r="E49" s="20"/>
    </row>
    <row r="50" spans="1:5" x14ac:dyDescent="0.3">
      <c r="A50" s="21" t="s">
        <v>0</v>
      </c>
      <c r="B50" s="21"/>
      <c r="C50" s="22" t="s">
        <v>219</v>
      </c>
      <c r="D50" s="22" t="s">
        <v>220</v>
      </c>
      <c r="E50" s="23" t="s">
        <v>221</v>
      </c>
    </row>
    <row r="51" spans="1:5" x14ac:dyDescent="0.3">
      <c r="A51" s="8"/>
      <c r="B51" s="25"/>
      <c r="C51" s="26"/>
      <c r="D51" s="26"/>
      <c r="E51" s="26">
        <f>C51+D51</f>
        <v>0</v>
      </c>
    </row>
    <row r="52" spans="1:5" x14ac:dyDescent="0.3">
      <c r="A52" s="8"/>
      <c r="B52" s="25"/>
      <c r="C52" s="26"/>
      <c r="D52" s="26"/>
      <c r="E52" s="26">
        <f t="shared" ref="E52:E86" si="1">C52+D52</f>
        <v>0</v>
      </c>
    </row>
    <row r="53" spans="1:5" x14ac:dyDescent="0.3">
      <c r="A53" s="25"/>
      <c r="B53" s="25"/>
      <c r="C53" s="26"/>
      <c r="D53" s="26"/>
      <c r="E53" s="26">
        <f t="shared" si="1"/>
        <v>0</v>
      </c>
    </row>
    <row r="54" spans="1:5" x14ac:dyDescent="0.3">
      <c r="A54" s="25"/>
      <c r="B54" s="25"/>
      <c r="C54" s="26"/>
      <c r="D54" s="26"/>
      <c r="E54" s="26">
        <f t="shared" si="1"/>
        <v>0</v>
      </c>
    </row>
    <row r="55" spans="1:5" x14ac:dyDescent="0.3">
      <c r="A55" s="11" t="s">
        <v>195</v>
      </c>
      <c r="B55" s="12" t="s">
        <v>196</v>
      </c>
      <c r="C55" s="27">
        <f>SUM(C51:C54)</f>
        <v>0</v>
      </c>
      <c r="D55" s="27">
        <f>SUM(D51:D54)</f>
        <v>0</v>
      </c>
      <c r="E55" s="27">
        <f t="shared" si="1"/>
        <v>0</v>
      </c>
    </row>
    <row r="56" spans="1:5" x14ac:dyDescent="0.3">
      <c r="A56" s="14" t="s">
        <v>275</v>
      </c>
      <c r="B56" s="15"/>
      <c r="C56" s="19">
        <v>393700</v>
      </c>
      <c r="D56" s="26">
        <f>C56*0.27+1</f>
        <v>106300</v>
      </c>
      <c r="E56" s="26">
        <f t="shared" si="1"/>
        <v>500000</v>
      </c>
    </row>
    <row r="57" spans="1:5" x14ac:dyDescent="0.3">
      <c r="A57" s="14" t="s">
        <v>285</v>
      </c>
      <c r="B57" s="15"/>
      <c r="C57" s="19">
        <v>940382</v>
      </c>
      <c r="D57" s="26">
        <v>91418</v>
      </c>
      <c r="E57" s="26">
        <f t="shared" si="1"/>
        <v>1031800</v>
      </c>
    </row>
    <row r="58" spans="1:5" x14ac:dyDescent="0.3">
      <c r="A58" s="14" t="s">
        <v>258</v>
      </c>
      <c r="B58" s="15"/>
      <c r="C58" s="19">
        <v>8493000</v>
      </c>
      <c r="D58" s="26">
        <f t="shared" ref="D58" si="2">C58*0.27</f>
        <v>2293110</v>
      </c>
      <c r="E58" s="26">
        <f t="shared" si="1"/>
        <v>10786110</v>
      </c>
    </row>
    <row r="59" spans="1:5" x14ac:dyDescent="0.3">
      <c r="A59" s="11" t="s">
        <v>197</v>
      </c>
      <c r="B59" s="12" t="s">
        <v>198</v>
      </c>
      <c r="C59" s="27">
        <f>SUM(C56:C58)</f>
        <v>9827082</v>
      </c>
      <c r="D59" s="27">
        <f>SUM(D56:D58)</f>
        <v>2490828</v>
      </c>
      <c r="E59" s="27">
        <f t="shared" si="1"/>
        <v>12317910</v>
      </c>
    </row>
    <row r="60" spans="1:5" x14ac:dyDescent="0.3">
      <c r="A60" s="14"/>
      <c r="B60" s="15"/>
      <c r="C60" s="28"/>
      <c r="D60" s="26"/>
      <c r="E60" s="26">
        <f t="shared" si="1"/>
        <v>0</v>
      </c>
    </row>
    <row r="61" spans="1:5" x14ac:dyDescent="0.3">
      <c r="A61" s="14"/>
      <c r="B61" s="15"/>
      <c r="C61" s="26"/>
      <c r="D61" s="26"/>
      <c r="E61" s="26">
        <f t="shared" si="1"/>
        <v>0</v>
      </c>
    </row>
    <row r="62" spans="1:5" x14ac:dyDescent="0.3">
      <c r="A62" s="14"/>
      <c r="B62" s="15"/>
      <c r="C62" s="26"/>
      <c r="D62" s="26"/>
      <c r="E62" s="26">
        <f t="shared" si="1"/>
        <v>0</v>
      </c>
    </row>
    <row r="63" spans="1:5" x14ac:dyDescent="0.3">
      <c r="A63" s="14"/>
      <c r="B63" s="15"/>
      <c r="C63" s="26"/>
      <c r="D63" s="26"/>
      <c r="E63" s="26">
        <f t="shared" si="1"/>
        <v>0</v>
      </c>
    </row>
    <row r="64" spans="1:5" x14ac:dyDescent="0.3">
      <c r="A64" s="29" t="s">
        <v>108</v>
      </c>
      <c r="B64" s="12" t="s">
        <v>199</v>
      </c>
      <c r="C64" s="27">
        <f>SUM(C60:C63)</f>
        <v>0</v>
      </c>
      <c r="D64" s="27">
        <f>SUM(D60:D63)</f>
        <v>0</v>
      </c>
      <c r="E64" s="27">
        <f t="shared" si="1"/>
        <v>0</v>
      </c>
    </row>
    <row r="65" spans="1:5" x14ac:dyDescent="0.3">
      <c r="A65" s="14" t="s">
        <v>266</v>
      </c>
      <c r="B65" s="15"/>
      <c r="C65" s="19">
        <v>291118</v>
      </c>
      <c r="D65" s="26">
        <f>C65*0.27</f>
        <v>78601.86</v>
      </c>
      <c r="E65" s="26">
        <f t="shared" si="1"/>
        <v>369719.86</v>
      </c>
    </row>
    <row r="66" spans="1:5" x14ac:dyDescent="0.3">
      <c r="A66" s="14" t="s">
        <v>264</v>
      </c>
      <c r="B66" s="15"/>
      <c r="C66" s="19">
        <v>2044273</v>
      </c>
      <c r="D66" s="26">
        <f t="shared" ref="D66:D67" si="3">C66*0.27</f>
        <v>551953.71000000008</v>
      </c>
      <c r="E66" s="26">
        <f t="shared" si="1"/>
        <v>2596226.71</v>
      </c>
    </row>
    <row r="67" spans="1:5" x14ac:dyDescent="0.3">
      <c r="A67" s="14" t="s">
        <v>267</v>
      </c>
      <c r="B67" s="15"/>
      <c r="C67" s="19">
        <v>2965000</v>
      </c>
      <c r="D67" s="26">
        <f t="shared" si="3"/>
        <v>800550</v>
      </c>
      <c r="E67" s="26">
        <f t="shared" si="1"/>
        <v>3765550</v>
      </c>
    </row>
    <row r="68" spans="1:5" x14ac:dyDescent="0.3">
      <c r="A68" s="14" t="s">
        <v>344</v>
      </c>
      <c r="B68" s="15"/>
      <c r="C68" s="19">
        <v>511810</v>
      </c>
      <c r="D68" s="26">
        <v>138190</v>
      </c>
      <c r="E68" s="26">
        <f t="shared" si="1"/>
        <v>650000</v>
      </c>
    </row>
    <row r="69" spans="1:5" x14ac:dyDescent="0.3">
      <c r="A69" s="11" t="s">
        <v>77</v>
      </c>
      <c r="B69" s="12" t="s">
        <v>200</v>
      </c>
      <c r="C69" s="27">
        <f>SUM(C65:C68)</f>
        <v>5812201</v>
      </c>
      <c r="D69" s="27">
        <f>SUM(D65:D68)</f>
        <v>1569295.57</v>
      </c>
      <c r="E69" s="27">
        <f t="shared" si="1"/>
        <v>7381496.5700000003</v>
      </c>
    </row>
    <row r="70" spans="1:5" ht="15.6" x14ac:dyDescent="0.3">
      <c r="A70" s="17" t="s">
        <v>207</v>
      </c>
      <c r="B70" s="18" t="s">
        <v>208</v>
      </c>
      <c r="C70" s="27">
        <f>SUM(C55+C59+C64+C69)</f>
        <v>15639283</v>
      </c>
      <c r="D70" s="27">
        <f>SUM(D55+D59+D64+D69)</f>
        <v>4060123.5700000003</v>
      </c>
      <c r="E70" s="27">
        <f t="shared" si="1"/>
        <v>19699406.57</v>
      </c>
    </row>
    <row r="71" spans="1:5" x14ac:dyDescent="0.3">
      <c r="A71" s="14" t="s">
        <v>265</v>
      </c>
      <c r="B71" s="12"/>
      <c r="C71" s="19">
        <f>C31</f>
        <v>6215558.7244094489</v>
      </c>
      <c r="D71" s="26">
        <f>C71*0.27-1</f>
        <v>1678199.8555905514</v>
      </c>
      <c r="E71" s="26">
        <f t="shared" si="1"/>
        <v>7893758.5800000001</v>
      </c>
    </row>
    <row r="72" spans="1:5" x14ac:dyDescent="0.3">
      <c r="A72" s="14" t="s">
        <v>286</v>
      </c>
      <c r="B72" s="12"/>
      <c r="C72" s="26">
        <v>7059150</v>
      </c>
      <c r="D72" s="26">
        <f>C72*0.27-1</f>
        <v>1905969.5000000002</v>
      </c>
      <c r="E72" s="26">
        <f t="shared" si="1"/>
        <v>8965119.5</v>
      </c>
    </row>
    <row r="73" spans="1:5" x14ac:dyDescent="0.3">
      <c r="A73" s="14"/>
      <c r="B73" s="12"/>
      <c r="C73" s="26"/>
      <c r="D73" s="26"/>
      <c r="E73" s="26">
        <f t="shared" si="1"/>
        <v>0</v>
      </c>
    </row>
    <row r="74" spans="1:5" x14ac:dyDescent="0.3">
      <c r="A74" s="14"/>
      <c r="B74" s="12"/>
      <c r="C74" s="26"/>
      <c r="D74" s="26"/>
      <c r="E74" s="26">
        <f t="shared" si="1"/>
        <v>0</v>
      </c>
    </row>
    <row r="75" spans="1:5" x14ac:dyDescent="0.3">
      <c r="A75" s="11" t="s">
        <v>58</v>
      </c>
      <c r="B75" s="12" t="s">
        <v>210</v>
      </c>
      <c r="C75" s="27">
        <f>SUM(C71:C74)</f>
        <v>13274708.72440945</v>
      </c>
      <c r="D75" s="27">
        <f>SUM(D71:D74)+1</f>
        <v>3584170.3555905516</v>
      </c>
      <c r="E75" s="27">
        <f t="shared" si="1"/>
        <v>16858879.080000002</v>
      </c>
    </row>
    <row r="76" spans="1:5" x14ac:dyDescent="0.3">
      <c r="A76" s="14"/>
      <c r="B76" s="15"/>
      <c r="C76" s="26"/>
      <c r="D76" s="26"/>
      <c r="E76" s="26">
        <f t="shared" si="1"/>
        <v>0</v>
      </c>
    </row>
    <row r="77" spans="1:5" x14ac:dyDescent="0.3">
      <c r="A77" s="14"/>
      <c r="B77" s="15"/>
      <c r="C77" s="26"/>
      <c r="D77" s="26"/>
      <c r="E77" s="26">
        <f t="shared" si="1"/>
        <v>0</v>
      </c>
    </row>
    <row r="78" spans="1:5" x14ac:dyDescent="0.3">
      <c r="A78" s="14"/>
      <c r="B78" s="15"/>
      <c r="C78" s="26"/>
      <c r="D78" s="26"/>
      <c r="E78" s="26">
        <f t="shared" si="1"/>
        <v>0</v>
      </c>
    </row>
    <row r="79" spans="1:5" x14ac:dyDescent="0.3">
      <c r="A79" s="14"/>
      <c r="B79" s="15"/>
      <c r="C79" s="26"/>
      <c r="D79" s="26"/>
      <c r="E79" s="26">
        <f t="shared" si="1"/>
        <v>0</v>
      </c>
    </row>
    <row r="80" spans="1:5" x14ac:dyDescent="0.3">
      <c r="A80" s="11" t="s">
        <v>211</v>
      </c>
      <c r="B80" s="12" t="s">
        <v>212</v>
      </c>
      <c r="C80" s="26"/>
      <c r="D80" s="26"/>
      <c r="E80" s="26">
        <f t="shared" si="1"/>
        <v>0</v>
      </c>
    </row>
    <row r="81" spans="1:5" x14ac:dyDescent="0.3">
      <c r="A81" s="14"/>
      <c r="B81" s="15"/>
      <c r="C81" s="26"/>
      <c r="D81" s="26"/>
      <c r="E81" s="26">
        <f t="shared" si="1"/>
        <v>0</v>
      </c>
    </row>
    <row r="82" spans="1:5" x14ac:dyDescent="0.3">
      <c r="A82" s="14"/>
      <c r="B82" s="15"/>
      <c r="C82" s="26"/>
      <c r="D82" s="26"/>
      <c r="E82" s="26">
        <f t="shared" si="1"/>
        <v>0</v>
      </c>
    </row>
    <row r="83" spans="1:5" x14ac:dyDescent="0.3">
      <c r="A83" s="14"/>
      <c r="B83" s="15"/>
      <c r="C83" s="26"/>
      <c r="D83" s="26"/>
      <c r="E83" s="26">
        <f t="shared" si="1"/>
        <v>0</v>
      </c>
    </row>
    <row r="84" spans="1:5" x14ac:dyDescent="0.3">
      <c r="A84" s="14"/>
      <c r="B84" s="15"/>
      <c r="C84" s="26"/>
      <c r="D84" s="26"/>
      <c r="E84" s="26">
        <f t="shared" si="1"/>
        <v>0</v>
      </c>
    </row>
    <row r="85" spans="1:5" x14ac:dyDescent="0.3">
      <c r="A85" s="11" t="s">
        <v>213</v>
      </c>
      <c r="B85" s="12" t="s">
        <v>214</v>
      </c>
      <c r="C85" s="26"/>
      <c r="D85" s="26"/>
      <c r="E85" s="26">
        <f t="shared" si="1"/>
        <v>0</v>
      </c>
    </row>
    <row r="86" spans="1:5" ht="15.6" x14ac:dyDescent="0.3">
      <c r="A86" s="17" t="s">
        <v>217</v>
      </c>
      <c r="B86" s="18" t="s">
        <v>218</v>
      </c>
      <c r="C86" s="27">
        <f>SUM(C75+C80+C85)</f>
        <v>13274708.72440945</v>
      </c>
      <c r="D86" s="27">
        <f>SUM(D75+D80+D85)</f>
        <v>3584170.3555905516</v>
      </c>
      <c r="E86" s="27">
        <f t="shared" si="1"/>
        <v>16858879.080000002</v>
      </c>
    </row>
    <row r="87" spans="1:5" x14ac:dyDescent="0.3">
      <c r="A87" s="24"/>
      <c r="B87" s="24"/>
      <c r="C87" s="24"/>
      <c r="D87" s="24"/>
      <c r="E87" s="24"/>
    </row>
    <row r="88" spans="1:5" x14ac:dyDescent="0.3">
      <c r="A88" s="24"/>
      <c r="B88" s="24"/>
      <c r="C88" s="24"/>
      <c r="D88" s="24"/>
      <c r="E88" s="24"/>
    </row>
    <row r="89" spans="1:5" x14ac:dyDescent="0.3">
      <c r="A89" s="24"/>
      <c r="B89" s="24"/>
      <c r="C89" s="24"/>
      <c r="D89" s="24"/>
      <c r="E89" s="24"/>
    </row>
    <row r="90" spans="1:5" x14ac:dyDescent="0.3">
      <c r="A90" s="24"/>
      <c r="B90" s="24"/>
      <c r="C90" s="24"/>
      <c r="D90" s="24"/>
      <c r="E90" s="24"/>
    </row>
  </sheetData>
  <mergeCells count="2">
    <mergeCell ref="A1:E1"/>
    <mergeCell ref="A2:E2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1</vt:i4>
      </vt:variant>
    </vt:vector>
  </HeadingPairs>
  <TitlesOfParts>
    <vt:vector size="3" baseType="lpstr">
      <vt:lpstr>indoklás 2020</vt:lpstr>
      <vt:lpstr>beruházások felújítások</vt:lpstr>
      <vt:lpstr>'beruházások felújítások'!Nyomtatási_terület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Zalaapáti</dc:creator>
  <cp:lastModifiedBy>Felhasználó</cp:lastModifiedBy>
  <cp:lastPrinted>2020-02-27T12:05:04Z</cp:lastPrinted>
  <dcterms:created xsi:type="dcterms:W3CDTF">2009-02-05T07:36:46Z</dcterms:created>
  <dcterms:modified xsi:type="dcterms:W3CDTF">2020-03-09T09:56:47Z</dcterms:modified>
</cp:coreProperties>
</file>