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405" yWindow="330" windowWidth="15480" windowHeight="8115" tabRatio="671"/>
  </bookViews>
  <sheets>
    <sheet name="bevételek" sheetId="2" r:id="rId1"/>
    <sheet name="kiadások" sheetId="3" r:id="rId2"/>
    <sheet name="3_melléklet" sheetId="4" r:id="rId3"/>
    <sheet name="4_ melléklet" sheetId="6" r:id="rId4"/>
    <sheet name="5_melléklet" sheetId="7" r:id="rId5"/>
  </sheets>
  <externalReferences>
    <externalReference r:id="rId6"/>
  </externalReferences>
  <definedNames>
    <definedName name="_xlnm._FilterDatabase" localSheetId="2" hidden="1">'3_melléklet'!$A$44:$A$47</definedName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90" i="2"/>
  <c r="B189" i="7"/>
  <c r="B268"/>
  <c r="B175"/>
  <c r="B178"/>
  <c r="B180"/>
  <c r="B183"/>
  <c r="B281"/>
  <c r="B280"/>
  <c r="B279"/>
  <c r="B272"/>
  <c r="B70" i="3"/>
  <c r="B65"/>
  <c r="B192" i="7"/>
  <c r="B758"/>
  <c r="B761"/>
  <c r="B759"/>
  <c r="B757"/>
  <c r="B754"/>
  <c r="B752"/>
  <c r="B108" i="4"/>
  <c r="B104"/>
  <c r="B8" i="2"/>
  <c r="B78"/>
  <c r="B191" i="7"/>
  <c r="B69" i="3"/>
  <c r="B102" i="2"/>
  <c r="B622" i="7"/>
  <c r="B301"/>
  <c r="B303"/>
  <c r="B157"/>
  <c r="B158"/>
  <c r="B500"/>
  <c r="B506"/>
  <c r="B507"/>
  <c r="B13" i="2"/>
  <c r="B138" i="7"/>
  <c r="B76" i="2"/>
  <c r="B724" i="7"/>
  <c r="B729"/>
  <c r="B730"/>
  <c r="B684"/>
  <c r="B67"/>
  <c r="B68"/>
  <c r="B70"/>
  <c r="B72"/>
  <c r="B49"/>
  <c r="B59" i="3"/>
  <c r="B58"/>
  <c r="B85" i="2"/>
  <c r="B422" i="7"/>
  <c r="B427"/>
  <c r="B428"/>
  <c r="B116"/>
  <c r="B28" i="2"/>
  <c r="B48" i="3"/>
  <c r="B43"/>
  <c r="B77" i="2"/>
  <c r="B75"/>
  <c r="B74"/>
  <c r="B72"/>
  <c r="B80"/>
  <c r="B12"/>
  <c r="B15"/>
  <c r="B18"/>
  <c r="B22"/>
  <c r="B21"/>
  <c r="B34"/>
  <c r="B35"/>
  <c r="B33"/>
  <c r="B32"/>
  <c r="B27"/>
  <c r="B36"/>
  <c r="B37"/>
  <c r="B38"/>
  <c r="B39"/>
  <c r="B40"/>
  <c r="B50"/>
  <c r="B45"/>
  <c r="B42"/>
  <c r="B51"/>
  <c r="B58"/>
  <c r="B65"/>
  <c r="B62"/>
  <c r="B68"/>
  <c r="B67"/>
  <c r="B50" i="3"/>
  <c r="B52"/>
  <c r="B55"/>
  <c r="B64"/>
  <c r="B78"/>
  <c r="B76"/>
  <c r="B98"/>
  <c r="B96"/>
  <c r="B35" i="6"/>
  <c r="B34"/>
  <c r="B37" i="3"/>
  <c r="B19" i="6"/>
  <c r="B15"/>
  <c r="B108" i="7"/>
  <c r="B111"/>
  <c r="B26" i="6"/>
  <c r="B22"/>
  <c r="B36" i="3"/>
  <c r="B360" i="7"/>
  <c r="B361"/>
  <c r="B571"/>
  <c r="B572"/>
  <c r="B410"/>
  <c r="B415"/>
  <c r="B418"/>
  <c r="B426"/>
  <c r="B340"/>
  <c r="B345"/>
  <c r="B348"/>
  <c r="B353"/>
  <c r="B358"/>
  <c r="B291"/>
  <c r="B305"/>
  <c r="B308"/>
  <c r="B50"/>
  <c r="B10" i="6"/>
  <c r="B34" i="3"/>
  <c r="B145" i="7"/>
  <c r="B142"/>
  <c r="B148"/>
  <c r="B151"/>
  <c r="B155"/>
  <c r="B188"/>
  <c r="B187"/>
  <c r="B9"/>
  <c r="B10"/>
  <c r="B12"/>
  <c r="B19"/>
  <c r="B20"/>
  <c r="B21"/>
  <c r="B22"/>
  <c r="B24"/>
  <c r="B37"/>
  <c r="B39"/>
  <c r="B44"/>
  <c r="B46"/>
  <c r="B48"/>
  <c r="B63"/>
  <c r="B66"/>
  <c r="B114"/>
  <c r="B29"/>
  <c r="B78"/>
  <c r="B132"/>
  <c r="B32"/>
  <c r="B82"/>
  <c r="B94"/>
  <c r="B329"/>
  <c r="B372"/>
  <c r="B399"/>
  <c r="B440"/>
  <c r="B479"/>
  <c r="B519"/>
  <c r="B542"/>
  <c r="B593"/>
  <c r="B335"/>
  <c r="B378"/>
  <c r="B405"/>
  <c r="B446"/>
  <c r="B485"/>
  <c r="B524"/>
  <c r="B548"/>
  <c r="B596"/>
  <c r="B381"/>
  <c r="B382"/>
  <c r="B383"/>
  <c r="B450"/>
  <c r="B455"/>
  <c r="B458"/>
  <c r="B462"/>
  <c r="B465"/>
  <c r="B466"/>
  <c r="B467"/>
  <c r="B488"/>
  <c r="B492"/>
  <c r="B495"/>
  <c r="B503"/>
  <c r="B505"/>
  <c r="B528"/>
  <c r="B529"/>
  <c r="B531"/>
  <c r="B555"/>
  <c r="B559"/>
  <c r="B562"/>
  <c r="B566"/>
  <c r="B570"/>
  <c r="B583"/>
  <c r="B584"/>
  <c r="B582"/>
  <c r="B636"/>
  <c r="B670"/>
  <c r="B702"/>
  <c r="B640"/>
  <c r="B676"/>
  <c r="B707"/>
  <c r="B645"/>
  <c r="B648"/>
  <c r="B649"/>
  <c r="B653"/>
  <c r="B656"/>
  <c r="B682"/>
  <c r="B686"/>
  <c r="B689"/>
  <c r="B690"/>
  <c r="B712"/>
  <c r="B716"/>
  <c r="B718"/>
  <c r="B722"/>
  <c r="B726"/>
  <c r="B728"/>
  <c r="B746"/>
  <c r="B768"/>
  <c r="B773"/>
  <c r="B749"/>
  <c r="B777"/>
  <c r="B21" i="3"/>
  <c r="B771" i="7"/>
  <c r="B287"/>
  <c r="B290"/>
  <c r="B297"/>
  <c r="B277"/>
  <c r="B282"/>
  <c r="B246"/>
  <c r="B250"/>
  <c r="B254"/>
  <c r="B255"/>
  <c r="B257"/>
  <c r="B30" i="4"/>
  <c r="B25"/>
  <c r="B90" i="7"/>
  <c r="B97"/>
  <c r="B225"/>
  <c r="B229"/>
  <c r="B224"/>
  <c r="B232"/>
  <c r="B233"/>
  <c r="B234"/>
  <c r="B214"/>
  <c r="B218"/>
  <c r="B94" i="3"/>
  <c r="B102" s="1"/>
  <c r="B80" i="4"/>
  <c r="B55"/>
  <c r="B52"/>
  <c r="B75"/>
  <c r="B73"/>
  <c r="B94"/>
  <c r="B92"/>
  <c r="B86"/>
  <c r="B84"/>
  <c r="B96"/>
  <c r="B60"/>
  <c r="B57"/>
  <c r="B11"/>
  <c r="B9"/>
  <c r="B15"/>
  <c r="B13"/>
  <c r="B67"/>
  <c r="B64"/>
  <c r="B101"/>
  <c r="B99"/>
  <c r="B19"/>
  <c r="B17"/>
  <c r="B23"/>
  <c r="B21"/>
  <c r="B33"/>
  <c r="B38"/>
  <c r="B98" i="2"/>
  <c r="B108" s="1"/>
  <c r="B110" s="1"/>
  <c r="B99"/>
  <c r="B95"/>
  <c r="B97"/>
  <c r="B79" i="4"/>
  <c r="B57" i="2"/>
  <c r="B293" i="7"/>
  <c r="B598"/>
  <c r="B101" i="3"/>
  <c r="B99"/>
  <c r="B42"/>
  <c r="B41"/>
  <c r="B101" i="2"/>
  <c r="B762" i="7"/>
  <c r="B775"/>
  <c r="B600"/>
  <c r="B12" i="3"/>
  <c r="B623" i="7"/>
  <c r="B624"/>
  <c r="B626"/>
  <c r="B84"/>
  <c r="B118"/>
  <c r="B119"/>
  <c r="B11" i="2"/>
  <c r="B10"/>
  <c r="B103"/>
  <c r="B315" i="7"/>
  <c r="B11" i="3"/>
  <c r="B737" i="7"/>
  <c r="B20" i="3"/>
  <c r="B736" i="7"/>
  <c r="B13" i="3"/>
  <c r="B117" i="7"/>
  <c r="B121"/>
  <c r="B123"/>
  <c r="B574"/>
  <c r="B576"/>
  <c r="B764"/>
  <c r="B586"/>
  <c r="B588"/>
  <c r="B45" i="4"/>
  <c r="B47" s="1"/>
  <c r="B776" i="7"/>
  <c r="B14" i="3"/>
  <c r="B316" i="7"/>
  <c r="B18" i="3"/>
  <c r="B384" i="7"/>
  <c r="B193"/>
  <c r="B195"/>
  <c r="B197"/>
  <c r="B30" i="3"/>
  <c r="B778" i="7"/>
  <c r="B259"/>
  <c r="B261"/>
  <c r="B469"/>
  <c r="B471"/>
  <c r="B200"/>
  <c r="B10" i="3"/>
  <c r="B429" i="7"/>
  <c r="B431"/>
  <c r="B236"/>
  <c r="B238"/>
  <c r="B692"/>
  <c r="B732"/>
  <c r="B509"/>
  <c r="B511"/>
  <c r="B601"/>
  <c r="B19" i="3"/>
  <c r="B533" i="7"/>
  <c r="B201"/>
  <c r="B17" i="3"/>
  <c r="B52" i="7"/>
  <c r="B363"/>
  <c r="B365"/>
  <c r="B160"/>
  <c r="B162"/>
  <c r="B77" i="4"/>
  <c r="B69"/>
  <c r="B6" i="2"/>
  <c r="B88" i="4"/>
  <c r="B7" i="2"/>
  <c r="B48" i="4"/>
  <c r="B5" i="2"/>
  <c r="D18" i="3"/>
  <c r="B14" i="7"/>
  <c r="B26" i="2"/>
  <c r="B39" i="3"/>
  <c r="B91"/>
  <c r="B734" i="7"/>
  <c r="B8" i="6"/>
  <c r="B4"/>
  <c r="B203" i="7"/>
  <c r="B35" i="3"/>
  <c r="B33" s="1"/>
  <c r="B90"/>
  <c r="B89"/>
  <c r="B627" i="7"/>
  <c r="B386"/>
  <c r="B310"/>
  <c r="B312"/>
  <c r="B694"/>
  <c r="B54"/>
  <c r="B657"/>
  <c r="B658"/>
  <c r="B659"/>
  <c r="D11" i="3"/>
  <c r="B602" i="7"/>
  <c r="B28" i="3"/>
  <c r="B202" i="7"/>
  <c r="B26" i="3"/>
  <c r="D17"/>
  <c r="B7"/>
  <c r="B603" i="7"/>
  <c r="B661"/>
  <c r="B738"/>
  <c r="B9" i="3"/>
  <c r="D10"/>
  <c r="B5"/>
  <c r="B204" i="7"/>
  <c r="B16" i="3"/>
  <c r="B317" i="7"/>
  <c r="D21" i="3"/>
  <c r="B29"/>
  <c r="B739" i="7"/>
  <c r="B27" i="3"/>
  <c r="B318" i="7"/>
  <c r="B4" i="3"/>
  <c r="B23"/>
  <c r="B6"/>
  <c r="B32" l="1"/>
  <c r="B3"/>
  <c r="B2" s="1"/>
  <c r="B44" i="4"/>
  <c r="B5" s="1"/>
  <c r="B4" i="2" s="1"/>
  <c r="B3" l="1"/>
  <c r="B70" s="1"/>
  <c r="B74" i="3"/>
  <c r="B80" s="1"/>
  <c r="B88"/>
  <c r="B100" i="2" l="1"/>
  <c r="B109" s="1"/>
  <c r="B82"/>
  <c r="B92" s="1"/>
  <c r="B93" s="1"/>
  <c r="B87" i="3"/>
  <c r="B86"/>
  <c r="B92" s="1"/>
</calcChain>
</file>

<file path=xl/sharedStrings.xml><?xml version="1.0" encoding="utf-8"?>
<sst xmlns="http://schemas.openxmlformats.org/spreadsheetml/2006/main" count="856" uniqueCount="349">
  <si>
    <t>Egyéb költségek ( számla ktg. térítés)</t>
  </si>
  <si>
    <t>Egyéb költségek (számla ktg. térítés)</t>
  </si>
  <si>
    <t>3. melléklet</t>
  </si>
  <si>
    <t>1.2.3.  Kiegészítő támogatás az óvodapedagógusok minősítéséből adódó többletkiadásokhoz</t>
  </si>
  <si>
    <t>1.2.4. A köznevelési intézmények működtetéséhez kapcsolódó támogatás</t>
  </si>
  <si>
    <t>1.3.2.4. Időskorúak nappali intézményi ellátása  (109000 Ft/fő x 106 fő)</t>
  </si>
  <si>
    <t>1.4. Kulturális feladatok támogatása (1140 Ft/fő x 5135 fő)</t>
  </si>
  <si>
    <t xml:space="preserve">   - Ntp. Kft. részére a közfeladatainak ellátásához biztosított támogatás </t>
  </si>
  <si>
    <t>1. Nagyszénás Nagyközség Önkormányzata</t>
  </si>
  <si>
    <t>II. Közhatalmi bevételek</t>
  </si>
  <si>
    <t>2. Polgármesteri Hivatal</t>
  </si>
  <si>
    <t>1.1. Helyi adók</t>
  </si>
  <si>
    <t>1.1.1. Helyi iparűzési adó</t>
  </si>
  <si>
    <t>1.1.2. Magánszemélyek kommunális adója</t>
  </si>
  <si>
    <t>1.2. Átengedett központi adók</t>
  </si>
  <si>
    <t>1.2.1. Gépjárműadó</t>
  </si>
  <si>
    <t>1.2.2. Földhaszonbér Szja</t>
  </si>
  <si>
    <t>1.3. Egyéb sajátos bevételek</t>
  </si>
  <si>
    <t>2.1 Egyéb sajátos bevételek</t>
  </si>
  <si>
    <t>2.2.1. Igazgatási szolgáltatások bevétele</t>
  </si>
  <si>
    <t>2.2.2. Szabálysértési bírság</t>
  </si>
  <si>
    <t>KORMÁNYFUNKCIÓ ÖSSZESEN:</t>
  </si>
  <si>
    <t>Felhalmozási egyenleg</t>
  </si>
  <si>
    <t>Működési egyenleg</t>
  </si>
  <si>
    <t>VII. A KÖLTSÉGVETÉSI MARADVÁNY  ÉS A FINASZÍROZÁSI MŰVELETEK EGYÜTTES EGYENLEGE (IV+V+VI)</t>
  </si>
  <si>
    <t>IV. KÖLTSÉGVETÉSI MARADVÁNY</t>
  </si>
  <si>
    <t>Törvény szerinti illetmények( 6 fő + 1 fő részmunkaidős)</t>
  </si>
  <si>
    <t xml:space="preserve">             Termálvíz projekt hőértékesítés bevétele</t>
  </si>
  <si>
    <t>Egyéb szolgáltatások (szállítás, szemétszállítás)</t>
  </si>
  <si>
    <t>104035 Gyermekétkezetés bölcsődében</t>
  </si>
  <si>
    <t xml:space="preserve">   - Polgármesteri támogatási keret</t>
  </si>
  <si>
    <t>Készenléti és túlóra díj, helyettesítés</t>
  </si>
  <si>
    <t>Egyéb személyi juttatás (betegszabadság, közlekedési ktg. térítés)</t>
  </si>
  <si>
    <t>Választott tisztségviselők juttatásai</t>
  </si>
  <si>
    <t>Megbízási díjak</t>
  </si>
  <si>
    <t>Kifizetői adó és járulék</t>
  </si>
  <si>
    <t>Egyéb költségek (szemüveg, napi díj, számla ktg. térítés)</t>
  </si>
  <si>
    <t>Táppénz hozzájárulás</t>
  </si>
  <si>
    <t>Céljuttatás</t>
  </si>
  <si>
    <t>041233  Hosszabb időtartamú közfoglalkoztatás</t>
  </si>
  <si>
    <t>Szociális gondozói díj</t>
  </si>
  <si>
    <t>Részvényértékesítés</t>
  </si>
  <si>
    <t>Reprezentáció</t>
  </si>
  <si>
    <t>Egyéb költségek (számla költségtérítés)</t>
  </si>
  <si>
    <t>Törvény szerinti illetmények (7 fő)</t>
  </si>
  <si>
    <t>Törvény szerinti illetmények (1 fő)</t>
  </si>
  <si>
    <t>Törvény szerinti illetmények (2 fő)</t>
  </si>
  <si>
    <t>Törvény szerinti illetmények (8 fő)</t>
  </si>
  <si>
    <t>Pénzmaradvány</t>
  </si>
  <si>
    <t>Szennyvízberuházás egyenlege</t>
  </si>
  <si>
    <t>Termálvízberuházás egyenlege</t>
  </si>
  <si>
    <t>Működési hiány</t>
  </si>
  <si>
    <t>Egyéb beruházás</t>
  </si>
  <si>
    <t>Egyenleg</t>
  </si>
  <si>
    <t xml:space="preserve">   - Orosházi Többcélú Kistérségi Társulás tagdíj</t>
  </si>
  <si>
    <t>Ingatlanértékesítés</t>
  </si>
  <si>
    <t xml:space="preserve">   - Orosházi Többcélú Kistérségi Társulás orvosi ügyelet fenntartása</t>
  </si>
  <si>
    <t xml:space="preserve">Egyéb szolgáltatások </t>
  </si>
  <si>
    <t>1. Beruházási kiadások</t>
  </si>
  <si>
    <t>2. Felújítási kiadások</t>
  </si>
  <si>
    <t xml:space="preserve">           Étkeztetési térítési díj bevétel</t>
  </si>
  <si>
    <t xml:space="preserve">             Bérleti díjak</t>
  </si>
  <si>
    <t>082042 Könyvtári állomány gyarapítása, nyilvántartása</t>
  </si>
  <si>
    <t>074032 Ifjúság-egészségügyi gondozás</t>
  </si>
  <si>
    <t>1.2.1.4. Óvodai a nevelő munkát segítők bértámogatása (4 hóra)</t>
  </si>
  <si>
    <t>Kötelező önkormányzati feladatok</t>
  </si>
  <si>
    <t>Államigazgatási feladatok</t>
  </si>
  <si>
    <t>Nagyszénás Nagyközség Önkormányzata összesen:</t>
  </si>
  <si>
    <t xml:space="preserve">   - Bursa ösztöndíj</t>
  </si>
  <si>
    <t>1. Önkormányzatok feladatalapú támogatásai</t>
  </si>
  <si>
    <t xml:space="preserve">   - Civil szervezetek támogatása</t>
  </si>
  <si>
    <t>NAGYSZÉNÁS NAGYKÖZSÉG ÖNKORMÁNYZATA</t>
  </si>
  <si>
    <t>1.2. Polgármesteri Hivatal</t>
  </si>
  <si>
    <t>1.3. Gondozási Központ</t>
  </si>
  <si>
    <t>Nagyszénás Nagyközség Önkormányzata</t>
  </si>
  <si>
    <t>III. ÖNKORMÁNYZATI TARTALÉKOK</t>
  </si>
  <si>
    <t>Közvetített szolgáltatások (telefon)</t>
  </si>
  <si>
    <t>III. Működési célú költségvetési támogatások</t>
  </si>
  <si>
    <t>Bevételek</t>
  </si>
  <si>
    <t>1.1. Helyi önkormányzatok általános támogatása</t>
  </si>
  <si>
    <t>1.1.1. Önkormányzati hivatal működésének támogatása</t>
  </si>
  <si>
    <t>1.1.2. Település üzemeltetéshez kapcsolódó feladatok támogatása (zöldterület-gazdálkodás,      közvilágítás, köztemető és közút fenntartás)</t>
  </si>
  <si>
    <t>1.2. Települési önkormányzatok köznevelési feladatainak támogatása</t>
  </si>
  <si>
    <t>1.3. Települési önkormányzatok szociális és gyermekjóléti feladatainak támogatása</t>
  </si>
  <si>
    <t>1.3.3 .Gyermekétkeztetés támogatása</t>
  </si>
  <si>
    <t>1.3.2.5. Bölcsődei ellátás (önként vállalt önkormányzati feladat)</t>
  </si>
  <si>
    <t>2.5.5. Lakáshoz jutás feladatai (100%-a)</t>
  </si>
  <si>
    <t xml:space="preserve">                                                                   Kiadások</t>
  </si>
  <si>
    <t xml:space="preserve">1. Személyi juttatások </t>
  </si>
  <si>
    <t>2. Munkaadókat terhelő járulékok</t>
  </si>
  <si>
    <t xml:space="preserve">3. Dologi kiadások </t>
  </si>
  <si>
    <t>Szociális hozzájárulási adó</t>
  </si>
  <si>
    <t>1. Működési célú hitel felvétele pénzintézettől</t>
  </si>
  <si>
    <t>2. Működési célú  hitel visszafizetése pénzintézetnek</t>
  </si>
  <si>
    <t>1. Felhalmozási célú hitel felvétele pénzintézettől</t>
  </si>
  <si>
    <t>2. Felhalmozási célú hitel visszafizetése pénzintézetnek</t>
  </si>
  <si>
    <t>Cafetéria juttatás</t>
  </si>
  <si>
    <t xml:space="preserve">            Konyha energia továbbszámlázás</t>
  </si>
  <si>
    <t xml:space="preserve">                                       Költségvetés egyenlegének finanszírozási módja</t>
  </si>
  <si>
    <t xml:space="preserve">066020 Város-, és községgazdálkodási egyéb szolgáltatások </t>
  </si>
  <si>
    <t>091110  Óvodai nevelés, ellátás szakmai feladatai</t>
  </si>
  <si>
    <t>Könyvbeszerzés (könyvtári)</t>
  </si>
  <si>
    <t xml:space="preserve">1. Működési célú bevételek összesen: </t>
  </si>
  <si>
    <t xml:space="preserve">1. Felhalmozási célú bevételek összesen: </t>
  </si>
  <si>
    <t>V.  MÜKÖDÉSI CÉLÚ FINANSZÍROZÁSI MŰVELETEK EGYENLEGE (1.-2.):</t>
  </si>
  <si>
    <t xml:space="preserve">   - Orosháza és Térsége Ivóvízminőség-javító Önkormányzati Társulás működési hoz.</t>
  </si>
  <si>
    <t xml:space="preserve">1. Általános tartalék </t>
  </si>
  <si>
    <t>VI.  FELHALMOZÁSI CÉLÚ FINANSZÍROZÁSI MŰVELETEK EGYENLEGE (1.-2.)</t>
  </si>
  <si>
    <t>1.2.1.1. Óvoda pedagógusok bértámogatása (8 hóra)</t>
  </si>
  <si>
    <t>1.2.1.3. Óvoda pedagógusok bértámogatása (4 hóra)</t>
  </si>
  <si>
    <t>1.2.1.2. Óvodai a nevelő munkát segítők bértámogatása (8 hóra)</t>
  </si>
  <si>
    <t>II. FELHALMOZÁSI, FELÚJÍTÁSI KIADÁSOK</t>
  </si>
  <si>
    <t>Polgármesteri Hivatal</t>
  </si>
  <si>
    <t>(Ft-ban)</t>
  </si>
  <si>
    <t>POLGÁRMESTERI HIVATAL</t>
  </si>
  <si>
    <t xml:space="preserve">             Kiszámlázott termékek Áfá-ja</t>
  </si>
  <si>
    <t xml:space="preserve">             Alaptev.összefüggő egyéb bev.</t>
  </si>
  <si>
    <t xml:space="preserve">             Kamatbevétel, hozadék</t>
  </si>
  <si>
    <t xml:space="preserve">             Telefon térítés</t>
  </si>
  <si>
    <t xml:space="preserve">             Kiszámlázott term. és szolg. Áfá-ja</t>
  </si>
  <si>
    <t xml:space="preserve">             Orvosi rendelők közüzemi költségátalány díja</t>
  </si>
  <si>
    <t xml:space="preserve">            Közterülethasználat</t>
  </si>
  <si>
    <t xml:space="preserve">            Anyageladás</t>
  </si>
  <si>
    <t xml:space="preserve">            Kiszámlázott term. és szolg. Áfá-ja</t>
  </si>
  <si>
    <t xml:space="preserve">            Köztemetés, hagyaték</t>
  </si>
  <si>
    <t>Gondozási Központ</t>
  </si>
  <si>
    <t xml:space="preserve">            Telefon térítés</t>
  </si>
  <si>
    <t xml:space="preserve">           </t>
  </si>
  <si>
    <t xml:space="preserve">           Intézményi ellátási díjak</t>
  </si>
  <si>
    <t xml:space="preserve">           Kiszámlázott term. és szolg. Áfá-ja</t>
  </si>
  <si>
    <t xml:space="preserve">           Kiszámlázott termékek és szolg. Áfá-ja</t>
  </si>
  <si>
    <t>Társadalmi szervezetek támogatásai</t>
  </si>
  <si>
    <t xml:space="preserve">   - Sport támogatása</t>
  </si>
  <si>
    <t>Egyéb szervezetek támogatása</t>
  </si>
  <si>
    <t xml:space="preserve">            Földhasználati díjak</t>
  </si>
  <si>
    <t xml:space="preserve">Rendszeres pénzbeli ellátások </t>
  </si>
  <si>
    <t>Eseti pénzbeli ellátások</t>
  </si>
  <si>
    <t xml:space="preserve">   - köztemetés</t>
  </si>
  <si>
    <t>682001-1. Lakóingatlan bérbeadás, üzemeltetése</t>
  </si>
  <si>
    <t>SZEMÉLYI JUTTATÁSOK ÖSSZESEN:</t>
  </si>
  <si>
    <t>Egészségügyi hozzájárulás</t>
  </si>
  <si>
    <t>MUNKAADÓKAT TERHELŐ JÁRULÉKOK ÖSSZESEN:</t>
  </si>
  <si>
    <t>Könyvbeszerzés</t>
  </si>
  <si>
    <t>Folyóirat beszerzés</t>
  </si>
  <si>
    <t>Gyógyszer beszerzés</t>
  </si>
  <si>
    <t>Egyéb szakmai anyagok</t>
  </si>
  <si>
    <t>Hajtó- és kenőanyagok</t>
  </si>
  <si>
    <t xml:space="preserve">Egyéb üzemeltetési anyag </t>
  </si>
  <si>
    <t xml:space="preserve">Szakmai anyagok beszerzése összesen </t>
  </si>
  <si>
    <t xml:space="preserve">Üzemeltetési anyagok beszerzése összesen </t>
  </si>
  <si>
    <t>Kommunikációs szolgáltatások összesen</t>
  </si>
  <si>
    <t>Telefon díjak</t>
  </si>
  <si>
    <t>Informatikai szolgáltatások (internet, szoftverek költségei)</t>
  </si>
  <si>
    <t>Közüzemi díjak összesen</t>
  </si>
  <si>
    <t>Szakmai tevékenységet segítő szolgáltatások</t>
  </si>
  <si>
    <t>Kiküldetések kiadásai</t>
  </si>
  <si>
    <t>Szolgáltatási kiadások összesen</t>
  </si>
  <si>
    <t>Kiküldetések és reklám propaganda kiadások összesen</t>
  </si>
  <si>
    <t>Egyéb szolgáltatások (szállítás, szemétszállítás, számlavezetés)</t>
  </si>
  <si>
    <t>Egyéb dologi kiadások (különféle díjak)</t>
  </si>
  <si>
    <t>Különféle befizetések és egyéb dologi kiadások összesen</t>
  </si>
  <si>
    <t>DOLOGI  KIADÁSOK ÖSSZESEN:</t>
  </si>
  <si>
    <t>Gázenergia díjak</t>
  </si>
  <si>
    <t>Villamosenergia díjak</t>
  </si>
  <si>
    <t>Fizetendő áfa értékesítés után</t>
  </si>
  <si>
    <t>Működési célú előzetesen felszámított áfa</t>
  </si>
  <si>
    <t>Karbantartási, kisjavítási szolgáltatások</t>
  </si>
  <si>
    <t>1.1.2. Termálvíz-hasznosítási program támogatása (KEOP)</t>
  </si>
  <si>
    <t>1.1.3. Termálvíz-hasznosítási program támogatása (EU önerő alap)</t>
  </si>
  <si>
    <t>072111 Házi orvosi alapellátás</t>
  </si>
  <si>
    <t>Jubileumi jutalom</t>
  </si>
  <si>
    <t>Bérleti és lizingdíjak</t>
  </si>
  <si>
    <t>Működési célú pénzeszközátadás</t>
  </si>
  <si>
    <t>Szakmai tevékenységet segítő szolgáltatások (úthálózat karbantartás)</t>
  </si>
  <si>
    <t>2.1. Nagyszénás Nagyközség Önkormányzata</t>
  </si>
  <si>
    <t>045160 Közutak, hidak, alagutak üzemeltetése, fenntartása</t>
  </si>
  <si>
    <t>064010 Közvilágítás</t>
  </si>
  <si>
    <t>072112 Házi orvosi alapellátás</t>
  </si>
  <si>
    <t>072311 Fogorvosi alapellátás</t>
  </si>
  <si>
    <t>066020 Város- és községgazdálkodási egyéb szolgáltatások</t>
  </si>
  <si>
    <t>011130 Önkormányzatok és  önkormányzati hivatalok jogalkotó és általános igazgatási tevékenysége</t>
  </si>
  <si>
    <t>013360 Más szerv részére végzett pénzügyi-gazdálkodási, üzemeltetési, egyéb szolgáltatások</t>
  </si>
  <si>
    <t>074031 Család és nővédelmi egészségügyi gondozás</t>
  </si>
  <si>
    <t>102030 Idősek, demens betegek nappali ellátása</t>
  </si>
  <si>
    <t>107052 Házi segítségnyújtás</t>
  </si>
  <si>
    <t>107051 Szociális étkeztetés</t>
  </si>
  <si>
    <t>NAGYSZÉNÁSI ÖNKORMÁNYZATI ÓVODA</t>
  </si>
  <si>
    <t>DOLOGI KIADÁSOK ÖSSZESEN:</t>
  </si>
  <si>
    <t>091140  Óvodai nevelés, ellátás működtetési feladatai</t>
  </si>
  <si>
    <t>1.5. Czabán Samu Művelődési Ház és Könyvtár</t>
  </si>
  <si>
    <t>1.4. Nagyszénási Önkormányzati Óvoda</t>
  </si>
  <si>
    <t>1.2.1. Óvoda pedagógusok és a nevelő munkát segítők bértámogatása</t>
  </si>
  <si>
    <t>1.2.2. Óvodaműködtetési támogatás</t>
  </si>
  <si>
    <t xml:space="preserve">1.3.2. Szociális és gyermekjóléti alapszolgáltatás általános feladatai </t>
  </si>
  <si>
    <t>1. Felhalmozási célú támogatásértékű bevételek ÁHT-n belülről</t>
  </si>
  <si>
    <t>I. ÖNKORMÁNYZAT KÖLTSÉGVETÉS MŰKÖDÉSI KIADÁSAI</t>
  </si>
  <si>
    <t>PÉNZESZKÖZ ÁTADÁS, EGYÉB TÁMOGATÁS:</t>
  </si>
  <si>
    <t>GONDOZÁSI KÖZPONT</t>
  </si>
  <si>
    <t>Irodaszer, nyomtatvány</t>
  </si>
  <si>
    <t>Munkaruha, védőruha</t>
  </si>
  <si>
    <t>I Nagyszénás Nagyközség Önkormányzata működési bevételei összesen</t>
  </si>
  <si>
    <t xml:space="preserve">             Lakástámogatás visszafizetése</t>
  </si>
  <si>
    <t>Vásárolt élelmezés</t>
  </si>
  <si>
    <t>682002-1. Nem lakóingatlan bérbeadás, üzemeltetése</t>
  </si>
  <si>
    <t>882203-1. Köztemetés</t>
  </si>
  <si>
    <t xml:space="preserve">            Iskolai helyiségek bérbeadása</t>
  </si>
  <si>
    <t xml:space="preserve">           Áfa visszatérülés</t>
  </si>
  <si>
    <t>MŰKÖDÉSI CÉLÚ  BEVÉTELEK  ÖSSZESEN: (I+II+III)</t>
  </si>
  <si>
    <t>IV. Felhalmozási célú véglegesen átvett pénzeszközök</t>
  </si>
  <si>
    <t xml:space="preserve">1.1. Nagyszénás Nagyközség Önkormányzata </t>
  </si>
  <si>
    <t>(közműköltség, irodaszer, nyomtatvány, foglalkozás eü, belső ell., étkeztetés költsége,</t>
  </si>
  <si>
    <t xml:space="preserve">1.2.1.5. Óvodapedagógusok kiegészítő támogatása (11 hóra) </t>
  </si>
  <si>
    <t>1.3.1. Települési önkormányzatok szociális feladatainak egyéb támogatása</t>
  </si>
  <si>
    <t>1.3.2.2. Szociális étkeztetés (55360Ft/fő x 90 fő )</t>
  </si>
  <si>
    <t>1.3.2.3. Házi segítségnyújtás  (145000Ft/fő x 82 fő )</t>
  </si>
  <si>
    <t>Nagyszénási Önkormányzati Óvoda</t>
  </si>
  <si>
    <t>910121 Könyvtári állomány gyarapítása, nyilvántartása</t>
  </si>
  <si>
    <t>1.1. Nagyszénás Nagyközség Önkormányzata</t>
  </si>
  <si>
    <t xml:space="preserve">            Mezőőri járulék (nem kötelező önkormányzati feladat)</t>
  </si>
  <si>
    <t>Önként vállalt önkormányzati feladatok</t>
  </si>
  <si>
    <t>Víz- és csatornadíj</t>
  </si>
  <si>
    <t>3. Felhalmozási célú pénzeszközátadás</t>
  </si>
  <si>
    <t>MŰKÖDÉSI ÉS FELHALMOZÁSI CÉLÚ  KIADÁSOK ÉS TARTALÉKOK  ÖSSZESEN: (I+II+III)</t>
  </si>
  <si>
    <t xml:space="preserve">            Egyéb intézményi bev. (közműdíjak megtérülése )</t>
  </si>
  <si>
    <t xml:space="preserve">            Egyéb intézményi bev. (gépjármű használat )</t>
  </si>
  <si>
    <t>104030 Gyermekek napközbeni ellátása (Bölcsőde)</t>
  </si>
  <si>
    <t xml:space="preserve">2. Fejlesztési céltartalék </t>
  </si>
  <si>
    <t>3.1. Nagyszénás Nagyközség Önkormányzata</t>
  </si>
  <si>
    <t xml:space="preserve">2. Működési célú kiadások és  tartalékok összesen: </t>
  </si>
  <si>
    <t xml:space="preserve">2. Felhalmozási célú kiadások  összesen: </t>
  </si>
  <si>
    <t xml:space="preserve">          Áfa visszatérülés</t>
  </si>
  <si>
    <t xml:space="preserve">           Alaptev. körében végzett szolgáltatás</t>
  </si>
  <si>
    <t>1.2.1. Kisértékű tárgyieszköz beruházás</t>
  </si>
  <si>
    <t>1.3.1. Kisértékű tárgyieszköz beruházás</t>
  </si>
  <si>
    <t>1.4.1. Kisértékű tárgyieszköz beruházás</t>
  </si>
  <si>
    <t>szakmai készlet, szakmai szolgáltatások, különféle kiadások, befizetések, ÁFA)</t>
  </si>
  <si>
    <t>I. A KÖLTSÉGVETÉS EGYENLEGE A MÜKÖDÉSI BEVÉTELEK,  KIADÁSOK   ÉS A TARTALÉKOK ALAPJÁN(1. -2.):</t>
  </si>
  <si>
    <t>III. A KÖLTSÉGVETÉS EGYENLEGE A MÜKÖDÉSI ÉS FELMOZÁSI BEVÉTELEK ÉS KIADÁSOK  ÉS TARTALÉKOK  ALAPJÁN (I+II):</t>
  </si>
  <si>
    <t>II. A  KÖLTSÉGVETÉS EGYENLEGE A FELHALMOZÁSI BEVÉTELEK, KIADÁSOK  ALAPJÁN(1. -2.):</t>
  </si>
  <si>
    <t>Tartalékok</t>
  </si>
  <si>
    <t>1.1.3. Kerékpár tároló kialakítása a házisegítségnyújtás telephelyén</t>
  </si>
  <si>
    <t>096010 Gyermekétkeztetés köznevelési intézményekben</t>
  </si>
  <si>
    <t xml:space="preserve">   - Közművelődési Kft. részére a közfeladatainak ellátásához biztosított támogatás </t>
  </si>
  <si>
    <t>2016. évi  működési célú pénzeszközátadás, egyéb támogatás, ellátottak pénzbeni juttatásai (Ft)</t>
  </si>
  <si>
    <t xml:space="preserve">Törvény szerinti illetmények </t>
  </si>
  <si>
    <t>Távfűtés díja</t>
  </si>
  <si>
    <t>IV. BELFÖLDI FINANSZÍROZÁSI KIADÁSOK</t>
  </si>
  <si>
    <t xml:space="preserve">1. ÁHT-n belüli megelőlegezés visszafizetése </t>
  </si>
  <si>
    <t>2. Rövidlejáratú hitelek vissza fizetése</t>
  </si>
  <si>
    <t>3. Óvadéki tartalék</t>
  </si>
  <si>
    <t>KIADÁSOK MINDÖSSZESEN (I+II+III+IV)</t>
  </si>
  <si>
    <t>1.3.2. Mulasztási bírság bevételek</t>
  </si>
  <si>
    <t>2.1. Egészségbiztosítási alaptól átvett pénzeszközök</t>
  </si>
  <si>
    <t>2.1.1. védőnői szolgálatra</t>
  </si>
  <si>
    <t>2.1.2. iskolaegészségügyi ellátásra</t>
  </si>
  <si>
    <t>2.1.3. gyermekorvosi ellátásra</t>
  </si>
  <si>
    <t>2.2.  Önkormányzat egyéb működési célú támogatásai</t>
  </si>
  <si>
    <t>2.2.1 Mezőőri szolgálat támogatása (önként vállalt önkormányzati feladat)</t>
  </si>
  <si>
    <t xml:space="preserve">2.2.2. Prémium évek program átvett pénzeszköz </t>
  </si>
  <si>
    <t>2.2.3. Hosszabb időtartamú közfoglalkoztatás támogatása</t>
  </si>
  <si>
    <t>Önkormányzati földterületek művelési költsége</t>
  </si>
  <si>
    <t>Kamatkiadások folyószámlahitelre</t>
  </si>
  <si>
    <t>104042 Család- és gyermekjóléti szolgáltatások</t>
  </si>
  <si>
    <t xml:space="preserve">             Parkfürdő jegybevétele</t>
  </si>
  <si>
    <t>081061 Szabadidős park, fürdő és strandszolgáltatás</t>
  </si>
  <si>
    <t>4. Működési célú pénzeszköz átadás, egyéb támogatás ÁHT-n kívülre</t>
  </si>
  <si>
    <t xml:space="preserve">4.1. Nagyszénás Nagyközség Önkormányzata </t>
  </si>
  <si>
    <t>4.1.1. társadalmi szervek támogatása</t>
  </si>
  <si>
    <t>4.1.2. egyéb szervezetek támogatása</t>
  </si>
  <si>
    <t xml:space="preserve">4.1.3. rendszeres pénzbeli ellátások </t>
  </si>
  <si>
    <t>4.1.4. eseti  pénzbeli ellátások</t>
  </si>
  <si>
    <t>Végkielégítés</t>
  </si>
  <si>
    <t>041237  Startmunka program</t>
  </si>
  <si>
    <t>Törvény szerinti illetmények (21fő)</t>
  </si>
  <si>
    <t>Táppénzhozzájárulás</t>
  </si>
  <si>
    <t>Czabán Samu Művelődési Ház és Könyvtár</t>
  </si>
  <si>
    <t>082091 Közművelődés-közösségi és társadalmi részvétel fejlesztése</t>
  </si>
  <si>
    <t>Törvény szerinti illetmények (december havi bérek)</t>
  </si>
  <si>
    <t>Törvény szerinti illetmények (41 fő)</t>
  </si>
  <si>
    <t>MŰVELŐDÉSI HÁZ ÉS KÖNYVTÁR ÖSSZESEN :</t>
  </si>
  <si>
    <t xml:space="preserve">            Termények értékesítési bevétele (földalapú támogatással)</t>
  </si>
  <si>
    <t xml:space="preserve">Szakmai tevékenységet segítő szolgáltatások </t>
  </si>
  <si>
    <t>2. Önkormányzat  egyéb működési célú támogatásai államháztartáson belülről</t>
  </si>
  <si>
    <t>3. Gondozási Központ támogatásai</t>
  </si>
  <si>
    <t>3.1. Foglalkoztatási támogatások</t>
  </si>
  <si>
    <t>1.1.1 Parkfürdő beruházási kiadásai</t>
  </si>
  <si>
    <t xml:space="preserve">    1.1.1.1. Parkfürdő hangosítás</t>
  </si>
  <si>
    <t xml:space="preserve">    1.1.1.2. Parkfürdő vízalatti porszívó</t>
  </si>
  <si>
    <t xml:space="preserve">    1.1.1.3. Parkfürdő öntözőrendszer</t>
  </si>
  <si>
    <t>1.1.2. Kisértékű tárgyieszköz beruházás</t>
  </si>
  <si>
    <t>Reklám és propaganda célú kiadások</t>
  </si>
  <si>
    <t>1.3.1. Helyiadó pótlék bevétele</t>
  </si>
  <si>
    <t xml:space="preserve">   - rendkívüli települési támogatás </t>
  </si>
  <si>
    <t xml:space="preserve">   - tanévkezdési támogatás</t>
  </si>
  <si>
    <t xml:space="preserve">    - átmeneti segély a kötelező szemétszállítás kompenzálásához</t>
  </si>
  <si>
    <t xml:space="preserve">    - lakhatási támogatás</t>
  </si>
  <si>
    <t>2.1.1. Kulturális Központ felújítása (színpad, táncterem mennyezet)</t>
  </si>
  <si>
    <t xml:space="preserve">   - babakelengye támogatás</t>
  </si>
  <si>
    <r>
      <t xml:space="preserve">Törvény szerinti illetmények </t>
    </r>
    <r>
      <rPr>
        <sz val="8"/>
        <rFont val="Arial CE"/>
        <charset val="238"/>
      </rPr>
      <t>(11 fő)</t>
    </r>
  </si>
  <si>
    <r>
      <t xml:space="preserve">Törvény szerinti illetmények </t>
    </r>
    <r>
      <rPr>
        <sz val="8"/>
        <rFont val="Arial CE"/>
        <charset val="238"/>
      </rPr>
      <t>(3 fő)</t>
    </r>
  </si>
  <si>
    <t>Megbízási díj</t>
  </si>
  <si>
    <t>Egyéb szakmai szolgáltatások (fák gallyazása, törmelék elszállítása)</t>
  </si>
  <si>
    <t>2.1.2. József Attila utcai óvoda felújítása (vizes blokk, járdák, ablakok, kerítés)</t>
  </si>
  <si>
    <t xml:space="preserve">FELHALMOZÁSI CÉLÚ  BEVÉTELEK  ÖSSZESEN (IV): </t>
  </si>
  <si>
    <t>MŰKÖDÉSI ÉS FELHALMOZÁSI CÉLÚ  BEVÉTELEK  ÖSSZESEN: (I+II+III+IV)</t>
  </si>
  <si>
    <t>V. Költségvetési maradványok</t>
  </si>
  <si>
    <t>BEVÉTELEK MINDÖSSZESEN: (I+II+III+IV+V)</t>
  </si>
  <si>
    <t>Működési bevételek kormányzati funkciónként 2016.</t>
  </si>
  <si>
    <t xml:space="preserve">   - lakásvásárlás támogatása</t>
  </si>
  <si>
    <r>
      <t xml:space="preserve">Törvény szerinti illetmények </t>
    </r>
    <r>
      <rPr>
        <sz val="10"/>
        <rFont val="Arial"/>
        <family val="2"/>
        <charset val="238"/>
      </rPr>
      <t>(9 fő)</t>
    </r>
  </si>
  <si>
    <t xml:space="preserve">GONDOZÁSI KÖZPONT ÖSSZESEN: ( 32 fő közalk. + 1 fő részm. közalk. + 9 fő közcélú foglalkoztatott) </t>
  </si>
  <si>
    <r>
      <t xml:space="preserve">Törvény szerinti illetmények </t>
    </r>
    <r>
      <rPr>
        <sz val="8"/>
        <rFont val="Arial CE"/>
        <charset val="238"/>
      </rPr>
      <t>(7 fő)</t>
    </r>
  </si>
  <si>
    <r>
      <t xml:space="preserve">Törvény szerinti illetmények </t>
    </r>
    <r>
      <rPr>
        <sz val="8"/>
        <rFont val="Arial CE"/>
        <charset val="238"/>
      </rPr>
      <t>(14 fő)</t>
    </r>
  </si>
  <si>
    <t>Törvény szerinti illetmények (1fő + 1 fő részmunkaidős))</t>
  </si>
  <si>
    <t xml:space="preserve">    1.1.1.4. Parkfürdő online pénztárgép</t>
  </si>
  <si>
    <t xml:space="preserve">NAGYSZÉNÁSI ÖNKORMÁNYZATI ÓVODA ÖSSZESEN: (22 fő közalk. + 1 fő részmunkaidős közalk.) </t>
  </si>
  <si>
    <t>1.3.2.1. Család- és gyermekjóléti szolgálat</t>
  </si>
  <si>
    <t>2.1.3. Ivóvízhálózat rekonstrukciós munkák</t>
  </si>
  <si>
    <t>1.3.4.  Kiegészítő támogatás a bölcsődében foglalkoztatott, felsőfokú végzettségű kisgyermeknevelők                   béréhez</t>
  </si>
  <si>
    <t>1.1.3. A 2015. évről áthúzódó bérkompenzáció támogatása</t>
  </si>
  <si>
    <t>Szakmai tevékenységet segítő szolgáltatások (Nagyszénás újság, kábel TV))</t>
  </si>
  <si>
    <t xml:space="preserve">1.1.1. Szennyvízberuházás támogatása </t>
  </si>
  <si>
    <t>Prémiuméves foglalkoztatott</t>
  </si>
  <si>
    <t>Kamatkiadások fejlesztési hitelre</t>
  </si>
  <si>
    <t>Egyéb szolgáltatások (postai díjak, megbízási díjak)</t>
  </si>
  <si>
    <t>081061 Szabadidős park, fürdő és strandszolgáltatás (termálhő szolgáltatása)</t>
  </si>
  <si>
    <r>
      <t xml:space="preserve">NAGYSZÉNÁS NAGYKÖZSÉG ÖNKORMÁNYZATA ÖSSZESEN:      ( 17 fő + 2 fő félmunkaidős MT szerinti alkalmazot,  </t>
    </r>
    <r>
      <rPr>
        <b/>
        <u/>
        <sz val="8"/>
        <rFont val="Arial CE"/>
        <charset val="238"/>
      </rPr>
      <t>62</t>
    </r>
    <r>
      <rPr>
        <b/>
        <u/>
        <sz val="8"/>
        <rFont val="Arial CE"/>
        <family val="2"/>
        <charset val="238"/>
      </rPr>
      <t xml:space="preserve"> fő közcélú fogl.)</t>
    </r>
  </si>
  <si>
    <t>Törvény szerinti illetmények (17 fő + 2 fő részmunkaidős)</t>
  </si>
  <si>
    <t>2.2. Polgármesteri Hivatal</t>
  </si>
  <si>
    <t>2.3. Gondozási Központ</t>
  </si>
  <si>
    <t>2.4. Nagyszénási Önkormányzati Óvoda</t>
  </si>
  <si>
    <t>2.5. Czabán Samu Művelődési Ház és Könyvtár</t>
  </si>
  <si>
    <t>3.2. Polgármesteri Hivatal</t>
  </si>
  <si>
    <t>3.3. Gondozási Központ</t>
  </si>
  <si>
    <t>3.4. Nagyszénási Önkormányzati Óvoda</t>
  </si>
  <si>
    <t>3.5. Czabán Samu Művelődési Ház és Könyvtár</t>
  </si>
  <si>
    <t>1.Nagyszénás Nagyközség Önkormányzata</t>
  </si>
  <si>
    <t>3. Gondozási Központ</t>
  </si>
  <si>
    <t>4. Nagyszénási Önkormányzati Óvoda</t>
  </si>
  <si>
    <t>5. Czabán Samu művelődési Ház és Könyvtár</t>
  </si>
  <si>
    <t>910502 Közművelődési intézmények, közösségi színterek működtetése</t>
  </si>
  <si>
    <t xml:space="preserve">           Helyiségek bérbeadása</t>
  </si>
  <si>
    <t>1.5. Czabán Samu művelődési Ház és Könyvtár</t>
  </si>
  <si>
    <t>Kulturális, szabadidős tevékenység szolgáltatási kiadásai</t>
  </si>
  <si>
    <t>Törvény szerinti illetmények (22 fő)</t>
  </si>
  <si>
    <r>
      <t xml:space="preserve">POLGÁRMESTERI HIVATAL ÖSSZESEN: (polgármester, 18 fő kt.,  </t>
    </r>
    <r>
      <rPr>
        <b/>
        <u/>
        <sz val="8"/>
        <rFont val="Arial CE"/>
        <charset val="238"/>
      </rPr>
      <t>10 fő Mt</t>
    </r>
    <r>
      <rPr>
        <b/>
        <u/>
        <sz val="8"/>
        <rFont val="Arial CE"/>
        <family val="2"/>
        <charset val="238"/>
      </rPr>
      <t>., 1 prémium éves alkalmazott)</t>
    </r>
  </si>
  <si>
    <t>3.1.2. NTp. Nagyszénás Nonprofit Kft. törzstőke emelése</t>
  </si>
  <si>
    <t>3.1.1. Nagyszénási Kulturális Központ Nonprofit Kft. törzstőkéjének elhelyezése</t>
  </si>
  <si>
    <t>Költségtérítés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</si>
</sst>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51">
    <font>
      <sz val="10"/>
      <name val="Arial"/>
      <family val="2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sz val="10"/>
      <name val="Arial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u/>
      <sz val="8"/>
      <name val="Arial"/>
      <family val="2"/>
    </font>
    <font>
      <i/>
      <sz val="8"/>
      <name val="Arial"/>
      <family val="2"/>
      <charset val="238"/>
    </font>
    <font>
      <b/>
      <i/>
      <sz val="11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10"/>
      <name val="Arial CE"/>
      <family val="2"/>
      <charset val="238"/>
    </font>
    <font>
      <b/>
      <u/>
      <sz val="8"/>
      <name val="Arial CE"/>
      <charset val="238"/>
    </font>
    <font>
      <b/>
      <i/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i/>
      <sz val="10"/>
      <name val="Arial CE"/>
      <family val="2"/>
      <charset val="238"/>
    </font>
    <font>
      <u/>
      <sz val="8"/>
      <name val="Arial CE"/>
      <charset val="238"/>
    </font>
    <font>
      <i/>
      <sz val="8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44"/>
      <name val="Arial"/>
      <family val="2"/>
      <charset val="238"/>
    </font>
    <font>
      <sz val="10"/>
      <name val="MS Sans Serif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7" borderId="1" applyNumberFormat="0" applyAlignment="0" applyProtection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16" borderId="5" applyNumberFormat="0" applyAlignment="0" applyProtection="0"/>
    <xf numFmtId="164" fontId="17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1" fillId="17" borderId="7" applyNumberFormat="0" applyFont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9" fillId="4" borderId="0" applyNumberFormat="0" applyBorder="0" applyAlignment="0" applyProtection="0"/>
    <xf numFmtId="0" fontId="30" fillId="22" borderId="8" applyNumberFormat="0" applyAlignment="0" applyProtection="0"/>
    <xf numFmtId="0" fontId="31" fillId="0" borderId="0" applyNumberFormat="0" applyFill="0" applyBorder="0" applyAlignment="0" applyProtection="0"/>
    <xf numFmtId="0" fontId="50" fillId="0" borderId="0"/>
    <xf numFmtId="0" fontId="17" fillId="0" borderId="0"/>
    <xf numFmtId="0" fontId="2" fillId="0" borderId="0"/>
    <xf numFmtId="0" fontId="1" fillId="0" borderId="0"/>
    <xf numFmtId="0" fontId="17" fillId="0" borderId="0"/>
    <xf numFmtId="0" fontId="32" fillId="0" borderId="9" applyNumberFormat="0" applyFill="0" applyAlignment="0" applyProtection="0"/>
    <xf numFmtId="0" fontId="33" fillId="3" borderId="0" applyNumberFormat="0" applyBorder="0" applyAlignment="0" applyProtection="0"/>
    <xf numFmtId="0" fontId="34" fillId="23" borderId="0" applyNumberFormat="0" applyBorder="0" applyAlignment="0" applyProtection="0"/>
    <xf numFmtId="0" fontId="35" fillId="22" borderId="1" applyNumberFormat="0" applyAlignment="0" applyProtection="0"/>
  </cellStyleXfs>
  <cellXfs count="243">
    <xf numFmtId="0" fontId="0" fillId="0" borderId="0" xfId="0"/>
    <xf numFmtId="0" fontId="2" fillId="0" borderId="0" xfId="41"/>
    <xf numFmtId="3" fontId="2" fillId="0" borderId="0" xfId="41" applyNumberFormat="1"/>
    <xf numFmtId="0" fontId="3" fillId="0" borderId="0" xfId="41" applyFont="1"/>
    <xf numFmtId="0" fontId="2" fillId="0" borderId="0" xfId="41" applyFont="1"/>
    <xf numFmtId="3" fontId="2" fillId="0" borderId="0" xfId="41" applyNumberFormat="1" applyFont="1"/>
    <xf numFmtId="3" fontId="4" fillId="0" borderId="0" xfId="0" applyNumberFormat="1" applyFont="1"/>
    <xf numFmtId="0" fontId="3" fillId="0" borderId="0" xfId="0" applyFont="1" applyAlignment="1">
      <alignment horizontal="center"/>
    </xf>
    <xf numFmtId="3" fontId="4" fillId="0" borderId="10" xfId="0" applyNumberFormat="1" applyFont="1" applyBorder="1"/>
    <xf numFmtId="0" fontId="5" fillId="24" borderId="11" xfId="0" applyFont="1" applyFill="1" applyBorder="1"/>
    <xf numFmtId="3" fontId="6" fillId="24" borderId="12" xfId="0" applyNumberFormat="1" applyFont="1" applyFill="1" applyBorder="1"/>
    <xf numFmtId="0" fontId="5" fillId="0" borderId="0" xfId="0" applyFont="1" applyBorder="1"/>
    <xf numFmtId="3" fontId="6" fillId="0" borderId="0" xfId="0" applyNumberFormat="1" applyFont="1"/>
    <xf numFmtId="0" fontId="7" fillId="0" borderId="0" xfId="0" applyFont="1" applyBorder="1"/>
    <xf numFmtId="0" fontId="8" fillId="0" borderId="0" xfId="0" applyFont="1" applyBorder="1"/>
    <xf numFmtId="3" fontId="9" fillId="0" borderId="0" xfId="0" applyNumberFormat="1" applyFont="1"/>
    <xf numFmtId="0" fontId="7" fillId="0" borderId="0" xfId="0" applyFont="1"/>
    <xf numFmtId="0" fontId="5" fillId="0" borderId="0" xfId="0" applyFont="1" applyFill="1" applyBorder="1"/>
    <xf numFmtId="0" fontId="5" fillId="0" borderId="0" xfId="0" applyFont="1"/>
    <xf numFmtId="0" fontId="8" fillId="0" borderId="0" xfId="0" applyFont="1"/>
    <xf numFmtId="0" fontId="4" fillId="0" borderId="0" xfId="0" applyFont="1"/>
    <xf numFmtId="3" fontId="4" fillId="0" borderId="0" xfId="26" applyNumberFormat="1" applyFont="1" applyFill="1" applyBorder="1" applyAlignment="1" applyProtection="1"/>
    <xf numFmtId="0" fontId="7" fillId="0" borderId="0" xfId="41" applyFont="1"/>
    <xf numFmtId="0" fontId="7" fillId="0" borderId="0" xfId="41" applyFont="1" applyBorder="1"/>
    <xf numFmtId="3" fontId="7" fillId="0" borderId="0" xfId="41" applyNumberFormat="1" applyFont="1" applyBorder="1"/>
    <xf numFmtId="0" fontId="7" fillId="0" borderId="0" xfId="41" applyFont="1" applyFill="1" applyBorder="1"/>
    <xf numFmtId="0" fontId="7" fillId="0" borderId="0" xfId="41" applyFont="1" applyBorder="1" applyAlignment="1">
      <alignment horizontal="left"/>
    </xf>
    <xf numFmtId="3" fontId="7" fillId="0" borderId="0" xfId="41" applyNumberFormat="1" applyFont="1"/>
    <xf numFmtId="3" fontId="7" fillId="0" borderId="0" xfId="41" applyNumberFormat="1" applyFont="1" applyBorder="1" applyAlignment="1">
      <alignment horizontal="center"/>
    </xf>
    <xf numFmtId="3" fontId="5" fillId="0" borderId="0" xfId="41" applyNumberFormat="1" applyFont="1"/>
    <xf numFmtId="0" fontId="10" fillId="0" borderId="0" xfId="41" applyFont="1" applyBorder="1"/>
    <xf numFmtId="0" fontId="5" fillId="0" borderId="0" xfId="41" applyFont="1" applyFill="1" applyBorder="1"/>
    <xf numFmtId="3" fontId="5" fillId="0" borderId="0" xfId="41" applyNumberFormat="1" applyFont="1" applyFill="1" applyBorder="1"/>
    <xf numFmtId="0" fontId="3" fillId="0" borderId="0" xfId="41" applyFont="1" applyFill="1"/>
    <xf numFmtId="3" fontId="7" fillId="0" borderId="0" xfId="41" applyNumberFormat="1" applyFont="1" applyFill="1" applyAlignment="1">
      <alignment horizontal="center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3" fontId="5" fillId="0" borderId="0" xfId="0" applyNumberFormat="1" applyFont="1" applyBorder="1" applyAlignment="1">
      <alignment horizontal="right"/>
    </xf>
    <xf numFmtId="0" fontId="12" fillId="0" borderId="0" xfId="0" applyFont="1" applyBorder="1" applyAlignment="1"/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/>
    <xf numFmtId="0" fontId="7" fillId="0" borderId="0" xfId="0" applyFont="1" applyFill="1" applyBorder="1" applyAlignment="1"/>
    <xf numFmtId="3" fontId="13" fillId="0" borderId="0" xfId="0" applyNumberFormat="1" applyFont="1"/>
    <xf numFmtId="3" fontId="14" fillId="0" borderId="0" xfId="0" applyNumberFormat="1" applyFont="1"/>
    <xf numFmtId="3" fontId="6" fillId="24" borderId="13" xfId="0" applyNumberFormat="1" applyFont="1" applyFill="1" applyBorder="1"/>
    <xf numFmtId="3" fontId="5" fillId="24" borderId="13" xfId="0" applyNumberFormat="1" applyFont="1" applyFill="1" applyBorder="1"/>
    <xf numFmtId="0" fontId="10" fillId="0" borderId="0" xfId="41" applyFont="1"/>
    <xf numFmtId="3" fontId="0" fillId="0" borderId="0" xfId="0" applyNumberFormat="1"/>
    <xf numFmtId="0" fontId="17" fillId="0" borderId="0" xfId="0" applyFont="1"/>
    <xf numFmtId="0" fontId="5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3" fontId="14" fillId="25" borderId="14" xfId="0" applyNumberFormat="1" applyFont="1" applyFill="1" applyBorder="1"/>
    <xf numFmtId="3" fontId="14" fillId="25" borderId="14" xfId="26" applyNumberFormat="1" applyFont="1" applyFill="1" applyBorder="1" applyAlignment="1" applyProtection="1"/>
    <xf numFmtId="0" fontId="18" fillId="0" borderId="0" xfId="0" applyFont="1"/>
    <xf numFmtId="3" fontId="14" fillId="0" borderId="0" xfId="26" applyNumberFormat="1" applyFont="1" applyFill="1" applyBorder="1" applyAlignment="1" applyProtection="1"/>
    <xf numFmtId="0" fontId="5" fillId="24" borderId="15" xfId="0" applyFont="1" applyFill="1" applyBorder="1"/>
    <xf numFmtId="0" fontId="15" fillId="0" borderId="0" xfId="0" applyFont="1" applyFill="1" applyBorder="1"/>
    <xf numFmtId="0" fontId="5" fillId="24" borderId="15" xfId="41" applyFont="1" applyFill="1" applyBorder="1"/>
    <xf numFmtId="0" fontId="15" fillId="0" borderId="0" xfId="0" applyFont="1"/>
    <xf numFmtId="3" fontId="36" fillId="0" borderId="0" xfId="0" applyNumberFormat="1" applyFont="1"/>
    <xf numFmtId="3" fontId="14" fillId="24" borderId="12" xfId="0" applyNumberFormat="1" applyFont="1" applyFill="1" applyBorder="1"/>
    <xf numFmtId="3" fontId="13" fillId="0" borderId="16" xfId="0" applyNumberFormat="1" applyFont="1" applyBorder="1"/>
    <xf numFmtId="3" fontId="14" fillId="24" borderId="13" xfId="0" applyNumberFormat="1" applyFont="1" applyFill="1" applyBorder="1"/>
    <xf numFmtId="3" fontId="13" fillId="0" borderId="0" xfId="0" applyNumberFormat="1" applyFont="1" applyBorder="1"/>
    <xf numFmtId="3" fontId="14" fillId="25" borderId="16" xfId="40" applyNumberFormat="1" applyFont="1" applyFill="1" applyBorder="1"/>
    <xf numFmtId="0" fontId="5" fillId="24" borderId="17" xfId="41" applyFont="1" applyFill="1" applyBorder="1"/>
    <xf numFmtId="0" fontId="5" fillId="0" borderId="0" xfId="41" applyFont="1" applyBorder="1"/>
    <xf numFmtId="0" fontId="7" fillId="0" borderId="16" xfId="41" applyFont="1" applyBorder="1"/>
    <xf numFmtId="3" fontId="7" fillId="0" borderId="16" xfId="41" applyNumberFormat="1" applyFont="1" applyBorder="1" applyAlignment="1">
      <alignment horizontal="right"/>
    </xf>
    <xf numFmtId="0" fontId="14" fillId="25" borderId="15" xfId="40" applyFont="1" applyFill="1" applyBorder="1" applyAlignment="1">
      <alignment wrapText="1"/>
    </xf>
    <xf numFmtId="0" fontId="11" fillId="0" borderId="0" xfId="0" applyFont="1" applyAlignment="1">
      <alignment horizontal="left"/>
    </xf>
    <xf numFmtId="0" fontId="5" fillId="24" borderId="18" xfId="0" applyFont="1" applyFill="1" applyBorder="1"/>
    <xf numFmtId="3" fontId="6" fillId="24" borderId="16" xfId="0" applyNumberFormat="1" applyFont="1" applyFill="1" applyBorder="1"/>
    <xf numFmtId="0" fontId="6" fillId="25" borderId="14" xfId="0" applyFont="1" applyFill="1" applyBorder="1"/>
    <xf numFmtId="3" fontId="6" fillId="25" borderId="14" xfId="0" applyNumberFormat="1" applyFont="1" applyFill="1" applyBorder="1"/>
    <xf numFmtId="0" fontId="15" fillId="0" borderId="0" xfId="0" applyFont="1" applyBorder="1"/>
    <xf numFmtId="3" fontId="15" fillId="0" borderId="0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4" fontId="7" fillId="0" borderId="0" xfId="0" applyNumberFormat="1" applyFont="1"/>
    <xf numFmtId="0" fontId="6" fillId="0" borderId="0" xfId="0" applyFont="1"/>
    <xf numFmtId="3" fontId="14" fillId="0" borderId="0" xfId="0" applyNumberFormat="1" applyFont="1" applyFill="1" applyBorder="1"/>
    <xf numFmtId="0" fontId="5" fillId="24" borderId="19" xfId="0" applyFont="1" applyFill="1" applyBorder="1"/>
    <xf numFmtId="0" fontId="7" fillId="0" borderId="16" xfId="0" applyFont="1" applyBorder="1"/>
    <xf numFmtId="3" fontId="14" fillId="0" borderId="16" xfId="26" applyNumberFormat="1" applyFont="1" applyFill="1" applyBorder="1" applyAlignment="1" applyProtection="1"/>
    <xf numFmtId="3" fontId="14" fillId="25" borderId="16" xfId="26" applyNumberFormat="1" applyFont="1" applyFill="1" applyBorder="1" applyAlignment="1" applyProtection="1"/>
    <xf numFmtId="0" fontId="14" fillId="0" borderId="0" xfId="40" applyFont="1" applyFill="1" applyBorder="1" applyAlignment="1">
      <alignment wrapText="1"/>
    </xf>
    <xf numFmtId="0" fontId="15" fillId="0" borderId="0" xfId="0" applyFont="1" applyBorder="1" applyAlignment="1"/>
    <xf numFmtId="0" fontId="38" fillId="0" borderId="0" xfId="0" applyFont="1" applyFill="1" applyBorder="1" applyAlignment="1">
      <alignment horizontal="center"/>
    </xf>
    <xf numFmtId="3" fontId="11" fillId="0" borderId="0" xfId="0" applyNumberFormat="1" applyFont="1"/>
    <xf numFmtId="3" fontId="14" fillId="0" borderId="0" xfId="26" applyNumberFormat="1" applyFont="1" applyAlignment="1">
      <alignment horizontal="right"/>
    </xf>
    <xf numFmtId="3" fontId="10" fillId="0" borderId="0" xfId="41" applyNumberFormat="1" applyFont="1"/>
    <xf numFmtId="3" fontId="15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5" fillId="24" borderId="20" xfId="41" applyNumberFormat="1" applyFont="1" applyFill="1" applyBorder="1"/>
    <xf numFmtId="3" fontId="5" fillId="0" borderId="0" xfId="41" applyNumberFormat="1" applyFont="1" applyBorder="1"/>
    <xf numFmtId="3" fontId="7" fillId="0" borderId="0" xfId="41" applyNumberFormat="1" applyFont="1" applyFill="1" applyBorder="1"/>
    <xf numFmtId="3" fontId="16" fillId="25" borderId="21" xfId="41" applyNumberFormat="1" applyFont="1" applyFill="1" applyBorder="1"/>
    <xf numFmtId="3" fontId="16" fillId="0" borderId="0" xfId="41" applyNumberFormat="1" applyFont="1" applyBorder="1"/>
    <xf numFmtId="3" fontId="5" fillId="24" borderId="21" xfId="41" applyNumberFormat="1" applyFont="1" applyFill="1" applyBorder="1"/>
    <xf numFmtId="0" fontId="5" fillId="0" borderId="0" xfId="41" applyFont="1" applyFill="1" applyBorder="1" applyAlignment="1">
      <alignment horizontal="center"/>
    </xf>
    <xf numFmtId="2" fontId="15" fillId="0" borderId="0" xfId="41" applyNumberFormat="1" applyFont="1" applyBorder="1"/>
    <xf numFmtId="0" fontId="10" fillId="0" borderId="0" xfId="0" applyFont="1" applyBorder="1"/>
    <xf numFmtId="0" fontId="10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left" vertical="top" wrapText="1"/>
    </xf>
    <xf numFmtId="3" fontId="16" fillId="0" borderId="0" xfId="41" applyNumberFormat="1" applyFont="1" applyFill="1" applyBorder="1"/>
    <xf numFmtId="0" fontId="11" fillId="0" borderId="0" xfId="0" applyFont="1" applyAlignment="1">
      <alignment horizontal="center"/>
    </xf>
    <xf numFmtId="3" fontId="6" fillId="0" borderId="0" xfId="42" applyNumberFormat="1" applyFont="1" applyFill="1" applyBorder="1"/>
    <xf numFmtId="3" fontId="4" fillId="0" borderId="0" xfId="42" applyNumberFormat="1" applyFont="1" applyFill="1" applyBorder="1" applyAlignment="1">
      <alignment horizontal="right"/>
    </xf>
    <xf numFmtId="3" fontId="6" fillId="0" borderId="0" xfId="42" applyNumberFormat="1" applyFont="1" applyFill="1" applyBorder="1" applyAlignment="1">
      <alignment horizontal="right"/>
    </xf>
    <xf numFmtId="0" fontId="4" fillId="0" borderId="0" xfId="42" applyFont="1" applyBorder="1"/>
    <xf numFmtId="3" fontId="14" fillId="25" borderId="16" xfId="0" applyNumberFormat="1" applyFont="1" applyFill="1" applyBorder="1"/>
    <xf numFmtId="3" fontId="6" fillId="0" borderId="0" xfId="0" applyNumberFormat="1" applyFont="1" applyFill="1" applyBorder="1"/>
    <xf numFmtId="0" fontId="10" fillId="0" borderId="0" xfId="41" applyFont="1" applyFill="1" applyBorder="1" applyAlignment="1">
      <alignment horizontal="center"/>
    </xf>
    <xf numFmtId="0" fontId="41" fillId="0" borderId="0" xfId="41" applyFont="1" applyBorder="1" applyAlignment="1">
      <alignment horizontal="center"/>
    </xf>
    <xf numFmtId="3" fontId="10" fillId="0" borderId="0" xfId="41" applyNumberFormat="1" applyFont="1" applyFill="1" applyBorder="1"/>
    <xf numFmtId="3" fontId="15" fillId="0" borderId="0" xfId="41" applyNumberFormat="1" applyFont="1"/>
    <xf numFmtId="0" fontId="6" fillId="25" borderId="22" xfId="42" applyFont="1" applyFill="1" applyBorder="1" applyAlignment="1">
      <alignment horizontal="left"/>
    </xf>
    <xf numFmtId="0" fontId="6" fillId="0" borderId="0" xfId="42" applyFont="1" applyFill="1" applyAlignment="1">
      <alignment horizontal="left"/>
    </xf>
    <xf numFmtId="0" fontId="6" fillId="0" borderId="0" xfId="42" applyFont="1" applyFill="1" applyAlignment="1">
      <alignment horizontal="center"/>
    </xf>
    <xf numFmtId="0" fontId="6" fillId="0" borderId="0" xfId="42" applyFont="1" applyFill="1" applyBorder="1" applyAlignment="1">
      <alignment horizontal="left"/>
    </xf>
    <xf numFmtId="0" fontId="4" fillId="0" borderId="0" xfId="42" applyFont="1" applyFill="1" applyBorder="1"/>
    <xf numFmtId="0" fontId="14" fillId="25" borderId="15" xfId="40" applyFont="1" applyFill="1" applyBorder="1" applyAlignment="1">
      <alignment vertical="center" wrapText="1"/>
    </xf>
    <xf numFmtId="0" fontId="3" fillId="0" borderId="0" xfId="41" applyFont="1" applyBorder="1"/>
    <xf numFmtId="0" fontId="5" fillId="24" borderId="23" xfId="41" applyFont="1" applyFill="1" applyBorder="1"/>
    <xf numFmtId="3" fontId="5" fillId="24" borderId="24" xfId="41" applyNumberFormat="1" applyFont="1" applyFill="1" applyBorder="1"/>
    <xf numFmtId="0" fontId="43" fillId="0" borderId="0" xfId="0" applyFont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15" fillId="0" borderId="0" xfId="41" applyFont="1" applyBorder="1"/>
    <xf numFmtId="3" fontId="41" fillId="0" borderId="0" xfId="41" applyNumberFormat="1" applyFont="1"/>
    <xf numFmtId="0" fontId="16" fillId="0" borderId="0" xfId="0" applyFont="1" applyBorder="1"/>
    <xf numFmtId="0" fontId="7" fillId="0" borderId="0" xfId="0" applyFont="1" applyFill="1" applyBorder="1"/>
    <xf numFmtId="0" fontId="39" fillId="0" borderId="0" xfId="42" applyFont="1" applyAlignment="1">
      <alignment horizontal="center"/>
    </xf>
    <xf numFmtId="165" fontId="17" fillId="0" borderId="0" xfId="26" applyNumberFormat="1"/>
    <xf numFmtId="0" fontId="45" fillId="0" borderId="0" xfId="0" applyFont="1" applyBorder="1"/>
    <xf numFmtId="3" fontId="7" fillId="0" borderId="25" xfId="0" applyNumberFormat="1" applyFont="1" applyBorder="1" applyAlignment="1">
      <alignment horizontal="right"/>
    </xf>
    <xf numFmtId="0" fontId="16" fillId="0" borderId="0" xfId="41" applyFont="1" applyBorder="1" applyAlignment="1">
      <alignment vertical="top" wrapText="1"/>
    </xf>
    <xf numFmtId="0" fontId="42" fillId="0" borderId="0" xfId="42" applyFont="1" applyFill="1" applyBorder="1" applyAlignment="1">
      <alignment horizontal="left"/>
    </xf>
    <xf numFmtId="3" fontId="4" fillId="0" borderId="0" xfId="26" applyNumberFormat="1" applyFont="1" applyFill="1" applyBorder="1"/>
    <xf numFmtId="49" fontId="8" fillId="0" borderId="0" xfId="0" applyNumberFormat="1" applyFont="1" applyBorder="1" applyAlignment="1">
      <alignment horizontal="left"/>
    </xf>
    <xf numFmtId="0" fontId="16" fillId="0" borderId="0" xfId="0" applyFont="1" applyFill="1" applyBorder="1" applyAlignment="1">
      <alignment horizontal="center" wrapText="1"/>
    </xf>
    <xf numFmtId="3" fontId="42" fillId="0" borderId="0" xfId="42" applyNumberFormat="1" applyFont="1" applyFill="1" applyBorder="1" applyAlignment="1">
      <alignment horizontal="right"/>
    </xf>
    <xf numFmtId="0" fontId="7" fillId="0" borderId="0" xfId="41" applyFont="1" applyAlignment="1">
      <alignment horizontal="right"/>
    </xf>
    <xf numFmtId="3" fontId="7" fillId="0" borderId="0" xfId="41" applyNumberFormat="1" applyFont="1" applyAlignment="1">
      <alignment horizontal="right"/>
    </xf>
    <xf numFmtId="3" fontId="6" fillId="25" borderId="22" xfId="42" applyNumberFormat="1" applyFont="1" applyFill="1" applyBorder="1" applyAlignment="1">
      <alignment horizontal="right"/>
    </xf>
    <xf numFmtId="3" fontId="39" fillId="0" borderId="0" xfId="0" applyNumberFormat="1" applyFont="1"/>
    <xf numFmtId="0" fontId="46" fillId="0" borderId="0" xfId="0" applyFont="1" applyBorder="1"/>
    <xf numFmtId="3" fontId="37" fillId="0" borderId="0" xfId="0" applyNumberFormat="1" applyFont="1"/>
    <xf numFmtId="3" fontId="0" fillId="0" borderId="0" xfId="0" applyNumberFormat="1" applyFont="1"/>
    <xf numFmtId="0" fontId="41" fillId="0" borderId="0" xfId="0" applyFont="1"/>
    <xf numFmtId="0" fontId="11" fillId="0" borderId="0" xfId="0" applyFont="1"/>
    <xf numFmtId="3" fontId="14" fillId="0" borderId="16" xfId="0" applyNumberFormat="1" applyFont="1" applyFill="1" applyBorder="1"/>
    <xf numFmtId="0" fontId="10" fillId="0" borderId="0" xfId="0" applyFont="1" applyFill="1" applyBorder="1"/>
    <xf numFmtId="3" fontId="39" fillId="0" borderId="0" xfId="0" applyNumberFormat="1" applyFont="1" applyFill="1" applyBorder="1"/>
    <xf numFmtId="0" fontId="4" fillId="0" borderId="0" xfId="0" applyFont="1" applyFill="1"/>
    <xf numFmtId="3" fontId="4" fillId="0" borderId="0" xfId="0" applyNumberFormat="1" applyFont="1" applyFill="1"/>
    <xf numFmtId="3" fontId="39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14" fontId="15" fillId="0" borderId="0" xfId="0" applyNumberFormat="1" applyFont="1" applyBorder="1"/>
    <xf numFmtId="0" fontId="5" fillId="0" borderId="16" xfId="0" applyFont="1" applyFill="1" applyBorder="1"/>
    <xf numFmtId="0" fontId="48" fillId="0" borderId="0" xfId="0" applyFont="1"/>
    <xf numFmtId="3" fontId="16" fillId="0" borderId="0" xfId="41" applyNumberFormat="1" applyFont="1"/>
    <xf numFmtId="0" fontId="5" fillId="0" borderId="0" xfId="0" applyFont="1" applyFill="1" applyBorder="1" applyAlignment="1">
      <alignment wrapText="1"/>
    </xf>
    <xf numFmtId="0" fontId="47" fillId="0" borderId="0" xfId="0" applyFont="1" applyFill="1" applyBorder="1" applyAlignment="1">
      <alignment horizontal="left"/>
    </xf>
    <xf numFmtId="0" fontId="5" fillId="25" borderId="16" xfId="41" applyFont="1" applyFill="1" applyBorder="1" applyAlignment="1">
      <alignment wrapText="1"/>
    </xf>
    <xf numFmtId="3" fontId="9" fillId="0" borderId="0" xfId="0" applyNumberFormat="1" applyFont="1" applyFill="1" applyBorder="1"/>
    <xf numFmtId="0" fontId="37" fillId="0" borderId="0" xfId="0" applyFont="1"/>
    <xf numFmtId="0" fontId="37" fillId="0" borderId="0" xfId="0" applyFont="1" applyAlignment="1">
      <alignment horizontal="left"/>
    </xf>
    <xf numFmtId="0" fontId="5" fillId="24" borderId="26" xfId="0" applyFont="1" applyFill="1" applyBorder="1"/>
    <xf numFmtId="3" fontId="6" fillId="24" borderId="16" xfId="26" applyNumberFormat="1" applyFont="1" applyFill="1" applyBorder="1" applyAlignment="1">
      <alignment horizontal="right"/>
    </xf>
    <xf numFmtId="3" fontId="4" fillId="0" borderId="0" xfId="26" applyNumberFormat="1" applyFont="1" applyAlignment="1">
      <alignment horizontal="right"/>
    </xf>
    <xf numFmtId="2" fontId="15" fillId="0" borderId="0" xfId="0" applyNumberFormat="1" applyFont="1" applyFill="1" applyBorder="1" applyAlignment="1">
      <alignment vertical="top" wrapText="1"/>
    </xf>
    <xf numFmtId="49" fontId="4" fillId="0" borderId="0" xfId="0" applyNumberFormat="1" applyFont="1"/>
    <xf numFmtId="0" fontId="11" fillId="0" borderId="0" xfId="42" applyFont="1" applyBorder="1" applyAlignment="1">
      <alignment horizontal="center"/>
    </xf>
    <xf numFmtId="0" fontId="6" fillId="0" borderId="0" xfId="42" applyFont="1" applyBorder="1"/>
    <xf numFmtId="0" fontId="5" fillId="0" borderId="0" xfId="0" applyFont="1" applyFill="1" applyBorder="1" applyAlignment="1">
      <alignment horizontal="left" wrapText="1"/>
    </xf>
    <xf numFmtId="165" fontId="6" fillId="0" borderId="0" xfId="26" applyNumberFormat="1" applyFont="1" applyFill="1" applyBorder="1" applyAlignment="1">
      <alignment horizontal="right" wrapText="1"/>
    </xf>
    <xf numFmtId="0" fontId="41" fillId="0" borderId="0" xfId="0" applyFont="1" applyBorder="1"/>
    <xf numFmtId="0" fontId="0" fillId="0" borderId="0" xfId="0" applyFont="1"/>
    <xf numFmtId="0" fontId="0" fillId="0" borderId="0" xfId="0" applyFont="1" applyBorder="1" applyAlignment="1"/>
    <xf numFmtId="3" fontId="15" fillId="0" borderId="0" xfId="0" applyNumberFormat="1" applyFont="1" applyFill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3" fontId="6" fillId="0" borderId="0" xfId="26" applyNumberFormat="1" applyFont="1" applyAlignment="1">
      <alignment horizontal="right"/>
    </xf>
    <xf numFmtId="3" fontId="4" fillId="0" borderId="0" xfId="42" applyNumberFormat="1" applyFont="1" applyFill="1" applyBorder="1"/>
    <xf numFmtId="0" fontId="4" fillId="0" borderId="0" xfId="42" applyFont="1"/>
    <xf numFmtId="0" fontId="0" fillId="0" borderId="0" xfId="0" applyFont="1" applyBorder="1"/>
    <xf numFmtId="3" fontId="0" fillId="0" borderId="0" xfId="0" applyNumberFormat="1" applyFont="1" applyBorder="1"/>
    <xf numFmtId="0" fontId="12" fillId="0" borderId="0" xfId="41" applyFont="1" applyBorder="1"/>
    <xf numFmtId="0" fontId="4" fillId="0" borderId="0" xfId="42" applyFont="1" applyFill="1" applyBorder="1" applyAlignment="1">
      <alignment horizontal="left"/>
    </xf>
    <xf numFmtId="3" fontId="4" fillId="0" borderId="0" xfId="26" applyNumberFormat="1" applyFont="1"/>
    <xf numFmtId="3" fontId="5" fillId="0" borderId="0" xfId="0" applyNumberFormat="1" applyFont="1" applyFill="1" applyBorder="1"/>
    <xf numFmtId="3" fontId="9" fillId="0" borderId="0" xfId="0" applyNumberFormat="1" applyFont="1" applyFill="1"/>
    <xf numFmtId="3" fontId="37" fillId="0" borderId="0" xfId="0" applyNumberFormat="1" applyFont="1" applyFill="1"/>
    <xf numFmtId="0" fontId="0" fillId="0" borderId="0" xfId="0" applyFont="1" applyAlignment="1">
      <alignment horizontal="left"/>
    </xf>
    <xf numFmtId="0" fontId="0" fillId="0" borderId="25" xfId="0" applyFont="1" applyBorder="1"/>
    <xf numFmtId="3" fontId="0" fillId="0" borderId="25" xfId="0" applyNumberFormat="1" applyFont="1" applyBorder="1"/>
    <xf numFmtId="165" fontId="2" fillId="0" borderId="0" xfId="41" applyNumberFormat="1" applyFont="1"/>
    <xf numFmtId="3" fontId="4" fillId="0" borderId="16" xfId="0" applyNumberFormat="1" applyFont="1" applyBorder="1"/>
    <xf numFmtId="3" fontId="4" fillId="0" borderId="0" xfId="0" applyNumberFormat="1" applyFont="1" applyFill="1" applyBorder="1"/>
    <xf numFmtId="3" fontId="4" fillId="0" borderId="0" xfId="26" applyNumberFormat="1" applyFont="1" applyFill="1" applyBorder="1" applyAlignment="1" applyProtection="1">
      <alignment horizontal="right"/>
    </xf>
    <xf numFmtId="0" fontId="0" fillId="0" borderId="16" xfId="0" applyFont="1" applyBorder="1"/>
    <xf numFmtId="0" fontId="5" fillId="0" borderId="0" xfId="41" applyFont="1" applyBorder="1" applyAlignment="1">
      <alignment horizontal="right"/>
    </xf>
    <xf numFmtId="0" fontId="6" fillId="0" borderId="0" xfId="42" applyFont="1" applyFill="1" applyBorder="1" applyAlignment="1">
      <alignment horizontal="center"/>
    </xf>
    <xf numFmtId="0" fontId="49" fillId="0" borderId="0" xfId="0" applyFont="1"/>
    <xf numFmtId="0" fontId="4" fillId="0" borderId="0" xfId="0" applyFont="1" applyAlignment="1">
      <alignment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left" wrapText="1"/>
    </xf>
    <xf numFmtId="3" fontId="4" fillId="0" borderId="10" xfId="0" applyNumberFormat="1" applyFont="1" applyBorder="1" applyAlignment="1">
      <alignment horizontal="right"/>
    </xf>
    <xf numFmtId="0" fontId="6" fillId="25" borderId="27" xfId="42" applyFont="1" applyFill="1" applyBorder="1" applyAlignment="1">
      <alignment horizontal="left"/>
    </xf>
    <xf numFmtId="3" fontId="6" fillId="25" borderId="25" xfId="42" applyNumberFormat="1" applyFont="1" applyFill="1" applyBorder="1" applyAlignment="1">
      <alignment horizontal="right"/>
    </xf>
    <xf numFmtId="3" fontId="6" fillId="0" borderId="0" xfId="42" applyNumberFormat="1" applyFont="1" applyFill="1" applyBorder="1" applyAlignment="1">
      <alignment horizontal="left"/>
    </xf>
    <xf numFmtId="0" fontId="39" fillId="0" borderId="0" xfId="42" applyFont="1" applyFill="1" applyBorder="1" applyAlignment="1">
      <alignment horizontal="center"/>
    </xf>
    <xf numFmtId="3" fontId="39" fillId="0" borderId="0" xfId="42" applyNumberFormat="1" applyFont="1" applyFill="1" applyBorder="1" applyAlignment="1">
      <alignment horizontal="center"/>
    </xf>
    <xf numFmtId="3" fontId="4" fillId="0" borderId="0" xfId="42" applyNumberFormat="1" applyFont="1" applyBorder="1"/>
    <xf numFmtId="0" fontId="7" fillId="0" borderId="25" xfId="41" applyFont="1" applyBorder="1"/>
    <xf numFmtId="0" fontId="7" fillId="0" borderId="25" xfId="41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41" applyFont="1" applyBorder="1" applyAlignment="1">
      <alignment horizontal="center"/>
    </xf>
    <xf numFmtId="0" fontId="3" fillId="0" borderId="0" xfId="41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6" fillId="25" borderId="23" xfId="42" applyFont="1" applyFill="1" applyBorder="1" applyAlignment="1">
      <alignment horizontal="center"/>
    </xf>
    <xf numFmtId="0" fontId="6" fillId="25" borderId="24" xfId="42" applyFont="1" applyFill="1" applyBorder="1" applyAlignment="1">
      <alignment horizontal="center"/>
    </xf>
    <xf numFmtId="0" fontId="5" fillId="24" borderId="23" xfId="0" applyFont="1" applyFill="1" applyBorder="1" applyAlignment="1">
      <alignment horizontal="center"/>
    </xf>
    <xf numFmtId="0" fontId="5" fillId="24" borderId="24" xfId="0" applyFont="1" applyFill="1" applyBorder="1" applyAlignment="1">
      <alignment horizontal="center"/>
    </xf>
    <xf numFmtId="0" fontId="43" fillId="0" borderId="0" xfId="42" applyFont="1" applyBorder="1" applyAlignment="1">
      <alignment horizontal="center"/>
    </xf>
    <xf numFmtId="0" fontId="5" fillId="24" borderId="23" xfId="43" applyFont="1" applyFill="1" applyBorder="1" applyAlignment="1">
      <alignment horizontal="center"/>
    </xf>
    <xf numFmtId="0" fontId="5" fillId="24" borderId="24" xfId="43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16" fillId="24" borderId="23" xfId="0" applyFont="1" applyFill="1" applyBorder="1" applyAlignment="1">
      <alignment horizontal="center" wrapText="1"/>
    </xf>
    <xf numFmtId="0" fontId="0" fillId="0" borderId="24" xfId="0" applyFont="1" applyBorder="1" applyAlignment="1"/>
    <xf numFmtId="0" fontId="40" fillId="0" borderId="0" xfId="41" applyFont="1" applyFill="1" applyBorder="1" applyAlignment="1">
      <alignment horizontal="center"/>
    </xf>
    <xf numFmtId="0" fontId="11" fillId="0" borderId="0" xfId="42" applyFont="1" applyBorder="1" applyAlignment="1">
      <alignment horizontal="center"/>
    </xf>
    <xf numFmtId="0" fontId="5" fillId="24" borderId="23" xfId="0" applyFont="1" applyFill="1" applyBorder="1" applyAlignment="1">
      <alignment horizontal="center" wrapText="1"/>
    </xf>
    <xf numFmtId="0" fontId="0" fillId="0" borderId="24" xfId="0" applyFont="1" applyBorder="1" applyAlignment="1">
      <alignment wrapText="1"/>
    </xf>
    <xf numFmtId="0" fontId="43" fillId="0" borderId="0" xfId="0" applyFont="1" applyAlignment="1">
      <alignment horizontal="center"/>
    </xf>
    <xf numFmtId="49" fontId="5" fillId="24" borderId="23" xfId="0" applyNumberFormat="1" applyFont="1" applyFill="1" applyBorder="1" applyAlignment="1">
      <alignment horizontal="center"/>
    </xf>
    <xf numFmtId="49" fontId="5" fillId="24" borderId="24" xfId="0" applyNumberFormat="1" applyFont="1" applyFill="1" applyBorder="1" applyAlignment="1">
      <alignment horizontal="center"/>
    </xf>
    <xf numFmtId="0" fontId="5" fillId="24" borderId="22" xfId="0" applyFont="1" applyFill="1" applyBorder="1" applyAlignment="1">
      <alignment horizontal="center"/>
    </xf>
    <xf numFmtId="0" fontId="0" fillId="0" borderId="0" xfId="0" applyFont="1" applyAlignment="1"/>
    <xf numFmtId="0" fontId="12" fillId="24" borderId="23" xfId="0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/>
    <cellStyle name="Normál_2011_költségvetés-I. fordulós anyag-alap" xfId="40"/>
    <cellStyle name="Normál_ktgvetés2007_végleges" xfId="41"/>
    <cellStyle name="Normál_mellékletek testületnek-végleges" xfId="42"/>
    <cellStyle name="Normál_Munka1" xfId="43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47FF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Felhaszn&#225;l&#243;1\Desktop\2016.%20&#233;vi%20k&#246;lts&#233;gvet&#233;s\II.%20fordul&#243;\munka%20anyagok\adatla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Űrlap"/>
    </sheetNames>
    <sheetDataSet>
      <sheetData sheetId="0">
        <row r="31">
          <cell r="G31">
            <v>29868800</v>
          </cell>
        </row>
        <row r="32">
          <cell r="G32">
            <v>9600000</v>
          </cell>
        </row>
        <row r="33">
          <cell r="G33">
            <v>1436000</v>
          </cell>
        </row>
        <row r="34">
          <cell r="G34">
            <v>14934400</v>
          </cell>
        </row>
        <row r="35">
          <cell r="G35">
            <v>4800000</v>
          </cell>
        </row>
        <row r="36">
          <cell r="G36">
            <v>718000</v>
          </cell>
        </row>
        <row r="37">
          <cell r="G37">
            <v>364000</v>
          </cell>
        </row>
        <row r="38">
          <cell r="G38">
            <v>17500</v>
          </cell>
        </row>
        <row r="40">
          <cell r="G40">
            <v>266667</v>
          </cell>
        </row>
        <row r="41">
          <cell r="G41">
            <v>5866667</v>
          </cell>
        </row>
        <row r="42">
          <cell r="G42">
            <v>133333</v>
          </cell>
        </row>
        <row r="43">
          <cell r="G43">
            <v>2933333</v>
          </cell>
        </row>
        <row r="49">
          <cell r="G49">
            <v>384000</v>
          </cell>
        </row>
        <row r="50">
          <cell r="G50">
            <v>704000</v>
          </cell>
        </row>
        <row r="96">
          <cell r="G96">
            <v>9387900</v>
          </cell>
        </row>
        <row r="97">
          <cell r="G97">
            <v>1037610</v>
          </cell>
        </row>
        <row r="111">
          <cell r="G111">
            <v>14622720</v>
          </cell>
        </row>
        <row r="112">
          <cell r="G112">
            <v>34947101</v>
          </cell>
        </row>
        <row r="113">
          <cell r="G113">
            <v>181260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D290"/>
  <sheetViews>
    <sheetView tabSelected="1" topLeftCell="A64" workbookViewId="0">
      <selection activeCell="B91" sqref="B91"/>
    </sheetView>
  </sheetViews>
  <sheetFormatPr defaultRowHeight="12.75"/>
  <cols>
    <col min="1" max="1" width="71.42578125" customWidth="1"/>
    <col min="2" max="2" width="12.7109375" style="6" customWidth="1"/>
    <col min="3" max="4" width="11.140625" bestFit="1" customWidth="1"/>
  </cols>
  <sheetData>
    <row r="1" spans="1:4">
      <c r="A1" s="218" t="s">
        <v>78</v>
      </c>
      <c r="B1" s="218"/>
    </row>
    <row r="2" spans="1:4" ht="13.5" thickBot="1">
      <c r="A2" s="7"/>
      <c r="B2" s="209"/>
    </row>
    <row r="3" spans="1:4" ht="13.5" thickBot="1">
      <c r="A3" s="9" t="s">
        <v>200</v>
      </c>
      <c r="B3" s="10">
        <f>B4+B5+B6+B7+B8</f>
        <v>140820930</v>
      </c>
      <c r="C3" s="50"/>
      <c r="D3" s="50"/>
    </row>
    <row r="4" spans="1:4">
      <c r="A4" s="78" t="s">
        <v>217</v>
      </c>
      <c r="B4" s="6">
        <f>'3_melléklet'!B5</f>
        <v>98678550</v>
      </c>
    </row>
    <row r="5" spans="1:4">
      <c r="A5" s="13" t="s">
        <v>72</v>
      </c>
      <c r="B5" s="6">
        <f>'3_melléklet'!B48</f>
        <v>9144000</v>
      </c>
    </row>
    <row r="6" spans="1:4">
      <c r="A6" s="13" t="s">
        <v>73</v>
      </c>
      <c r="B6" s="6">
        <f>'3_melléklet'!B69</f>
        <v>16987470</v>
      </c>
    </row>
    <row r="7" spans="1:4">
      <c r="A7" s="13" t="s">
        <v>190</v>
      </c>
      <c r="B7" s="6">
        <f>'3_melléklet'!B88</f>
        <v>15934910</v>
      </c>
    </row>
    <row r="8" spans="1:4">
      <c r="A8" s="13" t="s">
        <v>342</v>
      </c>
      <c r="B8" s="6">
        <f>'3_melléklet'!B104</f>
        <v>76000</v>
      </c>
    </row>
    <row r="9" spans="1:4" ht="13.5" thickBot="1">
      <c r="A9" s="13"/>
      <c r="B9" s="8"/>
    </row>
    <row r="10" spans="1:4" ht="13.5" thickBot="1">
      <c r="A10" s="9" t="s">
        <v>9</v>
      </c>
      <c r="B10" s="10">
        <f>B11+B21</f>
        <v>148620000</v>
      </c>
      <c r="C10" s="50"/>
    </row>
    <row r="11" spans="1:4">
      <c r="A11" s="136" t="s">
        <v>8</v>
      </c>
      <c r="B11" s="167">
        <f>B12+B15+B18</f>
        <v>148370000</v>
      </c>
    </row>
    <row r="12" spans="1:4">
      <c r="A12" s="148" t="s">
        <v>11</v>
      </c>
      <c r="B12" s="149">
        <f>SUM(B13:B14)</f>
        <v>137200000</v>
      </c>
    </row>
    <row r="13" spans="1:4">
      <c r="A13" s="78" t="s">
        <v>12</v>
      </c>
      <c r="B13" s="6">
        <f>123000000+5000000</f>
        <v>128000000</v>
      </c>
    </row>
    <row r="14" spans="1:4">
      <c r="A14" s="78" t="s">
        <v>13</v>
      </c>
      <c r="B14" s="6">
        <v>9200000</v>
      </c>
    </row>
    <row r="15" spans="1:4">
      <c r="A15" s="148" t="s">
        <v>14</v>
      </c>
      <c r="B15" s="149">
        <f>B16+B17</f>
        <v>10020000</v>
      </c>
    </row>
    <row r="16" spans="1:4">
      <c r="A16" s="78" t="s">
        <v>15</v>
      </c>
      <c r="B16" s="6">
        <v>10000000</v>
      </c>
    </row>
    <row r="17" spans="1:3">
      <c r="A17" s="78" t="s">
        <v>16</v>
      </c>
      <c r="B17" s="6">
        <v>20000</v>
      </c>
    </row>
    <row r="18" spans="1:3">
      <c r="A18" s="148" t="s">
        <v>17</v>
      </c>
      <c r="B18" s="149">
        <f>B19+B20</f>
        <v>1150000</v>
      </c>
    </row>
    <row r="19" spans="1:3">
      <c r="A19" s="78" t="s">
        <v>291</v>
      </c>
      <c r="B19" s="6">
        <v>800000</v>
      </c>
    </row>
    <row r="20" spans="1:3">
      <c r="A20" s="78" t="s">
        <v>251</v>
      </c>
      <c r="B20" s="6">
        <v>350000</v>
      </c>
    </row>
    <row r="21" spans="1:3">
      <c r="A21" s="136" t="s">
        <v>10</v>
      </c>
      <c r="B21" s="15">
        <f>B22</f>
        <v>250000</v>
      </c>
    </row>
    <row r="22" spans="1:3">
      <c r="A22" s="148" t="s">
        <v>18</v>
      </c>
      <c r="B22" s="149">
        <f>B23+B24</f>
        <v>250000</v>
      </c>
    </row>
    <row r="23" spans="1:3">
      <c r="A23" s="23" t="s">
        <v>19</v>
      </c>
      <c r="B23" s="6">
        <v>50000</v>
      </c>
    </row>
    <row r="24" spans="1:3">
      <c r="A24" s="23" t="s">
        <v>20</v>
      </c>
      <c r="B24" s="6">
        <v>200000</v>
      </c>
    </row>
    <row r="25" spans="1:3" ht="13.5" thickBot="1">
      <c r="A25" s="13"/>
    </row>
    <row r="26" spans="1:3" ht="13.5" thickBot="1">
      <c r="A26" s="9" t="s">
        <v>77</v>
      </c>
      <c r="B26" s="48">
        <f>B27+B57+B67</f>
        <v>349533611</v>
      </c>
      <c r="C26" s="50"/>
    </row>
    <row r="27" spans="1:3">
      <c r="A27" s="104" t="s">
        <v>69</v>
      </c>
      <c r="B27" s="192">
        <f>B28+B32+B42+B53</f>
        <v>317977687</v>
      </c>
    </row>
    <row r="28" spans="1:3">
      <c r="A28" s="136" t="s">
        <v>79</v>
      </c>
      <c r="B28" s="15">
        <f>SUM(B29:B31)</f>
        <v>99787336</v>
      </c>
    </row>
    <row r="29" spans="1:3">
      <c r="A29" s="207" t="s">
        <v>80</v>
      </c>
      <c r="B29" s="6">
        <v>74196000</v>
      </c>
    </row>
    <row r="30" spans="1:3" ht="22.5">
      <c r="A30" s="208" t="s">
        <v>81</v>
      </c>
      <c r="B30" s="6">
        <v>25132358</v>
      </c>
    </row>
    <row r="31" spans="1:3">
      <c r="A31" s="208" t="s">
        <v>319</v>
      </c>
      <c r="B31" s="6">
        <v>458978</v>
      </c>
    </row>
    <row r="32" spans="1:3">
      <c r="A32" s="136" t="s">
        <v>82</v>
      </c>
      <c r="B32" s="193">
        <f>B33+B39+B40+B41</f>
        <v>73917200</v>
      </c>
    </row>
    <row r="33" spans="1:2">
      <c r="A33" s="148" t="s">
        <v>191</v>
      </c>
      <c r="B33" s="194">
        <f>SUM(B34:B38)</f>
        <v>61738700</v>
      </c>
    </row>
    <row r="34" spans="1:2">
      <c r="A34" s="13" t="s">
        <v>108</v>
      </c>
      <c r="B34" s="157">
        <f>[1]Űrlap!$G$31</f>
        <v>29868800</v>
      </c>
    </row>
    <row r="35" spans="1:2">
      <c r="A35" s="13" t="s">
        <v>110</v>
      </c>
      <c r="B35" s="157">
        <f>[1]Űrlap!$G$32+[1]Űrlap!$G$33</f>
        <v>11036000</v>
      </c>
    </row>
    <row r="36" spans="1:2">
      <c r="A36" s="13" t="s">
        <v>109</v>
      </c>
      <c r="B36" s="157">
        <f>[1]Űrlap!$G$34</f>
        <v>14934400</v>
      </c>
    </row>
    <row r="37" spans="1:2">
      <c r="A37" s="13" t="s">
        <v>64</v>
      </c>
      <c r="B37" s="157">
        <f>[1]Űrlap!$G$35+[1]Űrlap!$G$36</f>
        <v>5518000</v>
      </c>
    </row>
    <row r="38" spans="1:2">
      <c r="A38" s="13" t="s">
        <v>211</v>
      </c>
      <c r="B38" s="157">
        <f>[1]Űrlap!$G$37+[1]Űrlap!$G$38</f>
        <v>381500</v>
      </c>
    </row>
    <row r="39" spans="1:2">
      <c r="A39" s="148" t="s">
        <v>192</v>
      </c>
      <c r="B39" s="194">
        <f>[1]Űrlap!$G$40+[1]Űrlap!$G$41+[1]Űrlap!$G$42+[1]Űrlap!$G$43</f>
        <v>9200000</v>
      </c>
    </row>
    <row r="40" spans="1:2">
      <c r="A40" s="168" t="s">
        <v>3</v>
      </c>
      <c r="B40" s="194">
        <f>[1]Űrlap!$G$49+[1]Űrlap!$G$50-352000</f>
        <v>736000</v>
      </c>
    </row>
    <row r="41" spans="1:2">
      <c r="A41" s="169" t="s">
        <v>4</v>
      </c>
      <c r="B41" s="149">
        <v>2242500</v>
      </c>
    </row>
    <row r="42" spans="1:2">
      <c r="A42" s="136" t="s">
        <v>83</v>
      </c>
      <c r="B42" s="193">
        <f>B43+B45+B51+B52</f>
        <v>138419251</v>
      </c>
    </row>
    <row r="43" spans="1:2">
      <c r="A43" s="148" t="s">
        <v>212</v>
      </c>
      <c r="B43" s="6">
        <v>43798740</v>
      </c>
    </row>
    <row r="44" spans="1:2" hidden="1">
      <c r="A44" s="13" t="s">
        <v>86</v>
      </c>
      <c r="B44" s="149"/>
    </row>
    <row r="45" spans="1:2">
      <c r="A45" s="148" t="s">
        <v>193</v>
      </c>
      <c r="B45" s="149">
        <f>B46+B47+B48+B49+B50</f>
        <v>41851910</v>
      </c>
    </row>
    <row r="46" spans="1:2">
      <c r="A46" s="13" t="s">
        <v>316</v>
      </c>
      <c r="B46" s="6">
        <v>3000000</v>
      </c>
    </row>
    <row r="47" spans="1:2">
      <c r="A47" s="13" t="s">
        <v>213</v>
      </c>
      <c r="B47" s="6">
        <v>4982400</v>
      </c>
    </row>
    <row r="48" spans="1:2">
      <c r="A48" s="13" t="s">
        <v>214</v>
      </c>
      <c r="B48" s="6">
        <v>11890000</v>
      </c>
    </row>
    <row r="49" spans="1:2">
      <c r="A49" s="13" t="s">
        <v>5</v>
      </c>
      <c r="B49" s="6">
        <v>11554000</v>
      </c>
    </row>
    <row r="50" spans="1:2">
      <c r="A50" s="13" t="s">
        <v>85</v>
      </c>
      <c r="B50" s="6">
        <f>[1]Űrlap!$G$96+[1]Űrlap!$G$97</f>
        <v>10425510</v>
      </c>
    </row>
    <row r="51" spans="1:2">
      <c r="A51" s="13" t="s">
        <v>84</v>
      </c>
      <c r="B51" s="6">
        <f>[1]Űrlap!$G$111+[1]Űrlap!$G$112+[1]Űrlap!$G$113</f>
        <v>49751081</v>
      </c>
    </row>
    <row r="52" spans="1:2" ht="22.5">
      <c r="A52" s="206" t="s">
        <v>318</v>
      </c>
      <c r="B52" s="6">
        <v>3017520</v>
      </c>
    </row>
    <row r="53" spans="1:2">
      <c r="A53" s="136" t="s">
        <v>6</v>
      </c>
      <c r="B53" s="6">
        <v>5853900</v>
      </c>
    </row>
    <row r="54" spans="1:2">
      <c r="A54" s="136"/>
    </row>
    <row r="55" spans="1:2">
      <c r="A55" s="136"/>
    </row>
    <row r="56" spans="1:2">
      <c r="A56" s="136"/>
    </row>
    <row r="57" spans="1:2">
      <c r="A57" s="132" t="s">
        <v>282</v>
      </c>
      <c r="B57" s="12">
        <f>B58+B62</f>
        <v>30747355</v>
      </c>
    </row>
    <row r="58" spans="1:2">
      <c r="A58" s="14" t="s">
        <v>252</v>
      </c>
      <c r="B58" s="62">
        <f>SUM(B59:B61)</f>
        <v>17417300</v>
      </c>
    </row>
    <row r="59" spans="1:2">
      <c r="A59" s="13" t="s">
        <v>253</v>
      </c>
      <c r="B59" s="45">
        <v>8441000</v>
      </c>
    </row>
    <row r="60" spans="1:2">
      <c r="A60" s="13" t="s">
        <v>254</v>
      </c>
      <c r="B60" s="45">
        <v>232300</v>
      </c>
    </row>
    <row r="61" spans="1:2">
      <c r="A61" s="13" t="s">
        <v>255</v>
      </c>
      <c r="B61" s="45">
        <v>8744000</v>
      </c>
    </row>
    <row r="62" spans="1:2">
      <c r="A62" s="141" t="s">
        <v>256</v>
      </c>
      <c r="B62" s="62">
        <f>SUM(B63:B65)</f>
        <v>13330055</v>
      </c>
    </row>
    <row r="63" spans="1:2">
      <c r="A63" s="13" t="s">
        <v>257</v>
      </c>
      <c r="B63" s="45">
        <v>810000</v>
      </c>
    </row>
    <row r="64" spans="1:2">
      <c r="A64" s="13" t="s">
        <v>258</v>
      </c>
      <c r="B64" s="45">
        <v>1003000</v>
      </c>
    </row>
    <row r="65" spans="1:3">
      <c r="A65" s="13" t="s">
        <v>259</v>
      </c>
      <c r="B65" s="45">
        <f>5736000+2114713+4927431+9433297+613084-1499698-4573964-5233808</f>
        <v>11517055</v>
      </c>
    </row>
    <row r="66" spans="1:3">
      <c r="A66" s="13"/>
      <c r="B66" s="45"/>
    </row>
    <row r="67" spans="1:3">
      <c r="A67" s="179" t="s">
        <v>283</v>
      </c>
      <c r="B67" s="12">
        <f>B68</f>
        <v>808569</v>
      </c>
    </row>
    <row r="68" spans="1:3">
      <c r="A68" s="160" t="s">
        <v>284</v>
      </c>
      <c r="B68" s="45">
        <f>2425707-1617138</f>
        <v>808569</v>
      </c>
    </row>
    <row r="69" spans="1:3" ht="13.5" thickBot="1">
      <c r="A69" s="13"/>
      <c r="B69" s="45"/>
    </row>
    <row r="70" spans="1:3" ht="13.5" thickBot="1">
      <c r="A70" s="9" t="s">
        <v>207</v>
      </c>
      <c r="B70" s="54">
        <f>B3+B10+B26</f>
        <v>638974541</v>
      </c>
    </row>
    <row r="71" spans="1:3" ht="13.5" thickBot="1">
      <c r="A71" s="13"/>
      <c r="B71" s="45"/>
    </row>
    <row r="72" spans="1:3" ht="13.5" thickBot="1">
      <c r="A72" s="9" t="s">
        <v>208</v>
      </c>
      <c r="B72" s="54">
        <f>B74</f>
        <v>52518956</v>
      </c>
      <c r="C72" s="50"/>
    </row>
    <row r="73" spans="1:3">
      <c r="A73" s="17"/>
      <c r="B73" s="83"/>
    </row>
    <row r="74" spans="1:3">
      <c r="A74" s="11" t="s">
        <v>194</v>
      </c>
      <c r="B74" s="46">
        <f>B75</f>
        <v>52518956</v>
      </c>
    </row>
    <row r="75" spans="1:3">
      <c r="A75" s="14" t="s">
        <v>209</v>
      </c>
      <c r="B75" s="62">
        <f>SUM(B76:B78)</f>
        <v>52518956</v>
      </c>
    </row>
    <row r="76" spans="1:3">
      <c r="A76" s="13" t="s">
        <v>321</v>
      </c>
      <c r="B76" s="45">
        <f>2880736+33279401</f>
        <v>36160137</v>
      </c>
    </row>
    <row r="77" spans="1:3">
      <c r="A77" s="13" t="s">
        <v>167</v>
      </c>
      <c r="B77" s="45">
        <f>5279507</f>
        <v>5279507</v>
      </c>
    </row>
    <row r="78" spans="1:3">
      <c r="A78" s="13" t="s">
        <v>168</v>
      </c>
      <c r="B78" s="45">
        <f>7829022+5015519-1765228-1</f>
        <v>11079312</v>
      </c>
    </row>
    <row r="79" spans="1:3" ht="13.5" thickBot="1">
      <c r="A79" s="13"/>
      <c r="B79" s="45"/>
    </row>
    <row r="80" spans="1:3" ht="13.5" thickBot="1">
      <c r="A80" s="9" t="s">
        <v>303</v>
      </c>
      <c r="B80" s="54">
        <f>B72</f>
        <v>52518956</v>
      </c>
    </row>
    <row r="81" spans="1:3" ht="13.5" thickBot="1">
      <c r="A81" s="13"/>
      <c r="B81" s="64"/>
    </row>
    <row r="82" spans="1:3" ht="13.5" thickBot="1">
      <c r="A82" s="84" t="s">
        <v>304</v>
      </c>
      <c r="B82" s="54">
        <f>B80+B70</f>
        <v>691493497</v>
      </c>
    </row>
    <row r="83" spans="1:3" ht="13.5" thickBot="1">
      <c r="A83" s="161"/>
      <c r="B83" s="153"/>
    </row>
    <row r="84" spans="1:3" ht="13.5" thickBot="1">
      <c r="A84" s="17"/>
      <c r="B84" s="83"/>
    </row>
    <row r="85" spans="1:3" ht="13.5" thickBot="1">
      <c r="A85" s="9" t="s">
        <v>305</v>
      </c>
      <c r="B85" s="65">
        <f>SUM(B86:B90)</f>
        <v>55661442</v>
      </c>
      <c r="C85" s="50"/>
    </row>
    <row r="86" spans="1:3">
      <c r="A86" s="78" t="s">
        <v>217</v>
      </c>
      <c r="B86" s="66">
        <v>49085314</v>
      </c>
    </row>
    <row r="87" spans="1:3">
      <c r="A87" s="13" t="s">
        <v>72</v>
      </c>
      <c r="B87" s="45">
        <v>1563106</v>
      </c>
    </row>
    <row r="88" spans="1:3">
      <c r="A88" s="13" t="s">
        <v>73</v>
      </c>
      <c r="B88" s="66">
        <v>2761538</v>
      </c>
    </row>
    <row r="89" spans="1:3">
      <c r="A89" s="13" t="s">
        <v>190</v>
      </c>
      <c r="B89" s="66">
        <v>2177322</v>
      </c>
    </row>
    <row r="90" spans="1:3">
      <c r="A90" s="13" t="s">
        <v>189</v>
      </c>
      <c r="B90" s="6">
        <f>73162+1000</f>
        <v>74162</v>
      </c>
    </row>
    <row r="91" spans="1:3" ht="13.5" thickBot="1">
      <c r="A91" s="13"/>
    </row>
    <row r="92" spans="1:3" ht="13.5" thickBot="1">
      <c r="A92" s="9" t="s">
        <v>306</v>
      </c>
      <c r="B92" s="63">
        <f>B82+B85</f>
        <v>747154939</v>
      </c>
      <c r="C92" s="50"/>
    </row>
    <row r="93" spans="1:3" hidden="1">
      <c r="A93" s="17"/>
      <c r="B93" s="83">
        <f>B92-kiadások!B80</f>
        <v>-0.20000004768371582</v>
      </c>
    </row>
    <row r="94" spans="1:3" hidden="1">
      <c r="A94" s="17"/>
      <c r="B94" s="83"/>
    </row>
    <row r="95" spans="1:3" hidden="1">
      <c r="A95" s="165" t="s">
        <v>55</v>
      </c>
      <c r="B95" s="150" t="e">
        <f>#REF!</f>
        <v>#REF!</v>
      </c>
    </row>
    <row r="96" spans="1:3" hidden="1">
      <c r="A96" s="187" t="s">
        <v>41</v>
      </c>
      <c r="B96" s="188">
        <v>20000000</v>
      </c>
    </row>
    <row r="97" spans="1:2" hidden="1">
      <c r="A97" s="195" t="s">
        <v>48</v>
      </c>
      <c r="B97" s="150">
        <f>B85</f>
        <v>55661442</v>
      </c>
    </row>
    <row r="98" spans="1:2" hidden="1">
      <c r="A98" s="180" t="s">
        <v>49</v>
      </c>
      <c r="B98" s="150" t="e">
        <f>B76+#REF!+#REF!-kiadások!#REF!-kiadások!#REF!</f>
        <v>#REF!</v>
      </c>
    </row>
    <row r="99" spans="1:2" hidden="1">
      <c r="A99" s="180" t="s">
        <v>50</v>
      </c>
      <c r="B99" s="150" t="e">
        <f>#REF!+B77+B78-kiadások!B44</f>
        <v>#REF!</v>
      </c>
    </row>
    <row r="100" spans="1:2" hidden="1">
      <c r="A100" s="180" t="s">
        <v>51</v>
      </c>
      <c r="B100" s="150">
        <f>B70-kiadások!B2</f>
        <v>-3661442.2000000477</v>
      </c>
    </row>
    <row r="101" spans="1:2" hidden="1">
      <c r="A101" s="180" t="s">
        <v>52</v>
      </c>
      <c r="B101" s="150" t="e">
        <f>-(kiadások!B48+kiadások!B49+kiadások!B51+kiadások!B53+kiadások!B56+kiadások!#REF!+kiadások!B60)-kiadások!B61-kiadások!#REF!</f>
        <v>#REF!</v>
      </c>
    </row>
    <row r="102" spans="1:2" hidden="1">
      <c r="A102" s="196" t="s">
        <v>239</v>
      </c>
      <c r="B102" s="197">
        <f>-kiadások!B69</f>
        <v>-49500000</v>
      </c>
    </row>
    <row r="103" spans="1:2" hidden="1">
      <c r="A103" s="152" t="s">
        <v>53</v>
      </c>
      <c r="B103" s="91" t="e">
        <f>SUM(B95:B102)</f>
        <v>#REF!</v>
      </c>
    </row>
    <row r="104" spans="1:2" hidden="1">
      <c r="A104" s="180"/>
      <c r="B104" s="150"/>
    </row>
    <row r="105" spans="1:2" hidden="1">
      <c r="A105" s="180"/>
      <c r="B105" s="150"/>
    </row>
    <row r="106" spans="1:2" hidden="1">
      <c r="A106" s="180"/>
      <c r="B106" s="150"/>
    </row>
    <row r="107" spans="1:2" hidden="1">
      <c r="A107" s="180"/>
      <c r="B107" s="150"/>
    </row>
    <row r="108" spans="1:2" hidden="1">
      <c r="A108" s="180" t="s">
        <v>22</v>
      </c>
      <c r="B108" s="150" t="e">
        <f>B95+B96+B98+B99+B101</f>
        <v>#REF!</v>
      </c>
    </row>
    <row r="109" spans="1:2" hidden="1">
      <c r="A109" s="180" t="s">
        <v>23</v>
      </c>
      <c r="B109" s="150">
        <f>B100+B102</f>
        <v>-53161442.200000048</v>
      </c>
    </row>
    <row r="110" spans="1:2" hidden="1">
      <c r="A110" s="180"/>
      <c r="B110" s="150" t="e">
        <f>SUM(B108:B109)</f>
        <v>#REF!</v>
      </c>
    </row>
    <row r="111" spans="1:2" hidden="1">
      <c r="A111" s="180"/>
    </row>
    <row r="112" spans="1:2" hidden="1">
      <c r="A112" s="180"/>
    </row>
    <row r="113" spans="1:1">
      <c r="A113" s="180"/>
    </row>
    <row r="114" spans="1:1">
      <c r="A114" s="180"/>
    </row>
    <row r="115" spans="1:1">
      <c r="A115" s="180"/>
    </row>
    <row r="116" spans="1:1">
      <c r="A116" s="180"/>
    </row>
    <row r="117" spans="1:1">
      <c r="A117" s="180"/>
    </row>
    <row r="118" spans="1:1">
      <c r="A118" s="180"/>
    </row>
    <row r="119" spans="1:1">
      <c r="A119" s="180"/>
    </row>
    <row r="120" spans="1:1">
      <c r="A120" s="180"/>
    </row>
    <row r="121" spans="1:1">
      <c r="A121" s="180"/>
    </row>
    <row r="122" spans="1:1">
      <c r="A122" s="180"/>
    </row>
    <row r="123" spans="1:1">
      <c r="A123" s="180"/>
    </row>
    <row r="124" spans="1:1">
      <c r="A124" s="180"/>
    </row>
    <row r="125" spans="1:1">
      <c r="A125" s="180"/>
    </row>
    <row r="126" spans="1:1">
      <c r="A126" s="180"/>
    </row>
    <row r="127" spans="1:1">
      <c r="A127" s="180"/>
    </row>
    <row r="128" spans="1:1">
      <c r="A128" s="180"/>
    </row>
    <row r="129" spans="1:1">
      <c r="A129" s="180"/>
    </row>
    <row r="130" spans="1:1">
      <c r="A130" s="180"/>
    </row>
    <row r="131" spans="1:1">
      <c r="A131" s="180"/>
    </row>
    <row r="132" spans="1:1">
      <c r="A132" s="180"/>
    </row>
    <row r="133" spans="1:1">
      <c r="A133" s="180"/>
    </row>
    <row r="134" spans="1:1">
      <c r="A134" s="180"/>
    </row>
    <row r="135" spans="1:1">
      <c r="A135" s="180"/>
    </row>
    <row r="136" spans="1:1">
      <c r="A136" s="180"/>
    </row>
    <row r="137" spans="1:1">
      <c r="A137" s="180"/>
    </row>
    <row r="138" spans="1:1">
      <c r="A138" s="180"/>
    </row>
    <row r="139" spans="1:1">
      <c r="A139" s="180"/>
    </row>
    <row r="140" spans="1:1">
      <c r="A140" s="180"/>
    </row>
    <row r="141" spans="1:1">
      <c r="A141" s="180"/>
    </row>
    <row r="142" spans="1:1">
      <c r="A142" s="180"/>
    </row>
    <row r="143" spans="1:1">
      <c r="A143" s="180"/>
    </row>
    <row r="144" spans="1:1">
      <c r="A144" s="180"/>
    </row>
    <row r="145" spans="1:1">
      <c r="A145" s="180"/>
    </row>
    <row r="146" spans="1:1">
      <c r="A146" s="180"/>
    </row>
    <row r="147" spans="1:1">
      <c r="A147" s="180"/>
    </row>
    <row r="148" spans="1:1">
      <c r="A148" s="180"/>
    </row>
    <row r="149" spans="1:1">
      <c r="A149" s="180"/>
    </row>
    <row r="150" spans="1:1">
      <c r="A150" s="180"/>
    </row>
    <row r="151" spans="1:1">
      <c r="A151" s="180"/>
    </row>
    <row r="152" spans="1:1">
      <c r="A152" s="180"/>
    </row>
    <row r="153" spans="1:1">
      <c r="A153" s="180"/>
    </row>
    <row r="154" spans="1:1">
      <c r="A154" s="180"/>
    </row>
    <row r="155" spans="1:1">
      <c r="A155" s="180"/>
    </row>
    <row r="156" spans="1:1">
      <c r="A156" s="180"/>
    </row>
    <row r="157" spans="1:1">
      <c r="A157" s="180"/>
    </row>
    <row r="158" spans="1:1">
      <c r="A158" s="180"/>
    </row>
    <row r="159" spans="1:1">
      <c r="A159" s="180"/>
    </row>
    <row r="160" spans="1:1">
      <c r="A160" s="180"/>
    </row>
    <row r="161" spans="1:1">
      <c r="A161" s="180"/>
    </row>
    <row r="162" spans="1:1">
      <c r="A162" s="180"/>
    </row>
    <row r="163" spans="1:1">
      <c r="A163" s="180"/>
    </row>
    <row r="164" spans="1:1">
      <c r="A164" s="180"/>
    </row>
    <row r="165" spans="1:1">
      <c r="A165" s="180"/>
    </row>
    <row r="166" spans="1:1">
      <c r="A166" s="180"/>
    </row>
    <row r="167" spans="1:1">
      <c r="A167" s="180"/>
    </row>
    <row r="168" spans="1:1">
      <c r="A168" s="180"/>
    </row>
    <row r="169" spans="1:1">
      <c r="A169" s="180"/>
    </row>
    <row r="170" spans="1:1">
      <c r="A170" s="180"/>
    </row>
    <row r="171" spans="1:1">
      <c r="A171" s="180"/>
    </row>
    <row r="172" spans="1:1">
      <c r="A172" s="180"/>
    </row>
    <row r="173" spans="1:1">
      <c r="A173" s="180"/>
    </row>
    <row r="174" spans="1:1">
      <c r="A174" s="180"/>
    </row>
    <row r="175" spans="1:1">
      <c r="A175" s="180"/>
    </row>
    <row r="176" spans="1:1">
      <c r="A176" s="180"/>
    </row>
    <row r="177" spans="1:1">
      <c r="A177" s="180"/>
    </row>
    <row r="178" spans="1:1">
      <c r="A178" s="180"/>
    </row>
    <row r="179" spans="1:1">
      <c r="A179" s="180"/>
    </row>
    <row r="180" spans="1:1">
      <c r="A180" s="180"/>
    </row>
    <row r="181" spans="1:1">
      <c r="A181" s="180"/>
    </row>
    <row r="182" spans="1:1">
      <c r="A182" s="180"/>
    </row>
    <row r="183" spans="1:1">
      <c r="A183" s="180"/>
    </row>
    <row r="184" spans="1:1">
      <c r="A184" s="180"/>
    </row>
    <row r="185" spans="1:1">
      <c r="A185" s="180"/>
    </row>
    <row r="186" spans="1:1">
      <c r="A186" s="180"/>
    </row>
    <row r="187" spans="1:1">
      <c r="A187" s="180"/>
    </row>
    <row r="188" spans="1:1">
      <c r="A188" s="180"/>
    </row>
    <row r="189" spans="1:1">
      <c r="A189" s="180"/>
    </row>
    <row r="190" spans="1:1">
      <c r="A190" s="180"/>
    </row>
    <row r="191" spans="1:1">
      <c r="A191" s="180"/>
    </row>
    <row r="192" spans="1:1">
      <c r="A192" s="180"/>
    </row>
    <row r="193" spans="1:1">
      <c r="A193" s="180"/>
    </row>
    <row r="194" spans="1:1">
      <c r="A194" s="180"/>
    </row>
    <row r="195" spans="1:1">
      <c r="A195" s="180"/>
    </row>
    <row r="196" spans="1:1">
      <c r="A196" s="180"/>
    </row>
    <row r="197" spans="1:1">
      <c r="A197" s="180"/>
    </row>
    <row r="198" spans="1:1">
      <c r="A198" s="180"/>
    </row>
    <row r="199" spans="1:1">
      <c r="A199" s="180"/>
    </row>
    <row r="200" spans="1:1">
      <c r="A200" s="180"/>
    </row>
    <row r="201" spans="1:1">
      <c r="A201" s="180"/>
    </row>
    <row r="202" spans="1:1">
      <c r="A202" s="180"/>
    </row>
    <row r="203" spans="1:1">
      <c r="A203" s="180"/>
    </row>
    <row r="204" spans="1:1">
      <c r="A204" s="180"/>
    </row>
    <row r="205" spans="1:1">
      <c r="A205" s="180"/>
    </row>
    <row r="206" spans="1:1">
      <c r="A206" s="180"/>
    </row>
    <row r="207" spans="1:1">
      <c r="A207" s="180"/>
    </row>
    <row r="208" spans="1:1">
      <c r="A208" s="180"/>
    </row>
    <row r="209" spans="1:1">
      <c r="A209" s="180"/>
    </row>
    <row r="210" spans="1:1">
      <c r="A210" s="180"/>
    </row>
    <row r="211" spans="1:1">
      <c r="A211" s="180"/>
    </row>
    <row r="212" spans="1:1">
      <c r="A212" s="180"/>
    </row>
    <row r="213" spans="1:1">
      <c r="A213" s="180"/>
    </row>
    <row r="214" spans="1:1">
      <c r="A214" s="180"/>
    </row>
    <row r="215" spans="1:1">
      <c r="A215" s="180"/>
    </row>
    <row r="216" spans="1:1">
      <c r="A216" s="180"/>
    </row>
    <row r="217" spans="1:1">
      <c r="A217" s="180"/>
    </row>
    <row r="218" spans="1:1">
      <c r="A218" s="180"/>
    </row>
    <row r="219" spans="1:1">
      <c r="A219" s="180"/>
    </row>
    <row r="220" spans="1:1">
      <c r="A220" s="180"/>
    </row>
    <row r="221" spans="1:1">
      <c r="A221" s="180"/>
    </row>
    <row r="222" spans="1:1">
      <c r="A222" s="180"/>
    </row>
    <row r="223" spans="1:1">
      <c r="A223" s="180"/>
    </row>
    <row r="224" spans="1:1">
      <c r="A224" s="180"/>
    </row>
    <row r="225" spans="1:1">
      <c r="A225" s="180"/>
    </row>
    <row r="226" spans="1:1">
      <c r="A226" s="180"/>
    </row>
    <row r="227" spans="1:1">
      <c r="A227" s="180"/>
    </row>
    <row r="228" spans="1:1">
      <c r="A228" s="180"/>
    </row>
    <row r="229" spans="1:1">
      <c r="A229" s="180"/>
    </row>
    <row r="230" spans="1:1">
      <c r="A230" s="180"/>
    </row>
    <row r="231" spans="1:1">
      <c r="A231" s="180"/>
    </row>
    <row r="232" spans="1:1">
      <c r="A232" s="180"/>
    </row>
    <row r="233" spans="1:1">
      <c r="A233" s="180"/>
    </row>
    <row r="234" spans="1:1">
      <c r="A234" s="180"/>
    </row>
    <row r="235" spans="1:1">
      <c r="A235" s="180"/>
    </row>
    <row r="236" spans="1:1">
      <c r="A236" s="180"/>
    </row>
    <row r="237" spans="1:1">
      <c r="A237" s="180"/>
    </row>
    <row r="238" spans="1:1">
      <c r="A238" s="180"/>
    </row>
    <row r="239" spans="1:1">
      <c r="A239" s="180"/>
    </row>
    <row r="240" spans="1:1">
      <c r="A240" s="180"/>
    </row>
    <row r="241" spans="1:1">
      <c r="A241" s="180"/>
    </row>
    <row r="242" spans="1:1">
      <c r="A242" s="180"/>
    </row>
    <row r="243" spans="1:1">
      <c r="A243" s="180"/>
    </row>
    <row r="244" spans="1:1">
      <c r="A244" s="180"/>
    </row>
    <row r="245" spans="1:1">
      <c r="A245" s="180"/>
    </row>
    <row r="246" spans="1:1">
      <c r="A246" s="180"/>
    </row>
    <row r="247" spans="1:1">
      <c r="A247" s="180"/>
    </row>
    <row r="248" spans="1:1">
      <c r="A248" s="180"/>
    </row>
    <row r="249" spans="1:1">
      <c r="A249" s="180"/>
    </row>
    <row r="250" spans="1:1">
      <c r="A250" s="180"/>
    </row>
    <row r="251" spans="1:1">
      <c r="A251" s="180"/>
    </row>
    <row r="252" spans="1:1">
      <c r="A252" s="180"/>
    </row>
    <row r="253" spans="1:1">
      <c r="A253" s="180"/>
    </row>
    <row r="254" spans="1:1">
      <c r="A254" s="180"/>
    </row>
    <row r="255" spans="1:1">
      <c r="A255" s="180"/>
    </row>
    <row r="256" spans="1:1">
      <c r="A256" s="180"/>
    </row>
    <row r="257" spans="1:1">
      <c r="A257" s="180"/>
    </row>
    <row r="258" spans="1:1">
      <c r="A258" s="180"/>
    </row>
    <row r="259" spans="1:1">
      <c r="A259" s="180"/>
    </row>
    <row r="260" spans="1:1">
      <c r="A260" s="180"/>
    </row>
    <row r="261" spans="1:1">
      <c r="A261" s="180"/>
    </row>
    <row r="262" spans="1:1">
      <c r="A262" s="180"/>
    </row>
    <row r="263" spans="1:1">
      <c r="A263" s="180"/>
    </row>
    <row r="264" spans="1:1">
      <c r="A264" s="180"/>
    </row>
    <row r="265" spans="1:1">
      <c r="A265" s="180"/>
    </row>
    <row r="266" spans="1:1">
      <c r="A266" s="180"/>
    </row>
    <row r="267" spans="1:1">
      <c r="A267" s="180"/>
    </row>
    <row r="268" spans="1:1">
      <c r="A268" s="180"/>
    </row>
    <row r="269" spans="1:1">
      <c r="A269" s="180"/>
    </row>
    <row r="270" spans="1:1">
      <c r="A270" s="180"/>
    </row>
    <row r="271" spans="1:1">
      <c r="A271" s="180"/>
    </row>
    <row r="272" spans="1:1">
      <c r="A272" s="180"/>
    </row>
    <row r="273" spans="1:1">
      <c r="A273" s="180"/>
    </row>
    <row r="274" spans="1:1">
      <c r="A274" s="180"/>
    </row>
    <row r="275" spans="1:1">
      <c r="A275" s="180"/>
    </row>
    <row r="276" spans="1:1">
      <c r="A276" s="180"/>
    </row>
    <row r="277" spans="1:1">
      <c r="A277" s="180"/>
    </row>
    <row r="278" spans="1:1">
      <c r="A278" s="180"/>
    </row>
    <row r="279" spans="1:1">
      <c r="A279" s="180"/>
    </row>
    <row r="280" spans="1:1">
      <c r="A280" s="180"/>
    </row>
    <row r="281" spans="1:1">
      <c r="A281" s="180"/>
    </row>
    <row r="282" spans="1:1">
      <c r="A282" s="180"/>
    </row>
    <row r="283" spans="1:1">
      <c r="A283" s="180"/>
    </row>
    <row r="284" spans="1:1">
      <c r="A284" s="180"/>
    </row>
    <row r="285" spans="1:1">
      <c r="A285" s="180"/>
    </row>
    <row r="286" spans="1:1">
      <c r="A286" s="180"/>
    </row>
    <row r="287" spans="1:1">
      <c r="A287" s="180"/>
    </row>
    <row r="288" spans="1:1">
      <c r="A288" s="180"/>
    </row>
    <row r="289" spans="1:1">
      <c r="A289" s="180"/>
    </row>
    <row r="290" spans="1:1">
      <c r="A290" s="180"/>
    </row>
  </sheetData>
  <mergeCells count="1">
    <mergeCell ref="A1:B1"/>
  </mergeCells>
  <phoneticPr fontId="4" type="noConversion"/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horizontalDpi="300" verticalDpi="300" r:id="rId1"/>
  <headerFooter alignWithMargins="0">
    <oddHeader>&amp;L&amp;8Nagyszénás Nagyközség Önkormányzata &amp;C&amp;8 2016. évi költségvetés
bevételek&amp;R&amp;8 1. melléklet
adatok Ft-ban</oddHeader>
    <oddFooter xml:space="preserve">&amp;C&amp;P&amp;R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:Z334"/>
  <sheetViews>
    <sheetView topLeftCell="A102" workbookViewId="0">
      <selection activeCell="G135" sqref="G135"/>
    </sheetView>
  </sheetViews>
  <sheetFormatPr defaultColWidth="11.5703125" defaultRowHeight="12.75"/>
  <cols>
    <col min="1" max="1" width="72" customWidth="1"/>
    <col min="2" max="2" width="13.5703125" customWidth="1"/>
    <col min="3" max="25" width="11.5703125" customWidth="1"/>
    <col min="26" max="26" width="12.7109375" customWidth="1"/>
    <col min="27" max="27" width="11.5703125" customWidth="1"/>
  </cols>
  <sheetData>
    <row r="1" spans="1:8" ht="13.5" thickBot="1">
      <c r="A1" s="73" t="s">
        <v>87</v>
      </c>
      <c r="B1" s="180"/>
    </row>
    <row r="2" spans="1:8" ht="13.5" thickBot="1">
      <c r="A2" s="9" t="s">
        <v>195</v>
      </c>
      <c r="B2" s="10">
        <f>B3+B4+B5+B6+B7</f>
        <v>642635983.20000005</v>
      </c>
    </row>
    <row r="3" spans="1:8">
      <c r="A3" s="78" t="s">
        <v>336</v>
      </c>
      <c r="B3" s="6">
        <f>B10+B17+B26+B33</f>
        <v>246987539</v>
      </c>
    </row>
    <row r="4" spans="1:8">
      <c r="A4" s="13" t="s">
        <v>10</v>
      </c>
      <c r="B4" s="6">
        <f>B11+B18+B27</f>
        <v>127935744</v>
      </c>
    </row>
    <row r="5" spans="1:8">
      <c r="A5" s="13" t="s">
        <v>337</v>
      </c>
      <c r="B5" s="6">
        <f>B12+B19+B28</f>
        <v>122090220</v>
      </c>
    </row>
    <row r="6" spans="1:8">
      <c r="A6" s="13" t="s">
        <v>338</v>
      </c>
      <c r="B6" s="6">
        <f>B13+B20+B29</f>
        <v>143956252.19999999</v>
      </c>
    </row>
    <row r="7" spans="1:8">
      <c r="A7" s="13" t="s">
        <v>339</v>
      </c>
      <c r="B7" s="6">
        <f>B14+B21+B30</f>
        <v>1666228</v>
      </c>
    </row>
    <row r="8" spans="1:8" ht="13.5" thickBot="1">
      <c r="A8" s="16"/>
      <c r="B8" s="6"/>
    </row>
    <row r="9" spans="1:8" ht="13.5" thickBot="1">
      <c r="A9" s="9" t="s">
        <v>88</v>
      </c>
      <c r="B9" s="10">
        <f>SUM(B10:B14)</f>
        <v>262721000</v>
      </c>
      <c r="D9" s="50"/>
      <c r="H9" s="50"/>
    </row>
    <row r="10" spans="1:8">
      <c r="A10" s="78" t="s">
        <v>217</v>
      </c>
      <c r="B10" s="6">
        <f>'5_melléklet'!B200</f>
        <v>68855088</v>
      </c>
      <c r="C10">
        <v>62514000</v>
      </c>
      <c r="D10" s="50">
        <f>B10-C10</f>
        <v>6341088</v>
      </c>
    </row>
    <row r="11" spans="1:8">
      <c r="A11" s="13" t="s">
        <v>72</v>
      </c>
      <c r="B11" s="6">
        <f>'5_melléklet'!B315</f>
        <v>64710912</v>
      </c>
      <c r="C11">
        <v>71052000</v>
      </c>
      <c r="D11" s="50">
        <f>B11-C11</f>
        <v>-6341088</v>
      </c>
    </row>
    <row r="12" spans="1:8">
      <c r="A12" s="13" t="s">
        <v>73</v>
      </c>
      <c r="B12" s="6">
        <f>'5_melléklet'!B600</f>
        <v>70382000</v>
      </c>
      <c r="D12" s="50"/>
    </row>
    <row r="13" spans="1:8">
      <c r="A13" s="13" t="s">
        <v>190</v>
      </c>
      <c r="B13" s="6">
        <f>'5_melléklet'!B736</f>
        <v>57795000</v>
      </c>
      <c r="D13" s="50"/>
    </row>
    <row r="14" spans="1:8">
      <c r="A14" s="13" t="s">
        <v>189</v>
      </c>
      <c r="B14" s="6">
        <f>'5_melléklet'!B776</f>
        <v>978000</v>
      </c>
      <c r="D14" s="50"/>
    </row>
    <row r="15" spans="1:8" ht="13.5" thickBot="1">
      <c r="A15" s="16"/>
      <c r="B15" s="6"/>
      <c r="D15" s="50"/>
    </row>
    <row r="16" spans="1:8" ht="13.5" thickBot="1">
      <c r="A16" s="9" t="s">
        <v>89</v>
      </c>
      <c r="B16" s="10">
        <f>SUM(B17:B21)</f>
        <v>69086000</v>
      </c>
      <c r="D16" s="50"/>
      <c r="H16" s="50"/>
    </row>
    <row r="17" spans="1:8">
      <c r="A17" s="78" t="s">
        <v>174</v>
      </c>
      <c r="B17" s="6">
        <f>'5_melléklet'!B201</f>
        <v>16085168</v>
      </c>
      <c r="C17">
        <v>14362000</v>
      </c>
      <c r="D17" s="50">
        <f>B17-C17</f>
        <v>1723168</v>
      </c>
      <c r="H17" s="50"/>
    </row>
    <row r="18" spans="1:8">
      <c r="A18" s="13" t="s">
        <v>328</v>
      </c>
      <c r="B18" s="6">
        <f>'5_melléklet'!B316</f>
        <v>18106832</v>
      </c>
      <c r="C18">
        <v>19830000</v>
      </c>
      <c r="D18" s="50">
        <f>B18-C18</f>
        <v>-1723168</v>
      </c>
    </row>
    <row r="19" spans="1:8">
      <c r="A19" s="13" t="s">
        <v>329</v>
      </c>
      <c r="B19" s="6">
        <f>'5_melléklet'!B601</f>
        <v>18974000</v>
      </c>
    </row>
    <row r="20" spans="1:8">
      <c r="A20" s="13" t="s">
        <v>330</v>
      </c>
      <c r="B20" s="6">
        <f>'5_melléklet'!B737</f>
        <v>15656000</v>
      </c>
    </row>
    <row r="21" spans="1:8">
      <c r="A21" s="13" t="s">
        <v>331</v>
      </c>
      <c r="B21" s="6">
        <f>'5_melléklet'!B777</f>
        <v>264000</v>
      </c>
      <c r="D21" s="50">
        <f>SUM(D10:D19)</f>
        <v>0</v>
      </c>
    </row>
    <row r="22" spans="1:8" ht="13.5" thickBot="1">
      <c r="A22" s="16"/>
      <c r="B22" s="6"/>
    </row>
    <row r="23" spans="1:8" ht="13.5" thickBot="1">
      <c r="A23" s="9" t="s">
        <v>90</v>
      </c>
      <c r="B23" s="10">
        <f>SUM(B26:B29)</f>
        <v>233116097.19999999</v>
      </c>
      <c r="C23" s="50"/>
    </row>
    <row r="24" spans="1:8">
      <c r="A24" s="16" t="s">
        <v>210</v>
      </c>
      <c r="B24" s="6"/>
    </row>
    <row r="25" spans="1:8">
      <c r="A25" s="16" t="s">
        <v>235</v>
      </c>
      <c r="B25" s="6"/>
    </row>
    <row r="26" spans="1:8">
      <c r="A26" s="78" t="s">
        <v>227</v>
      </c>
      <c r="B26" s="6">
        <f>'5_melléklet'!B202</f>
        <v>84758625</v>
      </c>
    </row>
    <row r="27" spans="1:8">
      <c r="A27" s="13" t="s">
        <v>332</v>
      </c>
      <c r="B27" s="6">
        <f>'5_melléklet'!B317</f>
        <v>45118000</v>
      </c>
    </row>
    <row r="28" spans="1:8">
      <c r="A28" s="13" t="s">
        <v>333</v>
      </c>
      <c r="B28" s="6">
        <f>'5_melléklet'!B602</f>
        <v>32734220</v>
      </c>
    </row>
    <row r="29" spans="1:8">
      <c r="A29" s="13" t="s">
        <v>334</v>
      </c>
      <c r="B29" s="6">
        <f>'5_melléklet'!B738</f>
        <v>70505252.200000003</v>
      </c>
    </row>
    <row r="30" spans="1:8">
      <c r="A30" s="13" t="s">
        <v>335</v>
      </c>
      <c r="B30" s="6">
        <f>'5_melléklet'!B775</f>
        <v>424228</v>
      </c>
    </row>
    <row r="31" spans="1:8" ht="13.5" thickBot="1">
      <c r="A31" s="16"/>
      <c r="B31" s="6"/>
    </row>
    <row r="32" spans="1:8" ht="13.5" thickBot="1">
      <c r="A32" s="9" t="s">
        <v>265</v>
      </c>
      <c r="B32" s="10">
        <f>B33</f>
        <v>77288658</v>
      </c>
      <c r="C32" s="50"/>
    </row>
    <row r="33" spans="1:3">
      <c r="A33" s="19" t="s">
        <v>266</v>
      </c>
      <c r="B33" s="15">
        <f>SUM(B34:B37)</f>
        <v>77288658</v>
      </c>
    </row>
    <row r="34" spans="1:3">
      <c r="A34" s="16" t="s">
        <v>267</v>
      </c>
      <c r="B34" s="6">
        <f>'4_ melléklet'!B10</f>
        <v>4200000</v>
      </c>
    </row>
    <row r="35" spans="1:3">
      <c r="A35" s="16" t="s">
        <v>268</v>
      </c>
      <c r="B35" s="6">
        <f>'4_ melléklet'!B15</f>
        <v>53328658</v>
      </c>
    </row>
    <row r="36" spans="1:3">
      <c r="A36" s="16" t="s">
        <v>269</v>
      </c>
      <c r="B36" s="6">
        <f>'4_ melléklet'!B22</f>
        <v>7200000</v>
      </c>
    </row>
    <row r="37" spans="1:3">
      <c r="A37" s="16" t="s">
        <v>270</v>
      </c>
      <c r="B37" s="6">
        <f>'4_ melléklet'!B26+'4_ melléklet'!B34</f>
        <v>12560000</v>
      </c>
    </row>
    <row r="38" spans="1:3" ht="13.5" thickBot="1">
      <c r="A38" s="16"/>
      <c r="B38" s="6"/>
    </row>
    <row r="39" spans="1:3" ht="13.5" thickBot="1">
      <c r="A39" s="84" t="s">
        <v>111</v>
      </c>
      <c r="B39" s="47">
        <f>B41+B58+B64</f>
        <v>15444689</v>
      </c>
    </row>
    <row r="40" spans="1:3" ht="13.5" thickBot="1">
      <c r="A40" s="85"/>
      <c r="B40" s="199"/>
    </row>
    <row r="41" spans="1:3" ht="13.5" thickBot="1">
      <c r="A41" s="74" t="s">
        <v>58</v>
      </c>
      <c r="B41" s="75">
        <f>B42+B50+B52+B55</f>
        <v>7141730</v>
      </c>
      <c r="C41" s="50"/>
    </row>
    <row r="42" spans="1:3">
      <c r="A42" s="154" t="s">
        <v>217</v>
      </c>
      <c r="B42" s="155">
        <f>B43+B48+B49</f>
        <v>5784100</v>
      </c>
    </row>
    <row r="43" spans="1:3">
      <c r="A43" s="133" t="s">
        <v>285</v>
      </c>
      <c r="B43" s="200">
        <f>B44+B45+B46+B47</f>
        <v>4147800</v>
      </c>
    </row>
    <row r="44" spans="1:3">
      <c r="A44" s="20" t="s">
        <v>286</v>
      </c>
      <c r="B44" s="6">
        <v>1200000</v>
      </c>
    </row>
    <row r="45" spans="1:3">
      <c r="A45" s="20" t="s">
        <v>287</v>
      </c>
      <c r="B45" s="6">
        <v>1000000</v>
      </c>
    </row>
    <row r="46" spans="1:3">
      <c r="A46" s="20" t="s">
        <v>288</v>
      </c>
      <c r="B46" s="6">
        <v>500000</v>
      </c>
    </row>
    <row r="47" spans="1:3">
      <c r="A47" s="20" t="s">
        <v>314</v>
      </c>
      <c r="B47" s="6">
        <v>1447800</v>
      </c>
    </row>
    <row r="48" spans="1:3">
      <c r="A48" s="20" t="s">
        <v>289</v>
      </c>
      <c r="B48" s="6">
        <f>1108000+228300</f>
        <v>1336300</v>
      </c>
    </row>
    <row r="49" spans="1:2">
      <c r="A49" s="20" t="s">
        <v>240</v>
      </c>
      <c r="B49" s="6">
        <v>300000</v>
      </c>
    </row>
    <row r="50" spans="1:2">
      <c r="A50" s="151" t="s">
        <v>72</v>
      </c>
      <c r="B50" s="147">
        <f>B51</f>
        <v>254000</v>
      </c>
    </row>
    <row r="51" spans="1:2">
      <c r="A51" s="20" t="s">
        <v>232</v>
      </c>
      <c r="B51" s="6">
        <v>254000</v>
      </c>
    </row>
    <row r="52" spans="1:2">
      <c r="A52" s="151" t="s">
        <v>73</v>
      </c>
      <c r="B52" s="147">
        <f>SUM(B53)</f>
        <v>608330</v>
      </c>
    </row>
    <row r="53" spans="1:2">
      <c r="A53" s="20" t="s">
        <v>233</v>
      </c>
      <c r="B53" s="6">
        <v>608330</v>
      </c>
    </row>
    <row r="54" spans="1:2">
      <c r="A54" s="20"/>
      <c r="B54" s="6"/>
    </row>
    <row r="55" spans="1:2">
      <c r="A55" s="151" t="s">
        <v>190</v>
      </c>
      <c r="B55" s="147">
        <f>B56</f>
        <v>495300</v>
      </c>
    </row>
    <row r="56" spans="1:2">
      <c r="A56" s="20" t="s">
        <v>234</v>
      </c>
      <c r="B56" s="6">
        <v>495300</v>
      </c>
    </row>
    <row r="57" spans="1:2" ht="13.5" thickBot="1">
      <c r="A57" s="20"/>
      <c r="B57" s="6"/>
    </row>
    <row r="58" spans="1:2" ht="13.5" thickBot="1">
      <c r="A58" s="76" t="s">
        <v>59</v>
      </c>
      <c r="B58" s="77">
        <f>B59</f>
        <v>2802959</v>
      </c>
    </row>
    <row r="59" spans="1:2">
      <c r="A59" s="154" t="s">
        <v>174</v>
      </c>
      <c r="B59" s="158">
        <f>SUM(B60:B62)</f>
        <v>2802959</v>
      </c>
    </row>
    <row r="60" spans="1:2">
      <c r="A60" s="174" t="s">
        <v>296</v>
      </c>
      <c r="B60" s="6">
        <v>1000000</v>
      </c>
    </row>
    <row r="61" spans="1:2">
      <c r="A61" s="174" t="s">
        <v>302</v>
      </c>
      <c r="B61" s="6">
        <v>1500000</v>
      </c>
    </row>
    <row r="62" spans="1:2">
      <c r="A62" s="174" t="s">
        <v>317</v>
      </c>
      <c r="B62" s="6">
        <v>302959</v>
      </c>
    </row>
    <row r="63" spans="1:2" ht="13.5" thickBot="1">
      <c r="A63" s="20"/>
      <c r="B63" s="6"/>
    </row>
    <row r="64" spans="1:2" ht="13.5" thickBot="1">
      <c r="A64" s="76" t="s">
        <v>221</v>
      </c>
      <c r="B64" s="77">
        <f>B65</f>
        <v>5500000</v>
      </c>
    </row>
    <row r="65" spans="1:26">
      <c r="A65" s="154" t="s">
        <v>227</v>
      </c>
      <c r="B65" s="158">
        <f>+B66+B67</f>
        <v>5500000</v>
      </c>
    </row>
    <row r="66" spans="1:26">
      <c r="A66" s="156" t="s">
        <v>347</v>
      </c>
      <c r="B66" s="157">
        <v>3000000</v>
      </c>
    </row>
    <row r="67" spans="1:26">
      <c r="A67" s="156" t="s">
        <v>346</v>
      </c>
      <c r="B67" s="157">
        <v>2500000</v>
      </c>
    </row>
    <row r="68" spans="1:26" ht="13.5" thickBot="1">
      <c r="A68" s="64"/>
      <c r="B68" s="199"/>
    </row>
    <row r="69" spans="1:26" ht="13.5" thickBot="1">
      <c r="A69" s="74" t="s">
        <v>75</v>
      </c>
      <c r="B69" s="75">
        <f>B70+B71+B72</f>
        <v>49500000</v>
      </c>
      <c r="C69" s="50"/>
    </row>
    <row r="70" spans="1:26">
      <c r="A70" s="16" t="s">
        <v>106</v>
      </c>
      <c r="B70" s="21">
        <f>25000000+8000000-2000000-2000000+4000000-2500000</f>
        <v>30500000</v>
      </c>
    </row>
    <row r="71" spans="1:26">
      <c r="A71" s="16" t="s">
        <v>226</v>
      </c>
      <c r="B71" s="201">
        <v>10000000</v>
      </c>
    </row>
    <row r="72" spans="1:26">
      <c r="A72" s="16" t="s">
        <v>249</v>
      </c>
      <c r="B72" s="201">
        <v>9000000</v>
      </c>
    </row>
    <row r="73" spans="1:26" ht="13.5" thickBot="1">
      <c r="A73" s="180"/>
      <c r="B73" s="21"/>
    </row>
    <row r="74" spans="1:26" ht="13.5" thickBot="1">
      <c r="A74" s="9" t="s">
        <v>222</v>
      </c>
      <c r="B74" s="55">
        <f>B2+B39+B69</f>
        <v>707580672.20000005</v>
      </c>
    </row>
    <row r="75" spans="1:26" ht="13.5" thickBot="1">
      <c r="A75" s="161"/>
      <c r="B75" s="86"/>
    </row>
    <row r="76" spans="1:26" ht="13.5" thickBot="1">
      <c r="A76" s="170" t="s">
        <v>246</v>
      </c>
      <c r="B76" s="171">
        <f>B77+B78</f>
        <v>39574267</v>
      </c>
      <c r="C76" s="50"/>
    </row>
    <row r="77" spans="1:26">
      <c r="A77" s="16" t="s">
        <v>247</v>
      </c>
      <c r="B77" s="172">
        <v>11587334</v>
      </c>
      <c r="E77" s="205"/>
    </row>
    <row r="78" spans="1:26">
      <c r="A78" s="173" t="s">
        <v>248</v>
      </c>
      <c r="B78" s="201">
        <f>39942902-11955969</f>
        <v>27986933</v>
      </c>
    </row>
    <row r="79" spans="1:26" ht="13.5" thickBot="1">
      <c r="A79" s="17"/>
      <c r="B79" s="21"/>
    </row>
    <row r="80" spans="1:26" ht="13.5" thickBot="1">
      <c r="A80" s="9" t="s">
        <v>250</v>
      </c>
      <c r="B80" s="47">
        <f>B74+B76</f>
        <v>747154939.20000005</v>
      </c>
      <c r="C80" s="50"/>
      <c r="Z80" s="50"/>
    </row>
    <row r="81" spans="1:26">
      <c r="A81" s="17"/>
      <c r="B81" s="114"/>
      <c r="Z81" s="50"/>
    </row>
    <row r="82" spans="1:26">
      <c r="A82" s="17"/>
      <c r="B82" s="114"/>
      <c r="Z82" s="50"/>
    </row>
    <row r="83" spans="1:26">
      <c r="A83" s="17"/>
      <c r="B83" s="114"/>
      <c r="Z83" s="50"/>
    </row>
    <row r="84" spans="1:26">
      <c r="A84" s="56" t="s">
        <v>98</v>
      </c>
      <c r="B84" s="180"/>
    </row>
    <row r="85" spans="1:26" ht="13.5" thickBot="1">
      <c r="A85" s="202"/>
      <c r="B85" s="202"/>
    </row>
    <row r="86" spans="1:26" ht="23.25" thickBot="1">
      <c r="A86" s="124" t="s">
        <v>236</v>
      </c>
      <c r="B86" s="67">
        <f>bevételek!B70-kiadások!B2-kiadások!B69</f>
        <v>-53161442.200000048</v>
      </c>
    </row>
    <row r="87" spans="1:26">
      <c r="A87" s="59" t="s">
        <v>102</v>
      </c>
      <c r="B87" s="57">
        <f>bevételek!B70</f>
        <v>638974541</v>
      </c>
    </row>
    <row r="88" spans="1:26" ht="13.5" thickBot="1">
      <c r="A88" s="59" t="s">
        <v>228</v>
      </c>
      <c r="B88" s="86">
        <f>B2+B69</f>
        <v>692135983.20000005</v>
      </c>
    </row>
    <row r="89" spans="1:26" ht="24" customHeight="1" thickBot="1">
      <c r="A89" s="72" t="s">
        <v>238</v>
      </c>
      <c r="B89" s="67">
        <f>B90-B91</f>
        <v>37074267</v>
      </c>
    </row>
    <row r="90" spans="1:26">
      <c r="A90" s="59" t="s">
        <v>103</v>
      </c>
      <c r="B90" s="57">
        <f>bevételek!B80</f>
        <v>52518956</v>
      </c>
    </row>
    <row r="91" spans="1:26" ht="13.5" thickBot="1">
      <c r="A91" s="59" t="s">
        <v>229</v>
      </c>
      <c r="B91" s="86">
        <f>B39</f>
        <v>15444689</v>
      </c>
    </row>
    <row r="92" spans="1:26" ht="23.25" thickBot="1">
      <c r="A92" s="124" t="s">
        <v>237</v>
      </c>
      <c r="B92" s="87">
        <f>B86+B89</f>
        <v>-16087175.200000048</v>
      </c>
    </row>
    <row r="93" spans="1:26" ht="13.5" thickBot="1">
      <c r="A93" s="88"/>
      <c r="B93" s="57"/>
    </row>
    <row r="94" spans="1:26" ht="13.5" thickBot="1">
      <c r="A94" s="58" t="s">
        <v>25</v>
      </c>
      <c r="B94" s="54">
        <f>bevételek!B85</f>
        <v>55661442</v>
      </c>
    </row>
    <row r="95" spans="1:26" ht="13.5" thickBot="1">
      <c r="A95" s="180"/>
      <c r="B95" s="180"/>
    </row>
    <row r="96" spans="1:26" ht="13.5" thickBot="1">
      <c r="A96" s="9" t="s">
        <v>104</v>
      </c>
      <c r="B96" s="54">
        <f>B97-B98</f>
        <v>-11587334</v>
      </c>
    </row>
    <row r="97" spans="1:3">
      <c r="A97" s="16" t="s">
        <v>92</v>
      </c>
      <c r="B97" s="191">
        <v>0</v>
      </c>
    </row>
    <row r="98" spans="1:3" ht="13.5" thickBot="1">
      <c r="A98" s="16" t="s">
        <v>93</v>
      </c>
      <c r="B98" s="45">
        <f>B77</f>
        <v>11587334</v>
      </c>
    </row>
    <row r="99" spans="1:3" ht="13.5" thickBot="1">
      <c r="A99" s="9" t="s">
        <v>107</v>
      </c>
      <c r="B99" s="54">
        <f>B100-B101</f>
        <v>-27986933</v>
      </c>
    </row>
    <row r="100" spans="1:3">
      <c r="A100" s="16" t="s">
        <v>94</v>
      </c>
      <c r="B100" s="191">
        <v>0</v>
      </c>
    </row>
    <row r="101" spans="1:3" ht="13.5" thickBot="1">
      <c r="A101" s="85" t="s">
        <v>95</v>
      </c>
      <c r="B101" s="64">
        <f>B78</f>
        <v>27986933</v>
      </c>
    </row>
    <row r="102" spans="1:3" ht="23.25" thickBot="1">
      <c r="A102" s="166" t="s">
        <v>24</v>
      </c>
      <c r="B102" s="113">
        <f>B94+B96+B99</f>
        <v>16087175</v>
      </c>
      <c r="C102" s="50"/>
    </row>
    <row r="103" spans="1:3">
      <c r="A103" s="180"/>
      <c r="B103" s="180"/>
    </row>
    <row r="104" spans="1:3">
      <c r="A104" s="180"/>
      <c r="B104" s="180"/>
    </row>
    <row r="105" spans="1:3">
      <c r="A105" s="180"/>
      <c r="B105" s="180"/>
    </row>
    <row r="106" spans="1:3">
      <c r="A106" s="180"/>
      <c r="B106" s="150"/>
    </row>
    <row r="107" spans="1:3">
      <c r="A107" s="180"/>
      <c r="B107" s="180"/>
    </row>
    <row r="108" spans="1:3">
      <c r="A108" s="162"/>
      <c r="B108" s="162"/>
    </row>
    <row r="109" spans="1:3">
      <c r="A109" s="162"/>
      <c r="B109" s="162"/>
    </row>
    <row r="110" spans="1:3">
      <c r="A110" s="162"/>
      <c r="B110" s="162"/>
    </row>
    <row r="111" spans="1:3">
      <c r="A111" s="162"/>
      <c r="B111" s="162"/>
    </row>
    <row r="112" spans="1:3">
      <c r="A112" s="162"/>
      <c r="B112" s="162"/>
    </row>
    <row r="113" spans="1:2">
      <c r="A113" s="162"/>
      <c r="B113" s="162"/>
    </row>
    <row r="114" spans="1:2">
      <c r="A114" s="162"/>
      <c r="B114" s="162"/>
    </row>
    <row r="115" spans="1:2">
      <c r="A115" s="162"/>
      <c r="B115" s="162"/>
    </row>
    <row r="116" spans="1:2">
      <c r="A116" s="162"/>
      <c r="B116" s="162"/>
    </row>
    <row r="117" spans="1:2">
      <c r="A117" s="162"/>
      <c r="B117" s="162"/>
    </row>
    <row r="118" spans="1:2">
      <c r="A118" s="162"/>
      <c r="B118" s="162"/>
    </row>
    <row r="119" spans="1:2">
      <c r="A119" s="162"/>
      <c r="B119" s="162"/>
    </row>
    <row r="120" spans="1:2">
      <c r="A120" s="162"/>
      <c r="B120" s="162"/>
    </row>
    <row r="121" spans="1:2">
      <c r="A121" s="162"/>
      <c r="B121" s="162"/>
    </row>
    <row r="122" spans="1:2">
      <c r="A122" s="162"/>
      <c r="B122" s="162"/>
    </row>
    <row r="123" spans="1:2">
      <c r="A123" s="162"/>
      <c r="B123" s="162"/>
    </row>
    <row r="124" spans="1:2">
      <c r="A124" s="162"/>
      <c r="B124" s="162"/>
    </row>
    <row r="125" spans="1:2">
      <c r="A125" s="162"/>
      <c r="B125" s="162"/>
    </row>
    <row r="126" spans="1:2">
      <c r="A126" s="162"/>
      <c r="B126" s="162"/>
    </row>
    <row r="127" spans="1:2">
      <c r="A127" s="162"/>
      <c r="B127" s="162"/>
    </row>
    <row r="128" spans="1:2">
      <c r="A128" s="162"/>
      <c r="B128" s="162"/>
    </row>
    <row r="129" spans="1:2">
      <c r="A129" s="162"/>
      <c r="B129" s="162"/>
    </row>
    <row r="130" spans="1:2">
      <c r="A130" s="162"/>
      <c r="B130" s="162"/>
    </row>
    <row r="131" spans="1:2">
      <c r="A131" s="162"/>
      <c r="B131" s="162"/>
    </row>
    <row r="132" spans="1:2">
      <c r="A132" s="162"/>
      <c r="B132" s="162"/>
    </row>
    <row r="133" spans="1:2">
      <c r="A133" s="162"/>
      <c r="B133" s="162"/>
    </row>
    <row r="134" spans="1:2">
      <c r="A134" s="162"/>
      <c r="B134" s="162"/>
    </row>
    <row r="135" spans="1:2">
      <c r="A135" s="162"/>
      <c r="B135" s="162"/>
    </row>
    <row r="136" spans="1:2">
      <c r="A136" s="162"/>
      <c r="B136" s="162"/>
    </row>
    <row r="137" spans="1:2">
      <c r="A137" s="162"/>
      <c r="B137" s="162"/>
    </row>
    <row r="138" spans="1:2">
      <c r="A138" s="162"/>
      <c r="B138" s="162"/>
    </row>
    <row r="139" spans="1:2">
      <c r="A139" s="162"/>
      <c r="B139" s="162"/>
    </row>
    <row r="140" spans="1:2">
      <c r="A140" s="162"/>
      <c r="B140" s="162"/>
    </row>
    <row r="141" spans="1:2">
      <c r="A141" s="162"/>
      <c r="B141" s="162"/>
    </row>
    <row r="142" spans="1:2">
      <c r="A142" s="162"/>
      <c r="B142" s="162"/>
    </row>
    <row r="143" spans="1:2">
      <c r="A143" s="162"/>
      <c r="B143" s="162"/>
    </row>
    <row r="144" spans="1:2">
      <c r="A144" s="162"/>
      <c r="B144" s="162"/>
    </row>
    <row r="145" spans="1:2">
      <c r="A145" s="162"/>
      <c r="B145" s="162"/>
    </row>
    <row r="146" spans="1:2">
      <c r="A146" s="162"/>
      <c r="B146" s="162"/>
    </row>
    <row r="147" spans="1:2">
      <c r="A147" s="162"/>
      <c r="B147" s="162"/>
    </row>
    <row r="148" spans="1:2">
      <c r="A148" s="162"/>
      <c r="B148" s="162"/>
    </row>
    <row r="149" spans="1:2">
      <c r="A149" s="162"/>
      <c r="B149" s="162"/>
    </row>
    <row r="150" spans="1:2">
      <c r="A150" s="162"/>
      <c r="B150" s="162"/>
    </row>
    <row r="151" spans="1:2">
      <c r="A151" s="162"/>
      <c r="B151" s="162"/>
    </row>
    <row r="152" spans="1:2">
      <c r="A152" s="162"/>
      <c r="B152" s="162"/>
    </row>
    <row r="153" spans="1:2">
      <c r="A153" s="162"/>
      <c r="B153" s="162"/>
    </row>
    <row r="154" spans="1:2">
      <c r="A154" s="162"/>
      <c r="B154" s="162"/>
    </row>
    <row r="155" spans="1:2">
      <c r="A155" s="162"/>
      <c r="B155" s="162"/>
    </row>
    <row r="156" spans="1:2">
      <c r="A156" s="162"/>
      <c r="B156" s="162"/>
    </row>
    <row r="157" spans="1:2">
      <c r="A157" s="162"/>
      <c r="B157" s="162"/>
    </row>
    <row r="158" spans="1:2">
      <c r="A158" s="162"/>
      <c r="B158" s="162"/>
    </row>
    <row r="159" spans="1:2">
      <c r="A159" s="162"/>
      <c r="B159" s="162"/>
    </row>
    <row r="160" spans="1:2">
      <c r="A160" s="162"/>
      <c r="B160" s="162"/>
    </row>
    <row r="161" spans="1:2">
      <c r="A161" s="162"/>
      <c r="B161" s="162"/>
    </row>
    <row r="162" spans="1:2">
      <c r="A162" s="162"/>
      <c r="B162" s="162"/>
    </row>
    <row r="163" spans="1:2">
      <c r="A163" s="162"/>
      <c r="B163" s="162"/>
    </row>
    <row r="164" spans="1:2">
      <c r="A164" s="162"/>
      <c r="B164" s="162"/>
    </row>
    <row r="165" spans="1:2">
      <c r="A165" s="162"/>
      <c r="B165" s="162"/>
    </row>
    <row r="166" spans="1:2">
      <c r="A166" s="162"/>
      <c r="B166" s="162"/>
    </row>
    <row r="167" spans="1:2">
      <c r="A167" s="162"/>
      <c r="B167" s="162"/>
    </row>
    <row r="168" spans="1:2">
      <c r="A168" s="162"/>
      <c r="B168" s="162"/>
    </row>
    <row r="169" spans="1:2">
      <c r="A169" s="162"/>
      <c r="B169" s="162"/>
    </row>
    <row r="170" spans="1:2">
      <c r="A170" s="162"/>
      <c r="B170" s="162"/>
    </row>
    <row r="171" spans="1:2">
      <c r="A171" s="162"/>
      <c r="B171" s="162"/>
    </row>
    <row r="172" spans="1:2">
      <c r="A172" s="162"/>
      <c r="B172" s="162"/>
    </row>
    <row r="173" spans="1:2">
      <c r="A173" s="162"/>
      <c r="B173" s="162"/>
    </row>
    <row r="174" spans="1:2">
      <c r="A174" s="162"/>
      <c r="B174" s="162"/>
    </row>
    <row r="175" spans="1:2">
      <c r="A175" s="162"/>
      <c r="B175" s="162"/>
    </row>
    <row r="176" spans="1:2">
      <c r="A176" s="162"/>
      <c r="B176" s="162"/>
    </row>
    <row r="177" spans="1:2">
      <c r="A177" s="162"/>
      <c r="B177" s="162"/>
    </row>
    <row r="178" spans="1:2">
      <c r="A178" s="162"/>
      <c r="B178" s="162"/>
    </row>
    <row r="179" spans="1:2">
      <c r="A179" s="162"/>
      <c r="B179" s="162"/>
    </row>
    <row r="180" spans="1:2">
      <c r="A180" s="162"/>
      <c r="B180" s="162"/>
    </row>
    <row r="181" spans="1:2">
      <c r="A181" s="162"/>
      <c r="B181" s="162"/>
    </row>
    <row r="182" spans="1:2">
      <c r="A182" s="162"/>
      <c r="B182" s="162"/>
    </row>
    <row r="183" spans="1:2">
      <c r="A183" s="162"/>
      <c r="B183" s="162"/>
    </row>
    <row r="184" spans="1:2">
      <c r="A184" s="162"/>
      <c r="B184" s="162"/>
    </row>
    <row r="185" spans="1:2">
      <c r="A185" s="162"/>
      <c r="B185" s="162"/>
    </row>
    <row r="186" spans="1:2">
      <c r="A186" s="162"/>
      <c r="B186" s="162"/>
    </row>
    <row r="187" spans="1:2">
      <c r="A187" s="162"/>
      <c r="B187" s="162"/>
    </row>
    <row r="188" spans="1:2">
      <c r="A188" s="162"/>
      <c r="B188" s="162"/>
    </row>
    <row r="189" spans="1:2">
      <c r="A189" s="162"/>
      <c r="B189" s="162"/>
    </row>
    <row r="190" spans="1:2">
      <c r="A190" s="162"/>
      <c r="B190" s="162"/>
    </row>
    <row r="191" spans="1:2">
      <c r="A191" s="162"/>
      <c r="B191" s="162"/>
    </row>
    <row r="192" spans="1:2">
      <c r="A192" s="162"/>
      <c r="B192" s="162"/>
    </row>
    <row r="193" spans="1:2">
      <c r="A193" s="162"/>
      <c r="B193" s="162"/>
    </row>
    <row r="194" spans="1:2">
      <c r="A194" s="162"/>
      <c r="B194" s="162"/>
    </row>
    <row r="195" spans="1:2">
      <c r="A195" s="162"/>
      <c r="B195" s="162"/>
    </row>
    <row r="196" spans="1:2">
      <c r="A196" s="162"/>
      <c r="B196" s="162"/>
    </row>
    <row r="197" spans="1:2">
      <c r="A197" s="162"/>
      <c r="B197" s="162"/>
    </row>
    <row r="198" spans="1:2">
      <c r="A198" s="162"/>
      <c r="B198" s="162"/>
    </row>
    <row r="199" spans="1:2">
      <c r="A199" s="162"/>
      <c r="B199" s="162"/>
    </row>
    <row r="200" spans="1:2">
      <c r="A200" s="162"/>
      <c r="B200" s="162"/>
    </row>
    <row r="201" spans="1:2">
      <c r="A201" s="162"/>
      <c r="B201" s="162"/>
    </row>
    <row r="202" spans="1:2">
      <c r="A202" s="162"/>
      <c r="B202" s="162"/>
    </row>
    <row r="203" spans="1:2">
      <c r="A203" s="162"/>
      <c r="B203" s="162"/>
    </row>
    <row r="204" spans="1:2">
      <c r="A204" s="162"/>
      <c r="B204" s="162"/>
    </row>
    <row r="205" spans="1:2">
      <c r="A205" s="162"/>
      <c r="B205" s="162"/>
    </row>
    <row r="206" spans="1:2">
      <c r="A206" s="162"/>
      <c r="B206" s="162"/>
    </row>
    <row r="207" spans="1:2">
      <c r="A207" s="162"/>
      <c r="B207" s="162"/>
    </row>
    <row r="208" spans="1:2">
      <c r="A208" s="162"/>
      <c r="B208" s="162"/>
    </row>
    <row r="209" spans="1:2">
      <c r="A209" s="162"/>
      <c r="B209" s="162"/>
    </row>
    <row r="210" spans="1:2">
      <c r="A210" s="162"/>
      <c r="B210" s="162"/>
    </row>
    <row r="211" spans="1:2">
      <c r="A211" s="162"/>
      <c r="B211" s="162"/>
    </row>
    <row r="212" spans="1:2">
      <c r="A212" s="162"/>
      <c r="B212" s="162"/>
    </row>
    <row r="213" spans="1:2">
      <c r="A213" s="162"/>
      <c r="B213" s="162"/>
    </row>
    <row r="214" spans="1:2">
      <c r="A214" s="162"/>
      <c r="B214" s="162"/>
    </row>
    <row r="215" spans="1:2">
      <c r="A215" s="162"/>
      <c r="B215" s="162"/>
    </row>
    <row r="216" spans="1:2">
      <c r="A216" s="162"/>
      <c r="B216" s="162"/>
    </row>
    <row r="217" spans="1:2">
      <c r="A217" s="162"/>
      <c r="B217" s="162"/>
    </row>
    <row r="218" spans="1:2">
      <c r="A218" s="162"/>
      <c r="B218" s="162"/>
    </row>
    <row r="219" spans="1:2">
      <c r="A219" s="162"/>
      <c r="B219" s="162"/>
    </row>
    <row r="220" spans="1:2">
      <c r="A220" s="162"/>
      <c r="B220" s="162"/>
    </row>
    <row r="221" spans="1:2">
      <c r="A221" s="162"/>
      <c r="B221" s="162"/>
    </row>
    <row r="222" spans="1:2">
      <c r="A222" s="162"/>
      <c r="B222" s="162"/>
    </row>
    <row r="223" spans="1:2">
      <c r="A223" s="162"/>
      <c r="B223" s="162"/>
    </row>
    <row r="224" spans="1:2">
      <c r="A224" s="162"/>
      <c r="B224" s="162"/>
    </row>
    <row r="225" spans="1:2">
      <c r="A225" s="162"/>
      <c r="B225" s="162"/>
    </row>
    <row r="226" spans="1:2">
      <c r="A226" s="162"/>
      <c r="B226" s="162"/>
    </row>
    <row r="227" spans="1:2">
      <c r="A227" s="162"/>
      <c r="B227" s="162"/>
    </row>
    <row r="228" spans="1:2">
      <c r="A228" s="162"/>
      <c r="B228" s="162"/>
    </row>
    <row r="229" spans="1:2">
      <c r="A229" s="162"/>
      <c r="B229" s="162"/>
    </row>
    <row r="230" spans="1:2">
      <c r="A230" s="162"/>
      <c r="B230" s="162"/>
    </row>
    <row r="231" spans="1:2">
      <c r="A231" s="162"/>
      <c r="B231" s="162"/>
    </row>
    <row r="232" spans="1:2">
      <c r="A232" s="162"/>
      <c r="B232" s="162"/>
    </row>
    <row r="233" spans="1:2">
      <c r="A233" s="162"/>
      <c r="B233" s="162"/>
    </row>
    <row r="234" spans="1:2">
      <c r="A234" s="162"/>
      <c r="B234" s="162"/>
    </row>
    <row r="235" spans="1:2">
      <c r="A235" s="162"/>
      <c r="B235" s="162"/>
    </row>
    <row r="236" spans="1:2">
      <c r="A236" s="162"/>
      <c r="B236" s="162"/>
    </row>
    <row r="237" spans="1:2">
      <c r="A237" s="162"/>
      <c r="B237" s="162"/>
    </row>
    <row r="238" spans="1:2">
      <c r="A238" s="162"/>
      <c r="B238" s="162"/>
    </row>
    <row r="239" spans="1:2">
      <c r="A239" s="162"/>
      <c r="B239" s="162"/>
    </row>
    <row r="240" spans="1:2">
      <c r="A240" s="162"/>
      <c r="B240" s="162"/>
    </row>
    <row r="241" spans="1:2">
      <c r="A241" s="162"/>
      <c r="B241" s="162"/>
    </row>
    <row r="242" spans="1:2">
      <c r="A242" s="162"/>
      <c r="B242" s="162"/>
    </row>
    <row r="243" spans="1:2">
      <c r="A243" s="162"/>
      <c r="B243" s="162"/>
    </row>
    <row r="244" spans="1:2">
      <c r="A244" s="162"/>
      <c r="B244" s="162"/>
    </row>
    <row r="245" spans="1:2">
      <c r="A245" s="162"/>
      <c r="B245" s="162"/>
    </row>
    <row r="246" spans="1:2">
      <c r="A246" s="162"/>
      <c r="B246" s="162"/>
    </row>
    <row r="247" spans="1:2">
      <c r="A247" s="162"/>
      <c r="B247" s="162"/>
    </row>
    <row r="248" spans="1:2">
      <c r="A248" s="162"/>
      <c r="B248" s="162"/>
    </row>
    <row r="249" spans="1:2">
      <c r="A249" s="162"/>
      <c r="B249" s="162"/>
    </row>
    <row r="250" spans="1:2">
      <c r="A250" s="162"/>
      <c r="B250" s="162"/>
    </row>
    <row r="251" spans="1:2">
      <c r="A251" s="162"/>
      <c r="B251" s="162"/>
    </row>
    <row r="252" spans="1:2">
      <c r="A252" s="162"/>
      <c r="B252" s="162"/>
    </row>
    <row r="253" spans="1:2">
      <c r="A253" s="162"/>
      <c r="B253" s="162"/>
    </row>
    <row r="254" spans="1:2">
      <c r="A254" s="162"/>
      <c r="B254" s="162"/>
    </row>
    <row r="255" spans="1:2">
      <c r="A255" s="162"/>
      <c r="B255" s="162"/>
    </row>
    <row r="256" spans="1:2">
      <c r="A256" s="162"/>
      <c r="B256" s="162"/>
    </row>
    <row r="257" spans="1:2">
      <c r="A257" s="162"/>
      <c r="B257" s="162"/>
    </row>
    <row r="258" spans="1:2">
      <c r="A258" s="162"/>
      <c r="B258" s="162"/>
    </row>
    <row r="259" spans="1:2">
      <c r="A259" s="162"/>
      <c r="B259" s="162"/>
    </row>
    <row r="260" spans="1:2">
      <c r="A260" s="162"/>
      <c r="B260" s="162"/>
    </row>
    <row r="261" spans="1:2">
      <c r="A261" s="162"/>
      <c r="B261" s="162"/>
    </row>
    <row r="262" spans="1:2">
      <c r="A262" s="162"/>
      <c r="B262" s="162"/>
    </row>
    <row r="263" spans="1:2">
      <c r="A263" s="162"/>
      <c r="B263" s="162"/>
    </row>
    <row r="264" spans="1:2">
      <c r="A264" s="162"/>
      <c r="B264" s="162"/>
    </row>
    <row r="265" spans="1:2">
      <c r="A265" s="162"/>
      <c r="B265" s="162"/>
    </row>
    <row r="266" spans="1:2">
      <c r="A266" s="162"/>
      <c r="B266" s="162"/>
    </row>
    <row r="267" spans="1:2">
      <c r="A267" s="162"/>
      <c r="B267" s="162"/>
    </row>
    <row r="268" spans="1:2">
      <c r="A268" s="162"/>
      <c r="B268" s="162"/>
    </row>
    <row r="269" spans="1:2">
      <c r="A269" s="162"/>
      <c r="B269" s="162"/>
    </row>
    <row r="270" spans="1:2">
      <c r="A270" s="162"/>
      <c r="B270" s="162"/>
    </row>
    <row r="271" spans="1:2">
      <c r="A271" s="162"/>
      <c r="B271" s="162"/>
    </row>
    <row r="272" spans="1:2">
      <c r="A272" s="162"/>
      <c r="B272" s="162"/>
    </row>
    <row r="273" spans="1:2">
      <c r="A273" s="162"/>
      <c r="B273" s="162"/>
    </row>
    <row r="274" spans="1:2">
      <c r="A274" s="162"/>
      <c r="B274" s="162"/>
    </row>
    <row r="275" spans="1:2">
      <c r="A275" s="162"/>
      <c r="B275" s="162"/>
    </row>
    <row r="276" spans="1:2">
      <c r="A276" s="162"/>
      <c r="B276" s="162"/>
    </row>
    <row r="277" spans="1:2">
      <c r="A277" s="162"/>
      <c r="B277" s="162"/>
    </row>
    <row r="278" spans="1:2">
      <c r="A278" s="162"/>
      <c r="B278" s="162"/>
    </row>
    <row r="279" spans="1:2">
      <c r="A279" s="162"/>
      <c r="B279" s="162"/>
    </row>
    <row r="280" spans="1:2">
      <c r="A280" s="162"/>
      <c r="B280" s="162"/>
    </row>
    <row r="281" spans="1:2">
      <c r="A281" s="162"/>
      <c r="B281" s="162"/>
    </row>
    <row r="282" spans="1:2">
      <c r="A282" s="162"/>
      <c r="B282" s="162"/>
    </row>
    <row r="283" spans="1:2">
      <c r="A283" s="162"/>
      <c r="B283" s="162"/>
    </row>
    <row r="284" spans="1:2">
      <c r="A284" s="162"/>
      <c r="B284" s="162"/>
    </row>
    <row r="285" spans="1:2">
      <c r="A285" s="162"/>
      <c r="B285" s="162"/>
    </row>
    <row r="286" spans="1:2">
      <c r="A286" s="162"/>
      <c r="B286" s="162"/>
    </row>
    <row r="287" spans="1:2">
      <c r="A287" s="162"/>
      <c r="B287" s="162"/>
    </row>
    <row r="288" spans="1:2">
      <c r="A288" s="162"/>
      <c r="B288" s="162"/>
    </row>
    <row r="289" spans="1:2">
      <c r="A289" s="162"/>
      <c r="B289" s="162"/>
    </row>
    <row r="290" spans="1:2">
      <c r="A290" s="162"/>
      <c r="B290" s="162"/>
    </row>
    <row r="291" spans="1:2">
      <c r="A291" s="162"/>
      <c r="B291" s="162"/>
    </row>
    <row r="292" spans="1:2">
      <c r="A292" s="162"/>
      <c r="B292" s="162"/>
    </row>
    <row r="293" spans="1:2">
      <c r="A293" s="162"/>
      <c r="B293" s="162"/>
    </row>
    <row r="294" spans="1:2">
      <c r="A294" s="162"/>
      <c r="B294" s="162"/>
    </row>
    <row r="295" spans="1:2">
      <c r="A295" s="162"/>
      <c r="B295" s="162"/>
    </row>
    <row r="296" spans="1:2">
      <c r="A296" s="162"/>
      <c r="B296" s="162"/>
    </row>
    <row r="297" spans="1:2">
      <c r="A297" s="162"/>
      <c r="B297" s="162"/>
    </row>
    <row r="298" spans="1:2">
      <c r="A298" s="162"/>
      <c r="B298" s="162"/>
    </row>
    <row r="299" spans="1:2">
      <c r="A299" s="162"/>
      <c r="B299" s="162"/>
    </row>
    <row r="300" spans="1:2">
      <c r="A300" s="162"/>
      <c r="B300" s="162"/>
    </row>
    <row r="301" spans="1:2">
      <c r="A301" s="162"/>
      <c r="B301" s="162"/>
    </row>
    <row r="302" spans="1:2">
      <c r="A302" s="162"/>
      <c r="B302" s="162"/>
    </row>
    <row r="303" spans="1:2">
      <c r="A303" s="162"/>
      <c r="B303" s="162"/>
    </row>
    <row r="304" spans="1:2">
      <c r="A304" s="162"/>
      <c r="B304" s="162"/>
    </row>
    <row r="305" spans="1:2">
      <c r="A305" s="162"/>
      <c r="B305" s="162"/>
    </row>
    <row r="306" spans="1:2">
      <c r="A306" s="162"/>
      <c r="B306" s="162"/>
    </row>
    <row r="307" spans="1:2">
      <c r="A307" s="162"/>
      <c r="B307" s="162"/>
    </row>
    <row r="308" spans="1:2">
      <c r="A308" s="162"/>
      <c r="B308" s="162"/>
    </row>
    <row r="309" spans="1:2">
      <c r="A309" s="162"/>
      <c r="B309" s="162"/>
    </row>
    <row r="310" spans="1:2">
      <c r="A310" s="162"/>
      <c r="B310" s="162"/>
    </row>
    <row r="311" spans="1:2">
      <c r="A311" s="162"/>
      <c r="B311" s="162"/>
    </row>
    <row r="312" spans="1:2">
      <c r="A312" s="162"/>
      <c r="B312" s="162"/>
    </row>
    <row r="313" spans="1:2">
      <c r="A313" s="162"/>
      <c r="B313" s="162"/>
    </row>
    <row r="314" spans="1:2">
      <c r="A314" s="162"/>
      <c r="B314" s="162"/>
    </row>
    <row r="315" spans="1:2">
      <c r="A315" s="162"/>
      <c r="B315" s="162"/>
    </row>
    <row r="316" spans="1:2">
      <c r="A316" s="162"/>
      <c r="B316" s="162"/>
    </row>
    <row r="317" spans="1:2">
      <c r="A317" s="162"/>
      <c r="B317" s="162"/>
    </row>
    <row r="318" spans="1:2">
      <c r="A318" s="162"/>
      <c r="B318" s="162"/>
    </row>
    <row r="319" spans="1:2">
      <c r="A319" s="162"/>
      <c r="B319" s="162"/>
    </row>
    <row r="320" spans="1:2">
      <c r="A320" s="162"/>
      <c r="B320" s="162"/>
    </row>
    <row r="321" spans="1:2">
      <c r="A321" s="162"/>
      <c r="B321" s="162"/>
    </row>
    <row r="322" spans="1:2">
      <c r="A322" s="162"/>
      <c r="B322" s="162"/>
    </row>
    <row r="323" spans="1:2">
      <c r="A323" s="162"/>
      <c r="B323" s="162"/>
    </row>
    <row r="324" spans="1:2">
      <c r="A324" s="162"/>
      <c r="B324" s="162"/>
    </row>
    <row r="325" spans="1:2">
      <c r="A325" s="162"/>
      <c r="B325" s="162"/>
    </row>
    <row r="326" spans="1:2">
      <c r="A326" s="162"/>
      <c r="B326" s="162"/>
    </row>
    <row r="327" spans="1:2">
      <c r="A327" s="162"/>
      <c r="B327" s="162"/>
    </row>
    <row r="328" spans="1:2">
      <c r="A328" s="162"/>
      <c r="B328" s="162"/>
    </row>
    <row r="329" spans="1:2">
      <c r="A329" s="162"/>
      <c r="B329" s="162"/>
    </row>
    <row r="330" spans="1:2">
      <c r="A330" s="162"/>
      <c r="B330" s="162"/>
    </row>
    <row r="331" spans="1:2">
      <c r="A331" s="162"/>
      <c r="B331" s="162"/>
    </row>
    <row r="332" spans="1:2">
      <c r="A332" s="162"/>
      <c r="B332" s="162"/>
    </row>
    <row r="333" spans="1:2">
      <c r="A333" s="162"/>
      <c r="B333" s="162"/>
    </row>
    <row r="334" spans="1:2">
      <c r="A334" s="162"/>
      <c r="B334" s="162"/>
    </row>
  </sheetData>
  <phoneticPr fontId="4" type="noConversion"/>
  <printOptions gridLines="1"/>
  <pageMargins left="0.78740157480314965" right="0.78740157480314965" top="1.2598425196850394" bottom="1.0629921259842521" header="0.78740157480314965" footer="0.51181102362204722"/>
  <pageSetup paperSize="9" firstPageNumber="0" orientation="portrait" r:id="rId1"/>
  <headerFooter alignWithMargins="0">
    <oddHeader>&amp;L&amp;"Times New Roman,Normál"Nagyszénás Nagyközség
Önkormányzata&amp;C&amp;"Times New Roman,Normál"2016. évi költségvetés kiadások&amp;R&amp;9 &amp;"Times New Roman,Normál"&amp;10 2. melléklet
adatok Ft-ban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4" filterMode="1"/>
  <dimension ref="A1:D109"/>
  <sheetViews>
    <sheetView topLeftCell="A88" workbookViewId="0">
      <selection activeCell="A100" sqref="A100"/>
    </sheetView>
  </sheetViews>
  <sheetFormatPr defaultRowHeight="12.75"/>
  <cols>
    <col min="1" max="1" width="66.42578125" style="22" customWidth="1"/>
    <col min="2" max="2" width="17" style="22" customWidth="1"/>
    <col min="3" max="4" width="10.140625" style="1" bestFit="1" customWidth="1"/>
    <col min="5" max="5" width="14.28515625" style="1" customWidth="1"/>
    <col min="6" max="16384" width="9.140625" style="1"/>
  </cols>
  <sheetData>
    <row r="1" spans="1:4">
      <c r="A1" s="69"/>
      <c r="B1" s="203" t="s">
        <v>2</v>
      </c>
    </row>
    <row r="2" spans="1:4">
      <c r="A2" s="23"/>
      <c r="B2" s="23"/>
    </row>
    <row r="3" spans="1:4">
      <c r="A3" s="219" t="s">
        <v>307</v>
      </c>
      <c r="B3" s="219"/>
    </row>
    <row r="4" spans="1:4" ht="13.5" thickBot="1">
      <c r="A4" s="70"/>
      <c r="B4" s="71" t="s">
        <v>113</v>
      </c>
    </row>
    <row r="5" spans="1:4" ht="13.5" thickBot="1">
      <c r="A5" s="68" t="s">
        <v>74</v>
      </c>
      <c r="B5" s="96">
        <f>B13+B17+B21+B25+B33+B9+B38+B44</f>
        <v>98678550</v>
      </c>
    </row>
    <row r="6" spans="1:4">
      <c r="A6" s="31"/>
      <c r="B6" s="32"/>
    </row>
    <row r="7" spans="1:4">
      <c r="A7" s="115" t="s">
        <v>65</v>
      </c>
      <c r="B7" s="32"/>
    </row>
    <row r="8" spans="1:4">
      <c r="A8" s="31"/>
      <c r="B8" s="32"/>
    </row>
    <row r="9" spans="1:4">
      <c r="A9" s="189" t="s">
        <v>138</v>
      </c>
      <c r="B9" s="97">
        <f>SUM(B10:B11)</f>
        <v>327660</v>
      </c>
    </row>
    <row r="10" spans="1:4">
      <c r="A10" s="130" t="s">
        <v>61</v>
      </c>
      <c r="B10" s="24">
        <v>258000</v>
      </c>
      <c r="D10" s="2"/>
    </row>
    <row r="11" spans="1:4">
      <c r="A11" s="23" t="s">
        <v>115</v>
      </c>
      <c r="B11" s="24">
        <f>B10*0.27</f>
        <v>69660</v>
      </c>
    </row>
    <row r="12" spans="1:4">
      <c r="A12" s="23"/>
      <c r="B12" s="24"/>
    </row>
    <row r="13" spans="1:4">
      <c r="A13" s="189" t="s">
        <v>203</v>
      </c>
      <c r="B13" s="97">
        <f>SUM(B14:B15)</f>
        <v>11904980</v>
      </c>
    </row>
    <row r="14" spans="1:4">
      <c r="A14" s="130" t="s">
        <v>61</v>
      </c>
      <c r="B14" s="24">
        <v>9374000</v>
      </c>
    </row>
    <row r="15" spans="1:4">
      <c r="A15" s="23" t="s">
        <v>115</v>
      </c>
      <c r="B15" s="24">
        <f>B14*0.27</f>
        <v>2530980</v>
      </c>
    </row>
    <row r="16" spans="1:4">
      <c r="A16" s="23"/>
      <c r="B16" s="24"/>
    </row>
    <row r="17" spans="1:2">
      <c r="A17" s="53" t="s">
        <v>177</v>
      </c>
      <c r="B17" s="97">
        <f>B18+B19</f>
        <v>457200</v>
      </c>
    </row>
    <row r="18" spans="1:2">
      <c r="A18" s="23" t="s">
        <v>120</v>
      </c>
      <c r="B18" s="24">
        <v>360000</v>
      </c>
    </row>
    <row r="19" spans="1:2">
      <c r="A19" s="23" t="s">
        <v>119</v>
      </c>
      <c r="B19" s="24">
        <f>B18*0.27</f>
        <v>97200</v>
      </c>
    </row>
    <row r="20" spans="1:2">
      <c r="A20" s="23"/>
      <c r="B20" s="24"/>
    </row>
    <row r="21" spans="1:2">
      <c r="A21" s="53" t="s">
        <v>178</v>
      </c>
      <c r="B21" s="97">
        <f>B22+B23</f>
        <v>152400</v>
      </c>
    </row>
    <row r="22" spans="1:2">
      <c r="A22" s="23" t="s">
        <v>120</v>
      </c>
      <c r="B22" s="24">
        <v>120000</v>
      </c>
    </row>
    <row r="23" spans="1:2">
      <c r="A23" s="23" t="s">
        <v>119</v>
      </c>
      <c r="B23" s="24">
        <f>B22*0.27</f>
        <v>32400.000000000004</v>
      </c>
    </row>
    <row r="24" spans="1:2">
      <c r="A24" s="23"/>
      <c r="B24" s="24"/>
    </row>
    <row r="25" spans="1:2">
      <c r="A25" s="53" t="s">
        <v>99</v>
      </c>
      <c r="B25" s="97">
        <f>SUM(B26:B31)</f>
        <v>24074910</v>
      </c>
    </row>
    <row r="26" spans="1:2">
      <c r="A26" s="23" t="s">
        <v>121</v>
      </c>
      <c r="B26" s="24">
        <v>500000</v>
      </c>
    </row>
    <row r="27" spans="1:2">
      <c r="A27" s="23" t="s">
        <v>134</v>
      </c>
      <c r="B27" s="24">
        <v>3523000</v>
      </c>
    </row>
    <row r="28" spans="1:2">
      <c r="A28" s="23" t="s">
        <v>280</v>
      </c>
      <c r="B28" s="24">
        <v>15076000</v>
      </c>
    </row>
    <row r="29" spans="1:2">
      <c r="A29" s="23" t="s">
        <v>122</v>
      </c>
      <c r="B29" s="24">
        <v>50000</v>
      </c>
    </row>
    <row r="30" spans="1:2">
      <c r="A30" s="23" t="s">
        <v>123</v>
      </c>
      <c r="B30" s="24">
        <f>(B26+B27+B29)*0.27+13060000*0.27</f>
        <v>4625910</v>
      </c>
    </row>
    <row r="31" spans="1:2">
      <c r="A31" s="26" t="s">
        <v>218</v>
      </c>
      <c r="B31" s="98">
        <v>300000</v>
      </c>
    </row>
    <row r="32" spans="1:2">
      <c r="A32" s="23"/>
      <c r="B32" s="24"/>
    </row>
    <row r="33" spans="1:4">
      <c r="A33" s="189" t="s">
        <v>204</v>
      </c>
      <c r="B33" s="97">
        <f>SUM(B34)</f>
        <v>1300000</v>
      </c>
    </row>
    <row r="34" spans="1:4">
      <c r="A34" s="23" t="s">
        <v>124</v>
      </c>
      <c r="B34" s="24">
        <v>1300000</v>
      </c>
    </row>
    <row r="35" spans="1:4">
      <c r="A35" s="23"/>
      <c r="B35" s="24"/>
    </row>
    <row r="36" spans="1:4">
      <c r="A36" s="116" t="s">
        <v>66</v>
      </c>
      <c r="B36" s="24"/>
    </row>
    <row r="37" spans="1:4">
      <c r="A37" s="23"/>
      <c r="B37" s="24"/>
    </row>
    <row r="38" spans="1:4" ht="21.75" customHeight="1">
      <c r="A38" s="106" t="s">
        <v>180</v>
      </c>
      <c r="B38" s="100">
        <f>SUM(B39:B40)</f>
        <v>1061000</v>
      </c>
    </row>
    <row r="39" spans="1:4">
      <c r="A39" s="23" t="s">
        <v>117</v>
      </c>
      <c r="B39" s="24">
        <v>100000</v>
      </c>
    </row>
    <row r="40" spans="1:4">
      <c r="A40" s="23" t="s">
        <v>201</v>
      </c>
      <c r="B40" s="24">
        <v>961000</v>
      </c>
    </row>
    <row r="41" spans="1:4">
      <c r="A41" s="23"/>
      <c r="B41" s="24"/>
    </row>
    <row r="42" spans="1:4">
      <c r="A42" s="116" t="s">
        <v>219</v>
      </c>
      <c r="B42" s="24"/>
    </row>
    <row r="43" spans="1:4">
      <c r="A43" s="23"/>
      <c r="B43" s="24"/>
    </row>
    <row r="44" spans="1:4">
      <c r="A44" s="177" t="s">
        <v>264</v>
      </c>
      <c r="B44" s="178">
        <f>SUM(B45:B47)</f>
        <v>59400400</v>
      </c>
    </row>
    <row r="45" spans="1:4">
      <c r="A45" s="23" t="s">
        <v>27</v>
      </c>
      <c r="B45" s="24">
        <f>'5_melléklet'!B40+'5_melléklet'!B59+'5_melléklet'!B225+'5_melléklet'!B294+'5_melléklet'!B349+'5_melléklet'!B496+'5_melléklet'!B650+1020000</f>
        <v>7828000</v>
      </c>
      <c r="C45" s="2"/>
      <c r="D45" s="2"/>
    </row>
    <row r="46" spans="1:4">
      <c r="A46" s="23" t="s">
        <v>263</v>
      </c>
      <c r="B46" s="24">
        <v>40300000</v>
      </c>
    </row>
    <row r="47" spans="1:4" ht="13.5" thickBot="1">
      <c r="A47" s="23" t="s">
        <v>119</v>
      </c>
      <c r="B47" s="24">
        <f>B45*0.05+B46*0.27</f>
        <v>11272400</v>
      </c>
      <c r="D47" s="2"/>
    </row>
    <row r="48" spans="1:4" ht="13.5" thickBot="1">
      <c r="A48" s="60" t="s">
        <v>112</v>
      </c>
      <c r="B48" s="99">
        <f>B64+B52+B57</f>
        <v>9144000</v>
      </c>
    </row>
    <row r="49" spans="1:2">
      <c r="A49" s="31"/>
      <c r="B49" s="107"/>
    </row>
    <row r="50" spans="1:2">
      <c r="A50" s="115" t="s">
        <v>65</v>
      </c>
      <c r="B50" s="107"/>
    </row>
    <row r="51" spans="1:2">
      <c r="A51" s="23"/>
      <c r="B51" s="24"/>
    </row>
    <row r="52" spans="1:2">
      <c r="A52" s="53" t="s">
        <v>99</v>
      </c>
      <c r="B52" s="97">
        <f>SUM(B53:B55)</f>
        <v>1905000</v>
      </c>
    </row>
    <row r="53" spans="1:2">
      <c r="A53" s="23" t="s">
        <v>223</v>
      </c>
      <c r="B53" s="24">
        <v>400000</v>
      </c>
    </row>
    <row r="54" spans="1:2">
      <c r="A54" s="23" t="s">
        <v>224</v>
      </c>
      <c r="B54" s="24">
        <v>1100000</v>
      </c>
    </row>
    <row r="55" spans="1:2">
      <c r="A55" s="23" t="s">
        <v>123</v>
      </c>
      <c r="B55" s="24">
        <f>B53*0.27+B54*0.27</f>
        <v>405000</v>
      </c>
    </row>
    <row r="56" spans="1:2">
      <c r="A56" s="23"/>
      <c r="B56" s="24"/>
    </row>
    <row r="57" spans="1:2" ht="24.75" customHeight="1">
      <c r="A57" s="138" t="s">
        <v>181</v>
      </c>
      <c r="B57" s="100">
        <f>SUM(B58:B60)</f>
        <v>3810000</v>
      </c>
    </row>
    <row r="58" spans="1:2">
      <c r="A58" s="23" t="s">
        <v>205</v>
      </c>
      <c r="B58" s="24">
        <v>900000</v>
      </c>
    </row>
    <row r="59" spans="1:2">
      <c r="A59" s="23" t="s">
        <v>97</v>
      </c>
      <c r="B59" s="24">
        <v>2100000</v>
      </c>
    </row>
    <row r="60" spans="1:2">
      <c r="A60" s="23" t="s">
        <v>123</v>
      </c>
      <c r="B60" s="24">
        <f>(B58+B59)*0.27</f>
        <v>810000</v>
      </c>
    </row>
    <row r="61" spans="1:2">
      <c r="A61" s="23"/>
      <c r="B61" s="24"/>
    </row>
    <row r="62" spans="1:2">
      <c r="A62" s="116" t="s">
        <v>66</v>
      </c>
      <c r="B62" s="24"/>
    </row>
    <row r="63" spans="1:2">
      <c r="A63" s="23"/>
      <c r="B63" s="24"/>
    </row>
    <row r="64" spans="1:2" ht="21">
      <c r="A64" s="106" t="s">
        <v>180</v>
      </c>
      <c r="B64" s="97">
        <f>SUM(B65:B67)</f>
        <v>3429000</v>
      </c>
    </row>
    <row r="65" spans="1:2">
      <c r="A65" s="23" t="s">
        <v>116</v>
      </c>
      <c r="B65" s="24">
        <v>100000</v>
      </c>
    </row>
    <row r="66" spans="1:2">
      <c r="A66" s="25" t="s">
        <v>118</v>
      </c>
      <c r="B66" s="24">
        <v>2600000</v>
      </c>
    </row>
    <row r="67" spans="1:2">
      <c r="A67" s="23" t="s">
        <v>119</v>
      </c>
      <c r="B67" s="24">
        <f>(B65+B66)*0.27</f>
        <v>729000</v>
      </c>
    </row>
    <row r="68" spans="1:2" ht="13.5" thickBot="1">
      <c r="A68" s="23"/>
      <c r="B68" s="24"/>
    </row>
    <row r="69" spans="1:2" ht="13.5" thickBot="1">
      <c r="A69" s="60" t="s">
        <v>125</v>
      </c>
      <c r="B69" s="101">
        <f>B73+B84+B77</f>
        <v>16987470</v>
      </c>
    </row>
    <row r="70" spans="1:2">
      <c r="A70" s="31"/>
      <c r="B70" s="32"/>
    </row>
    <row r="71" spans="1:2">
      <c r="A71" s="115" t="s">
        <v>65</v>
      </c>
      <c r="B71" s="32"/>
    </row>
    <row r="72" spans="1:2">
      <c r="A72" s="31"/>
      <c r="B72" s="32"/>
    </row>
    <row r="73" spans="1:2">
      <c r="A73" s="53" t="s">
        <v>182</v>
      </c>
      <c r="B73" s="97">
        <f>SUM(B74:B75)</f>
        <v>3175000</v>
      </c>
    </row>
    <row r="74" spans="1:2">
      <c r="A74" s="23" t="s">
        <v>126</v>
      </c>
      <c r="B74" s="24">
        <v>2500000</v>
      </c>
    </row>
    <row r="75" spans="1:2">
      <c r="A75" s="23" t="s">
        <v>123</v>
      </c>
      <c r="B75" s="24">
        <f>B74*0.27</f>
        <v>675000</v>
      </c>
    </row>
    <row r="76" spans="1:2">
      <c r="A76" s="23"/>
      <c r="B76" s="24"/>
    </row>
    <row r="77" spans="1:2">
      <c r="A77" s="53" t="s">
        <v>185</v>
      </c>
      <c r="B77" s="97">
        <f>SUM(B78:B80)</f>
        <v>13456870</v>
      </c>
    </row>
    <row r="78" spans="1:2">
      <c r="A78" s="23" t="s">
        <v>60</v>
      </c>
      <c r="B78" s="24">
        <v>9781000</v>
      </c>
    </row>
    <row r="79" spans="1:2">
      <c r="A79" s="23" t="s">
        <v>130</v>
      </c>
      <c r="B79" s="24">
        <f>B78*0.27</f>
        <v>2640870</v>
      </c>
    </row>
    <row r="80" spans="1:2">
      <c r="A80" s="23" t="s">
        <v>206</v>
      </c>
      <c r="B80" s="24">
        <f>970000+65000</f>
        <v>1035000</v>
      </c>
    </row>
    <row r="81" spans="1:2">
      <c r="A81" s="23"/>
      <c r="B81" s="24"/>
    </row>
    <row r="82" spans="1:2">
      <c r="A82" s="115" t="s">
        <v>219</v>
      </c>
      <c r="B82" s="24"/>
    </row>
    <row r="83" spans="1:2">
      <c r="A83" s="23" t="s">
        <v>127</v>
      </c>
      <c r="B83" s="24"/>
    </row>
    <row r="84" spans="1:2">
      <c r="A84" s="53" t="s">
        <v>29</v>
      </c>
      <c r="B84" s="97">
        <f>B85+B86</f>
        <v>355600</v>
      </c>
    </row>
    <row r="85" spans="1:2">
      <c r="A85" s="23" t="s">
        <v>128</v>
      </c>
      <c r="B85" s="24">
        <v>280000</v>
      </c>
    </row>
    <row r="86" spans="1:2">
      <c r="A86" s="23" t="s">
        <v>129</v>
      </c>
      <c r="B86" s="24">
        <f>B85*0.27</f>
        <v>75600</v>
      </c>
    </row>
    <row r="88" spans="1:2">
      <c r="A88" s="119" t="s">
        <v>215</v>
      </c>
      <c r="B88" s="146">
        <f>B92+B96+B99</f>
        <v>15934910</v>
      </c>
    </row>
    <row r="89" spans="1:2" ht="8.25" customHeight="1">
      <c r="A89" s="120"/>
      <c r="B89" s="121"/>
    </row>
    <row r="90" spans="1:2">
      <c r="A90" s="134" t="s">
        <v>65</v>
      </c>
      <c r="B90" s="134"/>
    </row>
    <row r="91" spans="1:2">
      <c r="A91" s="122"/>
      <c r="B91" s="122"/>
    </row>
    <row r="92" spans="1:2">
      <c r="A92" s="139" t="s">
        <v>241</v>
      </c>
      <c r="B92" s="163">
        <f>B93+B94</f>
        <v>9820910</v>
      </c>
    </row>
    <row r="93" spans="1:2">
      <c r="A93" s="190" t="s">
        <v>128</v>
      </c>
      <c r="B93" s="191">
        <v>7733000</v>
      </c>
    </row>
    <row r="94" spans="1:2">
      <c r="A94" s="23" t="s">
        <v>129</v>
      </c>
      <c r="B94" s="140">
        <f>B93*0.27</f>
        <v>2087910.0000000002</v>
      </c>
    </row>
    <row r="95" spans="1:2">
      <c r="A95" s="23"/>
      <c r="B95" s="140"/>
    </row>
    <row r="96" spans="1:2">
      <c r="A96" s="139" t="s">
        <v>188</v>
      </c>
      <c r="B96" s="143">
        <f>B97</f>
        <v>5860000</v>
      </c>
    </row>
    <row r="97" spans="1:2">
      <c r="A97" s="112" t="s">
        <v>230</v>
      </c>
      <c r="B97" s="140">
        <v>5860000</v>
      </c>
    </row>
    <row r="98" spans="1:2">
      <c r="A98" s="112"/>
      <c r="B98" s="140"/>
    </row>
    <row r="99" spans="1:2">
      <c r="A99" s="139" t="s">
        <v>216</v>
      </c>
      <c r="B99" s="143">
        <f>SUM(B100:B101)</f>
        <v>254000</v>
      </c>
    </row>
    <row r="100" spans="1:2">
      <c r="A100" s="123" t="s">
        <v>231</v>
      </c>
      <c r="B100" s="145">
        <v>200000</v>
      </c>
    </row>
    <row r="101" spans="1:2">
      <c r="A101" s="23" t="s">
        <v>129</v>
      </c>
      <c r="B101" s="145">
        <f>B100*0.27</f>
        <v>54000</v>
      </c>
    </row>
    <row r="102" spans="1:2">
      <c r="B102" s="144"/>
    </row>
    <row r="103" spans="1:2">
      <c r="A103" s="216"/>
      <c r="B103" s="217"/>
    </row>
    <row r="104" spans="1:2">
      <c r="A104" s="210" t="s">
        <v>275</v>
      </c>
      <c r="B104" s="211">
        <f>B108+B111</f>
        <v>76000</v>
      </c>
    </row>
    <row r="105" spans="1:2">
      <c r="A105" s="122"/>
      <c r="B105" s="212"/>
    </row>
    <row r="106" spans="1:2">
      <c r="A106" s="213" t="s">
        <v>65</v>
      </c>
      <c r="B106" s="214"/>
    </row>
    <row r="107" spans="1:2">
      <c r="A107" s="112"/>
      <c r="B107" s="215"/>
    </row>
    <row r="108" spans="1:2">
      <c r="A108" s="139" t="s">
        <v>340</v>
      </c>
      <c r="B108" s="143">
        <f>SUM(B109:B110)</f>
        <v>76000</v>
      </c>
    </row>
    <row r="109" spans="1:2">
      <c r="A109" s="186" t="s">
        <v>341</v>
      </c>
      <c r="B109" s="110">
        <v>76000</v>
      </c>
    </row>
  </sheetData>
  <autoFilter ref="A44:A47">
    <filterColumn colId="0">
      <iconFilter iconSet="3Arrows"/>
    </filterColumn>
  </autoFilter>
  <mergeCells count="1">
    <mergeCell ref="A3:B3"/>
  </mergeCells>
  <phoneticPr fontId="4" type="noConversion"/>
  <printOptions gridLines="1"/>
  <pageMargins left="0.74791666666666667" right="0.74791666666666667" top="0.98402777777777783" bottom="0.98402777777777783" header="0.51180555555555562" footer="0.51180555555555562"/>
  <pageSetup paperSize="9" firstPageNumber="0" orientation="portrait" r:id="rId1"/>
  <headerFooter alignWithMargins="0">
    <oddFooter>&amp;C&amp;P.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5"/>
  <dimension ref="A1:HT674"/>
  <sheetViews>
    <sheetView workbookViewId="0">
      <selection activeCell="G23" sqref="G23"/>
    </sheetView>
  </sheetViews>
  <sheetFormatPr defaultRowHeight="12.75"/>
  <cols>
    <col min="1" max="1" width="64.42578125" style="1" customWidth="1"/>
    <col min="2" max="2" width="15" style="27" customWidth="1"/>
    <col min="3" max="3" width="13.85546875" style="1" customWidth="1"/>
    <col min="4" max="4" width="18.7109375" style="1" customWidth="1"/>
    <col min="5" max="5" width="12.7109375" style="1" customWidth="1"/>
    <col min="6" max="35" width="9.140625" style="1" customWidth="1"/>
    <col min="36" max="36" width="10.140625" style="1" customWidth="1"/>
    <col min="37" max="37" width="9.7109375" style="1" customWidth="1"/>
    <col min="38" max="228" width="9.140625" style="1" customWidth="1"/>
  </cols>
  <sheetData>
    <row r="1" spans="1:228" ht="25.5" customHeight="1">
      <c r="A1" s="220" t="s">
        <v>243</v>
      </c>
      <c r="B1" s="221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</row>
    <row r="2" spans="1:228">
      <c r="A2" s="3"/>
      <c r="B2" s="28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</row>
    <row r="3" spans="1:228">
      <c r="A3" s="125"/>
      <c r="B3" s="2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</row>
    <row r="4" spans="1:228">
      <c r="A4" s="126" t="s">
        <v>67</v>
      </c>
      <c r="B4" s="127">
        <f>B8+B34</f>
        <v>77288658</v>
      </c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228">
      <c r="A5" s="31"/>
      <c r="B5" s="3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228">
      <c r="A6" s="115" t="s">
        <v>65</v>
      </c>
      <c r="B6" s="3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228">
      <c r="A7" s="31"/>
      <c r="B7" s="3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228">
      <c r="A8" s="49" t="s">
        <v>172</v>
      </c>
      <c r="B8" s="117">
        <f>B10+B15+B26+B22</f>
        <v>74628658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228">
      <c r="A9" s="49"/>
      <c r="B9" s="11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228">
      <c r="A10" s="30" t="s">
        <v>131</v>
      </c>
      <c r="B10" s="131">
        <f>B11+B13+B12</f>
        <v>4200000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228">
      <c r="A11" s="130" t="s">
        <v>70</v>
      </c>
      <c r="B11" s="118">
        <v>700000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228">
      <c r="A12" s="130" t="s">
        <v>30</v>
      </c>
      <c r="B12" s="118">
        <v>200000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228">
      <c r="A13" s="23" t="s">
        <v>132</v>
      </c>
      <c r="B13" s="27">
        <v>3300000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228">
      <c r="A14" s="2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228">
      <c r="A15" s="30" t="s">
        <v>133</v>
      </c>
      <c r="B15" s="93">
        <f>SUM(B16:B20)</f>
        <v>53328658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228">
      <c r="A16" s="26" t="s">
        <v>54</v>
      </c>
      <c r="B16" s="27">
        <v>1354344</v>
      </c>
      <c r="C16" s="4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>
      <c r="A17" s="26" t="s">
        <v>56</v>
      </c>
      <c r="B17" s="27">
        <v>2807844</v>
      </c>
      <c r="C17" s="4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>
      <c r="A18" s="23" t="s">
        <v>105</v>
      </c>
      <c r="B18" s="27">
        <v>166470</v>
      </c>
      <c r="C18" s="4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>
      <c r="A19" s="23" t="s">
        <v>7</v>
      </c>
      <c r="B19" s="27">
        <f>23850000+750000</f>
        <v>24600000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>
      <c r="A20" s="23" t="s">
        <v>242</v>
      </c>
      <c r="B20" s="27">
        <v>24400000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>
      <c r="A21" s="2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>
      <c r="A22" s="30" t="s">
        <v>135</v>
      </c>
      <c r="B22" s="131">
        <f>SUM(B23:B24)</f>
        <v>7200000</v>
      </c>
      <c r="C22" s="5"/>
      <c r="D22" s="135"/>
      <c r="E22" s="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>
      <c r="A23" s="23" t="s">
        <v>295</v>
      </c>
      <c r="B23" s="118">
        <v>1200000</v>
      </c>
      <c r="C23" s="5"/>
      <c r="D23" s="198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>
      <c r="A24" s="23" t="s">
        <v>294</v>
      </c>
      <c r="B24" s="118">
        <v>6000000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>
      <c r="A25" s="23"/>
      <c r="B25" s="11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>
      <c r="A26" s="30" t="s">
        <v>136</v>
      </c>
      <c r="B26" s="131">
        <f>SUM(B27:B31)</f>
        <v>9900000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>
      <c r="A27" s="23" t="s">
        <v>292</v>
      </c>
      <c r="B27" s="118">
        <v>6000000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>
      <c r="A28" s="103" t="s">
        <v>297</v>
      </c>
      <c r="B28" s="118">
        <v>600000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>
      <c r="A29" s="23" t="s">
        <v>293</v>
      </c>
      <c r="B29" s="27">
        <v>2000000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>
      <c r="A30" s="23" t="s">
        <v>137</v>
      </c>
      <c r="B30" s="118">
        <v>1300000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>
      <c r="A31" s="23"/>
      <c r="B31" s="11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>
      <c r="A32" s="115" t="s">
        <v>219</v>
      </c>
      <c r="B32" s="13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>
      <c r="A33" s="102"/>
      <c r="B33" s="13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>
      <c r="A34" s="49" t="s">
        <v>172</v>
      </c>
      <c r="B34" s="131">
        <f>+B35</f>
        <v>2660000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>
      <c r="A35" s="30" t="s">
        <v>136</v>
      </c>
      <c r="B35" s="131">
        <f>SUM(B36:B37)</f>
        <v>2660000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>
      <c r="A36" s="103" t="s">
        <v>68</v>
      </c>
      <c r="B36" s="118">
        <v>660000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>
      <c r="A37" s="103" t="s">
        <v>308</v>
      </c>
      <c r="B37" s="6">
        <v>2000000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>
      <c r="A38" s="33"/>
      <c r="B38" s="3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>
      <c r="A39" s="31"/>
      <c r="B39" s="3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>
      <c r="A40" s="30"/>
      <c r="B40" s="29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>
      <c r="A41" s="23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hidden="1">
      <c r="A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hidden="1">
      <c r="A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hidden="1">
      <c r="A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hidden="1">
      <c r="A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hidden="1">
      <c r="A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hidden="1">
      <c r="A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hidden="1">
      <c r="A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hidden="1">
      <c r="A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hidden="1">
      <c r="A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hidden="1">
      <c r="A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hidden="1">
      <c r="A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idden="1">
      <c r="A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hidden="1">
      <c r="A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hidden="1">
      <c r="A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hidden="1">
      <c r="A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hidden="1">
      <c r="A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hidden="1">
      <c r="A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idden="1">
      <c r="A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hidden="1">
      <c r="A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idden="1">
      <c r="A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hidden="1">
      <c r="A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hidden="1">
      <c r="A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idden="1">
      <c r="A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hidden="1">
      <c r="A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hidden="1">
      <c r="A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hidden="1">
      <c r="A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hidden="1">
      <c r="A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hidden="1">
      <c r="A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hidden="1">
      <c r="A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hidden="1">
      <c r="A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hidden="1">
      <c r="A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hidden="1">
      <c r="A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hidden="1">
      <c r="A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hidden="1">
      <c r="A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hidden="1">
      <c r="A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hidden="1">
      <c r="A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hidden="1">
      <c r="A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hidden="1">
      <c r="A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hidden="1">
      <c r="A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hidden="1">
      <c r="A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hidden="1">
      <c r="A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hidden="1">
      <c r="A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hidden="1">
      <c r="A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hidden="1">
      <c r="A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hidden="1">
      <c r="A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hidden="1">
      <c r="A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hidden="1">
      <c r="A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hidden="1">
      <c r="A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hidden="1">
      <c r="A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hidden="1">
      <c r="A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hidden="1">
      <c r="A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hidden="1">
      <c r="A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hidden="1">
      <c r="A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hidden="1">
      <c r="A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hidden="1">
      <c r="A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hidden="1">
      <c r="A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hidden="1">
      <c r="A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hidden="1">
      <c r="A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hidden="1">
      <c r="A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hidden="1">
      <c r="A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>
      <c r="A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>
      <c r="A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>
      <c r="A104" s="4"/>
    </row>
    <row r="105" spans="1:36">
      <c r="A105" s="4"/>
    </row>
    <row r="106" spans="1:36">
      <c r="A106" s="4"/>
    </row>
    <row r="107" spans="1:36">
      <c r="A107" s="4"/>
    </row>
    <row r="108" spans="1:36">
      <c r="A108" s="4"/>
    </row>
    <row r="109" spans="1:36">
      <c r="A109" s="4"/>
    </row>
    <row r="110" spans="1:36">
      <c r="A110" s="4"/>
    </row>
    <row r="111" spans="1:36">
      <c r="A111" s="4"/>
    </row>
    <row r="112" spans="1:36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  <row r="249" spans="1:1">
      <c r="A249" s="4"/>
    </row>
    <row r="250" spans="1:1">
      <c r="A250" s="4"/>
    </row>
    <row r="251" spans="1:1">
      <c r="A251" s="4"/>
    </row>
    <row r="252" spans="1:1">
      <c r="A252" s="4"/>
    </row>
    <row r="253" spans="1:1">
      <c r="A253" s="4"/>
    </row>
    <row r="254" spans="1:1">
      <c r="A254" s="4"/>
    </row>
    <row r="255" spans="1:1">
      <c r="A255" s="4"/>
    </row>
    <row r="256" spans="1:1">
      <c r="A256" s="4"/>
    </row>
    <row r="257" spans="1:1">
      <c r="A257" s="4"/>
    </row>
    <row r="258" spans="1:1">
      <c r="A258" s="4"/>
    </row>
    <row r="259" spans="1:1">
      <c r="A259" s="4"/>
    </row>
    <row r="260" spans="1:1">
      <c r="A260" s="4"/>
    </row>
    <row r="261" spans="1:1">
      <c r="A261" s="4"/>
    </row>
    <row r="262" spans="1:1">
      <c r="A262" s="4"/>
    </row>
    <row r="263" spans="1:1">
      <c r="A263" s="4"/>
    </row>
    <row r="264" spans="1:1">
      <c r="A264" s="4"/>
    </row>
    <row r="265" spans="1:1">
      <c r="A265" s="4"/>
    </row>
    <row r="266" spans="1:1">
      <c r="A266" s="4"/>
    </row>
    <row r="267" spans="1:1">
      <c r="A267" s="4"/>
    </row>
    <row r="268" spans="1:1">
      <c r="A268" s="4"/>
    </row>
    <row r="269" spans="1:1">
      <c r="A269" s="4"/>
    </row>
    <row r="270" spans="1:1">
      <c r="A270" s="4"/>
    </row>
    <row r="271" spans="1:1">
      <c r="A271" s="4"/>
    </row>
    <row r="272" spans="1:1">
      <c r="A272" s="4"/>
    </row>
    <row r="273" spans="1:1">
      <c r="A273" s="4"/>
    </row>
    <row r="274" spans="1:1">
      <c r="A274" s="4"/>
    </row>
    <row r="275" spans="1:1">
      <c r="A275" s="4"/>
    </row>
    <row r="276" spans="1:1">
      <c r="A276" s="4"/>
    </row>
    <row r="277" spans="1:1">
      <c r="A277" s="4"/>
    </row>
    <row r="278" spans="1:1">
      <c r="A278" s="4"/>
    </row>
    <row r="279" spans="1:1">
      <c r="A279" s="4"/>
    </row>
    <row r="280" spans="1:1">
      <c r="A280" s="4"/>
    </row>
    <row r="281" spans="1:1">
      <c r="A281" s="4"/>
    </row>
    <row r="282" spans="1:1">
      <c r="A282" s="4"/>
    </row>
    <row r="283" spans="1:1">
      <c r="A283" s="4"/>
    </row>
    <row r="284" spans="1:1">
      <c r="A284" s="4"/>
    </row>
    <row r="285" spans="1:1">
      <c r="A285" s="4"/>
    </row>
    <row r="286" spans="1:1">
      <c r="A286" s="4"/>
    </row>
    <row r="287" spans="1:1">
      <c r="A287" s="4"/>
    </row>
    <row r="288" spans="1:1">
      <c r="A288" s="4"/>
    </row>
    <row r="289" spans="1:1">
      <c r="A289" s="4"/>
    </row>
    <row r="290" spans="1:1">
      <c r="A290" s="4"/>
    </row>
    <row r="291" spans="1:1">
      <c r="A291" s="4"/>
    </row>
    <row r="292" spans="1:1">
      <c r="A292" s="4"/>
    </row>
    <row r="293" spans="1:1">
      <c r="A293" s="4"/>
    </row>
    <row r="294" spans="1:1">
      <c r="A294" s="4"/>
    </row>
    <row r="295" spans="1:1">
      <c r="A295" s="4"/>
    </row>
    <row r="296" spans="1:1">
      <c r="A296" s="4"/>
    </row>
    <row r="297" spans="1:1">
      <c r="A297" s="4"/>
    </row>
    <row r="298" spans="1:1">
      <c r="A298" s="4"/>
    </row>
    <row r="299" spans="1:1">
      <c r="A299" s="4"/>
    </row>
    <row r="300" spans="1:1">
      <c r="A300" s="4"/>
    </row>
    <row r="301" spans="1:1">
      <c r="A301" s="4"/>
    </row>
    <row r="302" spans="1:1">
      <c r="A302" s="4"/>
    </row>
    <row r="303" spans="1:1">
      <c r="A303" s="4"/>
    </row>
    <row r="304" spans="1:1">
      <c r="A304" s="4"/>
    </row>
    <row r="305" spans="1:1">
      <c r="A305" s="4"/>
    </row>
    <row r="306" spans="1:1">
      <c r="A306" s="4"/>
    </row>
    <row r="307" spans="1:1">
      <c r="A307" s="4"/>
    </row>
    <row r="308" spans="1:1">
      <c r="A308" s="4"/>
    </row>
    <row r="309" spans="1:1">
      <c r="A309" s="4"/>
    </row>
    <row r="310" spans="1:1">
      <c r="A310" s="4"/>
    </row>
    <row r="311" spans="1:1">
      <c r="A311" s="4"/>
    </row>
    <row r="312" spans="1:1">
      <c r="A312" s="4"/>
    </row>
    <row r="313" spans="1:1">
      <c r="A313" s="4"/>
    </row>
    <row r="314" spans="1:1">
      <c r="A314" s="4"/>
    </row>
    <row r="315" spans="1:1">
      <c r="A315" s="4"/>
    </row>
    <row r="316" spans="1:1">
      <c r="A316" s="4"/>
    </row>
    <row r="317" spans="1:1">
      <c r="A317" s="4"/>
    </row>
    <row r="318" spans="1:1">
      <c r="A318" s="4"/>
    </row>
    <row r="319" spans="1:1">
      <c r="A319" s="4"/>
    </row>
    <row r="320" spans="1:1">
      <c r="A320" s="4"/>
    </row>
    <row r="321" spans="1:1">
      <c r="A321" s="4"/>
    </row>
    <row r="322" spans="1:1">
      <c r="A322" s="4"/>
    </row>
    <row r="323" spans="1:1">
      <c r="A323" s="4"/>
    </row>
    <row r="324" spans="1:1">
      <c r="A324" s="4"/>
    </row>
    <row r="325" spans="1:1">
      <c r="A325" s="4"/>
    </row>
    <row r="326" spans="1:1">
      <c r="A326" s="4"/>
    </row>
    <row r="327" spans="1:1">
      <c r="A327" s="4"/>
    </row>
    <row r="328" spans="1:1">
      <c r="A328" s="4"/>
    </row>
    <row r="329" spans="1:1">
      <c r="A329" s="4"/>
    </row>
    <row r="330" spans="1:1">
      <c r="A330" s="4"/>
    </row>
    <row r="331" spans="1:1">
      <c r="A331" s="4"/>
    </row>
    <row r="332" spans="1:1">
      <c r="A332" s="4"/>
    </row>
    <row r="333" spans="1:1">
      <c r="A333" s="4"/>
    </row>
    <row r="334" spans="1:1">
      <c r="A334" s="4"/>
    </row>
    <row r="335" spans="1:1">
      <c r="A335" s="4"/>
    </row>
    <row r="336" spans="1:1">
      <c r="A336" s="4"/>
    </row>
    <row r="337" spans="1:1">
      <c r="A337" s="4"/>
    </row>
    <row r="338" spans="1:1">
      <c r="A338" s="4"/>
    </row>
    <row r="339" spans="1:1">
      <c r="A339" s="4"/>
    </row>
    <row r="340" spans="1:1">
      <c r="A340" s="4"/>
    </row>
    <row r="341" spans="1:1">
      <c r="A341" s="4"/>
    </row>
    <row r="342" spans="1:1">
      <c r="A342" s="4"/>
    </row>
    <row r="343" spans="1:1">
      <c r="A343" s="4"/>
    </row>
    <row r="344" spans="1:1">
      <c r="A344" s="4"/>
    </row>
    <row r="345" spans="1:1">
      <c r="A345" s="4"/>
    </row>
    <row r="346" spans="1:1">
      <c r="A346" s="4"/>
    </row>
    <row r="347" spans="1:1">
      <c r="A347" s="4"/>
    </row>
    <row r="348" spans="1:1">
      <c r="A348" s="4"/>
    </row>
    <row r="349" spans="1:1">
      <c r="A349" s="4"/>
    </row>
    <row r="350" spans="1:1">
      <c r="A350" s="4"/>
    </row>
    <row r="351" spans="1:1">
      <c r="A351" s="4"/>
    </row>
    <row r="352" spans="1:1">
      <c r="A352" s="4"/>
    </row>
    <row r="353" spans="1:1">
      <c r="A353" s="4"/>
    </row>
    <row r="354" spans="1:1">
      <c r="A354" s="4"/>
    </row>
    <row r="355" spans="1:1">
      <c r="A355" s="4"/>
    </row>
    <row r="356" spans="1:1">
      <c r="A356" s="4"/>
    </row>
    <row r="357" spans="1:1">
      <c r="A357" s="4"/>
    </row>
    <row r="358" spans="1:1">
      <c r="A358" s="4"/>
    </row>
    <row r="359" spans="1:1">
      <c r="A359" s="4"/>
    </row>
    <row r="360" spans="1:1">
      <c r="A360" s="4"/>
    </row>
    <row r="361" spans="1:1">
      <c r="A361" s="4"/>
    </row>
    <row r="362" spans="1:1">
      <c r="A362" s="4"/>
    </row>
    <row r="363" spans="1:1">
      <c r="A363" s="4"/>
    </row>
    <row r="364" spans="1:1">
      <c r="A364" s="4"/>
    </row>
    <row r="365" spans="1:1">
      <c r="A365" s="4"/>
    </row>
    <row r="366" spans="1:1">
      <c r="A366" s="4"/>
    </row>
    <row r="367" spans="1:1">
      <c r="A367" s="4"/>
    </row>
    <row r="368" spans="1:1">
      <c r="A368" s="4"/>
    </row>
    <row r="369" spans="1:1">
      <c r="A369" s="4"/>
    </row>
    <row r="370" spans="1:1">
      <c r="A370" s="4"/>
    </row>
    <row r="371" spans="1:1">
      <c r="A371" s="4"/>
    </row>
    <row r="372" spans="1:1">
      <c r="A372" s="4"/>
    </row>
    <row r="373" spans="1:1">
      <c r="A373" s="4"/>
    </row>
    <row r="374" spans="1:1">
      <c r="A374" s="4"/>
    </row>
    <row r="375" spans="1:1">
      <c r="A375" s="4"/>
    </row>
    <row r="376" spans="1:1">
      <c r="A376" s="4"/>
    </row>
    <row r="377" spans="1:1">
      <c r="A377" s="4"/>
    </row>
    <row r="378" spans="1:1">
      <c r="A378" s="4"/>
    </row>
    <row r="379" spans="1:1">
      <c r="A379" s="4"/>
    </row>
    <row r="380" spans="1:1">
      <c r="A380" s="4"/>
    </row>
    <row r="381" spans="1:1">
      <c r="A381" s="4"/>
    </row>
    <row r="382" spans="1:1">
      <c r="A382" s="4"/>
    </row>
    <row r="383" spans="1:1">
      <c r="A383" s="4"/>
    </row>
    <row r="384" spans="1:1">
      <c r="A384" s="4"/>
    </row>
    <row r="385" spans="1:1">
      <c r="A385" s="4"/>
    </row>
    <row r="386" spans="1:1">
      <c r="A386" s="4"/>
    </row>
    <row r="387" spans="1:1">
      <c r="A387" s="4"/>
    </row>
    <row r="388" spans="1:1">
      <c r="A388" s="4"/>
    </row>
    <row r="389" spans="1:1">
      <c r="A389" s="4"/>
    </row>
    <row r="390" spans="1:1">
      <c r="A390" s="4"/>
    </row>
    <row r="391" spans="1:1">
      <c r="A391" s="4"/>
    </row>
    <row r="392" spans="1:1">
      <c r="A392" s="4"/>
    </row>
    <row r="393" spans="1:1">
      <c r="A393" s="4"/>
    </row>
    <row r="394" spans="1:1">
      <c r="A394" s="4"/>
    </row>
    <row r="395" spans="1:1">
      <c r="A395" s="4"/>
    </row>
    <row r="396" spans="1:1">
      <c r="A396" s="4"/>
    </row>
    <row r="397" spans="1:1">
      <c r="A397" s="4"/>
    </row>
    <row r="398" spans="1:1">
      <c r="A398" s="4"/>
    </row>
    <row r="399" spans="1:1">
      <c r="A399" s="4"/>
    </row>
    <row r="400" spans="1:1">
      <c r="A400" s="4"/>
    </row>
    <row r="401" spans="1:1">
      <c r="A401" s="4"/>
    </row>
    <row r="402" spans="1:1">
      <c r="A402" s="4"/>
    </row>
    <row r="403" spans="1:1">
      <c r="A403" s="4"/>
    </row>
    <row r="404" spans="1:1">
      <c r="A404" s="4"/>
    </row>
    <row r="405" spans="1:1">
      <c r="A405" s="4"/>
    </row>
    <row r="406" spans="1:1">
      <c r="A406" s="4"/>
    </row>
    <row r="407" spans="1:1">
      <c r="A407" s="4"/>
    </row>
    <row r="408" spans="1:1">
      <c r="A408" s="4"/>
    </row>
    <row r="409" spans="1:1">
      <c r="A409" s="4"/>
    </row>
    <row r="410" spans="1:1">
      <c r="A410" s="4"/>
    </row>
    <row r="411" spans="1:1">
      <c r="A411" s="4"/>
    </row>
    <row r="412" spans="1:1">
      <c r="A412" s="4"/>
    </row>
    <row r="413" spans="1:1">
      <c r="A413" s="4"/>
    </row>
    <row r="414" spans="1:1">
      <c r="A414" s="4"/>
    </row>
    <row r="415" spans="1:1">
      <c r="A415" s="4"/>
    </row>
    <row r="416" spans="1:1">
      <c r="A416" s="4"/>
    </row>
    <row r="417" spans="1:1">
      <c r="A417" s="4"/>
    </row>
    <row r="418" spans="1:1">
      <c r="A418" s="4"/>
    </row>
    <row r="419" spans="1:1">
      <c r="A419" s="4"/>
    </row>
    <row r="420" spans="1:1">
      <c r="A420" s="4"/>
    </row>
    <row r="421" spans="1:1">
      <c r="A421" s="4"/>
    </row>
    <row r="422" spans="1:1">
      <c r="A422" s="4"/>
    </row>
    <row r="423" spans="1:1">
      <c r="A423" s="4"/>
    </row>
    <row r="424" spans="1:1">
      <c r="A424" s="4"/>
    </row>
    <row r="425" spans="1:1">
      <c r="A425" s="4"/>
    </row>
    <row r="426" spans="1:1">
      <c r="A426" s="4"/>
    </row>
    <row r="427" spans="1:1">
      <c r="A427" s="4"/>
    </row>
    <row r="428" spans="1:1">
      <c r="A428" s="4"/>
    </row>
    <row r="429" spans="1:1">
      <c r="A429" s="4"/>
    </row>
    <row r="430" spans="1:1">
      <c r="A430" s="4"/>
    </row>
    <row r="431" spans="1:1">
      <c r="A431" s="4"/>
    </row>
    <row r="432" spans="1:1">
      <c r="A432" s="4"/>
    </row>
    <row r="433" spans="1:1">
      <c r="A433" s="4"/>
    </row>
    <row r="434" spans="1:1">
      <c r="A434" s="4"/>
    </row>
    <row r="435" spans="1:1">
      <c r="A435" s="4"/>
    </row>
    <row r="436" spans="1:1">
      <c r="A436" s="4"/>
    </row>
    <row r="437" spans="1:1">
      <c r="A437" s="4"/>
    </row>
    <row r="438" spans="1:1">
      <c r="A438" s="4"/>
    </row>
    <row r="439" spans="1:1">
      <c r="A439" s="4"/>
    </row>
    <row r="440" spans="1:1">
      <c r="A440" s="4"/>
    </row>
    <row r="441" spans="1:1">
      <c r="A441" s="4"/>
    </row>
    <row r="442" spans="1:1">
      <c r="A442" s="4"/>
    </row>
    <row r="443" spans="1:1">
      <c r="A443" s="4"/>
    </row>
    <row r="444" spans="1:1">
      <c r="A444" s="4"/>
    </row>
    <row r="445" spans="1:1">
      <c r="A445" s="4"/>
    </row>
    <row r="446" spans="1:1">
      <c r="A446" s="4"/>
    </row>
    <row r="447" spans="1:1">
      <c r="A447" s="4"/>
    </row>
    <row r="448" spans="1:1">
      <c r="A448" s="4"/>
    </row>
    <row r="449" spans="1:1">
      <c r="A449" s="4"/>
    </row>
    <row r="450" spans="1:1">
      <c r="A450" s="4"/>
    </row>
    <row r="451" spans="1:1">
      <c r="A451" s="4"/>
    </row>
    <row r="452" spans="1:1">
      <c r="A452" s="4"/>
    </row>
    <row r="453" spans="1:1">
      <c r="A453" s="4"/>
    </row>
    <row r="454" spans="1:1">
      <c r="A454" s="4"/>
    </row>
    <row r="455" spans="1:1">
      <c r="A455" s="4"/>
    </row>
    <row r="456" spans="1:1">
      <c r="A456" s="4"/>
    </row>
    <row r="457" spans="1:1">
      <c r="A457" s="4"/>
    </row>
    <row r="458" spans="1:1">
      <c r="A458" s="4"/>
    </row>
    <row r="459" spans="1:1">
      <c r="A459" s="4"/>
    </row>
    <row r="460" spans="1:1">
      <c r="A460" s="4"/>
    </row>
    <row r="461" spans="1:1">
      <c r="A461" s="4"/>
    </row>
    <row r="462" spans="1:1">
      <c r="A462" s="4"/>
    </row>
    <row r="463" spans="1:1">
      <c r="A463" s="4"/>
    </row>
    <row r="464" spans="1:1">
      <c r="A464" s="4"/>
    </row>
    <row r="465" spans="1:1">
      <c r="A465" s="4"/>
    </row>
    <row r="466" spans="1:1">
      <c r="A466" s="4"/>
    </row>
    <row r="467" spans="1:1">
      <c r="A467" s="4"/>
    </row>
    <row r="468" spans="1:1">
      <c r="A468" s="4"/>
    </row>
    <row r="469" spans="1:1">
      <c r="A469" s="4"/>
    </row>
    <row r="470" spans="1:1">
      <c r="A470" s="4"/>
    </row>
    <row r="471" spans="1:1">
      <c r="A471" s="4"/>
    </row>
    <row r="472" spans="1:1">
      <c r="A472" s="4"/>
    </row>
    <row r="473" spans="1:1">
      <c r="A473" s="4"/>
    </row>
    <row r="474" spans="1:1">
      <c r="A474" s="4"/>
    </row>
    <row r="475" spans="1:1">
      <c r="A475" s="4"/>
    </row>
    <row r="476" spans="1:1">
      <c r="A476" s="4"/>
    </row>
    <row r="477" spans="1:1">
      <c r="A477" s="4"/>
    </row>
    <row r="478" spans="1:1">
      <c r="A478" s="4"/>
    </row>
    <row r="479" spans="1:1">
      <c r="A479" s="4"/>
    </row>
    <row r="480" spans="1:1">
      <c r="A480" s="4"/>
    </row>
    <row r="481" spans="1:1">
      <c r="A481" s="4"/>
    </row>
    <row r="482" spans="1:1">
      <c r="A482" s="4"/>
    </row>
    <row r="483" spans="1:1">
      <c r="A483" s="4"/>
    </row>
    <row r="484" spans="1:1">
      <c r="A484" s="4"/>
    </row>
    <row r="485" spans="1:1">
      <c r="A485" s="4"/>
    </row>
    <row r="486" spans="1:1">
      <c r="A486" s="4"/>
    </row>
    <row r="487" spans="1:1">
      <c r="A487" s="4"/>
    </row>
    <row r="488" spans="1:1">
      <c r="A488" s="4"/>
    </row>
    <row r="489" spans="1:1">
      <c r="A489" s="4"/>
    </row>
    <row r="490" spans="1:1">
      <c r="A490" s="4"/>
    </row>
    <row r="491" spans="1:1">
      <c r="A491" s="4"/>
    </row>
    <row r="492" spans="1:1">
      <c r="A492" s="4"/>
    </row>
    <row r="493" spans="1:1">
      <c r="A493" s="4"/>
    </row>
    <row r="494" spans="1:1">
      <c r="A494" s="4"/>
    </row>
    <row r="495" spans="1:1">
      <c r="A495" s="4"/>
    </row>
    <row r="496" spans="1:1">
      <c r="A496" s="4"/>
    </row>
    <row r="497" spans="1:1">
      <c r="A497" s="4"/>
    </row>
    <row r="498" spans="1:1">
      <c r="A498" s="4"/>
    </row>
    <row r="499" spans="1:1">
      <c r="A499" s="4"/>
    </row>
    <row r="500" spans="1:1">
      <c r="A500" s="4"/>
    </row>
    <row r="501" spans="1:1">
      <c r="A501" s="4"/>
    </row>
    <row r="502" spans="1:1">
      <c r="A502" s="4"/>
    </row>
    <row r="503" spans="1:1">
      <c r="A503" s="4"/>
    </row>
    <row r="504" spans="1:1">
      <c r="A504" s="4"/>
    </row>
    <row r="505" spans="1:1">
      <c r="A505" s="4"/>
    </row>
    <row r="506" spans="1:1">
      <c r="A506" s="4"/>
    </row>
    <row r="507" spans="1:1">
      <c r="A507" s="4"/>
    </row>
    <row r="508" spans="1:1">
      <c r="A508" s="4"/>
    </row>
    <row r="509" spans="1:1">
      <c r="A509" s="4"/>
    </row>
    <row r="510" spans="1:1">
      <c r="A510" s="4"/>
    </row>
    <row r="511" spans="1:1">
      <c r="A511" s="4"/>
    </row>
    <row r="512" spans="1:1">
      <c r="A512" s="4"/>
    </row>
    <row r="513" spans="1:1">
      <c r="A513" s="4"/>
    </row>
    <row r="514" spans="1:1">
      <c r="A514" s="4"/>
    </row>
    <row r="515" spans="1:1">
      <c r="A515" s="4"/>
    </row>
    <row r="516" spans="1:1">
      <c r="A516" s="4"/>
    </row>
    <row r="517" spans="1:1">
      <c r="A517" s="4"/>
    </row>
    <row r="518" spans="1:1">
      <c r="A518" s="4"/>
    </row>
    <row r="519" spans="1:1">
      <c r="A519" s="4"/>
    </row>
    <row r="520" spans="1:1">
      <c r="A520" s="4"/>
    </row>
    <row r="521" spans="1:1">
      <c r="A521" s="4"/>
    </row>
    <row r="522" spans="1:1">
      <c r="A522" s="4"/>
    </row>
    <row r="523" spans="1:1">
      <c r="A523" s="4"/>
    </row>
    <row r="524" spans="1:1">
      <c r="A524" s="4"/>
    </row>
    <row r="525" spans="1:1">
      <c r="A525" s="4"/>
    </row>
    <row r="526" spans="1:1">
      <c r="A526" s="4"/>
    </row>
    <row r="527" spans="1:1">
      <c r="A527" s="4"/>
    </row>
    <row r="528" spans="1:1">
      <c r="A528" s="4"/>
    </row>
    <row r="529" spans="1:1">
      <c r="A529" s="4"/>
    </row>
    <row r="530" spans="1:1">
      <c r="A530" s="4"/>
    </row>
    <row r="531" spans="1:1">
      <c r="A531" s="4"/>
    </row>
    <row r="532" spans="1:1">
      <c r="A532" s="4"/>
    </row>
    <row r="533" spans="1:1">
      <c r="A533" s="4"/>
    </row>
    <row r="534" spans="1:1">
      <c r="A534" s="4"/>
    </row>
    <row r="535" spans="1:1">
      <c r="A535" s="4"/>
    </row>
    <row r="536" spans="1:1">
      <c r="A536" s="4"/>
    </row>
    <row r="537" spans="1:1">
      <c r="A537" s="4"/>
    </row>
    <row r="538" spans="1:1">
      <c r="A538" s="4"/>
    </row>
    <row r="539" spans="1:1">
      <c r="A539" s="4"/>
    </row>
    <row r="540" spans="1:1">
      <c r="A540" s="4"/>
    </row>
    <row r="541" spans="1:1">
      <c r="A541" s="4"/>
    </row>
    <row r="542" spans="1:1">
      <c r="A542" s="4"/>
    </row>
    <row r="543" spans="1:1">
      <c r="A543" s="4"/>
    </row>
    <row r="544" spans="1:1">
      <c r="A544" s="4"/>
    </row>
    <row r="545" spans="1:1">
      <c r="A545" s="4"/>
    </row>
    <row r="546" spans="1:1">
      <c r="A546" s="4"/>
    </row>
    <row r="547" spans="1:1">
      <c r="A547" s="4"/>
    </row>
    <row r="548" spans="1:1">
      <c r="A548" s="4"/>
    </row>
    <row r="549" spans="1:1">
      <c r="A549" s="4"/>
    </row>
    <row r="550" spans="1:1">
      <c r="A550" s="4"/>
    </row>
    <row r="551" spans="1:1">
      <c r="A551" s="4"/>
    </row>
    <row r="552" spans="1:1">
      <c r="A552" s="4"/>
    </row>
    <row r="553" spans="1:1">
      <c r="A553" s="4"/>
    </row>
    <row r="554" spans="1:1">
      <c r="A554" s="4"/>
    </row>
    <row r="555" spans="1:1">
      <c r="A555" s="4"/>
    </row>
    <row r="556" spans="1:1">
      <c r="A556" s="4"/>
    </row>
    <row r="557" spans="1:1">
      <c r="A557" s="4"/>
    </row>
    <row r="558" spans="1:1">
      <c r="A558" s="4"/>
    </row>
    <row r="559" spans="1:1">
      <c r="A559" s="4"/>
    </row>
    <row r="560" spans="1:1">
      <c r="A560" s="4"/>
    </row>
    <row r="561" spans="1:1">
      <c r="A561" s="4"/>
    </row>
    <row r="562" spans="1:1">
      <c r="A562" s="4"/>
    </row>
    <row r="563" spans="1:1">
      <c r="A563" s="4"/>
    </row>
    <row r="564" spans="1:1">
      <c r="A564" s="4"/>
    </row>
    <row r="565" spans="1:1">
      <c r="A565" s="4"/>
    </row>
    <row r="566" spans="1:1">
      <c r="A566" s="4"/>
    </row>
    <row r="567" spans="1:1">
      <c r="A567" s="4"/>
    </row>
    <row r="568" spans="1:1">
      <c r="A568" s="4"/>
    </row>
    <row r="569" spans="1:1">
      <c r="A569" s="4"/>
    </row>
    <row r="570" spans="1:1">
      <c r="A570" s="4"/>
    </row>
    <row r="571" spans="1:1">
      <c r="A571" s="4"/>
    </row>
    <row r="572" spans="1:1">
      <c r="A572" s="4"/>
    </row>
    <row r="573" spans="1:1">
      <c r="A573" s="4"/>
    </row>
    <row r="574" spans="1:1">
      <c r="A574" s="4"/>
    </row>
    <row r="575" spans="1:1">
      <c r="A575" s="4"/>
    </row>
    <row r="576" spans="1:1">
      <c r="A576" s="4"/>
    </row>
    <row r="577" spans="1:1">
      <c r="A577" s="4"/>
    </row>
    <row r="578" spans="1:1">
      <c r="A578" s="4"/>
    </row>
    <row r="579" spans="1:1">
      <c r="A579" s="4"/>
    </row>
    <row r="580" spans="1:1">
      <c r="A580" s="4"/>
    </row>
    <row r="581" spans="1:1">
      <c r="A581" s="4"/>
    </row>
    <row r="582" spans="1:1">
      <c r="A582" s="4"/>
    </row>
    <row r="583" spans="1:1">
      <c r="A583" s="4"/>
    </row>
    <row r="584" spans="1:1">
      <c r="A584" s="4"/>
    </row>
    <row r="585" spans="1:1">
      <c r="A585" s="4"/>
    </row>
    <row r="586" spans="1:1">
      <c r="A586" s="4"/>
    </row>
    <row r="587" spans="1:1">
      <c r="A587" s="4"/>
    </row>
    <row r="588" spans="1:1">
      <c r="A588" s="4"/>
    </row>
    <row r="589" spans="1:1">
      <c r="A589" s="4"/>
    </row>
    <row r="590" spans="1:1">
      <c r="A590" s="4"/>
    </row>
    <row r="591" spans="1:1">
      <c r="A591" s="4"/>
    </row>
    <row r="592" spans="1:1">
      <c r="A592" s="4"/>
    </row>
    <row r="593" spans="1:1">
      <c r="A593" s="4"/>
    </row>
    <row r="594" spans="1:1">
      <c r="A594" s="4"/>
    </row>
    <row r="595" spans="1:1">
      <c r="A595" s="4"/>
    </row>
    <row r="596" spans="1:1">
      <c r="A596" s="4"/>
    </row>
    <row r="597" spans="1:1">
      <c r="A597" s="4"/>
    </row>
    <row r="598" spans="1:1">
      <c r="A598" s="4"/>
    </row>
    <row r="599" spans="1:1">
      <c r="A599" s="4"/>
    </row>
    <row r="600" spans="1:1">
      <c r="A600" s="4"/>
    </row>
    <row r="601" spans="1:1">
      <c r="A601" s="4"/>
    </row>
    <row r="602" spans="1:1">
      <c r="A602" s="4"/>
    </row>
    <row r="603" spans="1:1">
      <c r="A603" s="4"/>
    </row>
    <row r="604" spans="1:1">
      <c r="A604" s="4"/>
    </row>
    <row r="605" spans="1:1">
      <c r="A605" s="4"/>
    </row>
    <row r="606" spans="1:1">
      <c r="A606" s="4"/>
    </row>
    <row r="607" spans="1:1">
      <c r="A607" s="4"/>
    </row>
    <row r="608" spans="1:1">
      <c r="A608" s="4"/>
    </row>
    <row r="609" spans="1:1">
      <c r="A609" s="4"/>
    </row>
    <row r="610" spans="1:1">
      <c r="A610" s="4"/>
    </row>
    <row r="611" spans="1:1">
      <c r="A611" s="4"/>
    </row>
    <row r="612" spans="1:1">
      <c r="A612" s="4"/>
    </row>
    <row r="613" spans="1:1">
      <c r="A613" s="4"/>
    </row>
    <row r="614" spans="1:1">
      <c r="A614" s="4"/>
    </row>
    <row r="615" spans="1:1">
      <c r="A615" s="4"/>
    </row>
    <row r="616" spans="1:1">
      <c r="A616" s="4"/>
    </row>
    <row r="617" spans="1:1">
      <c r="A617" s="4"/>
    </row>
    <row r="618" spans="1:1">
      <c r="A618" s="4"/>
    </row>
    <row r="619" spans="1:1">
      <c r="A619" s="4"/>
    </row>
    <row r="620" spans="1:1">
      <c r="A620" s="4"/>
    </row>
    <row r="621" spans="1:1">
      <c r="A621" s="4"/>
    </row>
    <row r="622" spans="1:1">
      <c r="A622" s="4"/>
    </row>
    <row r="623" spans="1:1">
      <c r="A623" s="4"/>
    </row>
    <row r="624" spans="1:1">
      <c r="A624" s="4"/>
    </row>
    <row r="625" spans="1:1">
      <c r="A625" s="4"/>
    </row>
    <row r="626" spans="1:1">
      <c r="A626" s="4"/>
    </row>
    <row r="627" spans="1:1">
      <c r="A627" s="4"/>
    </row>
    <row r="628" spans="1:1">
      <c r="A628" s="4"/>
    </row>
    <row r="629" spans="1:1">
      <c r="A629" s="4"/>
    </row>
    <row r="630" spans="1:1">
      <c r="A630" s="4"/>
    </row>
    <row r="631" spans="1:1">
      <c r="A631" s="4"/>
    </row>
    <row r="632" spans="1:1">
      <c r="A632" s="4"/>
    </row>
    <row r="633" spans="1:1">
      <c r="A633" s="4"/>
    </row>
    <row r="634" spans="1:1">
      <c r="A634" s="4"/>
    </row>
    <row r="635" spans="1:1">
      <c r="A635" s="4"/>
    </row>
    <row r="636" spans="1:1">
      <c r="A636" s="4"/>
    </row>
    <row r="637" spans="1:1">
      <c r="A637" s="4"/>
    </row>
    <row r="638" spans="1:1">
      <c r="A638" s="4"/>
    </row>
    <row r="639" spans="1:1">
      <c r="A639" s="4"/>
    </row>
    <row r="640" spans="1:1">
      <c r="A640" s="4"/>
    </row>
    <row r="641" spans="1:1">
      <c r="A641" s="4"/>
    </row>
    <row r="642" spans="1:1">
      <c r="A642" s="4"/>
    </row>
    <row r="643" spans="1:1">
      <c r="A643" s="4"/>
    </row>
    <row r="644" spans="1:1">
      <c r="A644" s="4"/>
    </row>
    <row r="645" spans="1:1">
      <c r="A645" s="4"/>
    </row>
    <row r="646" spans="1:1">
      <c r="A646" s="4"/>
    </row>
    <row r="647" spans="1:1">
      <c r="A647" s="4"/>
    </row>
    <row r="648" spans="1:1">
      <c r="A648" s="4"/>
    </row>
    <row r="649" spans="1:1">
      <c r="A649" s="4"/>
    </row>
    <row r="650" spans="1:1">
      <c r="A650" s="4"/>
    </row>
    <row r="651" spans="1:1">
      <c r="A651" s="4"/>
    </row>
    <row r="652" spans="1:1">
      <c r="A652" s="4"/>
    </row>
    <row r="653" spans="1:1">
      <c r="A653" s="4"/>
    </row>
    <row r="654" spans="1:1">
      <c r="A654" s="4"/>
    </row>
    <row r="655" spans="1:1">
      <c r="A655" s="4"/>
    </row>
    <row r="656" spans="1:1">
      <c r="A656" s="4"/>
    </row>
    <row r="657" spans="1:1">
      <c r="A657" s="4"/>
    </row>
    <row r="658" spans="1:1">
      <c r="A658" s="4"/>
    </row>
    <row r="659" spans="1:1">
      <c r="A659" s="4"/>
    </row>
    <row r="660" spans="1:1">
      <c r="A660" s="4"/>
    </row>
    <row r="661" spans="1:1">
      <c r="A661" s="4"/>
    </row>
    <row r="662" spans="1:1">
      <c r="A662" s="4"/>
    </row>
    <row r="663" spans="1:1">
      <c r="A663" s="4"/>
    </row>
    <row r="664" spans="1:1">
      <c r="A664" s="4"/>
    </row>
    <row r="665" spans="1:1">
      <c r="A665" s="4"/>
    </row>
    <row r="666" spans="1:1">
      <c r="A666" s="4"/>
    </row>
    <row r="667" spans="1:1">
      <c r="A667" s="4"/>
    </row>
    <row r="668" spans="1:1">
      <c r="A668" s="4"/>
    </row>
    <row r="669" spans="1:1">
      <c r="A669" s="4"/>
    </row>
    <row r="670" spans="1:1">
      <c r="A670" s="4"/>
    </row>
    <row r="671" spans="1:1">
      <c r="A671" s="4"/>
    </row>
    <row r="672" spans="1:1">
      <c r="A672" s="4"/>
    </row>
    <row r="673" spans="1:1">
      <c r="A673" s="4"/>
    </row>
    <row r="674" spans="1:1">
      <c r="A674" s="4"/>
    </row>
  </sheetData>
  <mergeCells count="1">
    <mergeCell ref="A1:B1"/>
  </mergeCells>
  <phoneticPr fontId="4" type="noConversion"/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horizontalDpi="300" verticalDpi="300" r:id="rId1"/>
  <headerFooter alignWithMargins="0">
    <oddHeader>&amp;R4. melléklet</oddHeader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6"/>
  <dimension ref="A1:E845"/>
  <sheetViews>
    <sheetView topLeftCell="A754" workbookViewId="0">
      <selection activeCell="B772" sqref="B772"/>
    </sheetView>
  </sheetViews>
  <sheetFormatPr defaultRowHeight="12.75"/>
  <cols>
    <col min="1" max="1" width="59.85546875" customWidth="1"/>
    <col min="2" max="2" width="18.7109375" customWidth="1"/>
    <col min="3" max="3" width="8.85546875" customWidth="1"/>
    <col min="4" max="4" width="10.140625" bestFit="1" customWidth="1"/>
  </cols>
  <sheetData>
    <row r="1" spans="1:2">
      <c r="A1" s="242" t="s">
        <v>71</v>
      </c>
      <c r="B1" s="242"/>
    </row>
    <row r="2" spans="1:2">
      <c r="A2" s="108"/>
      <c r="B2" s="180"/>
    </row>
    <row r="3" spans="1:2">
      <c r="A3" s="236" t="s">
        <v>65</v>
      </c>
      <c r="B3" s="236"/>
    </row>
    <row r="4" spans="1:2">
      <c r="A4" s="128"/>
      <c r="B4" s="180"/>
    </row>
    <row r="5" spans="1:2">
      <c r="A5" s="82"/>
      <c r="B5" s="180"/>
    </row>
    <row r="6" spans="1:2">
      <c r="A6" s="224" t="s">
        <v>175</v>
      </c>
      <c r="B6" s="231"/>
    </row>
    <row r="7" spans="1:2">
      <c r="A7" s="18"/>
      <c r="B7" s="36"/>
    </row>
    <row r="8" spans="1:2">
      <c r="A8" s="13" t="s">
        <v>173</v>
      </c>
      <c r="B8" s="37">
        <v>400000</v>
      </c>
    </row>
    <row r="9" spans="1:2">
      <c r="A9" s="13" t="s">
        <v>165</v>
      </c>
      <c r="B9" s="37">
        <f>B8*0.27</f>
        <v>108000</v>
      </c>
    </row>
    <row r="10" spans="1:2">
      <c r="A10" s="132" t="s">
        <v>156</v>
      </c>
      <c r="B10" s="39">
        <f>SUM(B8:B9)</f>
        <v>508000</v>
      </c>
    </row>
    <row r="11" spans="1:2">
      <c r="A11" s="40"/>
      <c r="B11" s="39"/>
    </row>
    <row r="12" spans="1:2">
      <c r="A12" s="41" t="s">
        <v>161</v>
      </c>
      <c r="B12" s="42">
        <f>B10</f>
        <v>508000</v>
      </c>
    </row>
    <row r="13" spans="1:2">
      <c r="A13" s="41"/>
      <c r="B13" s="42"/>
    </row>
    <row r="14" spans="1:2">
      <c r="A14" s="43" t="s">
        <v>21</v>
      </c>
      <c r="B14" s="42">
        <f>+B12</f>
        <v>508000</v>
      </c>
    </row>
    <row r="15" spans="1:2">
      <c r="A15" s="82"/>
      <c r="B15" s="180"/>
    </row>
    <row r="16" spans="1:2">
      <c r="A16" s="224" t="s">
        <v>176</v>
      </c>
      <c r="B16" s="231"/>
    </row>
    <row r="17" spans="1:2">
      <c r="A17" s="44"/>
      <c r="B17" s="35"/>
    </row>
    <row r="18" spans="1:2">
      <c r="A18" s="13" t="s">
        <v>163</v>
      </c>
      <c r="B18" s="37">
        <v>8700000</v>
      </c>
    </row>
    <row r="19" spans="1:2">
      <c r="A19" s="13" t="s">
        <v>165</v>
      </c>
      <c r="B19" s="37">
        <f>B18*0.27</f>
        <v>2349000</v>
      </c>
    </row>
    <row r="20" spans="1:2">
      <c r="A20" s="132" t="s">
        <v>153</v>
      </c>
      <c r="B20" s="39">
        <f>SUM(B18:B19)</f>
        <v>11049000</v>
      </c>
    </row>
    <row r="21" spans="1:2">
      <c r="A21" s="40"/>
      <c r="B21" s="39">
        <f>SUM(B20)</f>
        <v>11049000</v>
      </c>
    </row>
    <row r="22" spans="1:2">
      <c r="A22" s="41" t="s">
        <v>161</v>
      </c>
      <c r="B22" s="39">
        <f>+B21</f>
        <v>11049000</v>
      </c>
    </row>
    <row r="23" spans="1:2">
      <c r="A23" s="41"/>
      <c r="B23" s="39"/>
    </row>
    <row r="24" spans="1:2">
      <c r="A24" s="43" t="s">
        <v>21</v>
      </c>
      <c r="B24" s="39">
        <f>+B22</f>
        <v>11049000</v>
      </c>
    </row>
    <row r="25" spans="1:2">
      <c r="A25" s="43"/>
      <c r="B25" s="39"/>
    </row>
    <row r="26" spans="1:2">
      <c r="A26" s="224" t="s">
        <v>169</v>
      </c>
      <c r="B26" s="231"/>
    </row>
    <row r="27" spans="1:2">
      <c r="A27" s="52"/>
      <c r="B27" s="36"/>
    </row>
    <row r="28" spans="1:2">
      <c r="A28" s="61" t="s">
        <v>34</v>
      </c>
      <c r="B28" s="94">
        <v>815000</v>
      </c>
    </row>
    <row r="29" spans="1:2">
      <c r="A29" s="18" t="s">
        <v>139</v>
      </c>
      <c r="B29" s="95">
        <f>SUM(B28)</f>
        <v>815000</v>
      </c>
    </row>
    <row r="30" spans="1:2">
      <c r="A30" s="18"/>
      <c r="B30" s="95"/>
    </row>
    <row r="31" spans="1:2">
      <c r="A31" s="16" t="s">
        <v>91</v>
      </c>
      <c r="B31" s="94">
        <v>220000</v>
      </c>
    </row>
    <row r="32" spans="1:2">
      <c r="A32" s="18" t="s">
        <v>141</v>
      </c>
      <c r="B32" s="95">
        <f>SUM(B31)</f>
        <v>220000</v>
      </c>
    </row>
    <row r="33" spans="1:2">
      <c r="A33" s="44"/>
      <c r="B33" s="94"/>
    </row>
    <row r="34" spans="1:2">
      <c r="A34" s="61" t="s">
        <v>144</v>
      </c>
      <c r="B34" s="94">
        <v>20000</v>
      </c>
    </row>
    <row r="35" spans="1:2">
      <c r="A35" s="13" t="s">
        <v>145</v>
      </c>
      <c r="B35" s="94">
        <v>20000</v>
      </c>
    </row>
    <row r="36" spans="1:2">
      <c r="A36" s="13" t="s">
        <v>198</v>
      </c>
      <c r="B36" s="94">
        <v>10000</v>
      </c>
    </row>
    <row r="37" spans="1:2">
      <c r="A37" s="38" t="s">
        <v>148</v>
      </c>
      <c r="B37" s="95">
        <f>SUM(B34:B36)</f>
        <v>50000</v>
      </c>
    </row>
    <row r="38" spans="1:2">
      <c r="A38" s="89" t="s">
        <v>152</v>
      </c>
      <c r="B38" s="94">
        <v>100000</v>
      </c>
    </row>
    <row r="39" spans="1:2">
      <c r="A39" s="132" t="s">
        <v>150</v>
      </c>
      <c r="B39" s="95">
        <f>SUM(B38:B38)</f>
        <v>100000</v>
      </c>
    </row>
    <row r="40" spans="1:2">
      <c r="A40" s="13" t="s">
        <v>245</v>
      </c>
      <c r="B40" s="94">
        <v>420000</v>
      </c>
    </row>
    <row r="41" spans="1:2">
      <c r="A41" s="13" t="s">
        <v>162</v>
      </c>
      <c r="B41" s="94">
        <v>100000</v>
      </c>
    </row>
    <row r="42" spans="1:2">
      <c r="A42" s="13" t="s">
        <v>163</v>
      </c>
      <c r="B42" s="94">
        <v>220000</v>
      </c>
    </row>
    <row r="43" spans="1:2">
      <c r="A43" s="13" t="s">
        <v>220</v>
      </c>
      <c r="B43" s="94">
        <v>60000</v>
      </c>
    </row>
    <row r="44" spans="1:2">
      <c r="A44" s="132" t="s">
        <v>153</v>
      </c>
      <c r="B44" s="95">
        <f>SUM(B40:B43)</f>
        <v>800000</v>
      </c>
    </row>
    <row r="45" spans="1:2">
      <c r="A45" s="13" t="s">
        <v>166</v>
      </c>
      <c r="B45" s="94">
        <v>60000</v>
      </c>
    </row>
    <row r="46" spans="1:2">
      <c r="A46" s="13" t="s">
        <v>154</v>
      </c>
      <c r="B46" s="94">
        <f>5610000+300000</f>
        <v>5910000</v>
      </c>
    </row>
    <row r="47" spans="1:2">
      <c r="A47" s="13" t="s">
        <v>158</v>
      </c>
      <c r="B47" s="94">
        <v>20000</v>
      </c>
    </row>
    <row r="48" spans="1:2">
      <c r="A48" s="132" t="s">
        <v>156</v>
      </c>
      <c r="B48" s="80">
        <f>SUM(B45:B47)</f>
        <v>5990000</v>
      </c>
    </row>
    <row r="49" spans="1:2">
      <c r="A49" s="13" t="s">
        <v>165</v>
      </c>
      <c r="B49" s="79">
        <f>(B34+B35+B38+B41+B42+B45+B47+B43+B36)*0.27+B40*0.05</f>
        <v>185700</v>
      </c>
    </row>
    <row r="50" spans="1:2">
      <c r="A50" s="38" t="s">
        <v>160</v>
      </c>
      <c r="B50" s="80">
        <f>SUM(B49:B49)</f>
        <v>185700</v>
      </c>
    </row>
    <row r="51" spans="1:2">
      <c r="A51" s="38"/>
      <c r="B51" s="79"/>
    </row>
    <row r="52" spans="1:2">
      <c r="A52" s="41" t="s">
        <v>161</v>
      </c>
      <c r="B52" s="80">
        <f>B37+B39+B44+B48+B50</f>
        <v>7125700</v>
      </c>
    </row>
    <row r="53" spans="1:2">
      <c r="A53" s="41"/>
      <c r="B53" s="80"/>
    </row>
    <row r="54" spans="1:2">
      <c r="A54" s="43" t="s">
        <v>21</v>
      </c>
      <c r="B54" s="80">
        <f>B29+B32+B52</f>
        <v>8160700</v>
      </c>
    </row>
    <row r="55" spans="1:2">
      <c r="A55" s="41"/>
      <c r="B55" s="39"/>
    </row>
    <row r="56" spans="1:2">
      <c r="A56" s="41"/>
      <c r="B56" s="39"/>
    </row>
    <row r="57" spans="1:2">
      <c r="A57" s="241" t="s">
        <v>178</v>
      </c>
      <c r="B57" s="231"/>
    </row>
    <row r="58" spans="1:2">
      <c r="A58" s="43"/>
      <c r="B58" s="39"/>
    </row>
    <row r="59" spans="1:2">
      <c r="A59" s="13" t="s">
        <v>245</v>
      </c>
      <c r="B59" s="79">
        <v>110000</v>
      </c>
    </row>
    <row r="60" spans="1:2">
      <c r="A60" s="13" t="s">
        <v>162</v>
      </c>
      <c r="B60" s="94">
        <v>30000</v>
      </c>
    </row>
    <row r="61" spans="1:2">
      <c r="A61" s="13" t="s">
        <v>163</v>
      </c>
      <c r="B61" s="94">
        <v>60000</v>
      </c>
    </row>
    <row r="62" spans="1:2">
      <c r="A62" s="13" t="s">
        <v>220</v>
      </c>
      <c r="B62" s="94">
        <v>30000</v>
      </c>
    </row>
    <row r="63" spans="1:2">
      <c r="A63" s="132" t="s">
        <v>153</v>
      </c>
      <c r="B63" s="95">
        <f>SUM(B59:B62)</f>
        <v>230000</v>
      </c>
    </row>
    <row r="64" spans="1:2">
      <c r="A64" s="13" t="s">
        <v>166</v>
      </c>
      <c r="B64" s="94">
        <v>30000</v>
      </c>
    </row>
    <row r="65" spans="1:2">
      <c r="A65" s="13" t="s">
        <v>158</v>
      </c>
      <c r="B65" s="94">
        <v>24000</v>
      </c>
    </row>
    <row r="66" spans="1:2">
      <c r="A66" s="132" t="s">
        <v>156</v>
      </c>
      <c r="B66" s="80">
        <f>SUM(B64:B65)</f>
        <v>54000</v>
      </c>
    </row>
    <row r="67" spans="1:2">
      <c r="A67" s="13" t="s">
        <v>165</v>
      </c>
      <c r="B67" s="79">
        <f>(B60+B61+B62+B64+B65)*0.27+B59*0.05</f>
        <v>52480</v>
      </c>
    </row>
    <row r="68" spans="1:2">
      <c r="A68" s="38" t="s">
        <v>160</v>
      </c>
      <c r="B68" s="80">
        <f>SUM(B67:B67)</f>
        <v>52480</v>
      </c>
    </row>
    <row r="69" spans="1:2">
      <c r="A69" s="38"/>
      <c r="B69" s="79"/>
    </row>
    <row r="70" spans="1:2">
      <c r="A70" s="41" t="s">
        <v>161</v>
      </c>
      <c r="B70" s="80">
        <f>+B63+B66+B68</f>
        <v>336480</v>
      </c>
    </row>
    <row r="71" spans="1:2">
      <c r="A71" s="41"/>
      <c r="B71" s="80"/>
    </row>
    <row r="72" spans="1:2">
      <c r="A72" s="43" t="s">
        <v>21</v>
      </c>
      <c r="B72" s="80">
        <f>B70</f>
        <v>336480</v>
      </c>
    </row>
    <row r="73" spans="1:2">
      <c r="A73" s="43"/>
      <c r="B73" s="39"/>
    </row>
    <row r="74" spans="1:2">
      <c r="A74" s="43"/>
      <c r="B74" s="39"/>
    </row>
    <row r="75" spans="1:2">
      <c r="A75" s="230" t="s">
        <v>39</v>
      </c>
      <c r="B75" s="231"/>
    </row>
    <row r="76" spans="1:2">
      <c r="A76" s="142"/>
      <c r="B76" s="181"/>
    </row>
    <row r="77" spans="1:2">
      <c r="A77" s="16" t="s">
        <v>278</v>
      </c>
      <c r="B77" s="79">
        <v>13128000</v>
      </c>
    </row>
    <row r="78" spans="1:2">
      <c r="A78" s="18" t="s">
        <v>139</v>
      </c>
      <c r="B78" s="80">
        <f>SUM(B77)</f>
        <v>13128000</v>
      </c>
    </row>
    <row r="79" spans="1:2">
      <c r="A79" s="18"/>
      <c r="B79" s="80"/>
    </row>
    <row r="80" spans="1:2">
      <c r="A80" s="16" t="s">
        <v>91</v>
      </c>
      <c r="B80" s="79">
        <v>1772000</v>
      </c>
    </row>
    <row r="81" spans="1:2">
      <c r="A81" s="16" t="s">
        <v>140</v>
      </c>
      <c r="B81" s="79">
        <v>50000</v>
      </c>
    </row>
    <row r="82" spans="1:2">
      <c r="A82" s="18" t="s">
        <v>141</v>
      </c>
      <c r="B82" s="80">
        <f>SUM(B80:B81)</f>
        <v>1822000</v>
      </c>
    </row>
    <row r="83" spans="1:2">
      <c r="A83" s="18"/>
      <c r="B83" s="80"/>
    </row>
    <row r="84" spans="1:2">
      <c r="A84" s="43" t="s">
        <v>21</v>
      </c>
      <c r="B84" s="80">
        <f>B78+B82</f>
        <v>14950000</v>
      </c>
    </row>
    <row r="85" spans="1:2">
      <c r="A85" s="43"/>
      <c r="B85" s="39"/>
    </row>
    <row r="86" spans="1:2">
      <c r="A86" s="43"/>
      <c r="B86" s="39"/>
    </row>
    <row r="87" spans="1:2">
      <c r="A87" s="230" t="s">
        <v>272</v>
      </c>
      <c r="B87" s="231"/>
    </row>
    <row r="88" spans="1:2">
      <c r="A88" s="142"/>
      <c r="B88" s="181"/>
    </row>
    <row r="89" spans="1:2">
      <c r="A89" s="16" t="s">
        <v>273</v>
      </c>
      <c r="B89" s="79">
        <v>6917000</v>
      </c>
    </row>
    <row r="90" spans="1:2">
      <c r="A90" s="18" t="s">
        <v>139</v>
      </c>
      <c r="B90" s="80">
        <f>SUM(B89)</f>
        <v>6917000</v>
      </c>
    </row>
    <row r="91" spans="1:2">
      <c r="A91" s="18"/>
      <c r="B91" s="80"/>
    </row>
    <row r="92" spans="1:2">
      <c r="A92" s="16" t="s">
        <v>91</v>
      </c>
      <c r="B92" s="79">
        <v>934000</v>
      </c>
    </row>
    <row r="93" spans="1:2">
      <c r="A93" s="16" t="s">
        <v>140</v>
      </c>
      <c r="B93" s="79">
        <v>50000</v>
      </c>
    </row>
    <row r="94" spans="1:2">
      <c r="A94" s="18" t="s">
        <v>141</v>
      </c>
      <c r="B94" s="80">
        <f>SUM(B92:B93)</f>
        <v>984000</v>
      </c>
    </row>
    <row r="95" spans="1:2">
      <c r="A95" s="18"/>
      <c r="B95" s="80"/>
    </row>
    <row r="96" spans="1:2">
      <c r="A96" s="18"/>
      <c r="B96" s="80"/>
    </row>
    <row r="97" spans="1:2">
      <c r="A97" s="43" t="s">
        <v>21</v>
      </c>
      <c r="B97" s="80">
        <f>B90+B94</f>
        <v>7901000</v>
      </c>
    </row>
    <row r="98" spans="1:2">
      <c r="A98" s="142"/>
      <c r="B98" s="181"/>
    </row>
    <row r="99" spans="1:2">
      <c r="A99" s="142"/>
      <c r="B99" s="181"/>
    </row>
    <row r="100" spans="1:2">
      <c r="A100" s="43"/>
      <c r="B100" s="80"/>
    </row>
    <row r="101" spans="1:2">
      <c r="A101" s="232" t="s">
        <v>219</v>
      </c>
      <c r="B101" s="232"/>
    </row>
    <row r="102" spans="1:2">
      <c r="A102" s="43"/>
      <c r="B102" s="80"/>
    </row>
    <row r="103" spans="1:2">
      <c r="A103" s="224" t="s">
        <v>99</v>
      </c>
      <c r="B103" s="231"/>
    </row>
    <row r="104" spans="1:2">
      <c r="A104" s="52"/>
      <c r="B104" s="159"/>
    </row>
    <row r="105" spans="1:2">
      <c r="A105" s="16" t="s">
        <v>244</v>
      </c>
      <c r="B105" s="182">
        <v>1785000</v>
      </c>
    </row>
    <row r="106" spans="1:2">
      <c r="A106" s="61" t="s">
        <v>271</v>
      </c>
      <c r="B106" s="94">
        <v>1161000</v>
      </c>
    </row>
    <row r="107" spans="1:2">
      <c r="A107" s="61" t="s">
        <v>300</v>
      </c>
      <c r="B107" s="94">
        <v>1620000</v>
      </c>
    </row>
    <row r="108" spans="1:2">
      <c r="A108" s="18" t="s">
        <v>139</v>
      </c>
      <c r="B108" s="95">
        <f>SUM(B105:B107)</f>
        <v>4566000</v>
      </c>
    </row>
    <row r="109" spans="1:2">
      <c r="A109" s="18"/>
      <c r="B109" s="95"/>
    </row>
    <row r="110" spans="1:2">
      <c r="A110" s="16" t="s">
        <v>91</v>
      </c>
      <c r="B110" s="94">
        <v>1233000</v>
      </c>
    </row>
    <row r="111" spans="1:2">
      <c r="A111" s="18" t="s">
        <v>141</v>
      </c>
      <c r="B111" s="95">
        <f>SUM(B110:B110)</f>
        <v>1233000</v>
      </c>
    </row>
    <row r="112" spans="1:2">
      <c r="A112" s="18"/>
      <c r="B112" s="95"/>
    </row>
    <row r="113" spans="1:2">
      <c r="A113" s="18"/>
      <c r="B113" s="36"/>
    </row>
    <row r="114" spans="1:2">
      <c r="A114" s="89" t="s">
        <v>260</v>
      </c>
      <c r="B114" s="94">
        <f>10970000</f>
        <v>10970000</v>
      </c>
    </row>
    <row r="115" spans="1:2">
      <c r="A115" s="89" t="s">
        <v>301</v>
      </c>
      <c r="B115" s="94">
        <v>1500000</v>
      </c>
    </row>
    <row r="116" spans="1:2">
      <c r="A116" s="13" t="s">
        <v>28</v>
      </c>
      <c r="B116" s="94">
        <f>180000+200000</f>
        <v>380000</v>
      </c>
    </row>
    <row r="117" spans="1:2">
      <c r="A117" s="132" t="s">
        <v>156</v>
      </c>
      <c r="B117" s="95">
        <f>SUM(B114:B116)</f>
        <v>12850000</v>
      </c>
    </row>
    <row r="118" spans="1:2">
      <c r="A118" s="13" t="s">
        <v>165</v>
      </c>
      <c r="B118" s="94">
        <f>(+B116+B114+B115)*0.27</f>
        <v>3469500</v>
      </c>
    </row>
    <row r="119" spans="1:2">
      <c r="A119" s="38" t="s">
        <v>160</v>
      </c>
      <c r="B119" s="95">
        <f>SUM(B118)</f>
        <v>3469500</v>
      </c>
    </row>
    <row r="120" spans="1:2">
      <c r="A120" s="38"/>
      <c r="B120" s="79"/>
    </row>
    <row r="121" spans="1:2">
      <c r="A121" s="41" t="s">
        <v>161</v>
      </c>
      <c r="B121" s="80">
        <f>B119+B117</f>
        <v>16319500</v>
      </c>
    </row>
    <row r="122" spans="1:2">
      <c r="A122" s="41"/>
      <c r="B122" s="79"/>
    </row>
    <row r="123" spans="1:2">
      <c r="A123" s="43" t="s">
        <v>21</v>
      </c>
      <c r="B123" s="80">
        <f>B108+B111+B121</f>
        <v>22118500</v>
      </c>
    </row>
    <row r="124" spans="1:2">
      <c r="A124" s="40"/>
      <c r="B124" s="39"/>
    </row>
    <row r="125" spans="1:2">
      <c r="A125" s="43"/>
      <c r="B125" s="42"/>
    </row>
    <row r="126" spans="1:2">
      <c r="A126" s="234" t="s">
        <v>325</v>
      </c>
      <c r="B126" s="235"/>
    </row>
    <row r="127" spans="1:2">
      <c r="A127" s="16"/>
      <c r="B127" s="35"/>
    </row>
    <row r="128" spans="1:2">
      <c r="A128" s="16" t="s">
        <v>327</v>
      </c>
      <c r="B128" s="35">
        <v>26108000</v>
      </c>
    </row>
    <row r="129" spans="1:2">
      <c r="A129" s="61" t="s">
        <v>31</v>
      </c>
      <c r="B129" s="35">
        <v>2813000</v>
      </c>
    </row>
    <row r="130" spans="1:2">
      <c r="A130" s="61" t="s">
        <v>36</v>
      </c>
      <c r="B130" s="35">
        <v>343000</v>
      </c>
    </row>
    <row r="131" spans="1:2">
      <c r="A131" s="61" t="s">
        <v>32</v>
      </c>
      <c r="B131" s="35">
        <v>300000</v>
      </c>
    </row>
    <row r="132" spans="1:2">
      <c r="A132" s="18" t="s">
        <v>139</v>
      </c>
      <c r="B132" s="36">
        <f>SUM(B128:B131)</f>
        <v>29564000</v>
      </c>
    </row>
    <row r="133" spans="1:2">
      <c r="A133" s="18"/>
      <c r="B133" s="36"/>
    </row>
    <row r="134" spans="1:2">
      <c r="A134" s="16" t="s">
        <v>91</v>
      </c>
      <c r="B134" s="35">
        <v>7901000</v>
      </c>
    </row>
    <row r="135" spans="1:2">
      <c r="A135" s="16" t="s">
        <v>140</v>
      </c>
      <c r="B135" s="35">
        <v>96000</v>
      </c>
    </row>
    <row r="136" spans="1:2">
      <c r="A136" s="16" t="s">
        <v>274</v>
      </c>
      <c r="B136" s="35">
        <v>20000</v>
      </c>
    </row>
    <row r="137" spans="1:2">
      <c r="A137" s="16" t="s">
        <v>35</v>
      </c>
      <c r="B137" s="35">
        <v>54000</v>
      </c>
    </row>
    <row r="138" spans="1:2">
      <c r="A138" s="18" t="s">
        <v>141</v>
      </c>
      <c r="B138" s="36">
        <f>SUM(B134:B137)</f>
        <v>8071000</v>
      </c>
    </row>
    <row r="139" spans="1:2">
      <c r="A139" s="18"/>
      <c r="B139" s="36"/>
    </row>
    <row r="140" spans="1:2">
      <c r="A140" s="13" t="s">
        <v>144</v>
      </c>
      <c r="B140" s="94">
        <v>10000</v>
      </c>
    </row>
    <row r="141" spans="1:2">
      <c r="A141" s="13" t="s">
        <v>145</v>
      </c>
      <c r="B141" s="79">
        <v>200000</v>
      </c>
    </row>
    <row r="142" spans="1:2">
      <c r="A142" s="38" t="s">
        <v>148</v>
      </c>
      <c r="B142" s="80">
        <f>SUM(B140:B141)</f>
        <v>210000</v>
      </c>
    </row>
    <row r="143" spans="1:2">
      <c r="A143" s="13" t="s">
        <v>198</v>
      </c>
      <c r="B143" s="79">
        <v>50000</v>
      </c>
    </row>
    <row r="144" spans="1:2">
      <c r="A144" s="13" t="s">
        <v>147</v>
      </c>
      <c r="B144" s="79">
        <v>1500000</v>
      </c>
    </row>
    <row r="145" spans="1:2">
      <c r="A145" s="38" t="s">
        <v>149</v>
      </c>
      <c r="B145" s="80">
        <f>SUM(B143:B144)</f>
        <v>1550000</v>
      </c>
    </row>
    <row r="146" spans="1:2">
      <c r="A146" s="89" t="s">
        <v>152</v>
      </c>
      <c r="B146" s="79">
        <v>240000</v>
      </c>
    </row>
    <row r="147" spans="1:2">
      <c r="A147" s="13" t="s">
        <v>151</v>
      </c>
      <c r="B147" s="79">
        <v>120000</v>
      </c>
    </row>
    <row r="148" spans="1:2">
      <c r="A148" s="132" t="s">
        <v>150</v>
      </c>
      <c r="B148" s="80">
        <f>SUM(B146:B147)</f>
        <v>360000</v>
      </c>
    </row>
    <row r="149" spans="1:2">
      <c r="A149" s="13" t="s">
        <v>163</v>
      </c>
      <c r="B149" s="79">
        <v>5000000</v>
      </c>
    </row>
    <row r="150" spans="1:2">
      <c r="A150" s="13" t="s">
        <v>220</v>
      </c>
      <c r="B150" s="79">
        <v>750000</v>
      </c>
    </row>
    <row r="151" spans="1:2">
      <c r="A151" s="132" t="s">
        <v>153</v>
      </c>
      <c r="B151" s="80">
        <f>SUM(B149:B150)</f>
        <v>5750000</v>
      </c>
    </row>
    <row r="152" spans="1:2">
      <c r="A152" s="13" t="s">
        <v>166</v>
      </c>
      <c r="B152" s="79">
        <v>1000000</v>
      </c>
    </row>
    <row r="153" spans="1:2">
      <c r="A153" s="13" t="s">
        <v>154</v>
      </c>
      <c r="B153" s="79">
        <v>300000</v>
      </c>
    </row>
    <row r="154" spans="1:2">
      <c r="A154" s="13" t="s">
        <v>158</v>
      </c>
      <c r="B154" s="79">
        <v>200000</v>
      </c>
    </row>
    <row r="155" spans="1:2">
      <c r="A155" s="132" t="s">
        <v>156</v>
      </c>
      <c r="B155" s="80">
        <f>SUM(B152:B154)</f>
        <v>1500000</v>
      </c>
    </row>
    <row r="156" spans="1:2">
      <c r="A156" s="78" t="s">
        <v>290</v>
      </c>
      <c r="B156" s="79">
        <v>1000000</v>
      </c>
    </row>
    <row r="157" spans="1:2">
      <c r="A157" s="13" t="s">
        <v>165</v>
      </c>
      <c r="B157" s="79">
        <f>(B140+B141+B143+B144+B146+B147+B149+B150+B152+B153+B154+B156)*0.27</f>
        <v>2799900</v>
      </c>
    </row>
    <row r="158" spans="1:2">
      <c r="A158" s="38" t="s">
        <v>160</v>
      </c>
      <c r="B158" s="80">
        <f>B157+B156</f>
        <v>3799900</v>
      </c>
    </row>
    <row r="159" spans="1:2">
      <c r="A159" s="38"/>
      <c r="B159" s="79"/>
    </row>
    <row r="160" spans="1:2">
      <c r="A160" s="41" t="s">
        <v>161</v>
      </c>
      <c r="B160" s="80">
        <f>B142+B145+B148+B151+B155+B158</f>
        <v>13169900</v>
      </c>
    </row>
    <row r="161" spans="1:2">
      <c r="A161" s="41"/>
      <c r="B161" s="80"/>
    </row>
    <row r="162" spans="1:2">
      <c r="A162" s="43" t="s">
        <v>21</v>
      </c>
      <c r="B162" s="183">
        <f>B132+B138+B160</f>
        <v>50804900</v>
      </c>
    </row>
    <row r="163" spans="1:2">
      <c r="A163" s="43"/>
      <c r="B163" s="183"/>
    </row>
    <row r="164" spans="1:2">
      <c r="A164" s="43"/>
      <c r="B164" s="183"/>
    </row>
    <row r="165" spans="1:2">
      <c r="A165" s="43"/>
      <c r="B165" s="183"/>
    </row>
    <row r="166" spans="1:2">
      <c r="A166" s="43"/>
      <c r="B166" s="183"/>
    </row>
    <row r="167" spans="1:2">
      <c r="A167" s="78"/>
      <c r="B167" s="42"/>
    </row>
    <row r="168" spans="1:2">
      <c r="A168" s="78"/>
      <c r="B168" s="42"/>
    </row>
    <row r="169" spans="1:2">
      <c r="A169" s="41"/>
      <c r="B169" s="42"/>
    </row>
    <row r="170" spans="1:2">
      <c r="A170" s="41"/>
      <c r="B170" s="42"/>
    </row>
    <row r="171" spans="1:2">
      <c r="A171" s="229" t="s">
        <v>66</v>
      </c>
      <c r="B171" s="240"/>
    </row>
    <row r="172" spans="1:2">
      <c r="A172" s="43"/>
      <c r="B172" s="39"/>
    </row>
    <row r="173" spans="1:2" ht="24" customHeight="1">
      <c r="A173" s="234" t="s">
        <v>180</v>
      </c>
      <c r="B173" s="235"/>
    </row>
    <row r="174" spans="1:2">
      <c r="A174" s="52"/>
      <c r="B174" s="181"/>
    </row>
    <row r="175" spans="1:2">
      <c r="A175" s="61" t="s">
        <v>33</v>
      </c>
      <c r="B175" s="94">
        <f>7524000+5384400</f>
        <v>12908400</v>
      </c>
    </row>
    <row r="176" spans="1:2">
      <c r="A176" s="61" t="s">
        <v>96</v>
      </c>
      <c r="B176" s="94">
        <v>148688</v>
      </c>
    </row>
    <row r="177" spans="1:2">
      <c r="A177" s="61" t="s">
        <v>348</v>
      </c>
      <c r="B177" s="94">
        <v>808000</v>
      </c>
    </row>
    <row r="178" spans="1:2">
      <c r="A178" s="18" t="s">
        <v>139</v>
      </c>
      <c r="B178" s="95">
        <f>SUM(B175:B177)</f>
        <v>13865088</v>
      </c>
    </row>
    <row r="179" spans="1:2">
      <c r="A179" s="18"/>
      <c r="B179" s="95"/>
    </row>
    <row r="180" spans="1:2">
      <c r="A180" s="16" t="s">
        <v>91</v>
      </c>
      <c r="B180" s="94">
        <f>2032000+1671856</f>
        <v>3703856</v>
      </c>
    </row>
    <row r="181" spans="1:2">
      <c r="A181" s="16" t="s">
        <v>140</v>
      </c>
      <c r="B181" s="94">
        <v>24771</v>
      </c>
    </row>
    <row r="182" spans="1:2">
      <c r="A182" s="16" t="s">
        <v>35</v>
      </c>
      <c r="B182" s="94">
        <v>26541</v>
      </c>
    </row>
    <row r="183" spans="1:2">
      <c r="A183" s="18" t="s">
        <v>141</v>
      </c>
      <c r="B183" s="95">
        <f>SUM(B180:B182)</f>
        <v>3755168</v>
      </c>
    </row>
    <row r="184" spans="1:2">
      <c r="A184" s="82"/>
      <c r="B184" s="180"/>
    </row>
    <row r="185" spans="1:2">
      <c r="A185" s="13" t="s">
        <v>147</v>
      </c>
      <c r="B185" s="79">
        <v>100000</v>
      </c>
    </row>
    <row r="186" spans="1:2">
      <c r="A186" s="13" t="s">
        <v>57</v>
      </c>
      <c r="B186" s="79">
        <v>1200000</v>
      </c>
    </row>
    <row r="187" spans="1:2">
      <c r="A187" s="132" t="s">
        <v>156</v>
      </c>
      <c r="B187" s="95">
        <f>SUM(B185:B186)</f>
        <v>1300000</v>
      </c>
    </row>
    <row r="188" spans="1:2">
      <c r="A188" s="13" t="s">
        <v>165</v>
      </c>
      <c r="B188" s="79">
        <f>(B186+B185)*0.27</f>
        <v>351000</v>
      </c>
    </row>
    <row r="189" spans="1:2">
      <c r="A189" s="13" t="s">
        <v>164</v>
      </c>
      <c r="B189" s="6">
        <f>12700000+2160000-1697860-229-1-50637-148228+1000</f>
        <v>12964045</v>
      </c>
    </row>
    <row r="190" spans="1:2">
      <c r="A190" s="133" t="s">
        <v>261</v>
      </c>
      <c r="B190" s="79">
        <v>600000</v>
      </c>
    </row>
    <row r="191" spans="1:2">
      <c r="A191" s="133" t="s">
        <v>323</v>
      </c>
      <c r="B191" s="79">
        <f>16660000-25000</f>
        <v>16635000</v>
      </c>
    </row>
    <row r="192" spans="1:2">
      <c r="A192" s="13" t="s">
        <v>159</v>
      </c>
      <c r="B192" s="79">
        <f>4000000+500000-100000</f>
        <v>4400000</v>
      </c>
    </row>
    <row r="193" spans="1:2">
      <c r="A193" s="38" t="s">
        <v>160</v>
      </c>
      <c r="B193" s="80">
        <f>SUM(B188:B192)</f>
        <v>34950045</v>
      </c>
    </row>
    <row r="194" spans="1:2">
      <c r="A194" s="38"/>
      <c r="B194" s="39"/>
    </row>
    <row r="195" spans="1:2">
      <c r="A195" s="41" t="s">
        <v>161</v>
      </c>
      <c r="B195" s="42">
        <f>B193+B187</f>
        <v>36250045</v>
      </c>
    </row>
    <row r="196" spans="1:2">
      <c r="A196" s="41"/>
      <c r="B196" s="42"/>
    </row>
    <row r="197" spans="1:2">
      <c r="A197" s="43" t="s">
        <v>21</v>
      </c>
      <c r="B197" s="42">
        <f>B195+B178+B183</f>
        <v>53870301</v>
      </c>
    </row>
    <row r="198" spans="1:2">
      <c r="A198" s="43"/>
      <c r="B198" s="42"/>
    </row>
    <row r="199" spans="1:2">
      <c r="A199" s="43"/>
      <c r="B199" s="42"/>
    </row>
    <row r="200" spans="1:2">
      <c r="A200" s="18" t="s">
        <v>139</v>
      </c>
      <c r="B200" s="39">
        <f>B29+B78+B108+B178+B132+B89</f>
        <v>68855088</v>
      </c>
    </row>
    <row r="201" spans="1:2">
      <c r="A201" s="18" t="s">
        <v>141</v>
      </c>
      <c r="B201" s="39">
        <f>B32+B82+B111+B183+B138+B94</f>
        <v>16085168</v>
      </c>
    </row>
    <row r="202" spans="1:2">
      <c r="A202" s="41" t="s">
        <v>187</v>
      </c>
      <c r="B202" s="39">
        <f>B12+B22+B52+B70+B121+B195+B160</f>
        <v>84758625</v>
      </c>
    </row>
    <row r="203" spans="1:2">
      <c r="A203" s="41" t="s">
        <v>196</v>
      </c>
      <c r="B203" s="39">
        <f>'4_ melléklet'!B4</f>
        <v>77288658</v>
      </c>
    </row>
    <row r="204" spans="1:2" ht="22.5">
      <c r="A204" s="105" t="s">
        <v>326</v>
      </c>
      <c r="B204" s="39">
        <f>SUM(B200:B203)</f>
        <v>246987539</v>
      </c>
    </row>
    <row r="205" spans="1:2">
      <c r="A205" s="105"/>
      <c r="B205" s="39"/>
    </row>
    <row r="206" spans="1:2">
      <c r="A206" s="105"/>
      <c r="B206" s="39"/>
    </row>
    <row r="207" spans="1:2">
      <c r="A207" s="229" t="s">
        <v>114</v>
      </c>
      <c r="B207" s="229"/>
    </row>
    <row r="208" spans="1:2">
      <c r="A208" s="129"/>
      <c r="B208" s="39"/>
    </row>
    <row r="209" spans="1:2">
      <c r="A209" s="236" t="s">
        <v>65</v>
      </c>
      <c r="B209" s="236"/>
    </row>
    <row r="210" spans="1:2" ht="14.25">
      <c r="A210" s="90"/>
      <c r="B210" s="39"/>
    </row>
    <row r="211" spans="1:2">
      <c r="A211" s="224" t="s">
        <v>181</v>
      </c>
      <c r="B211" s="231"/>
    </row>
    <row r="212" spans="1:2">
      <c r="A212" s="16" t="s">
        <v>44</v>
      </c>
      <c r="B212" s="35">
        <v>9727000</v>
      </c>
    </row>
    <row r="213" spans="1:2">
      <c r="A213" s="61" t="s">
        <v>43</v>
      </c>
      <c r="B213" s="35">
        <v>126000</v>
      </c>
    </row>
    <row r="214" spans="1:2">
      <c r="A214" s="18" t="s">
        <v>139</v>
      </c>
      <c r="B214" s="36">
        <f>SUM(B212:B213)</f>
        <v>9853000</v>
      </c>
    </row>
    <row r="215" spans="1:2">
      <c r="A215" s="18"/>
      <c r="B215" s="36"/>
    </row>
    <row r="216" spans="1:2">
      <c r="A216" s="16" t="s">
        <v>91</v>
      </c>
      <c r="B216" s="35">
        <v>2660000</v>
      </c>
    </row>
    <row r="217" spans="1:2">
      <c r="A217" s="16" t="s">
        <v>140</v>
      </c>
      <c r="B217" s="35">
        <v>20000</v>
      </c>
    </row>
    <row r="218" spans="1:2">
      <c r="A218" s="18" t="s">
        <v>141</v>
      </c>
      <c r="B218" s="36">
        <f>SUM(B216:B217)</f>
        <v>2680000</v>
      </c>
    </row>
    <row r="219" spans="1:2">
      <c r="A219" s="18"/>
      <c r="B219" s="39"/>
    </row>
    <row r="220" spans="1:2">
      <c r="A220" s="18"/>
      <c r="B220" s="39"/>
    </row>
    <row r="221" spans="1:2">
      <c r="A221" s="13" t="s">
        <v>198</v>
      </c>
      <c r="B221" s="79">
        <v>20000</v>
      </c>
    </row>
    <row r="222" spans="1:2">
      <c r="A222" s="13" t="s">
        <v>199</v>
      </c>
      <c r="B222" s="79">
        <v>70000</v>
      </c>
    </row>
    <row r="223" spans="1:2">
      <c r="A223" s="13" t="s">
        <v>147</v>
      </c>
      <c r="B223" s="79">
        <v>1300000</v>
      </c>
    </row>
    <row r="224" spans="1:2">
      <c r="A224" s="38" t="s">
        <v>149</v>
      </c>
      <c r="B224" s="80">
        <f>SUM(B221:B223)</f>
        <v>1390000</v>
      </c>
    </row>
    <row r="225" spans="1:2">
      <c r="A225" s="89" t="s">
        <v>245</v>
      </c>
      <c r="B225" s="79">
        <f>70000*34*2.1</f>
        <v>4998000</v>
      </c>
    </row>
    <row r="226" spans="1:2">
      <c r="A226" s="13" t="s">
        <v>162</v>
      </c>
      <c r="B226" s="79">
        <v>2500000</v>
      </c>
    </row>
    <row r="227" spans="1:2">
      <c r="A227" s="13" t="s">
        <v>163</v>
      </c>
      <c r="B227" s="79">
        <v>2600000</v>
      </c>
    </row>
    <row r="228" spans="1:2">
      <c r="A228" s="13" t="s">
        <v>220</v>
      </c>
      <c r="B228" s="79">
        <v>1200000</v>
      </c>
    </row>
    <row r="229" spans="1:2">
      <c r="A229" s="132" t="s">
        <v>153</v>
      </c>
      <c r="B229" s="80">
        <f>SUM(B225:B228)</f>
        <v>11298000</v>
      </c>
    </row>
    <row r="230" spans="1:2">
      <c r="A230" s="13" t="s">
        <v>166</v>
      </c>
      <c r="B230" s="79">
        <v>300000</v>
      </c>
    </row>
    <row r="231" spans="1:2">
      <c r="A231" s="13" t="s">
        <v>158</v>
      </c>
      <c r="B231" s="79">
        <v>600000</v>
      </c>
    </row>
    <row r="232" spans="1:2">
      <c r="A232" s="132" t="s">
        <v>156</v>
      </c>
      <c r="B232" s="80">
        <f>SUM(B230:B231)</f>
        <v>900000</v>
      </c>
    </row>
    <row r="233" spans="1:2">
      <c r="A233" s="13" t="s">
        <v>165</v>
      </c>
      <c r="B233" s="79">
        <f>(B221+B222+B223+B226+B227+B228+B230+B231)*0.27+B225*0.05</f>
        <v>2569200</v>
      </c>
    </row>
    <row r="234" spans="1:2">
      <c r="A234" s="38" t="s">
        <v>160</v>
      </c>
      <c r="B234" s="80">
        <f>SUM(B233)</f>
        <v>2569200</v>
      </c>
    </row>
    <row r="235" spans="1:2">
      <c r="A235" s="38"/>
      <c r="B235" s="79"/>
    </row>
    <row r="236" spans="1:2">
      <c r="A236" s="41" t="s">
        <v>161</v>
      </c>
      <c r="B236" s="80">
        <f>B224+B229+B232+B234</f>
        <v>16157200</v>
      </c>
    </row>
    <row r="237" spans="1:2">
      <c r="A237" s="41"/>
      <c r="B237" s="80"/>
    </row>
    <row r="238" spans="1:2">
      <c r="A238" s="43" t="s">
        <v>21</v>
      </c>
      <c r="B238" s="80">
        <f>B214+B218+B236</f>
        <v>28690200</v>
      </c>
    </row>
    <row r="239" spans="1:2">
      <c r="A239" s="43"/>
      <c r="B239" s="42"/>
    </row>
    <row r="240" spans="1:2">
      <c r="A240" s="16"/>
      <c r="B240" s="35"/>
    </row>
    <row r="241" spans="1:2">
      <c r="A241" s="224" t="s">
        <v>179</v>
      </c>
      <c r="B241" s="231"/>
    </row>
    <row r="242" spans="1:2">
      <c r="A242" s="52"/>
      <c r="B242" s="159"/>
    </row>
    <row r="243" spans="1:2">
      <c r="A243" s="18"/>
      <c r="B243" s="36"/>
    </row>
    <row r="244" spans="1:2">
      <c r="A244" s="13" t="s">
        <v>146</v>
      </c>
      <c r="B244" s="94">
        <v>1810000</v>
      </c>
    </row>
    <row r="245" spans="1:2">
      <c r="A245" s="13" t="s">
        <v>147</v>
      </c>
      <c r="B245" s="94">
        <v>250000</v>
      </c>
    </row>
    <row r="246" spans="1:2">
      <c r="A246" s="38" t="s">
        <v>149</v>
      </c>
      <c r="B246" s="95">
        <f>SUM(B244:B245)</f>
        <v>2060000</v>
      </c>
    </row>
    <row r="247" spans="1:2">
      <c r="A247" s="13" t="s">
        <v>162</v>
      </c>
      <c r="B247" s="94">
        <v>300000</v>
      </c>
    </row>
    <row r="248" spans="1:2">
      <c r="A248" s="13" t="s">
        <v>163</v>
      </c>
      <c r="B248" s="94">
        <v>600000</v>
      </c>
    </row>
    <row r="249" spans="1:2">
      <c r="A249" s="13" t="s">
        <v>220</v>
      </c>
      <c r="B249" s="94">
        <v>300000</v>
      </c>
    </row>
    <row r="250" spans="1:2">
      <c r="A250" s="132" t="s">
        <v>153</v>
      </c>
      <c r="B250" s="80">
        <f>SUM(B247:B249)</f>
        <v>1200000</v>
      </c>
    </row>
    <row r="251" spans="1:2">
      <c r="A251" s="13" t="s">
        <v>166</v>
      </c>
      <c r="B251" s="79">
        <v>150000</v>
      </c>
    </row>
    <row r="252" spans="1:2">
      <c r="A252" s="13" t="s">
        <v>281</v>
      </c>
      <c r="B252" s="79">
        <v>100000</v>
      </c>
    </row>
    <row r="253" spans="1:2">
      <c r="A253" s="13" t="s">
        <v>158</v>
      </c>
      <c r="B253" s="79">
        <v>300000</v>
      </c>
    </row>
    <row r="254" spans="1:2">
      <c r="A254" s="132" t="s">
        <v>156</v>
      </c>
      <c r="B254" s="80">
        <f>SUM(B251:B253)</f>
        <v>550000</v>
      </c>
    </row>
    <row r="255" spans="1:2">
      <c r="A255" s="13" t="s">
        <v>165</v>
      </c>
      <c r="B255" s="79">
        <f>(+B244+B247+B248+B249+B251+B245+B252+B253)*0.27</f>
        <v>1028700.0000000001</v>
      </c>
    </row>
    <row r="256" spans="1:2">
      <c r="A256" s="13" t="s">
        <v>159</v>
      </c>
      <c r="B256" s="79">
        <v>500000</v>
      </c>
    </row>
    <row r="257" spans="1:2">
      <c r="A257" s="38" t="s">
        <v>160</v>
      </c>
      <c r="B257" s="80">
        <f>SUM(B255:B256)</f>
        <v>1528700</v>
      </c>
    </row>
    <row r="258" spans="1:2">
      <c r="A258" s="38"/>
      <c r="B258" s="39"/>
    </row>
    <row r="259" spans="1:2">
      <c r="A259" s="41" t="s">
        <v>161</v>
      </c>
      <c r="B259" s="39">
        <f>+B246+B250+B254+B257</f>
        <v>5338700</v>
      </c>
    </row>
    <row r="260" spans="1:2">
      <c r="A260" s="41"/>
      <c r="B260" s="37"/>
    </row>
    <row r="261" spans="1:2">
      <c r="A261" s="43" t="s">
        <v>21</v>
      </c>
      <c r="B261" s="39">
        <f>B259</f>
        <v>5338700</v>
      </c>
    </row>
    <row r="262" spans="1:2">
      <c r="A262" s="43"/>
      <c r="B262" s="39"/>
    </row>
    <row r="263" spans="1:2">
      <c r="A263" s="43"/>
      <c r="B263" s="39"/>
    </row>
    <row r="264" spans="1:2">
      <c r="A264" s="229" t="s">
        <v>66</v>
      </c>
      <c r="B264" s="229"/>
    </row>
    <row r="265" spans="1:2">
      <c r="A265" s="43"/>
      <c r="B265" s="39"/>
    </row>
    <row r="266" spans="1:2" ht="24.75" customHeight="1">
      <c r="A266" s="234" t="s">
        <v>180</v>
      </c>
      <c r="B266" s="235"/>
    </row>
    <row r="267" spans="1:2">
      <c r="A267" s="16"/>
      <c r="B267" s="35"/>
    </row>
    <row r="268" spans="1:2">
      <c r="A268" s="16" t="s">
        <v>344</v>
      </c>
      <c r="B268" s="35">
        <f>52678000-5384400</f>
        <v>47293600</v>
      </c>
    </row>
    <row r="269" spans="1:2">
      <c r="A269" s="16" t="s">
        <v>322</v>
      </c>
      <c r="B269" s="35">
        <v>903000</v>
      </c>
    </row>
    <row r="270" spans="1:2">
      <c r="A270" s="61" t="s">
        <v>31</v>
      </c>
      <c r="B270" s="35">
        <v>337000</v>
      </c>
    </row>
    <row r="271" spans="1:2">
      <c r="A271" s="61" t="s">
        <v>170</v>
      </c>
      <c r="B271" s="35">
        <v>936000</v>
      </c>
    </row>
    <row r="272" spans="1:2">
      <c r="A272" s="61" t="s">
        <v>96</v>
      </c>
      <c r="B272" s="35">
        <f>2676000-148688</f>
        <v>2527312</v>
      </c>
    </row>
    <row r="273" spans="1:2">
      <c r="A273" s="61" t="s">
        <v>36</v>
      </c>
      <c r="B273" s="35">
        <v>1315000</v>
      </c>
    </row>
    <row r="274" spans="1:2">
      <c r="A274" s="61" t="s">
        <v>32</v>
      </c>
      <c r="B274" s="35">
        <v>96000</v>
      </c>
    </row>
    <row r="275" spans="1:2">
      <c r="A275" s="61" t="s">
        <v>42</v>
      </c>
      <c r="B275" s="35">
        <v>950000</v>
      </c>
    </row>
    <row r="276" spans="1:2">
      <c r="A276" s="61" t="s">
        <v>34</v>
      </c>
      <c r="B276" s="35">
        <v>500000</v>
      </c>
    </row>
    <row r="277" spans="1:2">
      <c r="A277" s="18" t="s">
        <v>139</v>
      </c>
      <c r="B277" s="36">
        <f>SUM(B268:B276)</f>
        <v>54857912</v>
      </c>
    </row>
    <row r="278" spans="1:2">
      <c r="A278" s="18"/>
      <c r="B278" s="36"/>
    </row>
    <row r="279" spans="1:2">
      <c r="A279" s="16" t="s">
        <v>91</v>
      </c>
      <c r="B279" s="35">
        <f>15302000-1671856</f>
        <v>13630144</v>
      </c>
    </row>
    <row r="280" spans="1:2">
      <c r="A280" s="16" t="s">
        <v>140</v>
      </c>
      <c r="B280" s="35">
        <f>1040000-24771</f>
        <v>1015229</v>
      </c>
    </row>
    <row r="281" spans="1:2">
      <c r="A281" s="16" t="s">
        <v>35</v>
      </c>
      <c r="B281" s="35">
        <f>808000-26541</f>
        <v>781459</v>
      </c>
    </row>
    <row r="282" spans="1:2">
      <c r="A282" s="18" t="s">
        <v>141</v>
      </c>
      <c r="B282" s="36">
        <f>SUM(B279:B281)</f>
        <v>15426832</v>
      </c>
    </row>
    <row r="283" spans="1:2">
      <c r="A283" s="18"/>
      <c r="B283" s="36"/>
    </row>
    <row r="284" spans="1:2">
      <c r="A284" s="13" t="s">
        <v>142</v>
      </c>
      <c r="B284" s="94">
        <v>130000</v>
      </c>
    </row>
    <row r="285" spans="1:2">
      <c r="A285" s="13" t="s">
        <v>143</v>
      </c>
      <c r="B285" s="94">
        <v>630000</v>
      </c>
    </row>
    <row r="286" spans="1:2">
      <c r="A286" s="13" t="s">
        <v>145</v>
      </c>
      <c r="B286" s="79">
        <v>100000</v>
      </c>
    </row>
    <row r="287" spans="1:2">
      <c r="A287" s="38" t="s">
        <v>148</v>
      </c>
      <c r="B287" s="80">
        <f>SUM(B284:B286)</f>
        <v>860000</v>
      </c>
    </row>
    <row r="288" spans="1:2">
      <c r="A288" s="13" t="s">
        <v>198</v>
      </c>
      <c r="B288" s="79">
        <v>1000000</v>
      </c>
    </row>
    <row r="289" spans="1:2">
      <c r="A289" s="13" t="s">
        <v>147</v>
      </c>
      <c r="B289" s="37">
        <v>2000000</v>
      </c>
    </row>
    <row r="290" spans="1:2">
      <c r="A290" s="38" t="s">
        <v>149</v>
      </c>
      <c r="B290" s="80">
        <f>SUM(B288:B289)</f>
        <v>3000000</v>
      </c>
    </row>
    <row r="291" spans="1:2">
      <c r="A291" s="89" t="s">
        <v>152</v>
      </c>
      <c r="B291" s="37">
        <f>2800000+360000</f>
        <v>3160000</v>
      </c>
    </row>
    <row r="292" spans="1:2">
      <c r="A292" s="13" t="s">
        <v>151</v>
      </c>
      <c r="B292" s="79">
        <v>300000</v>
      </c>
    </row>
    <row r="293" spans="1:2">
      <c r="A293" s="132" t="s">
        <v>150</v>
      </c>
      <c r="B293" s="80">
        <f>SUM(B291:B292)</f>
        <v>3460000</v>
      </c>
    </row>
    <row r="294" spans="1:2">
      <c r="A294" s="13" t="s">
        <v>245</v>
      </c>
      <c r="B294" s="79">
        <v>490000</v>
      </c>
    </row>
    <row r="295" spans="1:2">
      <c r="A295" s="13" t="s">
        <v>163</v>
      </c>
      <c r="B295" s="79">
        <v>520000</v>
      </c>
    </row>
    <row r="296" spans="1:2">
      <c r="A296" s="13" t="s">
        <v>220</v>
      </c>
      <c r="B296" s="37">
        <v>180000</v>
      </c>
    </row>
    <row r="297" spans="1:2">
      <c r="A297" s="132" t="s">
        <v>153</v>
      </c>
      <c r="B297" s="80">
        <f>SUM(B294:B296)</f>
        <v>1190000</v>
      </c>
    </row>
    <row r="298" spans="1:2">
      <c r="A298" s="13" t="s">
        <v>171</v>
      </c>
      <c r="B298" s="79">
        <v>420000</v>
      </c>
    </row>
    <row r="299" spans="1:2">
      <c r="A299" s="13" t="s">
        <v>166</v>
      </c>
      <c r="B299" s="79">
        <v>600000</v>
      </c>
    </row>
    <row r="300" spans="1:2">
      <c r="A300" s="13" t="s">
        <v>76</v>
      </c>
      <c r="B300" s="37">
        <v>2600000</v>
      </c>
    </row>
    <row r="301" spans="1:2">
      <c r="A301" s="13" t="s">
        <v>154</v>
      </c>
      <c r="B301" s="37">
        <f>2140000+200000</f>
        <v>2340000</v>
      </c>
    </row>
    <row r="302" spans="1:2">
      <c r="A302" s="13" t="s">
        <v>324</v>
      </c>
      <c r="B302" s="37">
        <v>2800000</v>
      </c>
    </row>
    <row r="303" spans="1:2">
      <c r="A303" s="132" t="s">
        <v>156</v>
      </c>
      <c r="B303" s="80">
        <f>SUM(B298:B302)</f>
        <v>8760000</v>
      </c>
    </row>
    <row r="304" spans="1:2">
      <c r="A304" s="132"/>
      <c r="B304" s="80"/>
    </row>
    <row r="305" spans="1:2">
      <c r="A305" s="13" t="s">
        <v>165</v>
      </c>
      <c r="B305" s="79">
        <f>(B284+B285+B286+B288+B291+B292+B295+B296+B298+B299+B300+B301+B302+B289)*0.27+B294*0.05</f>
        <v>4555100</v>
      </c>
    </row>
    <row r="306" spans="1:2">
      <c r="A306" s="13" t="s">
        <v>164</v>
      </c>
      <c r="B306" s="79">
        <v>297000</v>
      </c>
    </row>
    <row r="307" spans="1:2">
      <c r="A307" s="13" t="s">
        <v>159</v>
      </c>
      <c r="B307" s="37">
        <v>1500000</v>
      </c>
    </row>
    <row r="308" spans="1:2">
      <c r="A308" s="38" t="s">
        <v>160</v>
      </c>
      <c r="B308" s="80">
        <f>SUM(B305:B307)</f>
        <v>6352100</v>
      </c>
    </row>
    <row r="309" spans="1:2">
      <c r="A309" s="38"/>
      <c r="B309" s="37"/>
    </row>
    <row r="310" spans="1:2">
      <c r="A310" s="41" t="s">
        <v>161</v>
      </c>
      <c r="B310" s="80">
        <f>B287+B290+B293+B297+B303+B308</f>
        <v>23622100</v>
      </c>
    </row>
    <row r="311" spans="1:2">
      <c r="A311" s="41"/>
      <c r="B311" s="39"/>
    </row>
    <row r="312" spans="1:2">
      <c r="A312" s="43" t="s">
        <v>21</v>
      </c>
      <c r="B312" s="42">
        <f>B277+B282+B310</f>
        <v>93906844</v>
      </c>
    </row>
    <row r="313" spans="1:2">
      <c r="A313" s="41"/>
      <c r="B313" s="180"/>
    </row>
    <row r="314" spans="1:2">
      <c r="A314" s="43"/>
      <c r="B314" s="42"/>
    </row>
    <row r="315" spans="1:2">
      <c r="A315" s="18" t="s">
        <v>139</v>
      </c>
      <c r="B315" s="95">
        <f>B214+B277</f>
        <v>64710912</v>
      </c>
    </row>
    <row r="316" spans="1:2">
      <c r="A316" s="18" t="s">
        <v>141</v>
      </c>
      <c r="B316" s="39">
        <f>B218+B282</f>
        <v>18106832</v>
      </c>
    </row>
    <row r="317" spans="1:2">
      <c r="A317" s="41" t="s">
        <v>187</v>
      </c>
      <c r="B317" s="39">
        <f>B236+B259+B310</f>
        <v>45118000</v>
      </c>
    </row>
    <row r="318" spans="1:2" ht="22.5">
      <c r="A318" s="105" t="s">
        <v>345</v>
      </c>
      <c r="B318" s="39">
        <f>SUM(B315:B317)</f>
        <v>127935744</v>
      </c>
    </row>
    <row r="319" spans="1:2">
      <c r="A319" s="105"/>
      <c r="B319" s="39"/>
    </row>
    <row r="320" spans="1:2">
      <c r="A320" s="218" t="s">
        <v>197</v>
      </c>
      <c r="B320" s="218"/>
    </row>
    <row r="321" spans="1:2">
      <c r="A321" s="7"/>
      <c r="B321" s="35"/>
    </row>
    <row r="322" spans="1:2">
      <c r="A322" s="236" t="s">
        <v>65</v>
      </c>
      <c r="B322" s="236"/>
    </row>
    <row r="323" spans="1:2">
      <c r="A323" s="18"/>
      <c r="B323" s="137"/>
    </row>
    <row r="324" spans="1:2">
      <c r="A324" s="224" t="s">
        <v>182</v>
      </c>
      <c r="B324" s="239"/>
    </row>
    <row r="325" spans="1:2">
      <c r="A325" s="16"/>
      <c r="B325" s="181"/>
    </row>
    <row r="326" spans="1:2">
      <c r="A326" s="16" t="s">
        <v>46</v>
      </c>
      <c r="B326" s="35">
        <v>6112000</v>
      </c>
    </row>
    <row r="327" spans="1:2">
      <c r="A327" s="61" t="s">
        <v>38</v>
      </c>
      <c r="B327" s="35">
        <v>122000</v>
      </c>
    </row>
    <row r="328" spans="1:2">
      <c r="A328" s="61" t="s">
        <v>0</v>
      </c>
      <c r="B328" s="35">
        <v>86000</v>
      </c>
    </row>
    <row r="329" spans="1:2">
      <c r="A329" s="18" t="s">
        <v>139</v>
      </c>
      <c r="B329" s="36">
        <f>SUM(B326:B328)</f>
        <v>6320000</v>
      </c>
    </row>
    <row r="330" spans="1:2">
      <c r="A330" s="18"/>
      <c r="B330" s="36"/>
    </row>
    <row r="331" spans="1:2">
      <c r="A331" s="16" t="s">
        <v>91</v>
      </c>
      <c r="B331" s="35">
        <v>1673000</v>
      </c>
    </row>
    <row r="332" spans="1:2">
      <c r="A332" s="16" t="s">
        <v>140</v>
      </c>
      <c r="B332" s="35">
        <v>39000</v>
      </c>
    </row>
    <row r="333" spans="1:2">
      <c r="A333" s="16" t="s">
        <v>37</v>
      </c>
      <c r="B333" s="35">
        <v>20000</v>
      </c>
    </row>
    <row r="334" spans="1:2">
      <c r="A334" s="16" t="s">
        <v>35</v>
      </c>
      <c r="B334" s="35">
        <v>22000</v>
      </c>
    </row>
    <row r="335" spans="1:2">
      <c r="A335" s="18" t="s">
        <v>141</v>
      </c>
      <c r="B335" s="36">
        <f>SUM(B331:B334)</f>
        <v>1754000</v>
      </c>
    </row>
    <row r="336" spans="1:2">
      <c r="A336" s="18"/>
      <c r="B336" s="36"/>
    </row>
    <row r="337" spans="1:2">
      <c r="A337" s="61" t="s">
        <v>144</v>
      </c>
      <c r="B337" s="94">
        <v>20000</v>
      </c>
    </row>
    <row r="338" spans="1:2">
      <c r="A338" s="13" t="s">
        <v>142</v>
      </c>
      <c r="B338" s="94">
        <v>5000</v>
      </c>
    </row>
    <row r="339" spans="1:2">
      <c r="A339" s="13" t="s">
        <v>145</v>
      </c>
      <c r="B339" s="79">
        <v>50000</v>
      </c>
    </row>
    <row r="340" spans="1:2">
      <c r="A340" s="38" t="s">
        <v>148</v>
      </c>
      <c r="B340" s="80">
        <f>SUM(B337:B339)</f>
        <v>75000</v>
      </c>
    </row>
    <row r="341" spans="1:2">
      <c r="A341" s="13" t="s">
        <v>198</v>
      </c>
      <c r="B341" s="37">
        <v>120000</v>
      </c>
    </row>
    <row r="342" spans="1:2">
      <c r="A342" s="13" t="s">
        <v>146</v>
      </c>
      <c r="B342" s="37">
        <v>5000</v>
      </c>
    </row>
    <row r="343" spans="1:2">
      <c r="A343" s="13" t="s">
        <v>199</v>
      </c>
      <c r="B343" s="37">
        <v>16000</v>
      </c>
    </row>
    <row r="344" spans="1:2">
      <c r="A344" s="13" t="s">
        <v>147</v>
      </c>
      <c r="B344" s="37">
        <v>70000</v>
      </c>
    </row>
    <row r="345" spans="1:2">
      <c r="A345" s="38" t="s">
        <v>149</v>
      </c>
      <c r="B345" s="80">
        <f>SUM(B341:B344)</f>
        <v>211000</v>
      </c>
    </row>
    <row r="346" spans="1:2">
      <c r="A346" s="89" t="s">
        <v>152</v>
      </c>
      <c r="B346" s="37">
        <v>244000</v>
      </c>
    </row>
    <row r="347" spans="1:2">
      <c r="A347" s="13" t="s">
        <v>151</v>
      </c>
      <c r="B347" s="79">
        <v>80000</v>
      </c>
    </row>
    <row r="348" spans="1:2">
      <c r="A348" s="132" t="s">
        <v>150</v>
      </c>
      <c r="B348" s="80">
        <f>SUM(B346:B347)</f>
        <v>324000</v>
      </c>
    </row>
    <row r="349" spans="1:2">
      <c r="A349" s="78" t="s">
        <v>245</v>
      </c>
      <c r="B349" s="79">
        <v>180000</v>
      </c>
    </row>
    <row r="350" spans="1:2">
      <c r="A350" s="13" t="s">
        <v>162</v>
      </c>
      <c r="B350" s="79">
        <v>182000</v>
      </c>
    </row>
    <row r="351" spans="1:2">
      <c r="A351" s="13" t="s">
        <v>163</v>
      </c>
      <c r="B351" s="79">
        <v>110000</v>
      </c>
    </row>
    <row r="352" spans="1:2">
      <c r="A352" s="13" t="s">
        <v>220</v>
      </c>
      <c r="B352" s="79">
        <v>40000</v>
      </c>
    </row>
    <row r="353" spans="1:2">
      <c r="A353" s="132" t="s">
        <v>153</v>
      </c>
      <c r="B353" s="80">
        <f>SUM(B349:B352)</f>
        <v>512000</v>
      </c>
    </row>
    <row r="354" spans="1:2">
      <c r="A354" s="13" t="s">
        <v>171</v>
      </c>
      <c r="B354" s="79"/>
    </row>
    <row r="355" spans="1:2">
      <c r="A355" s="13" t="s">
        <v>166</v>
      </c>
      <c r="B355" s="79">
        <v>80000</v>
      </c>
    </row>
    <row r="356" spans="1:2">
      <c r="A356" s="13" t="s">
        <v>76</v>
      </c>
      <c r="B356" s="79">
        <v>2500000</v>
      </c>
    </row>
    <row r="357" spans="1:2">
      <c r="A357" s="13" t="s">
        <v>158</v>
      </c>
      <c r="B357" s="79">
        <v>350000</v>
      </c>
    </row>
    <row r="358" spans="1:2">
      <c r="A358" s="132" t="s">
        <v>156</v>
      </c>
      <c r="B358" s="80">
        <f>SUM(B354:B357)</f>
        <v>2930000</v>
      </c>
    </row>
    <row r="359" spans="1:2">
      <c r="A359" s="132"/>
      <c r="B359" s="80"/>
    </row>
    <row r="360" spans="1:2">
      <c r="A360" s="13" t="s">
        <v>165</v>
      </c>
      <c r="B360" s="79">
        <f>(B337+B338+B339+B341+B342+B343+B344+B346+B347+B350+B351+B352+B355+B357+B354+B356)*0.27+B349*0.05</f>
        <v>1054440</v>
      </c>
    </row>
    <row r="361" spans="1:2">
      <c r="A361" s="38" t="s">
        <v>160</v>
      </c>
      <c r="B361" s="80">
        <f>SUM(B360:B360)</f>
        <v>1054440</v>
      </c>
    </row>
    <row r="362" spans="1:2">
      <c r="A362" s="38"/>
      <c r="B362" s="37"/>
    </row>
    <row r="363" spans="1:2">
      <c r="A363" s="41" t="s">
        <v>161</v>
      </c>
      <c r="B363" s="80">
        <f>B340+B345+B348+B353+B358+B361</f>
        <v>5106440</v>
      </c>
    </row>
    <row r="364" spans="1:2">
      <c r="A364" s="41"/>
      <c r="B364" s="39"/>
    </row>
    <row r="365" spans="1:2">
      <c r="A365" s="43" t="s">
        <v>21</v>
      </c>
      <c r="B365" s="39">
        <f>B329+B335+B363</f>
        <v>13180440</v>
      </c>
    </row>
    <row r="366" spans="1:2">
      <c r="A366" s="43"/>
      <c r="B366" s="36"/>
    </row>
    <row r="367" spans="1:2">
      <c r="A367" s="224" t="s">
        <v>63</v>
      </c>
      <c r="B367" s="225"/>
    </row>
    <row r="368" spans="1:2">
      <c r="A368" s="16"/>
      <c r="B368" s="81"/>
    </row>
    <row r="369" spans="1:2">
      <c r="A369" s="16" t="s">
        <v>45</v>
      </c>
      <c r="B369" s="172">
        <v>2153000</v>
      </c>
    </row>
    <row r="370" spans="1:2">
      <c r="A370" s="61" t="s">
        <v>38</v>
      </c>
      <c r="B370" s="172">
        <v>43000</v>
      </c>
    </row>
    <row r="371" spans="1:2">
      <c r="A371" s="61" t="s">
        <v>0</v>
      </c>
      <c r="B371" s="172">
        <v>18000</v>
      </c>
    </row>
    <row r="372" spans="1:2">
      <c r="A372" s="18" t="s">
        <v>139</v>
      </c>
      <c r="B372" s="184">
        <f>SUM(B369:B371)</f>
        <v>2214000</v>
      </c>
    </row>
    <row r="373" spans="1:2">
      <c r="A373" s="18"/>
      <c r="B373" s="184"/>
    </row>
    <row r="374" spans="1:2">
      <c r="A374" s="16" t="s">
        <v>91</v>
      </c>
      <c r="B374" s="172">
        <v>586000</v>
      </c>
    </row>
    <row r="375" spans="1:2">
      <c r="A375" s="16" t="s">
        <v>140</v>
      </c>
      <c r="B375" s="172">
        <v>14000</v>
      </c>
    </row>
    <row r="376" spans="1:2">
      <c r="A376" s="16" t="s">
        <v>37</v>
      </c>
      <c r="B376" s="172">
        <v>10000</v>
      </c>
    </row>
    <row r="377" spans="1:2">
      <c r="A377" s="16" t="s">
        <v>35</v>
      </c>
      <c r="B377" s="172">
        <v>8000</v>
      </c>
    </row>
    <row r="378" spans="1:2">
      <c r="A378" s="18" t="s">
        <v>141</v>
      </c>
      <c r="B378" s="184">
        <f>SUM(B374:B377)</f>
        <v>618000</v>
      </c>
    </row>
    <row r="379" spans="1:2">
      <c r="A379" s="18"/>
      <c r="B379" s="92"/>
    </row>
    <row r="380" spans="1:2">
      <c r="A380" s="13" t="s">
        <v>199</v>
      </c>
      <c r="B380" s="172">
        <v>8000</v>
      </c>
    </row>
    <row r="381" spans="1:2">
      <c r="A381" s="38" t="s">
        <v>149</v>
      </c>
      <c r="B381" s="92">
        <f>B380</f>
        <v>8000</v>
      </c>
    </row>
    <row r="382" spans="1:2">
      <c r="A382" s="13" t="s">
        <v>165</v>
      </c>
      <c r="B382" s="172">
        <f>B380*0.27</f>
        <v>2160</v>
      </c>
    </row>
    <row r="383" spans="1:2">
      <c r="A383" s="38" t="s">
        <v>160</v>
      </c>
      <c r="B383" s="92">
        <f>B382</f>
        <v>2160</v>
      </c>
    </row>
    <row r="384" spans="1:2">
      <c r="A384" s="41" t="s">
        <v>161</v>
      </c>
      <c r="B384" s="92">
        <f>B381+B383</f>
        <v>10160</v>
      </c>
    </row>
    <row r="385" spans="1:2">
      <c r="A385" s="43"/>
      <c r="B385" s="36"/>
    </row>
    <row r="386" spans="1:2">
      <c r="A386" s="43" t="s">
        <v>21</v>
      </c>
      <c r="B386" s="36">
        <f>B372+B378+B384</f>
        <v>2842160</v>
      </c>
    </row>
    <row r="387" spans="1:2">
      <c r="A387" s="43"/>
      <c r="B387" s="36"/>
    </row>
    <row r="388" spans="1:2">
      <c r="A388" s="43"/>
      <c r="B388" s="36"/>
    </row>
    <row r="389" spans="1:2">
      <c r="A389" s="43"/>
      <c r="B389" s="36"/>
    </row>
    <row r="390" spans="1:2">
      <c r="A390" s="43"/>
      <c r="B390" s="36"/>
    </row>
    <row r="391" spans="1:2">
      <c r="A391" s="43"/>
      <c r="B391" s="36"/>
    </row>
    <row r="392" spans="1:2">
      <c r="A392" s="224" t="s">
        <v>183</v>
      </c>
      <c r="B392" s="225"/>
    </row>
    <row r="393" spans="1:2">
      <c r="A393" s="16"/>
      <c r="B393" s="35"/>
    </row>
    <row r="394" spans="1:2">
      <c r="A394" s="16" t="s">
        <v>26</v>
      </c>
      <c r="B394" s="35">
        <v>11706000</v>
      </c>
    </row>
    <row r="395" spans="1:2">
      <c r="A395" s="61" t="s">
        <v>38</v>
      </c>
      <c r="B395" s="35">
        <v>237000</v>
      </c>
    </row>
    <row r="396" spans="1:2">
      <c r="A396" s="61" t="s">
        <v>1</v>
      </c>
      <c r="B396" s="94">
        <v>138000</v>
      </c>
    </row>
    <row r="397" spans="1:2">
      <c r="A397" s="61" t="s">
        <v>40</v>
      </c>
      <c r="B397" s="94">
        <v>480000</v>
      </c>
    </row>
    <row r="398" spans="1:2">
      <c r="A398" s="61" t="s">
        <v>42</v>
      </c>
      <c r="B398" s="94">
        <v>10000</v>
      </c>
    </row>
    <row r="399" spans="1:2">
      <c r="A399" s="18" t="s">
        <v>139</v>
      </c>
      <c r="B399" s="12">
        <f>SUM(B394:B398)</f>
        <v>12571000</v>
      </c>
    </row>
    <row r="400" spans="1:2">
      <c r="A400" s="18"/>
      <c r="B400" s="35"/>
    </row>
    <row r="401" spans="1:2">
      <c r="A401" s="16" t="s">
        <v>91</v>
      </c>
      <c r="B401" s="94">
        <v>3198000</v>
      </c>
    </row>
    <row r="402" spans="1:2">
      <c r="A402" s="16" t="s">
        <v>140</v>
      </c>
      <c r="B402" s="94">
        <v>79000</v>
      </c>
    </row>
    <row r="403" spans="1:2">
      <c r="A403" s="16" t="s">
        <v>37</v>
      </c>
      <c r="B403" s="94">
        <v>20000</v>
      </c>
    </row>
    <row r="404" spans="1:2">
      <c r="A404" s="16" t="s">
        <v>35</v>
      </c>
      <c r="B404" s="94">
        <v>44000</v>
      </c>
    </row>
    <row r="405" spans="1:2">
      <c r="A405" s="18" t="s">
        <v>141</v>
      </c>
      <c r="B405" s="36">
        <f>SUM(B401:B404)</f>
        <v>3341000</v>
      </c>
    </row>
    <row r="406" spans="1:2">
      <c r="A406" s="18"/>
      <c r="B406" s="36"/>
    </row>
    <row r="407" spans="1:2">
      <c r="A407" s="61" t="s">
        <v>144</v>
      </c>
      <c r="B407" s="94">
        <v>10000</v>
      </c>
    </row>
    <row r="408" spans="1:2">
      <c r="A408" s="13" t="s">
        <v>143</v>
      </c>
      <c r="B408" s="94">
        <v>40000</v>
      </c>
    </row>
    <row r="409" spans="1:2">
      <c r="A409" s="13" t="s">
        <v>145</v>
      </c>
      <c r="B409" s="37">
        <v>40000</v>
      </c>
    </row>
    <row r="410" spans="1:2">
      <c r="A410" s="38" t="s">
        <v>148</v>
      </c>
      <c r="B410" s="80">
        <f>SUM(B407:B409)</f>
        <v>90000</v>
      </c>
    </row>
    <row r="411" spans="1:2">
      <c r="A411" s="13" t="s">
        <v>198</v>
      </c>
      <c r="B411" s="37">
        <v>40000</v>
      </c>
    </row>
    <row r="412" spans="1:2">
      <c r="A412" s="13" t="s">
        <v>146</v>
      </c>
      <c r="B412" s="79">
        <v>10000</v>
      </c>
    </row>
    <row r="413" spans="1:2">
      <c r="A413" s="13" t="s">
        <v>199</v>
      </c>
      <c r="B413" s="37">
        <v>56000</v>
      </c>
    </row>
    <row r="414" spans="1:2">
      <c r="A414" s="13" t="s">
        <v>147</v>
      </c>
      <c r="B414" s="37">
        <v>100000</v>
      </c>
    </row>
    <row r="415" spans="1:2">
      <c r="A415" s="38" t="s">
        <v>149</v>
      </c>
      <c r="B415" s="80">
        <f>SUM(B411:B414)</f>
        <v>206000</v>
      </c>
    </row>
    <row r="416" spans="1:2">
      <c r="A416" s="89" t="s">
        <v>152</v>
      </c>
      <c r="B416" s="37">
        <v>95000</v>
      </c>
    </row>
    <row r="417" spans="1:2">
      <c r="A417" s="13" t="s">
        <v>151</v>
      </c>
      <c r="B417" s="37">
        <v>60000</v>
      </c>
    </row>
    <row r="418" spans="1:2">
      <c r="A418" s="132" t="s">
        <v>150</v>
      </c>
      <c r="B418" s="80">
        <f>SUM(B416:B417)</f>
        <v>155000</v>
      </c>
    </row>
    <row r="419" spans="1:2">
      <c r="A419" s="13" t="s">
        <v>162</v>
      </c>
      <c r="B419" s="79">
        <v>560000</v>
      </c>
    </row>
    <row r="420" spans="1:2">
      <c r="A420" s="13" t="s">
        <v>163</v>
      </c>
      <c r="B420" s="79">
        <v>90000</v>
      </c>
    </row>
    <row r="421" spans="1:2">
      <c r="A421" s="13" t="s">
        <v>220</v>
      </c>
      <c r="B421" s="79">
        <v>170000</v>
      </c>
    </row>
    <row r="422" spans="1:2">
      <c r="A422" s="132" t="s">
        <v>153</v>
      </c>
      <c r="B422" s="80">
        <f>SUM(B419:B421)</f>
        <v>820000</v>
      </c>
    </row>
    <row r="423" spans="1:2">
      <c r="A423" s="13" t="s">
        <v>166</v>
      </c>
      <c r="B423" s="79">
        <v>130000</v>
      </c>
    </row>
    <row r="424" spans="1:2">
      <c r="A424" s="13" t="s">
        <v>154</v>
      </c>
      <c r="B424" s="79">
        <v>60000</v>
      </c>
    </row>
    <row r="425" spans="1:2">
      <c r="A425" s="13" t="s">
        <v>158</v>
      </c>
      <c r="B425" s="37">
        <v>100000</v>
      </c>
    </row>
    <row r="426" spans="1:2">
      <c r="A426" s="132" t="s">
        <v>156</v>
      </c>
      <c r="B426" s="80">
        <f>SUM(B423:B425)</f>
        <v>290000</v>
      </c>
    </row>
    <row r="427" spans="1:2">
      <c r="A427" s="13" t="s">
        <v>165</v>
      </c>
      <c r="B427" s="79">
        <f>(B407+B408+B411+B412+B413+B414+B416+B417+B419+B420+B421+B423+B425+B409+B424)*0.27</f>
        <v>421470</v>
      </c>
    </row>
    <row r="428" spans="1:2">
      <c r="A428" s="38" t="s">
        <v>160</v>
      </c>
      <c r="B428" s="80">
        <f>SUM(B427:B427)</f>
        <v>421470</v>
      </c>
    </row>
    <row r="429" spans="1:2">
      <c r="A429" s="41" t="s">
        <v>161</v>
      </c>
      <c r="B429" s="80">
        <f>B410+B415+B418+B422+B426+B428</f>
        <v>1982470</v>
      </c>
    </row>
    <row r="430" spans="1:2">
      <c r="A430" s="41"/>
      <c r="B430" s="79"/>
    </row>
    <row r="431" spans="1:2">
      <c r="A431" s="43" t="s">
        <v>21</v>
      </c>
      <c r="B431" s="80">
        <f>B399+B405+B429</f>
        <v>17894470</v>
      </c>
    </row>
    <row r="432" spans="1:2">
      <c r="A432" s="43"/>
      <c r="B432" s="80"/>
    </row>
    <row r="433" spans="1:2">
      <c r="A433" s="224" t="s">
        <v>184</v>
      </c>
      <c r="B433" s="225"/>
    </row>
    <row r="434" spans="1:2">
      <c r="A434" s="16"/>
      <c r="B434" s="35"/>
    </row>
    <row r="435" spans="1:2">
      <c r="A435" s="16" t="s">
        <v>298</v>
      </c>
      <c r="B435" s="35">
        <v>19445000</v>
      </c>
    </row>
    <row r="436" spans="1:2">
      <c r="A436" s="61" t="s">
        <v>38</v>
      </c>
      <c r="B436" s="35">
        <v>401000</v>
      </c>
    </row>
    <row r="437" spans="1:2">
      <c r="A437" s="61" t="s">
        <v>1</v>
      </c>
      <c r="B437" s="35">
        <v>198000</v>
      </c>
    </row>
    <row r="438" spans="1:2">
      <c r="A438" s="61" t="s">
        <v>32</v>
      </c>
      <c r="B438" s="35">
        <v>20000</v>
      </c>
    </row>
    <row r="439" spans="1:2">
      <c r="A439" s="61" t="s">
        <v>42</v>
      </c>
      <c r="B439" s="35">
        <v>6000</v>
      </c>
    </row>
    <row r="440" spans="1:2">
      <c r="A440" s="18" t="s">
        <v>139</v>
      </c>
      <c r="B440" s="36">
        <f>SUM(B435:B439)</f>
        <v>20070000</v>
      </c>
    </row>
    <row r="441" spans="1:2">
      <c r="A441" s="18"/>
      <c r="B441" s="36"/>
    </row>
    <row r="442" spans="1:2">
      <c r="A442" s="16" t="s">
        <v>91</v>
      </c>
      <c r="B442" s="35">
        <v>5309000</v>
      </c>
    </row>
    <row r="443" spans="1:2">
      <c r="A443" s="16" t="s">
        <v>140</v>
      </c>
      <c r="B443" s="35">
        <v>131000</v>
      </c>
    </row>
    <row r="444" spans="1:2">
      <c r="A444" s="16" t="s">
        <v>274</v>
      </c>
      <c r="B444" s="35">
        <v>20000</v>
      </c>
    </row>
    <row r="445" spans="1:2">
      <c r="A445" s="16" t="s">
        <v>35</v>
      </c>
      <c r="B445" s="35">
        <v>73000</v>
      </c>
    </row>
    <row r="446" spans="1:2">
      <c r="A446" s="18" t="s">
        <v>141</v>
      </c>
      <c r="B446" s="36">
        <f>SUM(B442:B445)</f>
        <v>5533000</v>
      </c>
    </row>
    <row r="447" spans="1:2">
      <c r="A447" s="18"/>
      <c r="B447" s="36"/>
    </row>
    <row r="448" spans="1:2">
      <c r="A448" s="61" t="s">
        <v>144</v>
      </c>
      <c r="B448" s="94">
        <v>10000</v>
      </c>
    </row>
    <row r="449" spans="1:2">
      <c r="A449" s="13" t="s">
        <v>145</v>
      </c>
      <c r="B449" s="79">
        <v>75000</v>
      </c>
    </row>
    <row r="450" spans="1:2">
      <c r="A450" s="38" t="s">
        <v>148</v>
      </c>
      <c r="B450" s="80">
        <f>SUM(B448:B449)</f>
        <v>85000</v>
      </c>
    </row>
    <row r="451" spans="1:2">
      <c r="A451" s="13" t="s">
        <v>198</v>
      </c>
      <c r="B451" s="37">
        <v>60000</v>
      </c>
    </row>
    <row r="452" spans="1:2">
      <c r="A452" s="13" t="s">
        <v>146</v>
      </c>
      <c r="B452" s="79">
        <v>15000</v>
      </c>
    </row>
    <row r="453" spans="1:2">
      <c r="A453" s="13" t="s">
        <v>199</v>
      </c>
      <c r="B453" s="79">
        <v>88000</v>
      </c>
    </row>
    <row r="454" spans="1:2">
      <c r="A454" s="13" t="s">
        <v>147</v>
      </c>
      <c r="B454" s="37">
        <v>90000</v>
      </c>
    </row>
    <row r="455" spans="1:2">
      <c r="A455" s="38" t="s">
        <v>149</v>
      </c>
      <c r="B455" s="80">
        <f>SUM(B451:B454)</f>
        <v>253000</v>
      </c>
    </row>
    <row r="456" spans="1:2">
      <c r="A456" s="89" t="s">
        <v>152</v>
      </c>
      <c r="B456" s="37">
        <v>50000</v>
      </c>
    </row>
    <row r="457" spans="1:2">
      <c r="A457" s="13" t="s">
        <v>151</v>
      </c>
      <c r="B457" s="37">
        <v>95000</v>
      </c>
    </row>
    <row r="458" spans="1:2">
      <c r="A458" s="132" t="s">
        <v>150</v>
      </c>
      <c r="B458" s="80">
        <f>SUM(B456:B457)</f>
        <v>145000</v>
      </c>
    </row>
    <row r="459" spans="1:2">
      <c r="A459" s="13" t="s">
        <v>162</v>
      </c>
      <c r="B459" s="79">
        <v>340000</v>
      </c>
    </row>
    <row r="460" spans="1:2">
      <c r="A460" s="13" t="s">
        <v>163</v>
      </c>
      <c r="B460" s="79">
        <v>120000</v>
      </c>
    </row>
    <row r="461" spans="1:2">
      <c r="A461" s="13" t="s">
        <v>220</v>
      </c>
      <c r="B461" s="79">
        <v>120000</v>
      </c>
    </row>
    <row r="462" spans="1:2">
      <c r="A462" s="132" t="s">
        <v>153</v>
      </c>
      <c r="B462" s="80">
        <f>SUM(B459:B461)</f>
        <v>580000</v>
      </c>
    </row>
    <row r="463" spans="1:2">
      <c r="A463" s="13" t="s">
        <v>166</v>
      </c>
      <c r="B463" s="79">
        <v>120000</v>
      </c>
    </row>
    <row r="464" spans="1:2">
      <c r="A464" s="13" t="s">
        <v>158</v>
      </c>
      <c r="B464" s="37">
        <v>60000</v>
      </c>
    </row>
    <row r="465" spans="1:2">
      <c r="A465" s="132" t="s">
        <v>156</v>
      </c>
      <c r="B465" s="80">
        <f>SUM(B463:B464)</f>
        <v>180000</v>
      </c>
    </row>
    <row r="466" spans="1:2">
      <c r="A466" s="13" t="s">
        <v>165</v>
      </c>
      <c r="B466" s="79">
        <f>(B448+B449+B452+B453+B456+B457+B459+B460+B461+B463+B451+B454+B464)*0.27</f>
        <v>335610</v>
      </c>
    </row>
    <row r="467" spans="1:2">
      <c r="A467" s="38" t="s">
        <v>160</v>
      </c>
      <c r="B467" s="80">
        <f>SUM(B466:B466)</f>
        <v>335610</v>
      </c>
    </row>
    <row r="468" spans="1:2">
      <c r="A468" s="38"/>
      <c r="B468" s="37"/>
    </row>
    <row r="469" spans="1:2">
      <c r="A469" s="41" t="s">
        <v>161</v>
      </c>
      <c r="B469" s="80">
        <f>B450+B455+B458+B462+B465+B467</f>
        <v>1578610</v>
      </c>
    </row>
    <row r="470" spans="1:2">
      <c r="A470" s="41"/>
      <c r="B470" s="39"/>
    </row>
    <row r="471" spans="1:2">
      <c r="A471" s="43" t="s">
        <v>21</v>
      </c>
      <c r="B471" s="36">
        <f>B440+B446+B469</f>
        <v>27181610</v>
      </c>
    </row>
    <row r="472" spans="1:2">
      <c r="A472" s="43"/>
      <c r="B472" s="39"/>
    </row>
    <row r="473" spans="1:2">
      <c r="A473" s="237" t="s">
        <v>262</v>
      </c>
      <c r="B473" s="238"/>
    </row>
    <row r="474" spans="1:2">
      <c r="A474" s="52"/>
      <c r="B474" s="36"/>
    </row>
    <row r="475" spans="1:2">
      <c r="A475" s="16" t="s">
        <v>299</v>
      </c>
      <c r="B475" s="35">
        <v>5592000</v>
      </c>
    </row>
    <row r="476" spans="1:2">
      <c r="A476" s="61" t="s">
        <v>38</v>
      </c>
      <c r="B476" s="35">
        <v>76000</v>
      </c>
    </row>
    <row r="477" spans="1:2">
      <c r="A477" s="61" t="s">
        <v>1</v>
      </c>
      <c r="B477" s="35">
        <v>84000</v>
      </c>
    </row>
    <row r="478" spans="1:2">
      <c r="A478" s="61" t="s">
        <v>42</v>
      </c>
      <c r="B478" s="35">
        <v>6000</v>
      </c>
    </row>
    <row r="479" spans="1:2">
      <c r="A479" s="18" t="s">
        <v>139</v>
      </c>
      <c r="B479" s="36">
        <f>SUM(B475:B478)</f>
        <v>5758000</v>
      </c>
    </row>
    <row r="480" spans="1:2">
      <c r="A480" s="18"/>
      <c r="B480" s="36"/>
    </row>
    <row r="481" spans="1:2">
      <c r="A481" s="16" t="s">
        <v>91</v>
      </c>
      <c r="B481" s="35">
        <v>1533000</v>
      </c>
    </row>
    <row r="482" spans="1:2">
      <c r="A482" s="16" t="s">
        <v>140</v>
      </c>
      <c r="B482" s="35">
        <v>26000</v>
      </c>
    </row>
    <row r="483" spans="1:2">
      <c r="A483" s="16" t="s">
        <v>37</v>
      </c>
      <c r="B483" s="35">
        <v>10000</v>
      </c>
    </row>
    <row r="484" spans="1:2">
      <c r="A484" s="16" t="s">
        <v>35</v>
      </c>
      <c r="B484" s="35">
        <v>15000</v>
      </c>
    </row>
    <row r="485" spans="1:2">
      <c r="A485" s="18" t="s">
        <v>141</v>
      </c>
      <c r="B485" s="36">
        <f>SUM(B481:B484)</f>
        <v>1584000</v>
      </c>
    </row>
    <row r="486" spans="1:2">
      <c r="A486" s="18"/>
      <c r="B486" s="36"/>
    </row>
    <row r="487" spans="1:2">
      <c r="A487" s="13" t="s">
        <v>145</v>
      </c>
      <c r="B487" s="37">
        <v>20000</v>
      </c>
    </row>
    <row r="488" spans="1:2">
      <c r="A488" s="38" t="s">
        <v>148</v>
      </c>
      <c r="B488" s="80">
        <f>SUM(B487:B487)</f>
        <v>20000</v>
      </c>
    </row>
    <row r="489" spans="1:2">
      <c r="A489" s="13" t="s">
        <v>198</v>
      </c>
      <c r="B489" s="79">
        <v>120000</v>
      </c>
    </row>
    <row r="490" spans="1:2">
      <c r="A490" s="13" t="s">
        <v>199</v>
      </c>
      <c r="B490" s="79">
        <v>24000</v>
      </c>
    </row>
    <row r="491" spans="1:2">
      <c r="A491" s="13" t="s">
        <v>147</v>
      </c>
      <c r="B491" s="37">
        <v>50000</v>
      </c>
    </row>
    <row r="492" spans="1:2">
      <c r="A492" s="38" t="s">
        <v>149</v>
      </c>
      <c r="B492" s="80">
        <f>SUM(B489:B491)</f>
        <v>194000</v>
      </c>
    </row>
    <row r="493" spans="1:2">
      <c r="A493" s="89" t="s">
        <v>152</v>
      </c>
      <c r="B493" s="37">
        <v>210000</v>
      </c>
    </row>
    <row r="494" spans="1:2">
      <c r="A494" s="13" t="s">
        <v>151</v>
      </c>
      <c r="B494" s="37">
        <v>100000</v>
      </c>
    </row>
    <row r="495" spans="1:2">
      <c r="A495" s="132" t="s">
        <v>150</v>
      </c>
      <c r="B495" s="80">
        <f>SUM(B493:B494)</f>
        <v>310000</v>
      </c>
    </row>
    <row r="496" spans="1:2">
      <c r="A496" s="78" t="s">
        <v>245</v>
      </c>
      <c r="B496" s="79">
        <v>90000</v>
      </c>
    </row>
    <row r="497" spans="1:2">
      <c r="A497" s="13" t="s">
        <v>162</v>
      </c>
      <c r="B497" s="79">
        <v>180000</v>
      </c>
    </row>
    <row r="498" spans="1:2">
      <c r="A498" s="13" t="s">
        <v>163</v>
      </c>
      <c r="B498" s="79">
        <v>55000</v>
      </c>
    </row>
    <row r="499" spans="1:2">
      <c r="A499" s="13" t="s">
        <v>220</v>
      </c>
      <c r="B499" s="79">
        <v>40000</v>
      </c>
    </row>
    <row r="500" spans="1:2">
      <c r="A500" s="132" t="s">
        <v>153</v>
      </c>
      <c r="B500" s="80">
        <f>SUM(B496:B499)</f>
        <v>365000</v>
      </c>
    </row>
    <row r="501" spans="1:2">
      <c r="A501" s="13" t="s">
        <v>166</v>
      </c>
      <c r="B501" s="79">
        <v>100000</v>
      </c>
    </row>
    <row r="502" spans="1:2">
      <c r="A502" s="13" t="s">
        <v>158</v>
      </c>
      <c r="B502" s="79">
        <v>80000</v>
      </c>
    </row>
    <row r="503" spans="1:2">
      <c r="A503" s="132" t="s">
        <v>156</v>
      </c>
      <c r="B503" s="80">
        <f>SUM(B501:B502)</f>
        <v>180000</v>
      </c>
    </row>
    <row r="504" spans="1:2">
      <c r="A504" s="13" t="s">
        <v>155</v>
      </c>
      <c r="B504" s="37">
        <v>30000</v>
      </c>
    </row>
    <row r="505" spans="1:2">
      <c r="A505" s="132" t="s">
        <v>157</v>
      </c>
      <c r="B505" s="80">
        <f>SUM(B504:B504)</f>
        <v>30000</v>
      </c>
    </row>
    <row r="506" spans="1:2">
      <c r="A506" s="13" t="s">
        <v>165</v>
      </c>
      <c r="B506" s="79">
        <f>(B487+B490+B493+B494+B497+B498+B499+B501+B504+B502+B491+B489)*0.27+B496*0.05</f>
        <v>276930</v>
      </c>
    </row>
    <row r="507" spans="1:2">
      <c r="A507" s="38" t="s">
        <v>160</v>
      </c>
      <c r="B507" s="80">
        <f>SUM(B506:B506)</f>
        <v>276930</v>
      </c>
    </row>
    <row r="508" spans="1:2">
      <c r="A508" s="38"/>
      <c r="B508" s="37"/>
    </row>
    <row r="509" spans="1:2">
      <c r="A509" s="41" t="s">
        <v>161</v>
      </c>
      <c r="B509" s="80">
        <f>B488+B492+B495+B500+B503+B505+B507</f>
        <v>1375930</v>
      </c>
    </row>
    <row r="510" spans="1:2">
      <c r="A510" s="41"/>
      <c r="B510" s="36"/>
    </row>
    <row r="511" spans="1:2">
      <c r="A511" s="43" t="s">
        <v>21</v>
      </c>
      <c r="B511" s="36">
        <f>B479+B485+B509</f>
        <v>8717930</v>
      </c>
    </row>
    <row r="512" spans="1:2">
      <c r="A512" s="43"/>
      <c r="B512" s="36"/>
    </row>
    <row r="513" spans="1:2">
      <c r="A513" s="43"/>
      <c r="B513" s="36"/>
    </row>
    <row r="514" spans="1:2">
      <c r="A514" s="224" t="s">
        <v>185</v>
      </c>
      <c r="B514" s="225"/>
    </row>
    <row r="515" spans="1:2">
      <c r="A515" s="52"/>
      <c r="B515" s="52"/>
    </row>
    <row r="516" spans="1:2">
      <c r="A516" s="16" t="s">
        <v>45</v>
      </c>
      <c r="B516" s="94">
        <v>1862000</v>
      </c>
    </row>
    <row r="517" spans="1:2">
      <c r="A517" s="61" t="s">
        <v>38</v>
      </c>
      <c r="B517" s="94">
        <v>32000</v>
      </c>
    </row>
    <row r="518" spans="1:2">
      <c r="A518" s="61" t="s">
        <v>1</v>
      </c>
      <c r="B518" s="94">
        <v>18000</v>
      </c>
    </row>
    <row r="519" spans="1:2">
      <c r="A519" s="18" t="s">
        <v>139</v>
      </c>
      <c r="B519" s="95">
        <f>SUM(B516:B518)</f>
        <v>1912000</v>
      </c>
    </row>
    <row r="520" spans="1:2">
      <c r="A520" s="18"/>
      <c r="B520" s="94"/>
    </row>
    <row r="521" spans="1:2">
      <c r="A521" s="16" t="s">
        <v>91</v>
      </c>
      <c r="B521" s="94">
        <v>508000</v>
      </c>
    </row>
    <row r="522" spans="1:2">
      <c r="A522" s="16" t="s">
        <v>140</v>
      </c>
      <c r="B522" s="94">
        <v>10000</v>
      </c>
    </row>
    <row r="523" spans="1:2">
      <c r="A523" s="16" t="s">
        <v>35</v>
      </c>
      <c r="B523" s="94">
        <v>6000</v>
      </c>
    </row>
    <row r="524" spans="1:2">
      <c r="A524" s="18" t="s">
        <v>141</v>
      </c>
      <c r="B524" s="95">
        <f>SUM(B521:B523)</f>
        <v>524000</v>
      </c>
    </row>
    <row r="525" spans="1:2">
      <c r="A525" s="18"/>
      <c r="B525" s="95"/>
    </row>
    <row r="526" spans="1:2">
      <c r="A526" s="78" t="s">
        <v>202</v>
      </c>
      <c r="B526" s="37">
        <v>13441000</v>
      </c>
    </row>
    <row r="527" spans="1:2">
      <c r="A527" s="13" t="s">
        <v>199</v>
      </c>
      <c r="B527" s="37">
        <v>8000</v>
      </c>
    </row>
    <row r="528" spans="1:2">
      <c r="A528" s="13" t="s">
        <v>165</v>
      </c>
      <c r="B528" s="37">
        <f>(B526+B527)*0.27</f>
        <v>3631230.0000000005</v>
      </c>
    </row>
    <row r="529" spans="1:2">
      <c r="A529" s="132" t="s">
        <v>156</v>
      </c>
      <c r="B529" s="39">
        <f>B526+B527+B528</f>
        <v>17080230</v>
      </c>
    </row>
    <row r="530" spans="1:2">
      <c r="A530" s="40"/>
      <c r="B530" s="39"/>
    </row>
    <row r="531" spans="1:2">
      <c r="A531" s="41" t="s">
        <v>161</v>
      </c>
      <c r="B531" s="39">
        <f>B529</f>
        <v>17080230</v>
      </c>
    </row>
    <row r="532" spans="1:2">
      <c r="A532" s="41"/>
      <c r="B532" s="39"/>
    </row>
    <row r="533" spans="1:2">
      <c r="A533" s="43" t="s">
        <v>21</v>
      </c>
      <c r="B533" s="36">
        <f>B519+B524+B529</f>
        <v>19516230</v>
      </c>
    </row>
    <row r="534" spans="1:2">
      <c r="A534" s="43"/>
      <c r="B534" s="36"/>
    </row>
    <row r="535" spans="1:2">
      <c r="A535" s="232" t="s">
        <v>219</v>
      </c>
      <c r="B535" s="232"/>
    </row>
    <row r="536" spans="1:2">
      <c r="A536" s="43"/>
      <c r="B536" s="36"/>
    </row>
    <row r="537" spans="1:2">
      <c r="A537" s="224" t="s">
        <v>225</v>
      </c>
      <c r="B537" s="225"/>
    </row>
    <row r="538" spans="1:2">
      <c r="A538" s="16" t="s">
        <v>47</v>
      </c>
      <c r="B538" s="35">
        <v>18336000</v>
      </c>
    </row>
    <row r="539" spans="1:2">
      <c r="A539" s="61" t="s">
        <v>38</v>
      </c>
      <c r="B539" s="35">
        <v>275000</v>
      </c>
    </row>
    <row r="540" spans="1:2">
      <c r="A540" s="61" t="s">
        <v>170</v>
      </c>
      <c r="B540" s="35">
        <v>645000</v>
      </c>
    </row>
    <row r="541" spans="1:2">
      <c r="A541" s="61" t="s">
        <v>1</v>
      </c>
      <c r="B541" s="94">
        <v>144000</v>
      </c>
    </row>
    <row r="542" spans="1:2">
      <c r="A542" s="18" t="s">
        <v>139</v>
      </c>
      <c r="B542" s="95">
        <f>SUM(B538:B541)</f>
        <v>19400000</v>
      </c>
    </row>
    <row r="543" spans="1:2">
      <c r="A543" s="18"/>
      <c r="B543" s="36"/>
    </row>
    <row r="544" spans="1:2">
      <c r="A544" s="16" t="s">
        <v>91</v>
      </c>
      <c r="B544" s="94">
        <v>5164000</v>
      </c>
    </row>
    <row r="545" spans="1:2">
      <c r="A545" s="16" t="s">
        <v>140</v>
      </c>
      <c r="B545" s="94">
        <v>88000</v>
      </c>
    </row>
    <row r="546" spans="1:2">
      <c r="A546" s="16" t="s">
        <v>37</v>
      </c>
      <c r="B546" s="94">
        <v>30000</v>
      </c>
    </row>
    <row r="547" spans="1:2">
      <c r="A547" s="16" t="s">
        <v>35</v>
      </c>
      <c r="B547" s="94">
        <v>49000</v>
      </c>
    </row>
    <row r="548" spans="1:2">
      <c r="A548" s="18" t="s">
        <v>141</v>
      </c>
      <c r="B548" s="36">
        <f>SUM(B544:B547)</f>
        <v>5331000</v>
      </c>
    </row>
    <row r="549" spans="1:2">
      <c r="A549" s="18"/>
      <c r="B549" s="36"/>
    </row>
    <row r="550" spans="1:2">
      <c r="A550" s="16"/>
      <c r="B550" s="35"/>
    </row>
    <row r="551" spans="1:2">
      <c r="A551" s="61" t="s">
        <v>144</v>
      </c>
      <c r="B551" s="94">
        <v>10000</v>
      </c>
    </row>
    <row r="552" spans="1:2">
      <c r="A552" s="13" t="s">
        <v>142</v>
      </c>
      <c r="B552" s="94">
        <v>15000</v>
      </c>
    </row>
    <row r="553" spans="1:2">
      <c r="A553" s="13" t="s">
        <v>143</v>
      </c>
      <c r="B553" s="94">
        <v>20000</v>
      </c>
    </row>
    <row r="554" spans="1:2">
      <c r="A554" s="13" t="s">
        <v>145</v>
      </c>
      <c r="B554" s="79">
        <v>20000</v>
      </c>
    </row>
    <row r="555" spans="1:2">
      <c r="A555" s="38" t="s">
        <v>148</v>
      </c>
      <c r="B555" s="80">
        <f>SUM(B551:B554)</f>
        <v>65000</v>
      </c>
    </row>
    <row r="556" spans="1:2">
      <c r="A556" s="13" t="s">
        <v>198</v>
      </c>
      <c r="B556" s="37">
        <v>20000</v>
      </c>
    </row>
    <row r="557" spans="1:2">
      <c r="A557" s="13" t="s">
        <v>199</v>
      </c>
      <c r="B557" s="37">
        <v>64000</v>
      </c>
    </row>
    <row r="558" spans="1:2">
      <c r="A558" s="13" t="s">
        <v>147</v>
      </c>
      <c r="B558" s="37">
        <v>150000</v>
      </c>
    </row>
    <row r="559" spans="1:2">
      <c r="A559" s="38" t="s">
        <v>149</v>
      </c>
      <c r="B559" s="80">
        <f>SUM(B556:B558)</f>
        <v>234000</v>
      </c>
    </row>
    <row r="560" spans="1:2">
      <c r="A560" s="89" t="s">
        <v>152</v>
      </c>
      <c r="B560" s="37">
        <v>36000</v>
      </c>
    </row>
    <row r="561" spans="1:2">
      <c r="A561" s="13" t="s">
        <v>151</v>
      </c>
      <c r="B561" s="37">
        <v>80000</v>
      </c>
    </row>
    <row r="562" spans="1:2">
      <c r="A562" s="132" t="s">
        <v>150</v>
      </c>
      <c r="B562" s="80">
        <f>SUM(B560:B561)</f>
        <v>116000</v>
      </c>
    </row>
    <row r="563" spans="1:2">
      <c r="A563" s="13" t="s">
        <v>162</v>
      </c>
      <c r="B563" s="79">
        <v>500000</v>
      </c>
    </row>
    <row r="564" spans="1:2">
      <c r="A564" s="13" t="s">
        <v>163</v>
      </c>
      <c r="B564" s="79">
        <v>310000</v>
      </c>
    </row>
    <row r="565" spans="1:2">
      <c r="A565" s="13" t="s">
        <v>220</v>
      </c>
      <c r="B565" s="79">
        <v>220000</v>
      </c>
    </row>
    <row r="566" spans="1:2">
      <c r="A566" s="132" t="s">
        <v>153</v>
      </c>
      <c r="B566" s="80">
        <f>SUM(B563:B565)</f>
        <v>1030000</v>
      </c>
    </row>
    <row r="567" spans="1:2">
      <c r="A567" s="13" t="s">
        <v>166</v>
      </c>
      <c r="B567" s="79">
        <v>70000</v>
      </c>
    </row>
    <row r="568" spans="1:2">
      <c r="A568" s="13" t="s">
        <v>154</v>
      </c>
      <c r="B568" s="79">
        <v>60000</v>
      </c>
    </row>
    <row r="569" spans="1:2">
      <c r="A569" s="13" t="s">
        <v>28</v>
      </c>
      <c r="B569" s="37">
        <v>100000</v>
      </c>
    </row>
    <row r="570" spans="1:2">
      <c r="A570" s="132" t="s">
        <v>156</v>
      </c>
      <c r="B570" s="80">
        <f>SUM(B567:B569)</f>
        <v>230000</v>
      </c>
    </row>
    <row r="571" spans="1:2">
      <c r="A571" s="13" t="s">
        <v>165</v>
      </c>
      <c r="B571" s="79">
        <f>(B552+B551+B554+B556+B557+B560+B561+B563+B564+B565+B567+B568+B569+B558)*0.27</f>
        <v>446850.00000000006</v>
      </c>
    </row>
    <row r="572" spans="1:2">
      <c r="A572" s="38" t="s">
        <v>160</v>
      </c>
      <c r="B572" s="80">
        <f>SUM(B571:B571)</f>
        <v>446850.00000000006</v>
      </c>
    </row>
    <row r="573" spans="1:2">
      <c r="A573" s="38"/>
      <c r="B573" s="37"/>
    </row>
    <row r="574" spans="1:2">
      <c r="A574" s="41" t="s">
        <v>161</v>
      </c>
      <c r="B574" s="80">
        <f>B555+B559+B562+B566+B570+B572</f>
        <v>2121850</v>
      </c>
    </row>
    <row r="575" spans="1:2">
      <c r="A575" s="41"/>
      <c r="B575" s="39"/>
    </row>
    <row r="576" spans="1:2">
      <c r="A576" s="43" t="s">
        <v>21</v>
      </c>
      <c r="B576" s="39">
        <f>B542+B548+B574</f>
        <v>26852850</v>
      </c>
    </row>
    <row r="577" spans="1:2">
      <c r="A577" s="43"/>
      <c r="B577" s="39"/>
    </row>
    <row r="578" spans="1:2">
      <c r="A578" s="43"/>
      <c r="B578" s="39"/>
    </row>
    <row r="579" spans="1:2">
      <c r="A579" s="224" t="s">
        <v>29</v>
      </c>
      <c r="B579" s="225"/>
    </row>
    <row r="580" spans="1:2">
      <c r="A580" s="43"/>
      <c r="B580" s="39"/>
    </row>
    <row r="581" spans="1:2">
      <c r="A581" s="78" t="s">
        <v>202</v>
      </c>
      <c r="B581" s="37">
        <v>2739000</v>
      </c>
    </row>
    <row r="582" spans="1:2">
      <c r="A582" s="132" t="s">
        <v>156</v>
      </c>
      <c r="B582" s="80">
        <f>SUM(B578:B581)</f>
        <v>2739000</v>
      </c>
    </row>
    <row r="583" spans="1:2">
      <c r="A583" s="13" t="s">
        <v>165</v>
      </c>
      <c r="B583" s="79">
        <f>(B581)*0.27</f>
        <v>739530</v>
      </c>
    </row>
    <row r="584" spans="1:2">
      <c r="A584" s="38" t="s">
        <v>160</v>
      </c>
      <c r="B584" s="80">
        <f>SUM(B583:B583)</f>
        <v>739530</v>
      </c>
    </row>
    <row r="585" spans="1:2">
      <c r="A585" s="38"/>
      <c r="B585" s="37"/>
    </row>
    <row r="586" spans="1:2">
      <c r="A586" s="41" t="s">
        <v>161</v>
      </c>
      <c r="B586" s="80">
        <f>B584+B582</f>
        <v>3478530</v>
      </c>
    </row>
    <row r="587" spans="1:2">
      <c r="A587" s="41"/>
      <c r="B587" s="39"/>
    </row>
    <row r="588" spans="1:2">
      <c r="A588" s="43" t="s">
        <v>21</v>
      </c>
      <c r="B588" s="39">
        <f>B586</f>
        <v>3478530</v>
      </c>
    </row>
    <row r="589" spans="1:2">
      <c r="A589" s="43"/>
      <c r="B589" s="39"/>
    </row>
    <row r="590" spans="1:2">
      <c r="A590" s="230" t="s">
        <v>39</v>
      </c>
      <c r="B590" s="231"/>
    </row>
    <row r="591" spans="1:2">
      <c r="A591" s="142"/>
      <c r="B591" s="181"/>
    </row>
    <row r="592" spans="1:2">
      <c r="A592" s="16" t="s">
        <v>309</v>
      </c>
      <c r="B592" s="79">
        <v>2137000</v>
      </c>
    </row>
    <row r="593" spans="1:4">
      <c r="A593" s="18" t="s">
        <v>139</v>
      </c>
      <c r="B593" s="80">
        <f>SUM(B592)</f>
        <v>2137000</v>
      </c>
    </row>
    <row r="594" spans="1:4">
      <c r="A594" s="18"/>
      <c r="B594" s="80"/>
    </row>
    <row r="595" spans="1:4">
      <c r="A595" s="16" t="s">
        <v>91</v>
      </c>
      <c r="B595" s="79">
        <v>289000</v>
      </c>
    </row>
    <row r="596" spans="1:4">
      <c r="A596" s="18" t="s">
        <v>141</v>
      </c>
      <c r="B596" s="80">
        <f>SUM(B595:B595)</f>
        <v>289000</v>
      </c>
    </row>
    <row r="597" spans="1:4">
      <c r="A597" s="18"/>
      <c r="B597" s="80"/>
    </row>
    <row r="598" spans="1:4">
      <c r="A598" s="43" t="s">
        <v>21</v>
      </c>
      <c r="B598" s="39">
        <f>B593+B596</f>
        <v>2426000</v>
      </c>
    </row>
    <row r="599" spans="1:4">
      <c r="A599" s="43"/>
      <c r="B599" s="39"/>
    </row>
    <row r="600" spans="1:4">
      <c r="A600" s="18" t="s">
        <v>139</v>
      </c>
      <c r="B600" s="36">
        <f>B329+B372+B399+B440+B479+B519+B542+B593</f>
        <v>70382000</v>
      </c>
    </row>
    <row r="601" spans="1:4">
      <c r="A601" s="18" t="s">
        <v>141</v>
      </c>
      <c r="B601" s="36">
        <f>B335+B378+B405+B446+B485+B524+B548+B596</f>
        <v>18974000</v>
      </c>
    </row>
    <row r="602" spans="1:4">
      <c r="A602" s="41" t="s">
        <v>187</v>
      </c>
      <c r="B602" s="36">
        <f>B363+B384+B429+B469+B509+B531+B574+B586</f>
        <v>32734220</v>
      </c>
      <c r="C602" s="50"/>
      <c r="D602" s="50"/>
    </row>
    <row r="603" spans="1:4" ht="22.5">
      <c r="A603" s="164" t="s">
        <v>310</v>
      </c>
      <c r="B603" s="36">
        <f>SUM(B600:B602)</f>
        <v>122090220</v>
      </c>
    </row>
    <row r="604" spans="1:4">
      <c r="A604" s="41"/>
      <c r="B604" s="36"/>
    </row>
    <row r="605" spans="1:4">
      <c r="A605" s="18"/>
      <c r="B605" s="180"/>
    </row>
    <row r="606" spans="1:4">
      <c r="A606" s="18"/>
      <c r="B606" s="180"/>
    </row>
    <row r="607" spans="1:4">
      <c r="A607" s="18"/>
      <c r="B607" s="180"/>
    </row>
    <row r="608" spans="1:4">
      <c r="A608" s="18"/>
      <c r="B608" s="180"/>
    </row>
    <row r="609" spans="1:2">
      <c r="A609" s="18"/>
      <c r="B609" s="180"/>
    </row>
    <row r="610" spans="1:2">
      <c r="A610" s="18"/>
      <c r="B610" s="180"/>
    </row>
    <row r="611" spans="1:2">
      <c r="A611" s="18"/>
      <c r="B611" s="180"/>
    </row>
    <row r="612" spans="1:2">
      <c r="A612" s="18"/>
      <c r="B612" s="180"/>
    </row>
    <row r="613" spans="1:2">
      <c r="A613" s="18"/>
      <c r="B613" s="180"/>
    </row>
    <row r="614" spans="1:2">
      <c r="A614" s="18"/>
      <c r="B614" s="180"/>
    </row>
    <row r="615" spans="1:2">
      <c r="A615" s="233" t="s">
        <v>186</v>
      </c>
      <c r="B615" s="233"/>
    </row>
    <row r="616" spans="1:2">
      <c r="A616" s="175"/>
      <c r="B616" s="175"/>
    </row>
    <row r="617" spans="1:2">
      <c r="A617" s="226" t="s">
        <v>65</v>
      </c>
      <c r="B617" s="226"/>
    </row>
    <row r="618" spans="1:2">
      <c r="A618" s="112"/>
      <c r="B618" s="110"/>
    </row>
    <row r="619" spans="1:2">
      <c r="A619" s="112"/>
      <c r="B619" s="110"/>
    </row>
    <row r="620" spans="1:2">
      <c r="A620" s="222" t="s">
        <v>241</v>
      </c>
      <c r="B620" s="223"/>
    </row>
    <row r="621" spans="1:2">
      <c r="A621" s="112"/>
      <c r="B621" s="110"/>
    </row>
    <row r="622" spans="1:2">
      <c r="A622" s="78" t="s">
        <v>202</v>
      </c>
      <c r="B622" s="37">
        <f>44307000+4064000-502000+184860-157400</f>
        <v>47896460</v>
      </c>
    </row>
    <row r="623" spans="1:2">
      <c r="A623" s="13" t="s">
        <v>165</v>
      </c>
      <c r="B623" s="37">
        <f>0.27*B622-102</f>
        <v>12931942.200000001</v>
      </c>
    </row>
    <row r="624" spans="1:2">
      <c r="A624" s="132" t="s">
        <v>156</v>
      </c>
      <c r="B624" s="39">
        <f>SUM(B622:B623)</f>
        <v>60828402.200000003</v>
      </c>
    </row>
    <row r="625" spans="1:2">
      <c r="A625" s="40"/>
      <c r="B625" s="39"/>
    </row>
    <row r="626" spans="1:2">
      <c r="A626" s="41" t="s">
        <v>161</v>
      </c>
      <c r="B626" s="39">
        <f>B624</f>
        <v>60828402.200000003</v>
      </c>
    </row>
    <row r="627" spans="1:2">
      <c r="A627" s="43" t="s">
        <v>21</v>
      </c>
      <c r="B627" s="39">
        <f>B626</f>
        <v>60828402.200000003</v>
      </c>
    </row>
    <row r="628" spans="1:2">
      <c r="A628" s="41"/>
      <c r="B628" s="39"/>
    </row>
    <row r="629" spans="1:2">
      <c r="A629" s="112"/>
      <c r="B629" s="185"/>
    </row>
    <row r="630" spans="1:2">
      <c r="A630" s="222" t="s">
        <v>188</v>
      </c>
      <c r="B630" s="223"/>
    </row>
    <row r="631" spans="1:2">
      <c r="A631" s="112"/>
      <c r="B631" s="185"/>
    </row>
    <row r="632" spans="1:2">
      <c r="A632" s="16" t="s">
        <v>311</v>
      </c>
      <c r="B632" s="185">
        <v>11055000</v>
      </c>
    </row>
    <row r="633" spans="1:2">
      <c r="A633" s="61" t="s">
        <v>38</v>
      </c>
      <c r="B633" s="185">
        <v>209000</v>
      </c>
    </row>
    <row r="634" spans="1:2">
      <c r="A634" s="61" t="s">
        <v>36</v>
      </c>
      <c r="B634" s="94">
        <v>126000</v>
      </c>
    </row>
    <row r="635" spans="1:2">
      <c r="A635" s="61" t="s">
        <v>32</v>
      </c>
      <c r="B635" s="94">
        <v>20000</v>
      </c>
    </row>
    <row r="636" spans="1:2">
      <c r="A636" s="18" t="s">
        <v>139</v>
      </c>
      <c r="B636" s="109">
        <f>SUM(B632:B635)</f>
        <v>11410000</v>
      </c>
    </row>
    <row r="637" spans="1:2">
      <c r="A637" s="18"/>
      <c r="B637" s="109"/>
    </row>
    <row r="638" spans="1:2">
      <c r="A638" s="16" t="s">
        <v>91</v>
      </c>
      <c r="B638" s="185">
        <v>3081000</v>
      </c>
    </row>
    <row r="639" spans="1:2">
      <c r="A639" s="16" t="s">
        <v>37</v>
      </c>
      <c r="B639" s="185">
        <v>10000</v>
      </c>
    </row>
    <row r="640" spans="1:2">
      <c r="A640" s="18" t="s">
        <v>141</v>
      </c>
      <c r="B640" s="12">
        <f>SUM(B638:B639)</f>
        <v>3091000</v>
      </c>
    </row>
    <row r="641" spans="1:2">
      <c r="A641" s="18"/>
      <c r="B641" s="185"/>
    </row>
    <row r="642" spans="1:2">
      <c r="A642" s="13" t="s">
        <v>198</v>
      </c>
      <c r="B642" s="37">
        <v>230000</v>
      </c>
    </row>
    <row r="643" spans="1:2">
      <c r="A643" s="13" t="s">
        <v>199</v>
      </c>
      <c r="B643" s="37">
        <v>168000</v>
      </c>
    </row>
    <row r="644" spans="1:2">
      <c r="A644" s="13" t="s">
        <v>147</v>
      </c>
      <c r="B644" s="37">
        <v>600000</v>
      </c>
    </row>
    <row r="645" spans="1:2">
      <c r="A645" s="38" t="s">
        <v>149</v>
      </c>
      <c r="B645" s="39">
        <f>SUM(B642:B644)</f>
        <v>998000</v>
      </c>
    </row>
    <row r="646" spans="1:2">
      <c r="A646" s="89" t="s">
        <v>152</v>
      </c>
      <c r="B646" s="37">
        <v>120000</v>
      </c>
    </row>
    <row r="647" spans="1:2">
      <c r="A647" s="13" t="s">
        <v>151</v>
      </c>
      <c r="B647" s="37">
        <v>300000</v>
      </c>
    </row>
    <row r="648" spans="1:2">
      <c r="A648" s="132" t="s">
        <v>150</v>
      </c>
      <c r="B648" s="39">
        <f>SUM(B646:B647)</f>
        <v>420000</v>
      </c>
    </row>
    <row r="649" spans="1:2">
      <c r="A649" s="13" t="s">
        <v>162</v>
      </c>
      <c r="B649" s="79">
        <f>514000+107000</f>
        <v>621000</v>
      </c>
    </row>
    <row r="650" spans="1:2">
      <c r="A650" s="13" t="s">
        <v>245</v>
      </c>
      <c r="B650" s="79">
        <v>520000</v>
      </c>
    </row>
    <row r="651" spans="1:2">
      <c r="A651" s="13" t="s">
        <v>163</v>
      </c>
      <c r="B651" s="79">
        <v>560000</v>
      </c>
    </row>
    <row r="652" spans="1:2">
      <c r="A652" s="13" t="s">
        <v>220</v>
      </c>
      <c r="B652" s="37">
        <v>500000</v>
      </c>
    </row>
    <row r="653" spans="1:2">
      <c r="A653" s="132" t="s">
        <v>153</v>
      </c>
      <c r="B653" s="80">
        <f>SUM(B649:B652)</f>
        <v>2201000</v>
      </c>
    </row>
    <row r="654" spans="1:2">
      <c r="A654" s="13" t="s">
        <v>166</v>
      </c>
      <c r="B654" s="79">
        <v>200000</v>
      </c>
    </row>
    <row r="655" spans="1:2">
      <c r="A655" s="13" t="s">
        <v>158</v>
      </c>
      <c r="B655" s="79">
        <v>350000</v>
      </c>
    </row>
    <row r="656" spans="1:2">
      <c r="A656" s="132" t="s">
        <v>156</v>
      </c>
      <c r="B656" s="80">
        <f>SUM(B654:B655)</f>
        <v>550000</v>
      </c>
    </row>
    <row r="657" spans="1:2">
      <c r="A657" s="13" t="s">
        <v>165</v>
      </c>
      <c r="B657" s="79">
        <f>(B642+B643+B644+B646+B647+B649+B651+B652+B655+B654)*0.27</f>
        <v>985230.00000000012</v>
      </c>
    </row>
    <row r="658" spans="1:2">
      <c r="A658" s="38" t="s">
        <v>160</v>
      </c>
      <c r="B658" s="80">
        <f>SUM(B657:B657)</f>
        <v>985230.00000000012</v>
      </c>
    </row>
    <row r="659" spans="1:2">
      <c r="A659" s="41" t="s">
        <v>161</v>
      </c>
      <c r="B659" s="80">
        <f>+B645+B648+B653+B656+B658</f>
        <v>5154230</v>
      </c>
    </row>
    <row r="660" spans="1:2">
      <c r="A660" s="41"/>
      <c r="B660" s="185"/>
    </row>
    <row r="661" spans="1:2">
      <c r="A661" s="43" t="s">
        <v>21</v>
      </c>
      <c r="B661" s="109">
        <f>B636+B640+B659</f>
        <v>19655230</v>
      </c>
    </row>
    <row r="662" spans="1:2">
      <c r="A662" s="43"/>
      <c r="B662" s="185"/>
    </row>
    <row r="663" spans="1:2">
      <c r="A663" s="222" t="s">
        <v>100</v>
      </c>
      <c r="B663" s="223"/>
    </row>
    <row r="664" spans="1:2">
      <c r="A664" s="112"/>
      <c r="B664" s="110"/>
    </row>
    <row r="665" spans="1:2">
      <c r="A665" s="16" t="s">
        <v>312</v>
      </c>
      <c r="B665" s="110">
        <v>42732000</v>
      </c>
    </row>
    <row r="666" spans="1:2">
      <c r="A666" s="61" t="s">
        <v>38</v>
      </c>
      <c r="B666" s="110">
        <v>860000</v>
      </c>
    </row>
    <row r="667" spans="1:2">
      <c r="A667" s="61" t="s">
        <v>36</v>
      </c>
      <c r="B667" s="110">
        <v>303000</v>
      </c>
    </row>
    <row r="668" spans="1:2">
      <c r="A668" s="61" t="s">
        <v>32</v>
      </c>
      <c r="B668" s="110">
        <v>50000</v>
      </c>
    </row>
    <row r="669" spans="1:2">
      <c r="A669" s="61" t="s">
        <v>34</v>
      </c>
      <c r="B669" s="110">
        <v>500000</v>
      </c>
    </row>
    <row r="670" spans="1:2">
      <c r="A670" s="18" t="s">
        <v>139</v>
      </c>
      <c r="B670" s="111">
        <f>SUM(B665:B669)</f>
        <v>44445000</v>
      </c>
    </row>
    <row r="671" spans="1:2">
      <c r="A671" s="18"/>
      <c r="B671" s="111"/>
    </row>
    <row r="672" spans="1:2">
      <c r="A672" s="16" t="s">
        <v>91</v>
      </c>
      <c r="B672" s="110">
        <v>11982000</v>
      </c>
    </row>
    <row r="673" spans="1:2">
      <c r="A673" s="16" t="s">
        <v>140</v>
      </c>
      <c r="B673" s="110">
        <v>16000</v>
      </c>
    </row>
    <row r="674" spans="1:2">
      <c r="A674" s="16" t="s">
        <v>37</v>
      </c>
      <c r="B674" s="110">
        <v>20000</v>
      </c>
    </row>
    <row r="675" spans="1:2">
      <c r="A675" s="16" t="s">
        <v>35</v>
      </c>
      <c r="B675" s="110">
        <v>9000</v>
      </c>
    </row>
    <row r="676" spans="1:2">
      <c r="A676" s="18" t="s">
        <v>141</v>
      </c>
      <c r="B676" s="111">
        <f>SUM(B672:B675)</f>
        <v>12027000</v>
      </c>
    </row>
    <row r="677" spans="1:2">
      <c r="A677" s="11"/>
      <c r="B677" s="110"/>
    </row>
    <row r="678" spans="1:2">
      <c r="A678" s="78" t="s">
        <v>144</v>
      </c>
      <c r="B678" s="94">
        <v>20000</v>
      </c>
    </row>
    <row r="679" spans="1:2">
      <c r="A679" s="13" t="s">
        <v>142</v>
      </c>
      <c r="B679" s="94">
        <v>60000</v>
      </c>
    </row>
    <row r="680" spans="1:2">
      <c r="A680" s="13" t="s">
        <v>143</v>
      </c>
      <c r="B680" s="94">
        <v>60000</v>
      </c>
    </row>
    <row r="681" spans="1:2">
      <c r="A681" s="13" t="s">
        <v>145</v>
      </c>
      <c r="B681" s="79">
        <v>160000</v>
      </c>
    </row>
    <row r="682" spans="1:2">
      <c r="A682" s="38" t="s">
        <v>148</v>
      </c>
      <c r="B682" s="80">
        <f>SUM(B678:B681)</f>
        <v>300000</v>
      </c>
    </row>
    <row r="683" spans="1:2">
      <c r="A683" s="38"/>
      <c r="B683" s="80"/>
    </row>
    <row r="684" spans="1:2">
      <c r="A684" s="13" t="s">
        <v>154</v>
      </c>
      <c r="B684" s="37">
        <f>250000+100000</f>
        <v>350000</v>
      </c>
    </row>
    <row r="685" spans="1:2">
      <c r="A685" s="13" t="s">
        <v>158</v>
      </c>
      <c r="B685" s="37">
        <v>150000</v>
      </c>
    </row>
    <row r="686" spans="1:2">
      <c r="A686" s="132" t="s">
        <v>156</v>
      </c>
      <c r="B686" s="80">
        <f>SUM(B684:B685)</f>
        <v>500000</v>
      </c>
    </row>
    <row r="687" spans="1:2">
      <c r="A687" s="132"/>
      <c r="B687" s="80"/>
    </row>
    <row r="688" spans="1:2">
      <c r="A688" s="132"/>
      <c r="B688" s="80"/>
    </row>
    <row r="689" spans="1:2">
      <c r="A689" s="13" t="s">
        <v>165</v>
      </c>
      <c r="B689" s="79">
        <f>(B678+B679+B680+B681+B684+B685)*0.27</f>
        <v>216000</v>
      </c>
    </row>
    <row r="690" spans="1:2">
      <c r="A690" s="38" t="s">
        <v>160</v>
      </c>
      <c r="B690" s="80">
        <f>SUM(B689:B689)</f>
        <v>216000</v>
      </c>
    </row>
    <row r="691" spans="1:2">
      <c r="A691" s="38"/>
      <c r="B691" s="37"/>
    </row>
    <row r="692" spans="1:2">
      <c r="A692" s="41" t="s">
        <v>161</v>
      </c>
      <c r="B692" s="80">
        <f>B682+B686+B690</f>
        <v>1016000</v>
      </c>
    </row>
    <row r="693" spans="1:2">
      <c r="A693" s="41"/>
      <c r="B693" s="110"/>
    </row>
    <row r="694" spans="1:2">
      <c r="A694" s="43" t="s">
        <v>21</v>
      </c>
      <c r="B694" s="111">
        <f>B670+B676+B692</f>
        <v>57488000</v>
      </c>
    </row>
    <row r="695" spans="1:2">
      <c r="A695" s="186"/>
      <c r="B695" s="110"/>
    </row>
    <row r="696" spans="1:2">
      <c r="A696" s="112"/>
      <c r="B696" s="110"/>
    </row>
    <row r="697" spans="1:2">
      <c r="A697" s="222" t="s">
        <v>62</v>
      </c>
      <c r="B697" s="223"/>
    </row>
    <row r="698" spans="1:2">
      <c r="A698" s="204"/>
      <c r="B698" s="204"/>
    </row>
    <row r="699" spans="1:2">
      <c r="A699" s="16" t="s">
        <v>313</v>
      </c>
      <c r="B699" s="110">
        <v>1845000</v>
      </c>
    </row>
    <row r="700" spans="1:2">
      <c r="A700" s="61" t="s">
        <v>38</v>
      </c>
      <c r="B700" s="110">
        <v>44000</v>
      </c>
    </row>
    <row r="701" spans="1:2">
      <c r="A701" s="61" t="s">
        <v>36</v>
      </c>
      <c r="B701" s="110">
        <v>51000</v>
      </c>
    </row>
    <row r="702" spans="1:2">
      <c r="A702" s="18" t="s">
        <v>139</v>
      </c>
      <c r="B702" s="111">
        <f>SUM(B699:B701)</f>
        <v>1940000</v>
      </c>
    </row>
    <row r="703" spans="1:2">
      <c r="A703" s="18"/>
      <c r="B703" s="111"/>
    </row>
    <row r="704" spans="1:2">
      <c r="A704" s="16" t="s">
        <v>91</v>
      </c>
      <c r="B704" s="110">
        <v>508000</v>
      </c>
    </row>
    <row r="705" spans="1:2">
      <c r="A705" s="16" t="s">
        <v>140</v>
      </c>
      <c r="B705" s="110">
        <v>19000</v>
      </c>
    </row>
    <row r="706" spans="1:2">
      <c r="A706" s="16" t="s">
        <v>35</v>
      </c>
      <c r="B706" s="110">
        <v>11000</v>
      </c>
    </row>
    <row r="707" spans="1:2">
      <c r="A707" s="18" t="s">
        <v>141</v>
      </c>
      <c r="B707" s="111">
        <f>SUM(B704:B706)</f>
        <v>538000</v>
      </c>
    </row>
    <row r="708" spans="1:2">
      <c r="A708" s="11"/>
      <c r="B708" s="110"/>
    </row>
    <row r="709" spans="1:2">
      <c r="A709" s="13" t="s">
        <v>101</v>
      </c>
      <c r="B709" s="94">
        <v>580000</v>
      </c>
    </row>
    <row r="710" spans="1:2">
      <c r="A710" s="13" t="s">
        <v>143</v>
      </c>
      <c r="B710" s="94">
        <v>200000</v>
      </c>
    </row>
    <row r="711" spans="1:2">
      <c r="A711" s="13" t="s">
        <v>145</v>
      </c>
      <c r="B711" s="94">
        <v>50000</v>
      </c>
    </row>
    <row r="712" spans="1:2">
      <c r="A712" s="38" t="s">
        <v>148</v>
      </c>
      <c r="B712" s="80">
        <f>SUM(B709:B711)</f>
        <v>830000</v>
      </c>
    </row>
    <row r="713" spans="1:2">
      <c r="A713" s="13" t="s">
        <v>198</v>
      </c>
      <c r="B713" s="79">
        <v>80000</v>
      </c>
    </row>
    <row r="714" spans="1:2">
      <c r="A714" s="13" t="s">
        <v>199</v>
      </c>
      <c r="B714" s="79">
        <v>16000</v>
      </c>
    </row>
    <row r="715" spans="1:2">
      <c r="A715" s="13" t="s">
        <v>147</v>
      </c>
      <c r="B715" s="79">
        <v>50000</v>
      </c>
    </row>
    <row r="716" spans="1:2">
      <c r="A716" s="38" t="s">
        <v>149</v>
      </c>
      <c r="B716" s="80">
        <f>SUM(B713:B715)</f>
        <v>146000</v>
      </c>
    </row>
    <row r="717" spans="1:2">
      <c r="A717" s="13" t="s">
        <v>151</v>
      </c>
      <c r="B717" s="79">
        <v>80000</v>
      </c>
    </row>
    <row r="718" spans="1:2">
      <c r="A718" s="132" t="s">
        <v>150</v>
      </c>
      <c r="B718" s="80">
        <f>SUM(B717:B717)</f>
        <v>80000</v>
      </c>
    </row>
    <row r="719" spans="1:2">
      <c r="A719" s="13" t="s">
        <v>162</v>
      </c>
      <c r="B719" s="79">
        <v>250000</v>
      </c>
    </row>
    <row r="720" spans="1:2">
      <c r="A720" s="13" t="s">
        <v>163</v>
      </c>
      <c r="B720" s="79">
        <v>130000</v>
      </c>
    </row>
    <row r="721" spans="1:2">
      <c r="A721" s="13" t="s">
        <v>220</v>
      </c>
      <c r="B721" s="37">
        <v>40000</v>
      </c>
    </row>
    <row r="722" spans="1:2">
      <c r="A722" s="132" t="s">
        <v>153</v>
      </c>
      <c r="B722" s="80">
        <f>SUM(B719:B721)</f>
        <v>420000</v>
      </c>
    </row>
    <row r="723" spans="1:2">
      <c r="A723" s="13" t="s">
        <v>166</v>
      </c>
      <c r="B723" s="79">
        <v>50000</v>
      </c>
    </row>
    <row r="724" spans="1:2">
      <c r="A724" s="13" t="s">
        <v>320</v>
      </c>
      <c r="B724" s="79">
        <f>1386000+100000</f>
        <v>1486000</v>
      </c>
    </row>
    <row r="725" spans="1:2">
      <c r="A725" s="13" t="s">
        <v>158</v>
      </c>
      <c r="B725" s="37">
        <v>120000</v>
      </c>
    </row>
    <row r="726" spans="1:2">
      <c r="A726" s="132" t="s">
        <v>156</v>
      </c>
      <c r="B726" s="80">
        <f>SUM(B723:B725)</f>
        <v>1656000</v>
      </c>
    </row>
    <row r="727" spans="1:2">
      <c r="A727" s="13" t="s">
        <v>155</v>
      </c>
      <c r="B727" s="37">
        <v>19000</v>
      </c>
    </row>
    <row r="728" spans="1:2">
      <c r="A728" s="132" t="s">
        <v>157</v>
      </c>
      <c r="B728" s="80">
        <f>SUM(B727:B727)</f>
        <v>19000</v>
      </c>
    </row>
    <row r="729" spans="1:2">
      <c r="A729" s="13" t="s">
        <v>165</v>
      </c>
      <c r="B729" s="79">
        <f>B709*0.05+(B710+B724)*0.05+(B713+B714+B715+B717+B719+B721+B723+B725+B720)*0.27+22000</f>
        <v>355620</v>
      </c>
    </row>
    <row r="730" spans="1:2">
      <c r="A730" s="38" t="s">
        <v>160</v>
      </c>
      <c r="B730" s="80">
        <f>SUM(B729:B729)</f>
        <v>355620</v>
      </c>
    </row>
    <row r="731" spans="1:2">
      <c r="A731" s="38"/>
      <c r="B731" s="37"/>
    </row>
    <row r="732" spans="1:2">
      <c r="A732" s="41" t="s">
        <v>161</v>
      </c>
      <c r="B732" s="80">
        <f>B712+B716+B718+B722+B726+B728+B730</f>
        <v>3506620</v>
      </c>
    </row>
    <row r="733" spans="1:2">
      <c r="A733" s="41"/>
      <c r="B733" s="110"/>
    </row>
    <row r="734" spans="1:2">
      <c r="A734" s="43" t="s">
        <v>21</v>
      </c>
      <c r="B734" s="111">
        <f>B702+B707+B732</f>
        <v>5984620</v>
      </c>
    </row>
    <row r="735" spans="1:2">
      <c r="A735" s="112"/>
      <c r="B735" s="110"/>
    </row>
    <row r="736" spans="1:2">
      <c r="A736" s="18" t="s">
        <v>139</v>
      </c>
      <c r="B736" s="111">
        <f>B636+B670+B702</f>
        <v>57795000</v>
      </c>
    </row>
    <row r="737" spans="1:2">
      <c r="A737" s="18" t="s">
        <v>141</v>
      </c>
      <c r="B737" s="111">
        <f>B640+B676+B707</f>
        <v>15656000</v>
      </c>
    </row>
    <row r="738" spans="1:2">
      <c r="A738" s="41" t="s">
        <v>187</v>
      </c>
      <c r="B738" s="111">
        <f>B626+B659+B692+B732</f>
        <v>70505252.200000003</v>
      </c>
    </row>
    <row r="739" spans="1:2" ht="22.5">
      <c r="A739" s="164" t="s">
        <v>315</v>
      </c>
      <c r="B739" s="111">
        <f>SUM(B736:B738)</f>
        <v>143956252.19999999</v>
      </c>
    </row>
    <row r="740" spans="1:2">
      <c r="A740" s="180"/>
      <c r="B740" s="180"/>
    </row>
    <row r="741" spans="1:2">
      <c r="A741" s="233" t="s">
        <v>275</v>
      </c>
      <c r="B741" s="233"/>
    </row>
    <row r="742" spans="1:2">
      <c r="A742" s="226" t="s">
        <v>65</v>
      </c>
      <c r="B742" s="226"/>
    </row>
    <row r="743" spans="1:2">
      <c r="A743" s="112"/>
      <c r="B743" s="110"/>
    </row>
    <row r="744" spans="1:2">
      <c r="A744" s="227" t="s">
        <v>276</v>
      </c>
      <c r="B744" s="228"/>
    </row>
    <row r="745" spans="1:2">
      <c r="A745" s="16" t="s">
        <v>277</v>
      </c>
      <c r="B745" s="110">
        <v>619000</v>
      </c>
    </row>
    <row r="746" spans="1:2">
      <c r="A746" s="18" t="s">
        <v>139</v>
      </c>
      <c r="B746" s="111">
        <f>SUM(B745:B745)</f>
        <v>619000</v>
      </c>
    </row>
    <row r="747" spans="1:2">
      <c r="A747" s="18"/>
      <c r="B747" s="111"/>
    </row>
    <row r="748" spans="1:2">
      <c r="A748" s="16" t="s">
        <v>91</v>
      </c>
      <c r="B748" s="110">
        <v>167000</v>
      </c>
    </row>
    <row r="749" spans="1:2">
      <c r="A749" s="18" t="s">
        <v>141</v>
      </c>
      <c r="B749" s="111">
        <f>SUM(B748:B748)</f>
        <v>167000</v>
      </c>
    </row>
    <row r="750" spans="1:2">
      <c r="A750" s="18"/>
      <c r="B750" s="111"/>
    </row>
    <row r="751" spans="1:2">
      <c r="A751" s="13" t="s">
        <v>145</v>
      </c>
      <c r="B751" s="110">
        <v>14339</v>
      </c>
    </row>
    <row r="752" spans="1:2">
      <c r="A752" s="38" t="s">
        <v>148</v>
      </c>
      <c r="B752" s="111">
        <f>SUM(B751)</f>
        <v>14339</v>
      </c>
    </row>
    <row r="753" spans="1:5">
      <c r="A753" s="89" t="s">
        <v>152</v>
      </c>
      <c r="B753" s="110">
        <v>38855</v>
      </c>
    </row>
    <row r="754" spans="1:5">
      <c r="A754" s="132" t="s">
        <v>150</v>
      </c>
      <c r="B754" s="111">
        <f>SUM(B753:B753)</f>
        <v>38855</v>
      </c>
    </row>
    <row r="755" spans="1:5">
      <c r="A755" s="13" t="s">
        <v>163</v>
      </c>
      <c r="B755" s="110">
        <v>84835</v>
      </c>
    </row>
    <row r="756" spans="1:5">
      <c r="A756" s="13" t="s">
        <v>220</v>
      </c>
      <c r="B756" s="110">
        <v>14661</v>
      </c>
    </row>
    <row r="757" spans="1:5">
      <c r="A757" s="132" t="s">
        <v>153</v>
      </c>
      <c r="B757" s="111">
        <f>SUM(B755:B756)</f>
        <v>99496</v>
      </c>
    </row>
    <row r="758" spans="1:5">
      <c r="A758" s="13" t="s">
        <v>343</v>
      </c>
      <c r="B758" s="110">
        <f>102607+2000+100000</f>
        <v>204607</v>
      </c>
    </row>
    <row r="759" spans="1:5">
      <c r="A759" s="132" t="s">
        <v>156</v>
      </c>
      <c r="B759" s="111">
        <f>SUM(B758:B758)</f>
        <v>204607</v>
      </c>
    </row>
    <row r="760" spans="1:5">
      <c r="A760" s="13" t="s">
        <v>165</v>
      </c>
      <c r="B760" s="110">
        <v>66931</v>
      </c>
    </row>
    <row r="761" spans="1:5">
      <c r="A761" s="38" t="s">
        <v>160</v>
      </c>
      <c r="B761" s="111">
        <f>B760</f>
        <v>66931</v>
      </c>
    </row>
    <row r="762" spans="1:5">
      <c r="A762" s="41" t="s">
        <v>161</v>
      </c>
      <c r="B762" s="111">
        <f>B752+B754+B757+B759+B761</f>
        <v>424228</v>
      </c>
    </row>
    <row r="763" spans="1:5">
      <c r="A763" s="18"/>
      <c r="B763" s="111"/>
    </row>
    <row r="764" spans="1:5">
      <c r="A764" s="43" t="s">
        <v>21</v>
      </c>
      <c r="B764" s="111">
        <f>B746+B749+B762</f>
        <v>1210228</v>
      </c>
    </row>
    <row r="765" spans="1:5">
      <c r="A765" s="112"/>
      <c r="B765" s="110"/>
    </row>
    <row r="766" spans="1:5">
      <c r="A766" s="222" t="s">
        <v>62</v>
      </c>
      <c r="B766" s="223"/>
    </row>
    <row r="767" spans="1:5">
      <c r="A767" s="16" t="s">
        <v>277</v>
      </c>
      <c r="B767" s="110">
        <v>359000</v>
      </c>
    </row>
    <row r="768" spans="1:5">
      <c r="A768" s="18" t="s">
        <v>139</v>
      </c>
      <c r="B768" s="111">
        <f>SUM(B767:B767)</f>
        <v>359000</v>
      </c>
      <c r="E768" s="13"/>
    </row>
    <row r="769" spans="1:2">
      <c r="A769" s="18"/>
      <c r="B769" s="111"/>
    </row>
    <row r="770" spans="1:2">
      <c r="A770" s="16" t="s">
        <v>91</v>
      </c>
      <c r="B770" s="110">
        <v>97000</v>
      </c>
    </row>
    <row r="771" spans="1:2">
      <c r="A771" s="18" t="s">
        <v>141</v>
      </c>
      <c r="B771" s="111">
        <f>SUM(B770:B770)</f>
        <v>97000</v>
      </c>
    </row>
    <row r="772" spans="1:2">
      <c r="A772" s="41"/>
      <c r="B772" s="110"/>
    </row>
    <row r="773" spans="1:2">
      <c r="A773" s="43" t="s">
        <v>21</v>
      </c>
      <c r="B773" s="111">
        <f>B768+B771</f>
        <v>456000</v>
      </c>
    </row>
    <row r="774" spans="1:2">
      <c r="A774" s="112"/>
      <c r="B774" s="110"/>
    </row>
    <row r="775" spans="1:2">
      <c r="A775" s="176" t="s">
        <v>187</v>
      </c>
      <c r="B775" s="111">
        <f>B762</f>
        <v>424228</v>
      </c>
    </row>
    <row r="776" spans="1:2">
      <c r="A776" s="18" t="s">
        <v>139</v>
      </c>
      <c r="B776" s="111">
        <f>B746+B768</f>
        <v>978000</v>
      </c>
    </row>
    <row r="777" spans="1:2">
      <c r="A777" s="18" t="s">
        <v>141</v>
      </c>
      <c r="B777" s="111">
        <f>B749+B771</f>
        <v>264000</v>
      </c>
    </row>
    <row r="778" spans="1:2">
      <c r="A778" s="176" t="s">
        <v>279</v>
      </c>
      <c r="B778" s="111">
        <f>SUM(B775:B777)</f>
        <v>1666228</v>
      </c>
    </row>
    <row r="779" spans="1:2">
      <c r="A779" s="180"/>
      <c r="B779" s="180"/>
    </row>
    <row r="780" spans="1:2">
      <c r="A780" s="180"/>
      <c r="B780" s="180"/>
    </row>
    <row r="781" spans="1:2">
      <c r="A781" s="180"/>
      <c r="B781" s="180"/>
    </row>
    <row r="782" spans="1:2">
      <c r="A782" s="180"/>
      <c r="B782" s="180"/>
    </row>
    <row r="783" spans="1:2">
      <c r="A783" s="180"/>
      <c r="B783" s="180"/>
    </row>
    <row r="784" spans="1:2">
      <c r="A784" s="180"/>
      <c r="B784" s="180"/>
    </row>
    <row r="785" spans="1:2">
      <c r="A785" s="180"/>
      <c r="B785" s="180"/>
    </row>
    <row r="786" spans="1:2">
      <c r="A786" s="180"/>
      <c r="B786" s="180"/>
    </row>
    <row r="787" spans="1:2">
      <c r="A787" s="180"/>
      <c r="B787" s="180"/>
    </row>
    <row r="788" spans="1:2">
      <c r="A788" s="180"/>
      <c r="B788" s="180"/>
    </row>
    <row r="789" spans="1:2">
      <c r="A789" s="180"/>
      <c r="B789" s="180"/>
    </row>
    <row r="790" spans="1:2">
      <c r="A790" s="180"/>
      <c r="B790" s="180"/>
    </row>
    <row r="791" spans="1:2">
      <c r="A791" s="180"/>
      <c r="B791" s="180"/>
    </row>
    <row r="792" spans="1:2">
      <c r="A792" s="180"/>
      <c r="B792" s="180"/>
    </row>
    <row r="793" spans="1:2">
      <c r="A793" s="180"/>
      <c r="B793" s="180"/>
    </row>
    <row r="794" spans="1:2">
      <c r="A794" s="180"/>
      <c r="B794" s="180"/>
    </row>
    <row r="795" spans="1:2">
      <c r="A795" s="180"/>
      <c r="B795" s="180"/>
    </row>
    <row r="796" spans="1:2">
      <c r="A796" s="180"/>
      <c r="B796" s="180"/>
    </row>
    <row r="797" spans="1:2">
      <c r="A797" s="180"/>
      <c r="B797" s="180"/>
    </row>
    <row r="798" spans="1:2">
      <c r="A798" s="180"/>
      <c r="B798" s="180"/>
    </row>
    <row r="799" spans="1:2">
      <c r="A799" s="180"/>
      <c r="B799" s="180"/>
    </row>
    <row r="800" spans="1:2">
      <c r="A800" s="180"/>
      <c r="B800" s="180"/>
    </row>
    <row r="801" spans="1:2">
      <c r="A801" s="180"/>
      <c r="B801" s="180"/>
    </row>
    <row r="802" spans="1:2">
      <c r="A802" s="180"/>
      <c r="B802" s="180"/>
    </row>
    <row r="803" spans="1:2">
      <c r="A803" s="180"/>
      <c r="B803" s="180"/>
    </row>
    <row r="804" spans="1:2">
      <c r="A804" s="180"/>
      <c r="B804" s="180"/>
    </row>
    <row r="805" spans="1:2">
      <c r="A805" s="180"/>
      <c r="B805" s="180"/>
    </row>
    <row r="806" spans="1:2">
      <c r="A806" s="180"/>
      <c r="B806" s="180"/>
    </row>
    <row r="807" spans="1:2">
      <c r="A807" s="180"/>
      <c r="B807" s="180"/>
    </row>
    <row r="808" spans="1:2">
      <c r="A808" s="180"/>
      <c r="B808" s="180"/>
    </row>
    <row r="809" spans="1:2">
      <c r="A809" s="51"/>
      <c r="B809" s="51"/>
    </row>
    <row r="810" spans="1:2">
      <c r="A810" s="51"/>
      <c r="B810" s="51"/>
    </row>
    <row r="811" spans="1:2">
      <c r="A811" s="51"/>
      <c r="B811" s="51"/>
    </row>
    <row r="812" spans="1:2">
      <c r="A812" s="51"/>
      <c r="B812" s="51"/>
    </row>
    <row r="813" spans="1:2">
      <c r="A813" s="51"/>
      <c r="B813" s="51"/>
    </row>
    <row r="814" spans="1:2">
      <c r="A814" s="51"/>
      <c r="B814" s="51"/>
    </row>
    <row r="815" spans="1:2">
      <c r="A815" s="51"/>
      <c r="B815" s="51"/>
    </row>
    <row r="816" spans="1:2">
      <c r="A816" s="51"/>
      <c r="B816" s="51"/>
    </row>
    <row r="817" spans="1:2">
      <c r="A817" s="51"/>
      <c r="B817" s="51"/>
    </row>
    <row r="818" spans="1:2">
      <c r="A818" s="51"/>
      <c r="B818" s="51"/>
    </row>
    <row r="819" spans="1:2">
      <c r="A819" s="51"/>
      <c r="B819" s="51"/>
    </row>
    <row r="820" spans="1:2">
      <c r="A820" s="51"/>
      <c r="B820" s="51"/>
    </row>
    <row r="821" spans="1:2">
      <c r="A821" s="51"/>
      <c r="B821" s="51"/>
    </row>
    <row r="822" spans="1:2">
      <c r="A822" s="51"/>
      <c r="B822" s="51"/>
    </row>
    <row r="823" spans="1:2">
      <c r="A823" s="51"/>
      <c r="B823" s="51"/>
    </row>
    <row r="824" spans="1:2">
      <c r="A824" s="51"/>
      <c r="B824" s="51"/>
    </row>
    <row r="825" spans="1:2">
      <c r="A825" s="51"/>
      <c r="B825" s="51"/>
    </row>
    <row r="826" spans="1:2">
      <c r="A826" s="51"/>
      <c r="B826" s="51"/>
    </row>
    <row r="827" spans="1:2">
      <c r="A827" s="51"/>
      <c r="B827" s="51"/>
    </row>
    <row r="828" spans="1:2">
      <c r="A828" s="51"/>
      <c r="B828" s="51"/>
    </row>
    <row r="829" spans="1:2">
      <c r="A829" s="51"/>
      <c r="B829" s="51"/>
    </row>
    <row r="830" spans="1:2">
      <c r="A830" s="51"/>
      <c r="B830" s="51"/>
    </row>
    <row r="831" spans="1:2">
      <c r="A831" s="51"/>
      <c r="B831" s="51"/>
    </row>
    <row r="832" spans="1:2">
      <c r="A832" s="51"/>
      <c r="B832" s="51"/>
    </row>
    <row r="833" spans="1:2">
      <c r="A833" s="51"/>
      <c r="B833" s="51"/>
    </row>
    <row r="834" spans="1:2">
      <c r="A834" s="51"/>
      <c r="B834" s="51"/>
    </row>
    <row r="835" spans="1:2">
      <c r="A835" s="51"/>
      <c r="B835" s="51"/>
    </row>
    <row r="836" spans="1:2">
      <c r="A836" s="51"/>
      <c r="B836" s="51"/>
    </row>
    <row r="837" spans="1:2">
      <c r="A837" s="51"/>
      <c r="B837" s="51"/>
    </row>
    <row r="838" spans="1:2">
      <c r="A838" s="51"/>
      <c r="B838" s="51"/>
    </row>
    <row r="839" spans="1:2">
      <c r="A839" s="51"/>
      <c r="B839" s="51"/>
    </row>
    <row r="840" spans="1:2">
      <c r="A840" s="51"/>
      <c r="B840" s="51"/>
    </row>
    <row r="841" spans="1:2">
      <c r="A841" s="51"/>
      <c r="B841" s="51"/>
    </row>
    <row r="842" spans="1:2">
      <c r="A842" s="51"/>
      <c r="B842" s="51"/>
    </row>
    <row r="843" spans="1:2">
      <c r="A843" s="51"/>
      <c r="B843" s="51"/>
    </row>
    <row r="844" spans="1:2">
      <c r="A844" s="51"/>
      <c r="B844" s="51"/>
    </row>
    <row r="845" spans="1:2">
      <c r="A845" s="51"/>
      <c r="B845" s="51"/>
    </row>
  </sheetData>
  <mergeCells count="41">
    <mergeCell ref="A1:B1"/>
    <mergeCell ref="A209:B209"/>
    <mergeCell ref="A103:B103"/>
    <mergeCell ref="A101:B101"/>
    <mergeCell ref="A75:B75"/>
    <mergeCell ref="A126:B126"/>
    <mergeCell ref="A3:B3"/>
    <mergeCell ref="A241:B241"/>
    <mergeCell ref="A320:B320"/>
    <mergeCell ref="A322:B322"/>
    <mergeCell ref="A473:B473"/>
    <mergeCell ref="A324:B324"/>
    <mergeCell ref="A16:B16"/>
    <mergeCell ref="A26:B26"/>
    <mergeCell ref="A87:B87"/>
    <mergeCell ref="A171:B171"/>
    <mergeCell ref="A6:B6"/>
    <mergeCell ref="A173:B173"/>
    <mergeCell ref="A392:B392"/>
    <mergeCell ref="A57:B57"/>
    <mergeCell ref="A207:B207"/>
    <mergeCell ref="A741:B741"/>
    <mergeCell ref="A630:B630"/>
    <mergeCell ref="A663:B663"/>
    <mergeCell ref="A697:B697"/>
    <mergeCell ref="A615:B615"/>
    <mergeCell ref="A211:B211"/>
    <mergeCell ref="A367:B367"/>
    <mergeCell ref="A617:B617"/>
    <mergeCell ref="A266:B266"/>
    <mergeCell ref="A264:B264"/>
    <mergeCell ref="A620:B620"/>
    <mergeCell ref="A590:B590"/>
    <mergeCell ref="A433:B433"/>
    <mergeCell ref="A514:B514"/>
    <mergeCell ref="A535:B535"/>
    <mergeCell ref="A766:B766"/>
    <mergeCell ref="A537:B537"/>
    <mergeCell ref="A579:B579"/>
    <mergeCell ref="A742:B742"/>
    <mergeCell ref="A744:B744"/>
  </mergeCells>
  <phoneticPr fontId="4" type="noConversion"/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>&amp;LNagyszénás Nagyközség
Önkormányzata&amp;C2016. évi működési kiadások kormányzati funkciónként&amp;R5. melléklet (Ft)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bevételek</vt:lpstr>
      <vt:lpstr>kiadások</vt:lpstr>
      <vt:lpstr>3_melléklet</vt:lpstr>
      <vt:lpstr>4_ melléklet</vt:lpstr>
      <vt:lpstr>5_melléklet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</dc:creator>
  <cp:lastModifiedBy>Fujitsu siemens</cp:lastModifiedBy>
  <cp:lastPrinted>2016-03-23T07:35:56Z</cp:lastPrinted>
  <dcterms:created xsi:type="dcterms:W3CDTF">2010-01-06T13:04:50Z</dcterms:created>
  <dcterms:modified xsi:type="dcterms:W3CDTF">2016-06-07T17:27:50Z</dcterms:modified>
</cp:coreProperties>
</file>