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0" windowWidth="1944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'!$A$1:$G$33</definedName>
    <definedName name="_xlnm.Print_Area" localSheetId="1">'2.sz.tábla'!$A$3:$G$77</definedName>
    <definedName name="_xlnm.Print_Area" localSheetId="2">'2a. tábla'!$A$1:$J$48</definedName>
    <definedName name="_xlnm.Print_Area" localSheetId="3">'3.sz.tábla '!$A$2:$G$39</definedName>
    <definedName name="_xlnm.Print_Area" localSheetId="4">'4.sz.tábla'!$A$1:$G$21</definedName>
    <definedName name="_xlnm.Print_Area" localSheetId="5">'5. sz. tábla'!$A$1:$G$37</definedName>
    <definedName name="_xlnm.Print_Area" localSheetId="6">'6. sz. tábla'!$A$1:$N$60</definedName>
    <definedName name="_xlnm.Print_Area" localSheetId="7">'7. sz. tábla'!$A$1:$N$87</definedName>
    <definedName name="_xlnm.Print_Area" localSheetId="8">'8. sz. tábla'!$A$1:$N$35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O32" i="89" l="1"/>
  <c r="O29" i="89"/>
  <c r="O28" i="89"/>
  <c r="M27" i="89"/>
  <c r="O27" i="89"/>
  <c r="O25" i="89"/>
  <c r="O23" i="89"/>
  <c r="O22" i="89"/>
  <c r="M21" i="89"/>
  <c r="O21" i="89"/>
  <c r="O20" i="89"/>
  <c r="O19" i="89"/>
  <c r="O12" i="89"/>
  <c r="O11" i="89"/>
  <c r="O8" i="89"/>
  <c r="O7" i="89"/>
  <c r="O6" i="89"/>
  <c r="O16" i="89"/>
  <c r="M16" i="89"/>
  <c r="M64" i="88"/>
  <c r="M88" i="88"/>
  <c r="F88" i="88"/>
  <c r="F64" i="88"/>
  <c r="M61" i="88"/>
  <c r="M58" i="88"/>
  <c r="M55" i="88"/>
  <c r="M54" i="88"/>
  <c r="M48" i="88"/>
  <c r="M46" i="88"/>
  <c r="M34" i="88"/>
  <c r="F61" i="88"/>
  <c r="F58" i="88"/>
  <c r="F48" i="88"/>
  <c r="F38" i="88"/>
  <c r="F34" i="88"/>
  <c r="M31" i="88"/>
  <c r="M30" i="88"/>
  <c r="M28" i="88"/>
  <c r="M23" i="88"/>
  <c r="M21" i="88"/>
  <c r="M19" i="88"/>
  <c r="M18" i="88"/>
  <c r="M17" i="88"/>
  <c r="M16" i="88"/>
  <c r="M15" i="88"/>
  <c r="M14" i="88"/>
  <c r="M13" i="88"/>
  <c r="M12" i="88"/>
  <c r="M11" i="88"/>
  <c r="M10" i="88"/>
  <c r="M9" i="88"/>
  <c r="M8" i="88"/>
  <c r="M7" i="88"/>
  <c r="M61" i="87"/>
  <c r="M60" i="87"/>
  <c r="M56" i="87"/>
  <c r="M55" i="87"/>
  <c r="M54" i="87"/>
  <c r="M53" i="87"/>
  <c r="M52" i="87"/>
  <c r="M51" i="87"/>
  <c r="M50" i="87"/>
  <c r="M49" i="87"/>
  <c r="F60" i="87"/>
  <c r="F59" i="87"/>
  <c r="F58" i="87"/>
  <c r="F57" i="87"/>
  <c r="F56" i="87"/>
  <c r="F55" i="87"/>
  <c r="F54" i="87"/>
  <c r="F52" i="87"/>
  <c r="F51" i="87"/>
  <c r="F50" i="87"/>
  <c r="F49" i="87"/>
  <c r="M44" i="87"/>
  <c r="M38" i="87"/>
  <c r="M37" i="87"/>
  <c r="M34" i="87"/>
  <c r="M32" i="87"/>
  <c r="M31" i="87"/>
  <c r="M29" i="87"/>
  <c r="F44" i="87"/>
  <c r="F41" i="87"/>
  <c r="F40" i="87"/>
  <c r="F39" i="87"/>
  <c r="F37" i="87"/>
  <c r="F30" i="87"/>
  <c r="F29" i="87"/>
  <c r="M28" i="87"/>
  <c r="F28" i="87"/>
  <c r="N24" i="87"/>
  <c r="N15" i="87"/>
  <c r="M24" i="87"/>
  <c r="M19" i="87"/>
  <c r="M18" i="87"/>
  <c r="M17" i="87"/>
  <c r="M16" i="87"/>
  <c r="M15" i="87"/>
  <c r="M13" i="87"/>
  <c r="M12" i="87"/>
  <c r="M11" i="87"/>
  <c r="M10" i="87"/>
  <c r="M9" i="87"/>
  <c r="M8" i="87"/>
  <c r="M7" i="87"/>
  <c r="M6" i="87"/>
  <c r="F29" i="88"/>
  <c r="F23" i="88"/>
  <c r="F22" i="88"/>
  <c r="F21" i="88"/>
  <c r="F18" i="88"/>
  <c r="F9" i="88"/>
  <c r="F8" i="88"/>
  <c r="F17" i="88" s="1"/>
  <c r="F19" i="88" s="1"/>
  <c r="F7" i="88"/>
  <c r="F24" i="87"/>
  <c r="F23" i="87"/>
  <c r="F20" i="87"/>
  <c r="F19" i="87"/>
  <c r="F18" i="87"/>
  <c r="F16" i="87"/>
  <c r="F8" i="87"/>
  <c r="F7" i="87"/>
  <c r="F6" i="87"/>
  <c r="F5" i="87"/>
  <c r="F28" i="88" l="1"/>
  <c r="F30" i="88" s="1"/>
  <c r="F31" i="88" s="1"/>
  <c r="G28" i="42"/>
  <c r="G33" i="42" s="1"/>
  <c r="G19" i="42"/>
  <c r="G5" i="42"/>
  <c r="F27" i="42"/>
  <c r="F37" i="50"/>
  <c r="F21" i="83" l="1"/>
  <c r="G21" i="83" s="1"/>
  <c r="F16" i="42"/>
  <c r="F73" i="41"/>
  <c r="F26" i="42"/>
  <c r="E28" i="42"/>
  <c r="F33" i="50"/>
  <c r="F15" i="50"/>
  <c r="F29" i="40"/>
  <c r="G29" i="40"/>
  <c r="F18" i="40"/>
  <c r="F14" i="40"/>
  <c r="G14" i="40" s="1"/>
  <c r="G14" i="50" l="1"/>
  <c r="F17" i="50" l="1"/>
  <c r="G73" i="41" l="1"/>
  <c r="G71" i="41"/>
  <c r="G70" i="41"/>
  <c r="G69" i="41"/>
  <c r="G68" i="41"/>
  <c r="G67" i="41"/>
  <c r="G59" i="41"/>
  <c r="G56" i="41"/>
  <c r="G54" i="41"/>
  <c r="G50" i="41"/>
  <c r="G47" i="41"/>
  <c r="G45" i="41"/>
  <c r="G44" i="41"/>
  <c r="G42" i="41"/>
  <c r="G5" i="41"/>
  <c r="F74" i="41"/>
  <c r="F75" i="41" s="1"/>
  <c r="G75" i="41" s="1"/>
  <c r="F71" i="41"/>
  <c r="F69" i="41"/>
  <c r="F68" i="41"/>
  <c r="F67" i="41"/>
  <c r="F63" i="41"/>
  <c r="F59" i="41"/>
  <c r="F54" i="41"/>
  <c r="G30" i="41"/>
  <c r="F10" i="41"/>
  <c r="F6" i="41" s="1"/>
  <c r="G10" i="41"/>
  <c r="F9" i="41"/>
  <c r="G9" i="41"/>
  <c r="F8" i="41"/>
  <c r="G8" i="41"/>
  <c r="G6" i="41" s="1"/>
  <c r="F7" i="41"/>
  <c r="G7" i="41"/>
  <c r="J48" i="82"/>
  <c r="J46" i="82"/>
  <c r="J42" i="82"/>
  <c r="J41" i="82"/>
  <c r="J39" i="82"/>
  <c r="J38" i="82"/>
  <c r="J35" i="82"/>
  <c r="J36" i="82"/>
  <c r="J37" i="82"/>
  <c r="J34" i="82"/>
  <c r="J32" i="82"/>
  <c r="J30" i="82"/>
  <c r="J27" i="82"/>
  <c r="J28" i="82"/>
  <c r="J26" i="82"/>
  <c r="J25" i="82"/>
  <c r="J24" i="82"/>
  <c r="J23" i="82"/>
  <c r="J22" i="82"/>
  <c r="J21" i="82"/>
  <c r="J20" i="82"/>
  <c r="J19" i="82"/>
  <c r="J12" i="82"/>
  <c r="J13" i="82"/>
  <c r="J14" i="82"/>
  <c r="J15" i="82"/>
  <c r="J16" i="82"/>
  <c r="J17" i="82"/>
  <c r="J18" i="82"/>
  <c r="J11" i="82"/>
  <c r="J10" i="82"/>
  <c r="J9" i="82"/>
  <c r="J8" i="82"/>
  <c r="I44" i="82"/>
  <c r="J44" i="82" s="1"/>
  <c r="I41" i="82"/>
  <c r="I37" i="82"/>
  <c r="I35" i="82"/>
  <c r="I34" i="82"/>
  <c r="I25" i="82"/>
  <c r="I22" i="82"/>
  <c r="I8" i="82" s="1"/>
  <c r="I7" i="82" s="1"/>
  <c r="I6" i="82" s="1"/>
  <c r="I5" i="82" s="1"/>
  <c r="J5" i="82" s="1"/>
  <c r="I19" i="82"/>
  <c r="I10" i="82"/>
  <c r="F25" i="42"/>
  <c r="F23" i="42"/>
  <c r="F22" i="42"/>
  <c r="F14" i="42"/>
  <c r="F13" i="42"/>
  <c r="F11" i="42"/>
  <c r="F10" i="42"/>
  <c r="F9" i="42"/>
  <c r="F8" i="42"/>
  <c r="F7" i="42"/>
  <c r="F6" i="42"/>
  <c r="F31" i="42"/>
  <c r="F32" i="42" s="1"/>
  <c r="F15" i="42" l="1"/>
  <c r="G74" i="41"/>
  <c r="I48" i="82"/>
  <c r="G27" i="42"/>
  <c r="G26" i="42"/>
  <c r="G25" i="42"/>
  <c r="G18" i="41" l="1"/>
  <c r="G19" i="41"/>
  <c r="G20" i="41"/>
  <c r="G17" i="41"/>
  <c r="G16" i="41"/>
  <c r="F16" i="41"/>
  <c r="F17" i="41"/>
  <c r="G41" i="41"/>
  <c r="G31" i="41"/>
  <c r="G32" i="41"/>
  <c r="G33" i="41"/>
  <c r="G34" i="41"/>
  <c r="G35" i="41"/>
  <c r="G36" i="41"/>
  <c r="G37" i="41"/>
  <c r="G38" i="41"/>
  <c r="G29" i="41"/>
  <c r="F29" i="41"/>
  <c r="G24" i="41"/>
  <c r="G23" i="41"/>
  <c r="G22" i="41"/>
  <c r="G28" i="41"/>
  <c r="F22" i="41"/>
  <c r="F5" i="41" l="1"/>
  <c r="F5" i="42" s="1"/>
  <c r="F12" i="42" s="1"/>
  <c r="F13" i="40"/>
  <c r="F37" i="40" l="1"/>
  <c r="F36" i="40"/>
  <c r="G35" i="40"/>
  <c r="G13" i="83"/>
  <c r="G6" i="83"/>
  <c r="G7" i="83"/>
  <c r="G8" i="83"/>
  <c r="G36" i="40" s="1"/>
  <c r="G5" i="83"/>
  <c r="G4" i="83"/>
  <c r="F4" i="83"/>
  <c r="G33" i="40"/>
  <c r="G34" i="40"/>
  <c r="G32" i="40"/>
  <c r="F31" i="40"/>
  <c r="G21" i="40"/>
  <c r="G22" i="40"/>
  <c r="G23" i="40"/>
  <c r="G24" i="40"/>
  <c r="G25" i="40"/>
  <c r="G26" i="40"/>
  <c r="G27" i="40"/>
  <c r="G28" i="40"/>
  <c r="G30" i="40"/>
  <c r="G15" i="40"/>
  <c r="G16" i="40"/>
  <c r="G17" i="40"/>
  <c r="G18" i="40"/>
  <c r="G19" i="40"/>
  <c r="G13" i="40"/>
  <c r="G11" i="40"/>
  <c r="G8" i="40"/>
  <c r="F12" i="40"/>
  <c r="F9" i="40"/>
  <c r="F6" i="40"/>
  <c r="F35" i="40" l="1"/>
  <c r="F39" i="40" s="1"/>
  <c r="F19" i="42" s="1"/>
  <c r="F18" i="42" s="1"/>
  <c r="G36" i="50"/>
  <c r="G37" i="50"/>
  <c r="G31" i="42" s="1"/>
  <c r="G35" i="50"/>
  <c r="G32" i="50"/>
  <c r="G31" i="50"/>
  <c r="G30" i="50"/>
  <c r="G25" i="50"/>
  <c r="G26" i="50"/>
  <c r="G27" i="50"/>
  <c r="G28" i="50"/>
  <c r="G29" i="50"/>
  <c r="G23" i="50"/>
  <c r="G22" i="50"/>
  <c r="G21" i="50"/>
  <c r="G16" i="50"/>
  <c r="G17" i="50"/>
  <c r="G18" i="50"/>
  <c r="G19" i="50"/>
  <c r="G20" i="50"/>
  <c r="G15" i="50"/>
  <c r="G9" i="50"/>
  <c r="G10" i="50"/>
  <c r="G11" i="50"/>
  <c r="G12" i="50"/>
  <c r="G8" i="50"/>
  <c r="G6" i="50"/>
  <c r="F34" i="50"/>
  <c r="G34" i="50" s="1"/>
  <c r="F30" i="50"/>
  <c r="F25" i="50"/>
  <c r="F23" i="50"/>
  <c r="F9" i="50"/>
  <c r="F8" i="50"/>
  <c r="F4" i="50"/>
  <c r="F23" i="41"/>
  <c r="F29" i="50"/>
  <c r="F24" i="50"/>
  <c r="F21" i="42" l="1"/>
  <c r="F20" i="42" s="1"/>
  <c r="F28" i="42" s="1"/>
  <c r="F33" i="42" s="1"/>
  <c r="F34" i="42" s="1"/>
  <c r="L6" i="89"/>
  <c r="O24" i="89" l="1"/>
  <c r="M20" i="89"/>
  <c r="M19" i="89"/>
  <c r="J6" i="89"/>
  <c r="E9" i="50" l="1"/>
  <c r="L18" i="88"/>
  <c r="K15" i="88"/>
  <c r="L15" i="88"/>
  <c r="L87" i="88"/>
  <c r="L78" i="88"/>
  <c r="L76" i="88"/>
  <c r="E87" i="88"/>
  <c r="E78" i="88"/>
  <c r="E76" i="88"/>
  <c r="E64" i="88"/>
  <c r="L64" i="88" s="1"/>
  <c r="L55" i="88"/>
  <c r="L54" i="88"/>
  <c r="L48" i="88"/>
  <c r="L46" i="88"/>
  <c r="L34" i="88"/>
  <c r="E58" i="88"/>
  <c r="E61" i="88" s="1"/>
  <c r="E38" i="88"/>
  <c r="E48" i="88" s="1"/>
  <c r="E34" i="88"/>
  <c r="E29" i="88"/>
  <c r="E23" i="88"/>
  <c r="E82" i="88" s="1"/>
  <c r="E84" i="88" s="1"/>
  <c r="L34" i="87"/>
  <c r="L32" i="87"/>
  <c r="L31" i="87"/>
  <c r="L23" i="88" s="1"/>
  <c r="E30" i="87"/>
  <c r="E22" i="88" s="1"/>
  <c r="E41" i="87"/>
  <c r="L56" i="87"/>
  <c r="E59" i="87"/>
  <c r="E56" i="87"/>
  <c r="E55" i="87"/>
  <c r="E54" i="87" s="1"/>
  <c r="L49" i="87"/>
  <c r="E49" i="87"/>
  <c r="L28" i="87"/>
  <c r="E28" i="87"/>
  <c r="E23" i="87"/>
  <c r="E20" i="87" s="1"/>
  <c r="E58" i="87" s="1"/>
  <c r="E57" i="87" s="1"/>
  <c r="E19" i="87"/>
  <c r="E18" i="87" s="1"/>
  <c r="L19" i="87"/>
  <c r="L18" i="87" s="1"/>
  <c r="L55" i="87" s="1"/>
  <c r="L54" i="87" s="1"/>
  <c r="L15" i="87"/>
  <c r="L16" i="88" s="1"/>
  <c r="L11" i="87"/>
  <c r="L12" i="88" s="1"/>
  <c r="L9" i="87"/>
  <c r="L10" i="88" s="1"/>
  <c r="E8" i="87"/>
  <c r="E9" i="88" s="1"/>
  <c r="E7" i="87"/>
  <c r="E26" i="42"/>
  <c r="E10" i="40"/>
  <c r="G10" i="40" s="1"/>
  <c r="E7" i="40"/>
  <c r="G7" i="40" s="1"/>
  <c r="E20" i="40"/>
  <c r="G20" i="40" s="1"/>
  <c r="E24" i="41"/>
  <c r="E4" i="50"/>
  <c r="E25" i="42"/>
  <c r="E29" i="42"/>
  <c r="E30" i="42"/>
  <c r="E31" i="42"/>
  <c r="E23" i="42"/>
  <c r="E22" i="42"/>
  <c r="E14" i="42"/>
  <c r="E13" i="42"/>
  <c r="E40" i="87" s="1"/>
  <c r="E39" i="87" s="1"/>
  <c r="G52" i="41"/>
  <c r="E74" i="41"/>
  <c r="E73" i="41"/>
  <c r="E71" i="41"/>
  <c r="E69" i="41"/>
  <c r="E68" i="41"/>
  <c r="E63" i="41"/>
  <c r="E59" i="41"/>
  <c r="E54" i="41"/>
  <c r="E29" i="41"/>
  <c r="L58" i="88" l="1"/>
  <c r="L61" i="88" s="1"/>
  <c r="E21" i="42"/>
  <c r="G4" i="50"/>
  <c r="E18" i="88"/>
  <c r="E15" i="42"/>
  <c r="E20" i="42"/>
  <c r="E37" i="87"/>
  <c r="E44" i="87" s="1"/>
  <c r="E8" i="88"/>
  <c r="E33" i="50"/>
  <c r="G33" i="50" s="1"/>
  <c r="L29" i="87"/>
  <c r="L21" i="88" s="1"/>
  <c r="L28" i="88" s="1"/>
  <c r="L30" i="88" s="1"/>
  <c r="E32" i="42"/>
  <c r="E7" i="41"/>
  <c r="E8" i="41"/>
  <c r="E9" i="41"/>
  <c r="E10" i="41"/>
  <c r="E16" i="41"/>
  <c r="E23" i="41"/>
  <c r="E22" i="41" s="1"/>
  <c r="E29" i="87" s="1"/>
  <c r="E21" i="88" s="1"/>
  <c r="E28" i="88" s="1"/>
  <c r="E30" i="88" s="1"/>
  <c r="E17" i="41"/>
  <c r="H35" i="82"/>
  <c r="E51" i="87" l="1"/>
  <c r="E6" i="41"/>
  <c r="E5" i="41" s="1"/>
  <c r="E6" i="87" s="1"/>
  <c r="L37" i="87"/>
  <c r="J45" i="82"/>
  <c r="H10" i="82"/>
  <c r="H8" i="82" s="1"/>
  <c r="H7" i="82" s="1"/>
  <c r="H6" i="82" s="1"/>
  <c r="H5" i="82" s="1"/>
  <c r="H19" i="82"/>
  <c r="H22" i="82"/>
  <c r="H25" i="82"/>
  <c r="H37" i="82"/>
  <c r="H34" i="82" s="1"/>
  <c r="H41" i="82"/>
  <c r="H48" i="82" s="1"/>
  <c r="H44" i="82"/>
  <c r="E7" i="88" l="1"/>
  <c r="E17" i="88" s="1"/>
  <c r="E19" i="88" s="1"/>
  <c r="E31" i="88" s="1"/>
  <c r="E88" i="88" s="1"/>
  <c r="E16" i="87"/>
  <c r="L44" i="87"/>
  <c r="L38" i="87"/>
  <c r="L51" i="87"/>
  <c r="E67" i="41"/>
  <c r="E30" i="50"/>
  <c r="E37" i="50"/>
  <c r="E34" i="50"/>
  <c r="E29" i="50"/>
  <c r="E23" i="50"/>
  <c r="E25" i="50"/>
  <c r="E8" i="50"/>
  <c r="G37" i="40"/>
  <c r="E37" i="40"/>
  <c r="L13" i="87" s="1"/>
  <c r="L14" i="88" s="1"/>
  <c r="E31" i="40"/>
  <c r="G31" i="40" s="1"/>
  <c r="E12" i="40"/>
  <c r="G12" i="40" s="1"/>
  <c r="E9" i="40"/>
  <c r="E6" i="40"/>
  <c r="E11" i="42"/>
  <c r="E10" i="42"/>
  <c r="E9" i="42"/>
  <c r="E8" i="42"/>
  <c r="E7" i="42"/>
  <c r="E6" i="42"/>
  <c r="E5" i="42"/>
  <c r="G6" i="40" l="1"/>
  <c r="L6" i="87"/>
  <c r="L7" i="88" s="1"/>
  <c r="G9" i="40"/>
  <c r="L7" i="87"/>
  <c r="L8" i="88" s="1"/>
  <c r="L8" i="87"/>
  <c r="L9" i="88" s="1"/>
  <c r="E12" i="42"/>
  <c r="E16" i="42" s="1"/>
  <c r="O14" i="89"/>
  <c r="E50" i="87"/>
  <c r="E52" i="87" s="1"/>
  <c r="E60" i="87" s="1"/>
  <c r="E24" i="87"/>
  <c r="E75" i="41"/>
  <c r="E4" i="83"/>
  <c r="G3" i="83"/>
  <c r="E21" i="83" l="1"/>
  <c r="E36" i="40"/>
  <c r="G35" i="82"/>
  <c r="D16" i="41"/>
  <c r="E35" i="40" l="1"/>
  <c r="E39" i="40" s="1"/>
  <c r="G39" i="40" s="1"/>
  <c r="L12" i="87"/>
  <c r="K21" i="89"/>
  <c r="L21" i="89"/>
  <c r="L20" i="89"/>
  <c r="K20" i="89"/>
  <c r="J20" i="89"/>
  <c r="L19" i="89"/>
  <c r="K19" i="89"/>
  <c r="J19" i="89"/>
  <c r="M28" i="89"/>
  <c r="I6" i="89"/>
  <c r="D26" i="42"/>
  <c r="D27" i="40"/>
  <c r="D22" i="40"/>
  <c r="D10" i="40"/>
  <c r="D7" i="40"/>
  <c r="L13" i="88" l="1"/>
  <c r="L10" i="87"/>
  <c r="E19" i="42"/>
  <c r="E18" i="42" s="1"/>
  <c r="D29" i="50"/>
  <c r="D8" i="50"/>
  <c r="D28" i="40"/>
  <c r="L11" i="88" l="1"/>
  <c r="L17" i="88" s="1"/>
  <c r="L19" i="88" s="1"/>
  <c r="L31" i="88" s="1"/>
  <c r="L88" i="88" s="1"/>
  <c r="L16" i="87"/>
  <c r="E33" i="42"/>
  <c r="E34" i="42" s="1"/>
  <c r="K87" i="88"/>
  <c r="D87" i="88"/>
  <c r="K78" i="88"/>
  <c r="K76" i="88"/>
  <c r="D78" i="88"/>
  <c r="D76" i="88"/>
  <c r="D64" i="88"/>
  <c r="K64" i="88" s="1"/>
  <c r="D58" i="88"/>
  <c r="D61" i="88" s="1"/>
  <c r="K55" i="88"/>
  <c r="K54" i="88"/>
  <c r="K48" i="88"/>
  <c r="K46" i="88"/>
  <c r="D38" i="88"/>
  <c r="D48" i="88" s="1"/>
  <c r="D29" i="88"/>
  <c r="D23" i="88"/>
  <c r="D82" i="88" s="1"/>
  <c r="D84" i="88" s="1"/>
  <c r="K56" i="87"/>
  <c r="D59" i="87"/>
  <c r="D56" i="87"/>
  <c r="D55" i="87"/>
  <c r="K49" i="87"/>
  <c r="D49" i="87"/>
  <c r="K34" i="87"/>
  <c r="K32" i="87"/>
  <c r="K28" i="87"/>
  <c r="D41" i="87"/>
  <c r="D30" i="87"/>
  <c r="D22" i="88" s="1"/>
  <c r="D28" i="87"/>
  <c r="K11" i="87"/>
  <c r="K12" i="88" s="1"/>
  <c r="K9" i="87"/>
  <c r="K10" i="88" s="1"/>
  <c r="D23" i="87"/>
  <c r="D20" i="87" s="1"/>
  <c r="D58" i="87" s="1"/>
  <c r="D19" i="87"/>
  <c r="D18" i="87" s="1"/>
  <c r="D7" i="87"/>
  <c r="D8" i="88" s="1"/>
  <c r="K34" i="88"/>
  <c r="D34" i="88"/>
  <c r="L50" i="87" l="1"/>
  <c r="L52" i="87" s="1"/>
  <c r="L24" i="87"/>
  <c r="L17" i="87"/>
  <c r="D57" i="87"/>
  <c r="D54" i="87"/>
  <c r="D18" i="88"/>
  <c r="K58" i="88"/>
  <c r="K61" i="88" s="1"/>
  <c r="D14" i="40"/>
  <c r="G44" i="82"/>
  <c r="G21" i="41"/>
  <c r="G34" i="82"/>
  <c r="D30" i="42"/>
  <c r="G30" i="42" s="1"/>
  <c r="D29" i="42"/>
  <c r="G29" i="42" s="1"/>
  <c r="D25" i="42"/>
  <c r="K15" i="87" s="1"/>
  <c r="K16" i="88" s="1"/>
  <c r="D7" i="42"/>
  <c r="G38" i="40"/>
  <c r="D37" i="40"/>
  <c r="C37" i="40"/>
  <c r="D31" i="40"/>
  <c r="D9" i="40"/>
  <c r="D4" i="83"/>
  <c r="D37" i="50"/>
  <c r="D34" i="50" s="1"/>
  <c r="D30" i="50"/>
  <c r="D25" i="50"/>
  <c r="D23" i="50" s="1"/>
  <c r="D17" i="50"/>
  <c r="D4" i="50" s="1"/>
  <c r="D10" i="41"/>
  <c r="G41" i="82"/>
  <c r="G37" i="82"/>
  <c r="D8" i="41"/>
  <c r="G25" i="82"/>
  <c r="G22" i="82"/>
  <c r="G19" i="82"/>
  <c r="G10" i="82"/>
  <c r="D73" i="41"/>
  <c r="D69" i="41"/>
  <c r="D68" i="41" s="1"/>
  <c r="D63" i="41"/>
  <c r="D11" i="42" s="1"/>
  <c r="D59" i="41"/>
  <c r="D10" i="42" s="1"/>
  <c r="D54" i="41"/>
  <c r="D42" i="41"/>
  <c r="D37" i="41"/>
  <c r="D29" i="41"/>
  <c r="D23" i="41"/>
  <c r="D22" i="41" s="1"/>
  <c r="D17" i="41"/>
  <c r="D9" i="41"/>
  <c r="G32" i="42" l="1"/>
  <c r="D29" i="87"/>
  <c r="L53" i="87"/>
  <c r="L60" i="87"/>
  <c r="L61" i="87" s="1"/>
  <c r="D8" i="42"/>
  <c r="D8" i="87"/>
  <c r="D9" i="88" s="1"/>
  <c r="K7" i="87"/>
  <c r="K8" i="88" s="1"/>
  <c r="D23" i="42"/>
  <c r="D33" i="50"/>
  <c r="K18" i="88"/>
  <c r="K19" i="87"/>
  <c r="K18" i="87" s="1"/>
  <c r="K55" i="87" s="1"/>
  <c r="K54" i="87" s="1"/>
  <c r="K13" i="87"/>
  <c r="K14" i="88" s="1"/>
  <c r="D21" i="83"/>
  <c r="D36" i="40"/>
  <c r="D22" i="42"/>
  <c r="K31" i="87"/>
  <c r="K23" i="88" s="1"/>
  <c r="D21" i="42"/>
  <c r="K29" i="87"/>
  <c r="D6" i="42"/>
  <c r="D13" i="42"/>
  <c r="D40" i="87" s="1"/>
  <c r="D39" i="87" s="1"/>
  <c r="D9" i="42"/>
  <c r="D31" i="42"/>
  <c r="D71" i="41"/>
  <c r="D6" i="40"/>
  <c r="D12" i="40"/>
  <c r="G8" i="82"/>
  <c r="I24" i="89"/>
  <c r="H24" i="89"/>
  <c r="N24" i="89" s="1"/>
  <c r="F29" i="89"/>
  <c r="D44" i="87" l="1"/>
  <c r="D37" i="87"/>
  <c r="D51" i="87" s="1"/>
  <c r="D21" i="88"/>
  <c r="D28" i="88" s="1"/>
  <c r="D30" i="88" s="1"/>
  <c r="K6" i="87"/>
  <c r="K7" i="88" s="1"/>
  <c r="D20" i="42"/>
  <c r="D35" i="40"/>
  <c r="K12" i="87"/>
  <c r="K37" i="87"/>
  <c r="K21" i="88"/>
  <c r="K28" i="88" s="1"/>
  <c r="K30" i="88" s="1"/>
  <c r="K8" i="87"/>
  <c r="D74" i="41"/>
  <c r="D14" i="42"/>
  <c r="G7" i="82"/>
  <c r="D15" i="42"/>
  <c r="D32" i="42"/>
  <c r="C26" i="42"/>
  <c r="D39" i="40" l="1"/>
  <c r="K10" i="87"/>
  <c r="K11" i="88" s="1"/>
  <c r="K13" i="88"/>
  <c r="K51" i="87"/>
  <c r="K44" i="87"/>
  <c r="K38" i="87"/>
  <c r="K9" i="88"/>
  <c r="G6" i="82"/>
  <c r="J7" i="89"/>
  <c r="H6" i="89"/>
  <c r="C25" i="42"/>
  <c r="F44" i="82"/>
  <c r="K16" i="87" l="1"/>
  <c r="K24" i="87" s="1"/>
  <c r="D19" i="42"/>
  <c r="D18" i="42" s="1"/>
  <c r="D28" i="42" s="1"/>
  <c r="G18" i="42"/>
  <c r="K17" i="88"/>
  <c r="K19" i="88" s="1"/>
  <c r="K31" i="88" s="1"/>
  <c r="K88" i="88" s="1"/>
  <c r="G5" i="82"/>
  <c r="C10" i="41"/>
  <c r="J55" i="88"/>
  <c r="N55" i="88"/>
  <c r="I55" i="88"/>
  <c r="J34" i="87"/>
  <c r="N34" i="87"/>
  <c r="I34" i="87"/>
  <c r="C37" i="50"/>
  <c r="C34" i="50" s="1"/>
  <c r="C73" i="41"/>
  <c r="K50" i="87" l="1"/>
  <c r="K52" i="87" s="1"/>
  <c r="K60" i="87" s="1"/>
  <c r="D33" i="42"/>
  <c r="D7" i="41"/>
  <c r="G48" i="82"/>
  <c r="C7" i="40"/>
  <c r="C10" i="40"/>
  <c r="C17" i="41"/>
  <c r="C69" i="41"/>
  <c r="D6" i="41" l="1"/>
  <c r="C27" i="40"/>
  <c r="C22" i="40"/>
  <c r="D5" i="41" l="1"/>
  <c r="C25" i="50"/>
  <c r="C9" i="40"/>
  <c r="C12" i="40"/>
  <c r="B12" i="40"/>
  <c r="C4" i="83"/>
  <c r="C30" i="50"/>
  <c r="C6" i="40"/>
  <c r="C37" i="41"/>
  <c r="C16" i="41"/>
  <c r="C9" i="41"/>
  <c r="C23" i="41"/>
  <c r="D6" i="87" l="1"/>
  <c r="D67" i="41"/>
  <c r="D5" i="42"/>
  <c r="C36" i="40"/>
  <c r="B4" i="50"/>
  <c r="B33" i="50" s="1"/>
  <c r="B23" i="50"/>
  <c r="B37" i="40"/>
  <c r="B9" i="40"/>
  <c r="B6" i="40"/>
  <c r="B33" i="41"/>
  <c r="B16" i="41"/>
  <c r="B9" i="41"/>
  <c r="C5" i="88"/>
  <c r="J5" i="88" s="1"/>
  <c r="G5" i="88"/>
  <c r="N5" i="88" s="1"/>
  <c r="B5" i="88"/>
  <c r="I5" i="88" s="1"/>
  <c r="C5" i="87"/>
  <c r="J5" i="87" s="1"/>
  <c r="G5" i="87"/>
  <c r="N5" i="87" s="1"/>
  <c r="B5" i="87"/>
  <c r="I5" i="87" s="1"/>
  <c r="C3" i="50"/>
  <c r="G3" i="50"/>
  <c r="B3" i="50"/>
  <c r="C3" i="83"/>
  <c r="B3" i="83"/>
  <c r="C4" i="40"/>
  <c r="G4" i="40"/>
  <c r="B4" i="40"/>
  <c r="F41" i="82"/>
  <c r="F37" i="82"/>
  <c r="F25" i="82"/>
  <c r="F22" i="82"/>
  <c r="F19" i="82"/>
  <c r="F10" i="82"/>
  <c r="D75" i="41" l="1"/>
  <c r="D12" i="42"/>
  <c r="D16" i="42" s="1"/>
  <c r="D34" i="42" s="1"/>
  <c r="D16" i="87"/>
  <c r="D7" i="88"/>
  <c r="D17" i="88" s="1"/>
  <c r="D19" i="88" s="1"/>
  <c r="D31" i="88" s="1"/>
  <c r="D88" i="88" s="1"/>
  <c r="C35" i="40"/>
  <c r="F34" i="82"/>
  <c r="F8" i="82"/>
  <c r="B23" i="41"/>
  <c r="B22" i="41" s="1"/>
  <c r="C22" i="41"/>
  <c r="B29" i="41"/>
  <c r="C29" i="41"/>
  <c r="B42" i="41"/>
  <c r="C42" i="41"/>
  <c r="B54" i="41"/>
  <c r="B30" i="87" s="1"/>
  <c r="C54" i="41"/>
  <c r="B59" i="41"/>
  <c r="C59" i="41"/>
  <c r="B63" i="41"/>
  <c r="C63" i="41"/>
  <c r="D50" i="87" l="1"/>
  <c r="D52" i="87" s="1"/>
  <c r="K17" i="87"/>
  <c r="D24" i="87"/>
  <c r="G30" i="87"/>
  <c r="G22" i="88" s="1"/>
  <c r="C30" i="87"/>
  <c r="C22" i="88" s="1"/>
  <c r="C8" i="41"/>
  <c r="F7" i="82"/>
  <c r="J7" i="82" s="1"/>
  <c r="I18" i="88"/>
  <c r="J48" i="88"/>
  <c r="J46" i="88"/>
  <c r="C69" i="88"/>
  <c r="G69" i="88"/>
  <c r="C64" i="88"/>
  <c r="J64" i="88" s="1"/>
  <c r="G64" i="88"/>
  <c r="N64" i="88" s="1"/>
  <c r="I54" i="88"/>
  <c r="I58" i="88" s="1"/>
  <c r="J54" i="88"/>
  <c r="C23" i="88"/>
  <c r="C82" i="88" s="1"/>
  <c r="G23" i="88"/>
  <c r="G52" i="88" s="1"/>
  <c r="G19" i="89"/>
  <c r="D60" i="87" l="1"/>
  <c r="K61" i="87" s="1"/>
  <c r="K53" i="87"/>
  <c r="F6" i="82"/>
  <c r="J6" i="82" s="1"/>
  <c r="C52" i="88"/>
  <c r="C58" i="88" s="1"/>
  <c r="C61" i="88" s="1"/>
  <c r="G58" i="88"/>
  <c r="G61" i="88" s="1"/>
  <c r="G82" i="88"/>
  <c r="J58" i="88"/>
  <c r="J61" i="88" s="1"/>
  <c r="F5" i="82" l="1"/>
  <c r="B26" i="89"/>
  <c r="G56" i="87"/>
  <c r="G55" i="87"/>
  <c r="F48" i="82" l="1"/>
  <c r="C7" i="41"/>
  <c r="C6" i="41" l="1"/>
  <c r="C5" i="41" l="1"/>
  <c r="G11" i="42" l="1"/>
  <c r="G10" i="42"/>
  <c r="G9" i="42"/>
  <c r="G6" i="42"/>
  <c r="G7" i="42"/>
  <c r="C38" i="88" l="1"/>
  <c r="C48" i="88" s="1"/>
  <c r="C34" i="88"/>
  <c r="J34" i="88" s="1"/>
  <c r="J18" i="88"/>
  <c r="J15" i="88"/>
  <c r="J56" i="87"/>
  <c r="C56" i="87"/>
  <c r="C55" i="87"/>
  <c r="J49" i="87"/>
  <c r="C49" i="87"/>
  <c r="J32" i="87"/>
  <c r="C41" i="87"/>
  <c r="C59" i="87" s="1"/>
  <c r="J28" i="87"/>
  <c r="C28" i="87"/>
  <c r="J19" i="87"/>
  <c r="J18" i="87" s="1"/>
  <c r="J55" i="87" s="1"/>
  <c r="J13" i="87"/>
  <c r="J14" i="88" s="1"/>
  <c r="J11" i="87"/>
  <c r="J12" i="88" s="1"/>
  <c r="J71" i="88" s="1"/>
  <c r="J9" i="87"/>
  <c r="J10" i="88" s="1"/>
  <c r="C23" i="87"/>
  <c r="C20" i="87" s="1"/>
  <c r="C58" i="87" s="1"/>
  <c r="C7" i="87"/>
  <c r="C8" i="88" s="1"/>
  <c r="C31" i="42"/>
  <c r="C30" i="42"/>
  <c r="C29" i="42"/>
  <c r="C17" i="50"/>
  <c r="G21" i="42" l="1"/>
  <c r="C4" i="50"/>
  <c r="C33" i="50" s="1"/>
  <c r="C32" i="42"/>
  <c r="J54" i="87"/>
  <c r="C57" i="87"/>
  <c r="C54" i="87"/>
  <c r="C31" i="40"/>
  <c r="C39" i="40" l="1"/>
  <c r="C21" i="83"/>
  <c r="J6" i="87"/>
  <c r="J7" i="88" s="1"/>
  <c r="J7" i="87"/>
  <c r="J8" i="88" s="1"/>
  <c r="J15" i="87"/>
  <c r="C71" i="41"/>
  <c r="G29" i="88" s="1"/>
  <c r="C68" i="41"/>
  <c r="C10" i="42"/>
  <c r="C9" i="42"/>
  <c r="C8" i="87"/>
  <c r="C7" i="42"/>
  <c r="C13" i="42" l="1"/>
  <c r="C23" i="50"/>
  <c r="J12" i="87"/>
  <c r="J8" i="87"/>
  <c r="J9" i="88" s="1"/>
  <c r="G14" i="42"/>
  <c r="C29" i="88"/>
  <c r="C9" i="88"/>
  <c r="C11" i="42"/>
  <c r="C8" i="42"/>
  <c r="J29" i="87"/>
  <c r="C21" i="42"/>
  <c r="C23" i="42"/>
  <c r="C19" i="87"/>
  <c r="C74" i="41"/>
  <c r="C14" i="42"/>
  <c r="C40" i="87"/>
  <c r="C39" i="87" s="1"/>
  <c r="J16" i="88"/>
  <c r="C15" i="42" l="1"/>
  <c r="C19" i="42"/>
  <c r="C18" i="42" s="1"/>
  <c r="G13" i="42"/>
  <c r="G15" i="42" s="1"/>
  <c r="G22" i="42"/>
  <c r="J13" i="88"/>
  <c r="J10" i="87"/>
  <c r="C18" i="87"/>
  <c r="C18" i="88"/>
  <c r="C22" i="42"/>
  <c r="J31" i="87"/>
  <c r="J23" i="88" s="1"/>
  <c r="J21" i="88"/>
  <c r="C29" i="87"/>
  <c r="C6" i="42"/>
  <c r="B30" i="89"/>
  <c r="J37" i="87" l="1"/>
  <c r="J11" i="88"/>
  <c r="J16" i="87"/>
  <c r="J28" i="88"/>
  <c r="J87" i="88"/>
  <c r="C37" i="87"/>
  <c r="C44" i="87" s="1"/>
  <c r="C21" i="88"/>
  <c r="C20" i="42"/>
  <c r="J24" i="87" l="1"/>
  <c r="J50" i="87"/>
  <c r="J76" i="88"/>
  <c r="J78" i="88" s="1"/>
  <c r="J17" i="88"/>
  <c r="J19" i="88" s="1"/>
  <c r="C51" i="87"/>
  <c r="C28" i="88"/>
  <c r="C30" i="88" s="1"/>
  <c r="J30" i="88"/>
  <c r="J51" i="87"/>
  <c r="J44" i="87"/>
  <c r="J38" i="87"/>
  <c r="C28" i="42"/>
  <c r="C67" i="41"/>
  <c r="B10" i="89"/>
  <c r="C33" i="42" l="1"/>
  <c r="J52" i="87"/>
  <c r="J60" i="87" s="1"/>
  <c r="J31" i="88"/>
  <c r="J88" i="88" s="1"/>
  <c r="C87" i="88"/>
  <c r="C84" i="88"/>
  <c r="C5" i="42"/>
  <c r="O10" i="89" s="1"/>
  <c r="C6" i="87"/>
  <c r="C16" i="87" s="1"/>
  <c r="G29" i="87"/>
  <c r="N56" i="87"/>
  <c r="B56" i="87"/>
  <c r="B55" i="87"/>
  <c r="G7" i="87"/>
  <c r="C12" i="42" l="1"/>
  <c r="C7" i="88"/>
  <c r="C75" i="41"/>
  <c r="C17" i="88" l="1"/>
  <c r="C19" i="88" s="1"/>
  <c r="C31" i="88" s="1"/>
  <c r="C88" i="88" s="1"/>
  <c r="C76" i="88"/>
  <c r="C78" i="88" s="1"/>
  <c r="C50" i="87"/>
  <c r="C52" i="87" s="1"/>
  <c r="C60" i="87" s="1"/>
  <c r="J17" i="87"/>
  <c r="C24" i="87"/>
  <c r="C16" i="42"/>
  <c r="C34" i="42" l="1"/>
  <c r="J53" i="87"/>
  <c r="J61" i="87"/>
  <c r="B64" i="88" l="1"/>
  <c r="I64" i="88" s="1"/>
  <c r="G34" i="88"/>
  <c r="N34" i="88" s="1"/>
  <c r="B34" i="88"/>
  <c r="I34" i="88" s="1"/>
  <c r="N15" i="88"/>
  <c r="I15" i="88"/>
  <c r="N32" i="87"/>
  <c r="I32" i="87"/>
  <c r="G21" i="88"/>
  <c r="N7" i="87"/>
  <c r="N8" i="88" s="1"/>
  <c r="I7" i="87"/>
  <c r="I8" i="88" s="1"/>
  <c r="N6" i="87"/>
  <c r="N7" i="88" s="1"/>
  <c r="I6" i="87"/>
  <c r="N9" i="87"/>
  <c r="N10" i="88" s="1"/>
  <c r="N69" i="88" s="1"/>
  <c r="I9" i="87"/>
  <c r="I10" i="88" s="1"/>
  <c r="N11" i="87"/>
  <c r="N12" i="88" s="1"/>
  <c r="N71" i="88" s="1"/>
  <c r="I11" i="87"/>
  <c r="I12" i="88" s="1"/>
  <c r="I71" i="88" s="1"/>
  <c r="N16" i="88"/>
  <c r="I19" i="87"/>
  <c r="B23" i="87"/>
  <c r="G19" i="87"/>
  <c r="G18" i="88" s="1"/>
  <c r="G8" i="88"/>
  <c r="G67" i="88" s="1"/>
  <c r="N8" i="87"/>
  <c r="N9" i="88" s="1"/>
  <c r="G49" i="87"/>
  <c r="N49" i="87" s="1"/>
  <c r="B49" i="87"/>
  <c r="I49" i="87" s="1"/>
  <c r="G28" i="87"/>
  <c r="N28" i="87" s="1"/>
  <c r="B28" i="87"/>
  <c r="I28" i="87" s="1"/>
  <c r="G28" i="88" l="1"/>
  <c r="G30" i="88" s="1"/>
  <c r="I7" i="88"/>
  <c r="N18" i="88"/>
  <c r="N19" i="87"/>
  <c r="I13" i="87"/>
  <c r="I14" i="88" s="1"/>
  <c r="G84" i="88" l="1"/>
  <c r="G87" i="88"/>
  <c r="I29" i="87"/>
  <c r="I21" i="88" s="1"/>
  <c r="B21" i="42"/>
  <c r="I31" i="87"/>
  <c r="I23" i="88" s="1"/>
  <c r="B22" i="42"/>
  <c r="N29" i="87"/>
  <c r="N13" i="87"/>
  <c r="N21" i="88" l="1"/>
  <c r="I87" i="88"/>
  <c r="I37" i="87"/>
  <c r="I28" i="88"/>
  <c r="N31" i="87"/>
  <c r="N23" i="88" s="1"/>
  <c r="M30" i="89"/>
  <c r="N19" i="89"/>
  <c r="N37" i="87" l="1"/>
  <c r="N51" i="87" s="1"/>
  <c r="N28" i="88"/>
  <c r="B38" i="88"/>
  <c r="B48" i="88" s="1"/>
  <c r="N46" i="88"/>
  <c r="N48" i="88" s="1"/>
  <c r="G38" i="88"/>
  <c r="G48" i="88" s="1"/>
  <c r="N54" i="88"/>
  <c r="N83" i="88" s="1"/>
  <c r="N6" i="89"/>
  <c r="N87" i="88" l="1"/>
  <c r="E10" i="82"/>
  <c r="G41" i="87" l="1"/>
  <c r="G59" i="87" s="1"/>
  <c r="G37" i="87"/>
  <c r="G51" i="87" s="1"/>
  <c r="G23" i="87" l="1"/>
  <c r="G20" i="87" s="1"/>
  <c r="N14" i="88" l="1"/>
  <c r="G8" i="42" l="1"/>
  <c r="G12" i="42" s="1"/>
  <c r="G8" i="87"/>
  <c r="N18" i="87"/>
  <c r="G9" i="88" l="1"/>
  <c r="G68" i="88" s="1"/>
  <c r="N58" i="88"/>
  <c r="N61" i="88" s="1"/>
  <c r="I8" i="87" l="1"/>
  <c r="I9" i="88" l="1"/>
  <c r="E41" i="82"/>
  <c r="N30" i="88" l="1"/>
  <c r="N44" i="87" l="1"/>
  <c r="G40" i="87" l="1"/>
  <c r="G39" i="87" s="1"/>
  <c r="G44" i="87" s="1"/>
  <c r="N34" i="89" l="1"/>
  <c r="N32" i="89"/>
  <c r="K30" i="89"/>
  <c r="I30" i="89"/>
  <c r="G30" i="89"/>
  <c r="F30" i="89"/>
  <c r="E30" i="89"/>
  <c r="D30" i="89"/>
  <c r="C30" i="89"/>
  <c r="N29" i="89"/>
  <c r="N28" i="89"/>
  <c r="L30" i="89"/>
  <c r="J30" i="89"/>
  <c r="H30" i="89"/>
  <c r="L26" i="89"/>
  <c r="H26" i="89"/>
  <c r="F26" i="89"/>
  <c r="E26" i="89"/>
  <c r="D26" i="89"/>
  <c r="C26" i="89"/>
  <c r="O26" i="89"/>
  <c r="N25" i="89"/>
  <c r="J26" i="89"/>
  <c r="N23" i="89"/>
  <c r="N22" i="89"/>
  <c r="N21" i="89"/>
  <c r="N20" i="89"/>
  <c r="M26" i="89"/>
  <c r="K26" i="89"/>
  <c r="I26" i="89"/>
  <c r="N16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O13" i="89"/>
  <c r="N13" i="89"/>
  <c r="N12" i="89"/>
  <c r="N11" i="89"/>
  <c r="F10" i="89"/>
  <c r="E10" i="89"/>
  <c r="D10" i="89"/>
  <c r="C10" i="89"/>
  <c r="N9" i="89"/>
  <c r="N8" i="89"/>
  <c r="N7" i="89"/>
  <c r="M10" i="89"/>
  <c r="L10" i="89"/>
  <c r="K10" i="89"/>
  <c r="J10" i="89"/>
  <c r="I10" i="89"/>
  <c r="H10" i="89"/>
  <c r="H15" i="89" s="1"/>
  <c r="H18" i="89" s="1"/>
  <c r="G10" i="89"/>
  <c r="I59" i="88"/>
  <c r="I61" i="88" s="1"/>
  <c r="B59" i="88"/>
  <c r="I46" i="88"/>
  <c r="I48" i="88" s="1"/>
  <c r="B10" i="88"/>
  <c r="B41" i="87"/>
  <c r="I39" i="87"/>
  <c r="I56" i="87" s="1"/>
  <c r="B31" i="87"/>
  <c r="B23" i="88" s="1"/>
  <c r="B22" i="88"/>
  <c r="I22" i="87"/>
  <c r="B21" i="87"/>
  <c r="L15" i="89" l="1"/>
  <c r="L18" i="89" s="1"/>
  <c r="G15" i="89"/>
  <c r="G18" i="89" s="1"/>
  <c r="I15" i="89"/>
  <c r="I18" i="89" s="1"/>
  <c r="K15" i="89"/>
  <c r="K18" i="89" s="1"/>
  <c r="M15" i="89"/>
  <c r="M18" i="89" s="1"/>
  <c r="B51" i="88"/>
  <c r="B58" i="88" s="1"/>
  <c r="B61" i="88" s="1"/>
  <c r="B8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1" i="89"/>
  <c r="D33" i="89" s="1"/>
  <c r="F31" i="89"/>
  <c r="F33" i="89" s="1"/>
  <c r="J31" i="89"/>
  <c r="J33" i="89" s="1"/>
  <c r="L31" i="89"/>
  <c r="L33" i="89" s="1"/>
  <c r="I31" i="89"/>
  <c r="I33" i="89" s="1"/>
  <c r="H31" i="89"/>
  <c r="H33" i="89" s="1"/>
  <c r="E31" i="89"/>
  <c r="E33" i="89" s="1"/>
  <c r="C31" i="89"/>
  <c r="C33" i="89" s="1"/>
  <c r="J15" i="89"/>
  <c r="J18" i="89" s="1"/>
  <c r="O30" i="89"/>
  <c r="I30" i="88"/>
  <c r="B20" i="87"/>
  <c r="B58" i="87" s="1"/>
  <c r="K31" i="89"/>
  <c r="K33" i="89" s="1"/>
  <c r="M31" i="89"/>
  <c r="N10" i="89"/>
  <c r="B15" i="89"/>
  <c r="G26" i="89"/>
  <c r="N26" i="89" s="1"/>
  <c r="N27" i="89"/>
  <c r="B31" i="89"/>
  <c r="B33" i="89" s="1"/>
  <c r="B59" i="87"/>
  <c r="I18" i="87"/>
  <c r="B18" i="89" l="1"/>
  <c r="B35" i="89"/>
  <c r="I55" i="87"/>
  <c r="I54" i="87" s="1"/>
  <c r="M33" i="89"/>
  <c r="O31" i="89"/>
  <c r="O33" i="89" s="1"/>
  <c r="B57" i="87"/>
  <c r="N15" i="89"/>
  <c r="G31" i="89"/>
  <c r="G33" i="89" s="1"/>
  <c r="I51" i="87"/>
  <c r="I44" i="87"/>
  <c r="N31" i="89" l="1"/>
  <c r="N38" i="87"/>
  <c r="N33" i="89"/>
  <c r="N35" i="89" s="1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N55" i="87"/>
  <c r="N54" i="87" s="1"/>
  <c r="B31" i="40" l="1"/>
  <c r="G58" i="87" l="1"/>
  <c r="G57" i="87" l="1"/>
  <c r="B71" i="41"/>
  <c r="B14" i="42" l="1"/>
  <c r="B29" i="88"/>
  <c r="B25" i="42" l="1"/>
  <c r="I15" i="87" s="1"/>
  <c r="I16" i="88" s="1"/>
  <c r="B31" i="42"/>
  <c r="B30" i="42"/>
  <c r="B29" i="42"/>
  <c r="B34" i="50"/>
  <c r="B68" i="41"/>
  <c r="E25" i="82"/>
  <c r="B19" i="87" l="1"/>
  <c r="B13" i="42"/>
  <c r="G18" i="87"/>
  <c r="G54" i="87" s="1"/>
  <c r="B8" i="87"/>
  <c r="B32" i="42"/>
  <c r="B11" i="42"/>
  <c r="B9" i="42"/>
  <c r="B74" i="41"/>
  <c r="B9" i="88" l="1"/>
  <c r="B6" i="42"/>
  <c r="B29" i="87"/>
  <c r="B40" i="87"/>
  <c r="B39" i="87" s="1"/>
  <c r="B15" i="42"/>
  <c r="B18" i="88"/>
  <c r="B18" i="87"/>
  <c r="B54" i="87" s="1"/>
  <c r="B7" i="87"/>
  <c r="B8" i="88" s="1"/>
  <c r="B8" i="42"/>
  <c r="N17" i="89" l="1"/>
  <c r="N18" i="89" s="1"/>
  <c r="B21" i="88"/>
  <c r="B37" i="87"/>
  <c r="B7" i="42"/>
  <c r="B28" i="88" l="1"/>
  <c r="B30" i="88" s="1"/>
  <c r="B84" i="88"/>
  <c r="B87" i="88" s="1"/>
  <c r="B51" i="87"/>
  <c r="B44" i="87"/>
  <c r="I38" i="87"/>
  <c r="B30" i="50"/>
  <c r="B4" i="83"/>
  <c r="B36" i="40" s="1"/>
  <c r="G23" i="42" l="1"/>
  <c r="G20" i="42" s="1"/>
  <c r="B21" i="83"/>
  <c r="B23" i="42"/>
  <c r="B20" i="42" s="1"/>
  <c r="I12" i="87" l="1"/>
  <c r="B35" i="40"/>
  <c r="E37" i="82"/>
  <c r="E34" i="82" l="1"/>
  <c r="N12" i="87"/>
  <c r="I13" i="88"/>
  <c r="I10" i="87"/>
  <c r="I16" i="87" s="1"/>
  <c r="I24" i="87" s="1"/>
  <c r="B39" i="40"/>
  <c r="B8" i="41" l="1"/>
  <c r="B19" i="42"/>
  <c r="B18" i="42" s="1"/>
  <c r="I11" i="88"/>
  <c r="N13" i="88"/>
  <c r="N10" i="87"/>
  <c r="E22" i="82"/>
  <c r="E19" i="82"/>
  <c r="I17" i="88" l="1"/>
  <c r="E8" i="82"/>
  <c r="I50" i="87"/>
  <c r="I52" i="87" s="1"/>
  <c r="I60" i="87" s="1"/>
  <c r="N11" i="88"/>
  <c r="N16" i="87"/>
  <c r="E7" i="82" l="1"/>
  <c r="N50" i="87"/>
  <c r="N52" i="87" s="1"/>
  <c r="N60" i="87" s="1"/>
  <c r="I76" i="88"/>
  <c r="I78" i="88" s="1"/>
  <c r="I19" i="88"/>
  <c r="I31" i="88" s="1"/>
  <c r="I88" i="88" s="1"/>
  <c r="N17" i="88"/>
  <c r="N19" i="88" s="1"/>
  <c r="N31" i="88" s="1"/>
  <c r="N88" i="88" s="1"/>
  <c r="N76" i="88"/>
  <c r="N78" i="88" s="1"/>
  <c r="E6" i="82" l="1"/>
  <c r="E5" i="82" l="1"/>
  <c r="O15" i="89"/>
  <c r="O18" i="89" s="1"/>
  <c r="O35" i="89" s="1"/>
  <c r="B28" i="42"/>
  <c r="B10" i="42"/>
  <c r="B7" i="41" l="1"/>
  <c r="B6" i="41" s="1"/>
  <c r="B5" i="41" s="1"/>
  <c r="E48" i="82"/>
  <c r="B33" i="42"/>
  <c r="G6" i="87" l="1"/>
  <c r="G7" i="88" s="1"/>
  <c r="G17" i="88" s="1"/>
  <c r="G19" i="88" s="1"/>
  <c r="B5" i="42"/>
  <c r="B12" i="42" s="1"/>
  <c r="B16" i="42" s="1"/>
  <c r="B6" i="87"/>
  <c r="B67" i="41"/>
  <c r="G16" i="87"/>
  <c r="G24" i="87" s="1"/>
  <c r="B75" i="41" l="1"/>
  <c r="B7" i="88"/>
  <c r="B16" i="87"/>
  <c r="G16" i="42"/>
  <c r="G34" i="42" s="1"/>
  <c r="G76" i="88"/>
  <c r="G78" i="88" s="1"/>
  <c r="G50" i="87"/>
  <c r="G52" i="87" s="1"/>
  <c r="G60" i="87" s="1"/>
  <c r="N17" i="87"/>
  <c r="B34" i="42"/>
  <c r="B24" i="87" l="1"/>
  <c r="B50" i="87"/>
  <c r="B52" i="87" s="1"/>
  <c r="I17" i="87"/>
  <c r="B76" i="88"/>
  <c r="B78" i="88" s="1"/>
  <c r="B17" i="88"/>
  <c r="B19" i="88" s="1"/>
  <c r="B31" i="88" s="1"/>
  <c r="B88" i="88" s="1"/>
  <c r="N61" i="87"/>
  <c r="N53" i="87"/>
  <c r="B60" i="87" l="1"/>
  <c r="I61" i="87" s="1"/>
  <c r="I53" i="87"/>
  <c r="G31" i="88"/>
  <c r="G88" i="88" s="1"/>
</calcChain>
</file>

<file path=xl/sharedStrings.xml><?xml version="1.0" encoding="utf-8"?>
<sst xmlns="http://schemas.openxmlformats.org/spreadsheetml/2006/main" count="531" uniqueCount="363">
  <si>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</si>
  <si>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</si>
  <si>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</si>
  <si>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</si>
  <si>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</si>
  <si>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</si>
  <si>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</si>
  <si>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</si>
  <si>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</si>
  <si>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</si>
  <si>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</si>
  <si>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</si>
  <si>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</si>
  <si>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</si>
  <si>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</si>
  <si>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</si>
  <si>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</si>
  <si>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</si>
  <si>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</si>
  <si>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</si>
  <si>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</si>
  <si>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</si>
  <si>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</si>
  <si>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</si>
  <si>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</si>
  <si>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</si>
  <si>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</si>
  <si>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</si>
  <si>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</si>
  <si>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</si>
  <si>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</si>
  <si>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</si>
  <si>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</si>
  <si>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</si>
  <si>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</si>
  <si>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</si>
  <si>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</si>
  <si>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</si>
  <si>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</si>
  <si>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</si>
  <si>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</si>
  <si>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</si>
  <si>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</si>
  <si>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</si>
  <si>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</si>
  <si>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</si>
  <si>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</si>
  <si>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</si>
  <si>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</si>
  <si>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</si>
  <si>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</si>
  <si>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</si>
  <si>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</si>
  <si>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</si>
  <si>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</si>
  <si>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</si>
  <si>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</si>
  <si>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</si>
  <si>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</si>
  <si>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</si>
  <si>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</si>
  <si>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</si>
  <si>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</si>
  <si>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</si>
  <si>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</si>
  <si>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</si>
  <si>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</si>
  <si>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</si>
  <si>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</si>
  <si>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</si>
  <si>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</si>
  <si>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</si>
  <si>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</si>
  <si>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</si>
  <si>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</si>
  <si>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</si>
  <si>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</si>
  <si>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</si>
  <si>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</si>
  <si>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</si>
  <si>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</si>
  <si>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</si>
  <si>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</si>
  <si>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</si>
  <si>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</si>
  <si>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</si>
  <si>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</si>
  <si>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</si>
  <si>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</si>
  <si>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</si>
  <si>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</si>
  <si>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</si>
  <si>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</si>
  <si>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</si>
  <si>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</si>
  <si>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</si>
  <si>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</si>
  <si>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</si>
  <si>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</si>
  <si>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</si>
  <si>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</si>
  <si>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</si>
  <si>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</si>
  <si>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</si>
  <si>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</si>
  <si>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</si>
  <si>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</si>
  <si>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</si>
  <si>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</si>
  <si>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</si>
  <si>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</si>
  <si>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</si>
  <si>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</si>
  <si>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</si>
  <si>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</si>
  <si>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</si>
  <si>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</si>
  <si>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</si>
  <si>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</si>
  <si>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</si>
  <si>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</si>
  <si>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</si>
  <si>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</si>
  <si>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</si>
  <si>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</si>
  <si>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</si>
  <si>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</si>
  <si>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</si>
  <si>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</si>
  <si>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</si>
  <si>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</si>
  <si>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</si>
  <si>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</si>
  <si>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</si>
  <si>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</si>
  <si>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</si>
  <si>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</si>
  <si>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</si>
  <si>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</si>
  <si>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</si>
  <si>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</si>
  <si>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</si>
  <si>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</si>
  <si>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</si>
  <si>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</si>
  <si>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</si>
  <si>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</si>
  <si>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</si>
  <si>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</si>
  <si>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</si>
  <si>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</si>
  <si>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</si>
  <si>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</si>
  <si>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</si>
  <si>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</si>
  <si>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</si>
  <si>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</si>
  <si>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</si>
  <si>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</si>
  <si>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</si>
  <si>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</si>
  <si>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</si>
  <si>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</si>
  <si>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</si>
  <si>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</si>
  <si>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</si>
  <si>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</si>
  <si>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</si>
  <si>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</si>
  <si>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</si>
  <si>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</si>
  <si>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</si>
  <si>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</si>
  <si>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</si>
  <si>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</si>
  <si>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</si>
  <si>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</si>
  <si>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</si>
  <si>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</si>
  <si>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</si>
  <si>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</si>
  <si>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</si>
  <si>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</si>
  <si>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</si>
  <si>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</si>
  <si>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</si>
  <si>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</si>
  <si>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</si>
  <si>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</si>
  <si>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</si>
  <si>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</si>
  <si>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</si>
  <si>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</si>
  <si>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</si>
  <si>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</si>
  <si>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</si>
  <si>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</si>
  <si>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</si>
  <si>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</si>
  <si>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</si>
  <si>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</si>
  <si>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</si>
  <si>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</si>
  <si>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</si>
  <si>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</si>
  <si>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</si>
  <si>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</si>
  <si>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</si>
  <si>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</si>
  <si>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</si>
  <si>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</si>
  <si>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</si>
  <si>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</si>
  <si>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</si>
  <si>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</si>
  <si>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</si>
  <si>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</si>
  <si>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</si>
  <si>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</si>
  <si>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</si>
  <si>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</si>
  <si>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</si>
  <si>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</si>
  <si>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</si>
  <si>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</si>
  <si>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</si>
  <si>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</si>
  <si>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</si>
  <si>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</si>
  <si>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</si>
  <si>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</si>
  <si>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</si>
  <si>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</si>
  <si>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</si>
  <si>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</si>
  <si>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</si>
  <si>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</si>
  <si>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</si>
  <si>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</si>
  <si>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</si>
  <si>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</si>
  <si>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</si>
  <si>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</si>
  <si>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</si>
  <si>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</si>
  <si>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</si>
  <si>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</si>
  <si>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</si>
  <si>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</si>
  <si>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</si>
  <si>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</si>
  <si>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</si>
  <si>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</si>
  <si>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</si>
  <si>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</si>
  <si>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</si>
  <si>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</si>
  <si>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</si>
  <si>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</si>
  <si>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</si>
  <si>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</si>
  <si>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</si>
  <si>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</si>
  <si>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</si>
  <si>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</si>
  <si>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</si>
  <si>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</si>
  <si>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</si>
  <si>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</si>
  <si>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</si>
  <si>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</si>
  <si>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</si>
  <si>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</si>
  <si>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</si>
  <si>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</si>
  <si>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</si>
  <si>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</si>
  <si>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</si>
  <si>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</si>
  <si>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</si>
  <si>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</si>
  <si>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</si>
  <si>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</si>
  <si>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</si>
  <si>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</si>
  <si>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</si>
  <si>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</si>
  <si>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</si>
  <si>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</si>
  <si>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</si>
  <si>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</si>
  <si>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</si>
  <si>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</si>
  <si>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</si>
  <si>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</si>
  <si>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</si>
  <si>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</si>
  <si>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</si>
  <si>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</si>
  <si>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</si>
  <si>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</si>
  <si>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</si>
  <si>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</si>
  <si>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</si>
  <si>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</si>
  <si>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</si>
  <si>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</si>
  <si>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</si>
  <si>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</si>
  <si>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</si>
  <si>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>2019. évi eredeti előirányzat</t>
  </si>
  <si>
    <t>ÁLLAMI TÁMOGATÁSOK 2019. ÉV</t>
  </si>
  <si>
    <t>MŰKÖDÉSI KIADÁSOK 2019. ÉV</t>
  </si>
  <si>
    <t>FELHALMOZÁSI KIADÁSOK 2019. ÉV</t>
  </si>
  <si>
    <t xml:space="preserve">      EFOP Humán közszolgáltatások fejlesztése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</si>
  <si>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</si>
  <si>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</si>
  <si>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</si>
  <si>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</si>
  <si>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</si>
  <si>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</si>
  <si>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</si>
  <si>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EFOP Működési célú előzetesen felszámított áfa</t>
  </si>
  <si>
    <t>Szennyvízszivattyú felújítás</t>
  </si>
  <si>
    <t>Sátor beszerzés</t>
  </si>
  <si>
    <t>Az Önkormányzat működési bevételei és kiadásai 2019. év</t>
  </si>
  <si>
    <t xml:space="preserve"> Az Önkormányzat felhalmozási bevételei és kiadásai  2019. év</t>
  </si>
  <si>
    <t>Bevétele és kiadások mérlege 2019. év</t>
  </si>
  <si>
    <t xml:space="preserve"> Az Önkormányzat kötelező feladatok bevételei és kiadásai 2019.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</si>
  <si>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2019.</t>
    </r>
  </si>
  <si>
    <t xml:space="preserve"> Az Önkormányzat önként vállalt feladatok bevételei és kiadásai  2019. év</t>
  </si>
  <si>
    <t xml:space="preserve"> Az Önkormányzat állami (államigazgatási) feladatok bevételei és kiadásai  2019. év</t>
  </si>
  <si>
    <t>I. Módosítás</t>
  </si>
  <si>
    <t>Eltérés</t>
  </si>
  <si>
    <t>Előző évi közfoglalkoztatási támogatás visszafizetésik kötelezettség</t>
  </si>
  <si>
    <t>Traktor beszerzés támogatás - Konzorciumi megállapodás alapján</t>
  </si>
  <si>
    <t>5. 2018. évről áthúzódó bérkompenzáció támogatása</t>
  </si>
  <si>
    <t>Ingatlanok beszerzése</t>
  </si>
  <si>
    <t>Zártkerti program pályázat - Vadkerítés építés</t>
  </si>
  <si>
    <t>Zártkerti program pályázat (Műszaki ellenőr - 27/2019. (III. 13.))</t>
  </si>
  <si>
    <t>Ingatlan vásárlás - Vászoly, 020/6 hrsz. 36/2019. (III.13.)</t>
  </si>
  <si>
    <t>Ingatlan vásárlás - Vászoly, 020/5 hrsz. 37/2019. (III.13.)</t>
  </si>
  <si>
    <t xml:space="preserve">      Diákmunka támogatás</t>
  </si>
  <si>
    <t xml:space="preserve">2. Munkaadót terhelő járulékok </t>
  </si>
  <si>
    <t>Traktor beszerzés - Konzorciumi megállapodás alapján</t>
  </si>
  <si>
    <t>A falu- és tanyagondnoki szolgálatok 2019. évi többlettámogatása</t>
  </si>
  <si>
    <t>Vászoly 204/1-7 hrsz. telkek útburkolat kialakítása 34/2019. (III. 13.)</t>
  </si>
  <si>
    <t>II. Módosítás</t>
  </si>
  <si>
    <t>Önkormányzatok szociális célú tüzelőanyag vásárlásához kapcsolódó támogatása</t>
  </si>
  <si>
    <t>Új telkek áramellátása és közvilágítás kiépítése (András utca) 59/2019. (VII. 09.)</t>
  </si>
  <si>
    <t>Szakmai tevékenységet segítő szolgáltatások 60/2019. (VII. 09.)</t>
  </si>
  <si>
    <t>Működési célú előzetesen felszámított áfa 60/2019. (VII. 09.)</t>
  </si>
  <si>
    <t>Kukolla közművesítés 75/2019. (VIII. 30.)</t>
  </si>
  <si>
    <t>III. Módosítás</t>
  </si>
  <si>
    <t xml:space="preserve">      2018. évi elszámolás KÖH</t>
  </si>
  <si>
    <t>Falugondnoki autó beszerzése MFP-TFB/2019</t>
  </si>
  <si>
    <t>Közvetített szolgáltatások</t>
  </si>
  <si>
    <t>Kultúrház színpad elkészítése 120/2019. (XI. 07.)</t>
  </si>
  <si>
    <t xml:space="preserve">      Vászolyi értéktár - településünk egyedi értékei</t>
  </si>
  <si>
    <t>Vászolyi értéktár - településünk egyedi értékei</t>
  </si>
  <si>
    <t>IV. Módosítás</t>
  </si>
  <si>
    <t>Tihany Iskola Alapítvány támogatása 132/2019. (XII. 09.)</t>
  </si>
  <si>
    <t>Tablet beszerzés - falugondnok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</si>
</sst>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2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220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3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3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4" xfId="83" applyNumberFormat="1" applyFont="1" applyBorder="1" applyAlignment="1">
      <alignment horizontal="left" wrapText="1"/>
    </xf>
    <xf numFmtId="3" fontId="26" fillId="0" borderId="25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  <cell r="C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M36"/>
  <sheetViews>
    <sheetView tabSelected="1" view="pageLayout" topLeftCell="A3" zoomScaleNormal="75" zoomScaleSheetLayoutView="89" workbookViewId="0">
      <selection activeCell="A3" sqref="A3:G3"/>
    </sheetView>
  </sheetViews>
  <sheetFormatPr defaultColWidth="8.5703125" defaultRowHeight="15.75" x14ac:dyDescent="0.25"/>
  <cols>
    <col min="1" max="1" width="39" style="12" customWidth="1"/>
    <col min="2" max="2" width="14.140625" style="2" customWidth="1"/>
    <col min="3" max="3" width="12.5703125" style="2" customWidth="1"/>
    <col min="4" max="4" width="12.42578125" style="2" customWidth="1"/>
    <col min="5" max="5" width="13.28515625" style="2" customWidth="1"/>
    <col min="6" max="6" width="13.7109375" style="2" customWidth="1"/>
    <col min="7" max="7" width="13.85546875" style="2" customWidth="1"/>
    <col min="8" max="8" width="10.140625" style="2" bestFit="1" customWidth="1"/>
    <col min="9" max="9" width="12.42578125" style="2" bestFit="1" customWidth="1"/>
    <col min="10" max="16384" width="8.5703125" style="2"/>
  </cols>
  <sheetData>
    <row r="1" spans="1:9" hidden="1" x14ac:dyDescent="0.25">
      <c r="A1" s="1"/>
    </row>
    <row r="2" spans="1:9" hidden="1" x14ac:dyDescent="0.25">
      <c r="A2" s="1"/>
    </row>
    <row r="3" spans="1:9" ht="45" customHeight="1" x14ac:dyDescent="0.25">
      <c r="A3" s="199" t="s">
        <v>134</v>
      </c>
      <c r="B3" s="199"/>
      <c r="C3" s="199"/>
      <c r="D3" s="199"/>
      <c r="E3" s="199"/>
      <c r="F3" s="199"/>
      <c r="G3" s="199"/>
    </row>
    <row r="4" spans="1:9" s="7" customFormat="1" ht="56.25" customHeight="1" x14ac:dyDescent="0.2">
      <c r="A4" s="13" t="s">
        <v>90</v>
      </c>
      <c r="B4" s="13" t="s">
        <v>310</v>
      </c>
      <c r="C4" s="13" t="s">
        <v>332</v>
      </c>
      <c r="D4" s="13" t="s">
        <v>347</v>
      </c>
      <c r="E4" s="13" t="s">
        <v>353</v>
      </c>
      <c r="F4" s="13" t="s">
        <v>360</v>
      </c>
      <c r="G4" s="13" t="s">
        <v>333</v>
      </c>
    </row>
    <row r="5" spans="1:9" ht="31.5" x14ac:dyDescent="0.25">
      <c r="A5" s="175" t="s">
        <v>3</v>
      </c>
      <c r="B5" s="4">
        <f>'2.sz.tábla'!B5</f>
        <v>30598342</v>
      </c>
      <c r="C5" s="4">
        <f>'2.sz.tábla'!C5</f>
        <v>32920253</v>
      </c>
      <c r="D5" s="4">
        <f>'2.sz.tábla'!D5</f>
        <v>33308873</v>
      </c>
      <c r="E5" s="4">
        <f>'2.sz.tábla'!E5</f>
        <v>35483776</v>
      </c>
      <c r="F5" s="4">
        <f>'2.sz.tábla'!F5</f>
        <v>35483776</v>
      </c>
      <c r="G5" s="4">
        <f>'2.sz.tábla'!G5</f>
        <v>0</v>
      </c>
    </row>
    <row r="6" spans="1:9" ht="31.5" x14ac:dyDescent="0.25">
      <c r="A6" s="175" t="s">
        <v>4</v>
      </c>
      <c r="B6" s="4">
        <f>'2.sz.tábla'!B22</f>
        <v>4000000</v>
      </c>
      <c r="C6" s="4">
        <f>'2.sz.tábla'!C22</f>
        <v>4000000</v>
      </c>
      <c r="D6" s="4">
        <f>'2.sz.tábla'!D22</f>
        <v>4000000</v>
      </c>
      <c r="E6" s="4">
        <f>'2.sz.tábla'!E22</f>
        <v>18247660</v>
      </c>
      <c r="F6" s="4">
        <f>'2.sz.tábla'!F22</f>
        <v>18247660</v>
      </c>
      <c r="G6" s="4">
        <f>'2.sz.tábla'!G22</f>
        <v>0</v>
      </c>
    </row>
    <row r="7" spans="1:9" ht="21.75" customHeight="1" x14ac:dyDescent="0.25">
      <c r="A7" s="175" t="s">
        <v>5</v>
      </c>
      <c r="B7" s="4">
        <f>'2.sz.tábla'!B29</f>
        <v>10700000</v>
      </c>
      <c r="C7" s="4">
        <f>'2.sz.tábla'!C29</f>
        <v>10700000</v>
      </c>
      <c r="D7" s="4">
        <f>'2.sz.tábla'!D29</f>
        <v>10700000</v>
      </c>
      <c r="E7" s="4">
        <f>'2.sz.tábla'!E29</f>
        <v>10700000</v>
      </c>
      <c r="F7" s="4">
        <f>'2.sz.tábla'!F29</f>
        <v>10700000</v>
      </c>
      <c r="G7" s="4">
        <f>'2.sz.tábla'!G29</f>
        <v>0</v>
      </c>
    </row>
    <row r="8" spans="1:9" ht="22.5" customHeight="1" x14ac:dyDescent="0.25">
      <c r="A8" s="175" t="s">
        <v>6</v>
      </c>
      <c r="B8" s="4">
        <f>'2.sz.tábla'!B42</f>
        <v>1050000</v>
      </c>
      <c r="C8" s="4">
        <f>'2.sz.tábla'!C42</f>
        <v>1050000</v>
      </c>
      <c r="D8" s="4">
        <f>'2.sz.tábla'!D42</f>
        <v>1050000</v>
      </c>
      <c r="E8" s="4">
        <f>'2.sz.tábla'!E42</f>
        <v>1050000</v>
      </c>
      <c r="F8" s="4">
        <f>'2.sz.tábla'!F42</f>
        <v>1050000</v>
      </c>
      <c r="G8" s="4">
        <f>'2.sz.tábla'!G42</f>
        <v>0</v>
      </c>
    </row>
    <row r="9" spans="1:9" ht="24" customHeight="1" x14ac:dyDescent="0.25">
      <c r="A9" s="175" t="s">
        <v>7</v>
      </c>
      <c r="B9" s="4">
        <f>'2.sz.tábla'!B54</f>
        <v>0</v>
      </c>
      <c r="C9" s="4">
        <f>'2.sz.tábla'!C54</f>
        <v>3588000</v>
      </c>
      <c r="D9" s="4">
        <f>'2.sz.tábla'!D54</f>
        <v>3588000</v>
      </c>
      <c r="E9" s="4">
        <f>'2.sz.tábla'!E54</f>
        <v>3588000</v>
      </c>
      <c r="F9" s="4">
        <f>'2.sz.tábla'!F54</f>
        <v>3588000</v>
      </c>
      <c r="G9" s="4">
        <f>'2.sz.tábla'!G54</f>
        <v>0</v>
      </c>
    </row>
    <row r="10" spans="1:9" ht="27" customHeight="1" x14ac:dyDescent="0.25">
      <c r="A10" s="176" t="s">
        <v>8</v>
      </c>
      <c r="B10" s="4">
        <f>'2.sz.tábla'!B59</f>
        <v>0</v>
      </c>
      <c r="C10" s="4">
        <f>'2.sz.tábla'!C59</f>
        <v>0</v>
      </c>
      <c r="D10" s="4">
        <f>'2.sz.tábla'!D59</f>
        <v>0</v>
      </c>
      <c r="E10" s="4">
        <f>'2.sz.tábla'!E59</f>
        <v>0</v>
      </c>
      <c r="F10" s="4">
        <f>'2.sz.tábla'!F59</f>
        <v>0</v>
      </c>
      <c r="G10" s="4">
        <f>'2.sz.tábla'!G59</f>
        <v>0</v>
      </c>
      <c r="I10" s="31"/>
    </row>
    <row r="11" spans="1:9" ht="24" customHeight="1" x14ac:dyDescent="0.25">
      <c r="A11" s="176" t="s">
        <v>9</v>
      </c>
      <c r="B11" s="4">
        <f>'2.sz.tábla'!B63</f>
        <v>0</v>
      </c>
      <c r="C11" s="4">
        <f>'2.sz.tábla'!C63</f>
        <v>0</v>
      </c>
      <c r="D11" s="4">
        <f>'2.sz.tábla'!D63</f>
        <v>0</v>
      </c>
      <c r="E11" s="4">
        <f>'2.sz.tábla'!E63</f>
        <v>0</v>
      </c>
      <c r="F11" s="4">
        <f>'2.sz.tábla'!F63</f>
        <v>0</v>
      </c>
      <c r="G11" s="4">
        <f>'2.sz.tábla'!G63</f>
        <v>0</v>
      </c>
    </row>
    <row r="12" spans="1:9" s="8" customFormat="1" ht="24" customHeight="1" x14ac:dyDescent="0.25">
      <c r="A12" s="177" t="s">
        <v>10</v>
      </c>
      <c r="B12" s="6">
        <f>SUM(B5:B11)</f>
        <v>46348342</v>
      </c>
      <c r="C12" s="6">
        <f t="shared" ref="C12:F12" si="0">SUM(C5:C11)</f>
        <v>52258253</v>
      </c>
      <c r="D12" s="6">
        <f t="shared" si="0"/>
        <v>52646873</v>
      </c>
      <c r="E12" s="6">
        <f t="shared" si="0"/>
        <v>69069436</v>
      </c>
      <c r="F12" s="6">
        <f t="shared" si="0"/>
        <v>69069436</v>
      </c>
      <c r="G12" s="6">
        <f>SUM(G5:G11)</f>
        <v>0</v>
      </c>
    </row>
    <row r="13" spans="1:9" ht="47.25" x14ac:dyDescent="0.25">
      <c r="A13" s="175" t="s">
        <v>94</v>
      </c>
      <c r="B13" s="4">
        <f>'2.sz.tábla'!B68</f>
        <v>126000000</v>
      </c>
      <c r="C13" s="4">
        <f>'2.sz.tábla'!C68</f>
        <v>128550203</v>
      </c>
      <c r="D13" s="4">
        <f>'2.sz.tábla'!D68</f>
        <v>128550203</v>
      </c>
      <c r="E13" s="4">
        <f>'2.sz.tábla'!E68</f>
        <v>128550203</v>
      </c>
      <c r="F13" s="4">
        <f>'2.sz.tábla'!F68</f>
        <v>128550203</v>
      </c>
      <c r="G13" s="4">
        <f>'2.sz.tábla'!G68</f>
        <v>0</v>
      </c>
    </row>
    <row r="14" spans="1:9" ht="48.75" customHeight="1" x14ac:dyDescent="0.25">
      <c r="A14" s="175" t="s">
        <v>12</v>
      </c>
      <c r="B14" s="4">
        <f>'2.sz.tábla'!B71</f>
        <v>119237</v>
      </c>
      <c r="C14" s="4">
        <f>'2.sz.tábla'!C71</f>
        <v>554237</v>
      </c>
      <c r="D14" s="4">
        <f>'2.sz.tábla'!D71</f>
        <v>554237</v>
      </c>
      <c r="E14" s="4">
        <f>'2.sz.tábla'!E71</f>
        <v>554237</v>
      </c>
      <c r="F14" s="4">
        <f>'2.sz.tábla'!F71</f>
        <v>1451398</v>
      </c>
      <c r="G14" s="4">
        <f>'2.sz.tábla'!G71</f>
        <v>897161</v>
      </c>
    </row>
    <row r="15" spans="1:9" s="8" customFormat="1" ht="22.5" customHeight="1" x14ac:dyDescent="0.25">
      <c r="A15" s="176" t="s">
        <v>11</v>
      </c>
      <c r="B15" s="88">
        <f>B13+B14</f>
        <v>126119237</v>
      </c>
      <c r="C15" s="88">
        <f t="shared" ref="C15:G15" si="1">C13+C14</f>
        <v>129104440</v>
      </c>
      <c r="D15" s="88">
        <f t="shared" si="1"/>
        <v>129104440</v>
      </c>
      <c r="E15" s="88">
        <f t="shared" si="1"/>
        <v>129104440</v>
      </c>
      <c r="F15" s="88">
        <f t="shared" si="1"/>
        <v>130001601</v>
      </c>
      <c r="G15" s="88">
        <f t="shared" si="1"/>
        <v>897161</v>
      </c>
    </row>
    <row r="16" spans="1:9" s="8" customFormat="1" ht="20.25" customHeight="1" x14ac:dyDescent="0.25">
      <c r="A16" s="178" t="s">
        <v>13</v>
      </c>
      <c r="B16" s="5">
        <f t="shared" ref="B16:G16" si="2">B12+B15</f>
        <v>172467579</v>
      </c>
      <c r="C16" s="5">
        <f t="shared" si="2"/>
        <v>181362693</v>
      </c>
      <c r="D16" s="5">
        <f t="shared" si="2"/>
        <v>181751313</v>
      </c>
      <c r="E16" s="5">
        <f t="shared" si="2"/>
        <v>198173876</v>
      </c>
      <c r="F16" s="5">
        <f>F12+F15</f>
        <v>199071037</v>
      </c>
      <c r="G16" s="5">
        <f t="shared" si="2"/>
        <v>897161</v>
      </c>
      <c r="H16" s="30"/>
    </row>
    <row r="17" spans="1:13" s="8" customFormat="1" ht="14.25" customHeight="1" x14ac:dyDescent="0.25">
      <c r="A17" s="178"/>
      <c r="B17" s="4"/>
      <c r="C17" s="179"/>
      <c r="D17" s="179"/>
      <c r="E17" s="179"/>
      <c r="F17" s="179"/>
      <c r="G17" s="4"/>
      <c r="H17" s="9"/>
      <c r="I17" s="9"/>
      <c r="J17" s="9"/>
      <c r="K17" s="9"/>
      <c r="L17" s="9"/>
      <c r="M17" s="9"/>
    </row>
    <row r="18" spans="1:13" s="11" customFormat="1" ht="20.100000000000001" customHeight="1" x14ac:dyDescent="0.25">
      <c r="A18" s="177" t="s">
        <v>14</v>
      </c>
      <c r="B18" s="6">
        <f>B19</f>
        <v>71741284</v>
      </c>
      <c r="C18" s="6">
        <f t="shared" ref="C18:E18" si="3">C19</f>
        <v>72494883</v>
      </c>
      <c r="D18" s="6">
        <f t="shared" si="3"/>
        <v>73725728</v>
      </c>
      <c r="E18" s="6">
        <f t="shared" si="3"/>
        <v>74833642</v>
      </c>
      <c r="F18" s="6">
        <f>F19</f>
        <v>75243642</v>
      </c>
      <c r="G18" s="6">
        <f>G19</f>
        <v>410000</v>
      </c>
      <c r="H18" s="10"/>
      <c r="I18" s="10"/>
      <c r="J18" s="10"/>
      <c r="K18" s="10"/>
      <c r="L18" s="10"/>
      <c r="M18" s="10"/>
    </row>
    <row r="19" spans="1:13" ht="20.25" customHeight="1" x14ac:dyDescent="0.25">
      <c r="A19" s="175" t="s">
        <v>119</v>
      </c>
      <c r="B19" s="4">
        <f>'3.sz.tábla '!B39</f>
        <v>71741284</v>
      </c>
      <c r="C19" s="4">
        <f>'3.sz.tábla '!C39</f>
        <v>72494883</v>
      </c>
      <c r="D19" s="4">
        <f>'3.sz.tábla '!D39</f>
        <v>73725728</v>
      </c>
      <c r="E19" s="4">
        <f>'3.sz.tábla '!E39</f>
        <v>74833642</v>
      </c>
      <c r="F19" s="4">
        <f>'3.sz.tábla '!F39</f>
        <v>75243642</v>
      </c>
      <c r="G19" s="4">
        <f>'3.sz.tábla '!G39</f>
        <v>410000</v>
      </c>
    </row>
    <row r="20" spans="1:13" s="8" customFormat="1" ht="20.100000000000001" customHeight="1" x14ac:dyDescent="0.25">
      <c r="A20" s="177" t="s">
        <v>15</v>
      </c>
      <c r="B20" s="3">
        <f>SUM(B21:B23)</f>
        <v>96519951</v>
      </c>
      <c r="C20" s="3">
        <f t="shared" ref="C20:F20" si="4">SUM(C21:C23)</f>
        <v>103432857</v>
      </c>
      <c r="D20" s="3">
        <f t="shared" si="4"/>
        <v>103432857</v>
      </c>
      <c r="E20" s="3">
        <f t="shared" si="4"/>
        <v>117680517</v>
      </c>
      <c r="F20" s="3">
        <f t="shared" si="4"/>
        <v>117849317</v>
      </c>
      <c r="G20" s="3">
        <f>SUM(G21:G23)</f>
        <v>168800</v>
      </c>
    </row>
    <row r="21" spans="1:13" ht="20.100000000000001" customHeight="1" x14ac:dyDescent="0.25">
      <c r="A21" s="175" t="s">
        <v>88</v>
      </c>
      <c r="B21" s="4">
        <f>'5. sz. tábla'!B4</f>
        <v>8532598</v>
      </c>
      <c r="C21" s="4">
        <f>'5. sz. tábla'!C4</f>
        <v>16780611</v>
      </c>
      <c r="D21" s="4">
        <f>'5. sz. tábla'!D4</f>
        <v>16239611</v>
      </c>
      <c r="E21" s="4">
        <f>'5. sz. tábla'!E4</f>
        <v>30487271</v>
      </c>
      <c r="F21" s="4">
        <f>'5. sz. tábla'!F4</f>
        <v>30656071</v>
      </c>
      <c r="G21" s="4">
        <f>'5. sz. tábla'!G4</f>
        <v>168800</v>
      </c>
    </row>
    <row r="22" spans="1:13" s="8" customFormat="1" ht="20.100000000000001" customHeight="1" x14ac:dyDescent="0.25">
      <c r="A22" s="175" t="s">
        <v>89</v>
      </c>
      <c r="B22" s="4">
        <f>'5. sz. tábla'!B23</f>
        <v>87960563</v>
      </c>
      <c r="C22" s="4">
        <f>'5. sz. tábla'!C23</f>
        <v>85644858</v>
      </c>
      <c r="D22" s="4">
        <f>'5. sz. tábla'!D23</f>
        <v>86185858</v>
      </c>
      <c r="E22" s="4">
        <f>'5. sz. tábla'!E23</f>
        <v>86185858</v>
      </c>
      <c r="F22" s="4">
        <f>'5. sz. tábla'!F23</f>
        <v>86185858</v>
      </c>
      <c r="G22" s="4">
        <f>'5. sz. tábla'!G23</f>
        <v>0</v>
      </c>
    </row>
    <row r="23" spans="1:13" ht="20.100000000000001" customHeight="1" x14ac:dyDescent="0.25">
      <c r="A23" s="175" t="s">
        <v>118</v>
      </c>
      <c r="B23" s="4">
        <f>'5. sz. tábla'!B30</f>
        <v>26790</v>
      </c>
      <c r="C23" s="4">
        <f>'5. sz. tábla'!C30</f>
        <v>1007388</v>
      </c>
      <c r="D23" s="4">
        <f>'5. sz. tábla'!D30</f>
        <v>1007388</v>
      </c>
      <c r="E23" s="4">
        <f>'5. sz. tábla'!E30</f>
        <v>1007388</v>
      </c>
      <c r="F23" s="4">
        <f>'5. sz. tábla'!F30</f>
        <v>1007388</v>
      </c>
      <c r="G23" s="4">
        <f>'5. sz. tábla'!G30</f>
        <v>0</v>
      </c>
    </row>
    <row r="24" spans="1:13" ht="12.75" customHeight="1" x14ac:dyDescent="0.25">
      <c r="A24" s="177"/>
      <c r="B24" s="4"/>
      <c r="C24" s="180"/>
      <c r="D24" s="180"/>
      <c r="E24" s="180"/>
      <c r="F24" s="180"/>
      <c r="G24" s="4"/>
    </row>
    <row r="25" spans="1:13" s="8" customFormat="1" ht="20.100000000000001" customHeight="1" x14ac:dyDescent="0.25">
      <c r="A25" s="177" t="s">
        <v>16</v>
      </c>
      <c r="B25" s="3">
        <f>B26+B27</f>
        <v>3238265</v>
      </c>
      <c r="C25" s="3">
        <f>C26+C27</f>
        <v>4031874</v>
      </c>
      <c r="D25" s="3">
        <f>D26+D27</f>
        <v>3189649</v>
      </c>
      <c r="E25" s="3">
        <f>E26+E27</f>
        <v>4256638</v>
      </c>
      <c r="F25" s="3">
        <f>F26+F27</f>
        <v>4574999</v>
      </c>
      <c r="G25" s="3">
        <f>F25-E25</f>
        <v>318361</v>
      </c>
      <c r="I25" s="31"/>
    </row>
    <row r="26" spans="1:13" s="8" customFormat="1" ht="20.100000000000001" customHeight="1" x14ac:dyDescent="0.25">
      <c r="A26" s="175" t="s">
        <v>17</v>
      </c>
      <c r="B26" s="4">
        <v>3238265</v>
      </c>
      <c r="C26" s="4">
        <f>3238265+5247-1800000+3588000-150000+1333847-4962906-150000+1779441-20</f>
        <v>2881874</v>
      </c>
      <c r="D26" s="4">
        <f>2881874-63500-264375-514350</f>
        <v>2039649</v>
      </c>
      <c r="E26" s="4">
        <f>2039649+464903+703499-101413</f>
        <v>3106638</v>
      </c>
      <c r="F26" s="4">
        <f>3106638-340000-19050-8000-31750-75000-35000-70000</f>
        <v>2527838</v>
      </c>
      <c r="G26" s="4">
        <f>F26-E26</f>
        <v>-578800</v>
      </c>
      <c r="I26" s="2"/>
    </row>
    <row r="27" spans="1:13" s="70" customFormat="1" ht="20.100000000000001" customHeight="1" x14ac:dyDescent="0.25">
      <c r="A27" s="181" t="s">
        <v>18</v>
      </c>
      <c r="B27" s="57">
        <v>0</v>
      </c>
      <c r="C27" s="4">
        <v>1150000</v>
      </c>
      <c r="D27" s="4">
        <v>1150000</v>
      </c>
      <c r="E27" s="4">
        <v>1150000</v>
      </c>
      <c r="F27" s="4">
        <f>1150000+897161</f>
        <v>2047161</v>
      </c>
      <c r="G27" s="4">
        <f>F27-E27</f>
        <v>897161</v>
      </c>
    </row>
    <row r="28" spans="1:13" s="70" customFormat="1" ht="23.25" customHeight="1" x14ac:dyDescent="0.25">
      <c r="A28" s="182" t="s">
        <v>19</v>
      </c>
      <c r="B28" s="58">
        <f>SUM(B25,B20,B18)</f>
        <v>171499500</v>
      </c>
      <c r="C28" s="58">
        <f>SUM(C25,C20,C18)</f>
        <v>179959614</v>
      </c>
      <c r="D28" s="58">
        <f>SUM(D25,D20,D18)</f>
        <v>180348234</v>
      </c>
      <c r="E28" s="58">
        <f>SUM(E25,E20,E18)</f>
        <v>196770797</v>
      </c>
      <c r="F28" s="58">
        <f>SUM(F25,F20,F18)</f>
        <v>197667958</v>
      </c>
      <c r="G28" s="6">
        <f>F28-E28</f>
        <v>897161</v>
      </c>
      <c r="I28" s="71"/>
    </row>
    <row r="29" spans="1:13" ht="20.100000000000001" customHeight="1" x14ac:dyDescent="0.25">
      <c r="A29" s="175" t="s">
        <v>20</v>
      </c>
      <c r="B29" s="4">
        <f>'5. sz. tábla'!B35</f>
        <v>0</v>
      </c>
      <c r="C29" s="4">
        <f>'5. sz. tábla'!C35</f>
        <v>0</v>
      </c>
      <c r="D29" s="4">
        <f>'5. sz. tábla'!D35</f>
        <v>0</v>
      </c>
      <c r="E29" s="4">
        <f>'5. sz. tábla'!E35</f>
        <v>0</v>
      </c>
      <c r="F29" s="4"/>
      <c r="G29" s="4">
        <f t="shared" ref="G29:G30" si="5">E29-D29</f>
        <v>0</v>
      </c>
      <c r="I29" s="31"/>
    </row>
    <row r="30" spans="1:13" ht="22.5" customHeight="1" x14ac:dyDescent="0.25">
      <c r="A30" s="145" t="s">
        <v>83</v>
      </c>
      <c r="B30" s="4">
        <f>'5. sz. tábla'!B36</f>
        <v>0</v>
      </c>
      <c r="C30" s="4">
        <f>'5. sz. tábla'!C36</f>
        <v>0</v>
      </c>
      <c r="D30" s="4">
        <f>'5. sz. tábla'!D36</f>
        <v>0</v>
      </c>
      <c r="E30" s="4">
        <f>'5. sz. tábla'!E36</f>
        <v>0</v>
      </c>
      <c r="F30" s="4"/>
      <c r="G30" s="4">
        <f t="shared" si="5"/>
        <v>0</v>
      </c>
    </row>
    <row r="31" spans="1:13" ht="30" customHeight="1" x14ac:dyDescent="0.25">
      <c r="A31" s="175" t="s">
        <v>98</v>
      </c>
      <c r="B31" s="4">
        <f>'5. sz. tábla'!B37</f>
        <v>968079</v>
      </c>
      <c r="C31" s="4">
        <f>'5. sz. tábla'!C37</f>
        <v>1403079</v>
      </c>
      <c r="D31" s="4">
        <f>'5. sz. tábla'!D37</f>
        <v>1403079</v>
      </c>
      <c r="E31" s="4">
        <f>'5. sz. tábla'!E37</f>
        <v>1403079</v>
      </c>
      <c r="F31" s="4">
        <f>'5. sz. tábla'!F37</f>
        <v>1403079</v>
      </c>
      <c r="G31" s="4">
        <f>'5. sz. tábla'!G37</f>
        <v>0</v>
      </c>
    </row>
    <row r="32" spans="1:13" s="8" customFormat="1" ht="21.75" customHeight="1" x14ac:dyDescent="0.25">
      <c r="A32" s="177" t="s">
        <v>21</v>
      </c>
      <c r="B32" s="3">
        <f t="shared" ref="B32:D32" si="6">SUM(B29:B31)</f>
        <v>968079</v>
      </c>
      <c r="C32" s="3">
        <f t="shared" si="6"/>
        <v>1403079</v>
      </c>
      <c r="D32" s="3">
        <f t="shared" si="6"/>
        <v>1403079</v>
      </c>
      <c r="E32" s="3">
        <f t="shared" ref="E32:G32" si="7">SUM(E29:E31)</f>
        <v>1403079</v>
      </c>
      <c r="F32" s="3">
        <f t="shared" si="7"/>
        <v>1403079</v>
      </c>
      <c r="G32" s="3">
        <f t="shared" si="7"/>
        <v>0</v>
      </c>
    </row>
    <row r="33" spans="1:8" s="8" customFormat="1" ht="20.25" customHeight="1" x14ac:dyDescent="0.25">
      <c r="A33" s="178" t="s">
        <v>22</v>
      </c>
      <c r="B33" s="5">
        <f t="shared" ref="B33:F33" si="8">B28+B32</f>
        <v>172467579</v>
      </c>
      <c r="C33" s="5">
        <f t="shared" si="8"/>
        <v>181362693</v>
      </c>
      <c r="D33" s="5">
        <f t="shared" si="8"/>
        <v>181751313</v>
      </c>
      <c r="E33" s="5">
        <f t="shared" si="8"/>
        <v>198173876</v>
      </c>
      <c r="F33" s="5">
        <f t="shared" si="8"/>
        <v>199071037</v>
      </c>
      <c r="G33" s="5">
        <f>G28+G32</f>
        <v>897161</v>
      </c>
      <c r="H33" s="30"/>
    </row>
    <row r="34" spans="1:8" x14ac:dyDescent="0.25">
      <c r="A34" s="183"/>
      <c r="B34" s="4">
        <f t="shared" ref="B34:G34" si="9">B16-B33</f>
        <v>0</v>
      </c>
      <c r="C34" s="4">
        <f t="shared" si="9"/>
        <v>0</v>
      </c>
      <c r="D34" s="4">
        <f t="shared" si="9"/>
        <v>0</v>
      </c>
      <c r="E34" s="4">
        <f t="shared" si="9"/>
        <v>0</v>
      </c>
      <c r="F34" s="4">
        <f t="shared" si="9"/>
        <v>0</v>
      </c>
      <c r="G34" s="4">
        <f t="shared" si="9"/>
        <v>0</v>
      </c>
    </row>
    <row r="35" spans="1:8" x14ac:dyDescent="0.25">
      <c r="A35" s="183"/>
      <c r="B35" s="4"/>
      <c r="C35" s="180"/>
      <c r="D35" s="180"/>
      <c r="E35" s="180"/>
      <c r="F35" s="180"/>
      <c r="G35" s="4"/>
      <c r="H35" s="31"/>
    </row>
    <row r="36" spans="1:8" x14ac:dyDescent="0.25">
      <c r="A36" s="183"/>
      <c r="B36" s="4"/>
      <c r="C36" s="180"/>
      <c r="D36" s="180"/>
      <c r="E36" s="180"/>
      <c r="F36" s="180"/>
      <c r="G36" s="180"/>
    </row>
  </sheetData>
  <sheetProtection selectLockedCells="1" selectUnlockedCells="1"/>
  <mergeCells count="1">
    <mergeCell ref="A3:G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2019. évi költségvetéséről szóló 4/2020. (III. 03.)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80"/>
  <sheetViews>
    <sheetView view="pageLayout" topLeftCell="A3" zoomScaleNormal="75" zoomScaleSheetLayoutView="89" workbookViewId="0">
      <selection activeCell="A3" sqref="A3:G3"/>
    </sheetView>
  </sheetViews>
  <sheetFormatPr defaultColWidth="9" defaultRowHeight="15.75" x14ac:dyDescent="0.25"/>
  <cols>
    <col min="1" max="1" width="47.28515625" style="16" customWidth="1"/>
    <col min="2" max="6" width="15.28515625" style="16" customWidth="1"/>
    <col min="7" max="7" width="17.140625" style="16" customWidth="1"/>
    <col min="8" max="11" width="15.28515625" style="16" customWidth="1"/>
    <col min="12" max="16384" width="9" style="16"/>
  </cols>
  <sheetData>
    <row r="1" spans="1:8" hidden="1" x14ac:dyDescent="0.25">
      <c r="A1" s="14"/>
      <c r="B1" s="15"/>
    </row>
    <row r="2" spans="1:8" hidden="1" x14ac:dyDescent="0.25">
      <c r="A2" s="17"/>
    </row>
    <row r="3" spans="1:8" s="18" customFormat="1" ht="31.5" customHeight="1" x14ac:dyDescent="0.25">
      <c r="A3" s="200" t="s">
        <v>135</v>
      </c>
      <c r="B3" s="200"/>
      <c r="C3" s="200"/>
      <c r="D3" s="200"/>
      <c r="E3" s="200"/>
      <c r="F3" s="200"/>
      <c r="G3" s="200"/>
    </row>
    <row r="4" spans="1:8" s="10" customFormat="1" ht="53.25" customHeight="1" x14ac:dyDescent="0.25">
      <c r="A4" s="87" t="s">
        <v>90</v>
      </c>
      <c r="B4" s="13" t="s">
        <v>310</v>
      </c>
      <c r="C4" s="13" t="s">
        <v>332</v>
      </c>
      <c r="D4" s="13" t="s">
        <v>347</v>
      </c>
      <c r="E4" s="13" t="s">
        <v>353</v>
      </c>
      <c r="F4" s="13" t="s">
        <v>360</v>
      </c>
      <c r="G4" s="13" t="s">
        <v>333</v>
      </c>
    </row>
    <row r="5" spans="1:8" s="10" customFormat="1" ht="31.5" x14ac:dyDescent="0.25">
      <c r="A5" s="187" t="s">
        <v>3</v>
      </c>
      <c r="B5" s="5">
        <f>B6+B12+B13+B14+B15+B16</f>
        <v>30598342</v>
      </c>
      <c r="C5" s="5">
        <f>C6+C16</f>
        <v>32920253</v>
      </c>
      <c r="D5" s="5">
        <f>D6+D16</f>
        <v>33308873</v>
      </c>
      <c r="E5" s="5">
        <f>E6+E16</f>
        <v>35483776</v>
      </c>
      <c r="F5" s="5">
        <f>F6+F16</f>
        <v>35483776</v>
      </c>
      <c r="G5" s="5">
        <f>F5-E5</f>
        <v>0</v>
      </c>
      <c r="H5" s="29"/>
    </row>
    <row r="6" spans="1:8" s="19" customFormat="1" ht="19.5" customHeight="1" x14ac:dyDescent="0.25">
      <c r="A6" s="188" t="s">
        <v>23</v>
      </c>
      <c r="B6" s="20">
        <f>SUM(B7:B9)</f>
        <v>21221060</v>
      </c>
      <c r="C6" s="20">
        <f>SUM(C7:C10)</f>
        <v>22417185</v>
      </c>
      <c r="D6" s="20">
        <f>SUM(D7:D10)</f>
        <v>22828846</v>
      </c>
      <c r="E6" s="20">
        <f>SUM(E7:E10)</f>
        <v>22851757</v>
      </c>
      <c r="F6" s="20">
        <f t="shared" ref="F6:G6" si="0">SUM(F7:F10)</f>
        <v>22851757</v>
      </c>
      <c r="G6" s="20">
        <f t="shared" si="0"/>
        <v>0</v>
      </c>
    </row>
    <row r="7" spans="1:8" s="19" customFormat="1" ht="16.5" customHeight="1" x14ac:dyDescent="0.25">
      <c r="A7" s="189" t="s">
        <v>24</v>
      </c>
      <c r="B7" s="20">
        <f>'2a. tábla'!E5</f>
        <v>14087060</v>
      </c>
      <c r="C7" s="20">
        <f>'2a. tábla'!F5</f>
        <v>14087060</v>
      </c>
      <c r="D7" s="20">
        <f>'2a. tábla'!G5</f>
        <v>14087060</v>
      </c>
      <c r="E7" s="20">
        <f>'2a. tábla'!H5</f>
        <v>14087060</v>
      </c>
      <c r="F7" s="20">
        <f>'2a. tábla'!I5</f>
        <v>14087060</v>
      </c>
      <c r="G7" s="20">
        <f>'2a. tábla'!J5</f>
        <v>0</v>
      </c>
    </row>
    <row r="8" spans="1:8" s="19" customFormat="1" ht="31.5" x14ac:dyDescent="0.25">
      <c r="A8" s="176" t="s">
        <v>25</v>
      </c>
      <c r="B8" s="20">
        <f>'2a. tábla'!E34</f>
        <v>5334000</v>
      </c>
      <c r="C8" s="20">
        <f>'2a. tábla'!F34</f>
        <v>5380125</v>
      </c>
      <c r="D8" s="20">
        <f>'2a. tábla'!G34</f>
        <v>6553166</v>
      </c>
      <c r="E8" s="20">
        <f>'2a. tábla'!H34</f>
        <v>6576077</v>
      </c>
      <c r="F8" s="20">
        <f>'2a. tábla'!I34</f>
        <v>6576077</v>
      </c>
      <c r="G8" s="20">
        <f>'2a. tábla'!J34</f>
        <v>0</v>
      </c>
      <c r="H8" s="110"/>
    </row>
    <row r="9" spans="1:8" s="19" customFormat="1" x14ac:dyDescent="0.25">
      <c r="A9" s="176" t="s">
        <v>26</v>
      </c>
      <c r="B9" s="20">
        <f>'2a. tábla'!E42</f>
        <v>1800000</v>
      </c>
      <c r="C9" s="20">
        <f>'2a. tábla'!F42</f>
        <v>1800000</v>
      </c>
      <c r="D9" s="20">
        <f>'2a. tábla'!G42</f>
        <v>1800000</v>
      </c>
      <c r="E9" s="20">
        <f>'2a. tábla'!H42</f>
        <v>1800000</v>
      </c>
      <c r="F9" s="20">
        <f>'2a. tábla'!I42</f>
        <v>1800000</v>
      </c>
      <c r="G9" s="20">
        <f>'2a. tábla'!J42</f>
        <v>0</v>
      </c>
    </row>
    <row r="10" spans="1:8" s="10" customFormat="1" ht="31.5" x14ac:dyDescent="0.25">
      <c r="A10" s="176" t="s">
        <v>0</v>
      </c>
      <c r="B10" s="20">
        <v>0</v>
      </c>
      <c r="C10" s="20">
        <f>'2a. tábla'!F44</f>
        <v>1150000</v>
      </c>
      <c r="D10" s="20">
        <f>'2a. tábla'!G44</f>
        <v>388620</v>
      </c>
      <c r="E10" s="20">
        <f>'2a. tábla'!H44</f>
        <v>388620</v>
      </c>
      <c r="F10" s="20">
        <f>'2a. tábla'!I44</f>
        <v>388620</v>
      </c>
      <c r="G10" s="20">
        <f>'2a. tábla'!J44</f>
        <v>0</v>
      </c>
    </row>
    <row r="11" spans="1:8" s="10" customFormat="1" x14ac:dyDescent="0.25">
      <c r="A11" s="176" t="s">
        <v>1</v>
      </c>
      <c r="B11" s="20">
        <v>0</v>
      </c>
      <c r="C11" s="190">
        <v>0</v>
      </c>
      <c r="D11" s="190">
        <v>0</v>
      </c>
      <c r="E11" s="190">
        <v>0</v>
      </c>
      <c r="F11" s="190">
        <v>0</v>
      </c>
      <c r="G11" s="190">
        <v>0</v>
      </c>
    </row>
    <row r="12" spans="1:8" s="10" customFormat="1" x14ac:dyDescent="0.25">
      <c r="A12" s="176" t="s">
        <v>95</v>
      </c>
      <c r="B12" s="20"/>
      <c r="C12" s="191"/>
      <c r="D12" s="191"/>
      <c r="E12" s="191"/>
      <c r="F12" s="191"/>
      <c r="G12" s="190"/>
    </row>
    <row r="13" spans="1:8" s="21" customFormat="1" ht="31.5" x14ac:dyDescent="0.25">
      <c r="A13" s="176" t="s">
        <v>27</v>
      </c>
      <c r="B13" s="20"/>
      <c r="C13" s="191"/>
      <c r="D13" s="191"/>
      <c r="E13" s="191"/>
      <c r="F13" s="191"/>
      <c r="G13" s="190"/>
    </row>
    <row r="14" spans="1:8" s="21" customFormat="1" ht="31.5" x14ac:dyDescent="0.25">
      <c r="A14" s="176" t="s">
        <v>28</v>
      </c>
      <c r="B14" s="20"/>
      <c r="C14" s="191"/>
      <c r="D14" s="191"/>
      <c r="E14" s="191"/>
      <c r="F14" s="191"/>
      <c r="G14" s="190"/>
    </row>
    <row r="15" spans="1:8" s="21" customFormat="1" ht="31.5" x14ac:dyDescent="0.25">
      <c r="A15" s="176" t="s">
        <v>29</v>
      </c>
      <c r="B15" s="20"/>
      <c r="C15" s="191"/>
      <c r="D15" s="191"/>
      <c r="E15" s="191"/>
      <c r="F15" s="191"/>
      <c r="G15" s="190"/>
    </row>
    <row r="16" spans="1:8" s="10" customFormat="1" ht="31.5" x14ac:dyDescent="0.25">
      <c r="A16" s="176" t="s">
        <v>30</v>
      </c>
      <c r="B16" s="20">
        <f>SUM(B17:B21)+87480</f>
        <v>9377282</v>
      </c>
      <c r="C16" s="20">
        <f>SUM(C17:C21)+87480-46125+5247</f>
        <v>10503068</v>
      </c>
      <c r="D16" s="20">
        <f>SUM(D17:D21)+87480-46125+5247-23041</f>
        <v>10480027</v>
      </c>
      <c r="E16" s="20">
        <f>SUM(E17:E21)+87480-46125+5247-23041-22911</f>
        <v>12632019</v>
      </c>
      <c r="F16" s="20">
        <f>SUM(F17:F21)+87480-46125+5247-23041-22911</f>
        <v>12632019</v>
      </c>
      <c r="G16" s="190">
        <f>F16-E16</f>
        <v>0</v>
      </c>
    </row>
    <row r="17" spans="1:9" s="10" customFormat="1" ht="18" customHeight="1" x14ac:dyDescent="0.25">
      <c r="A17" s="192" t="s">
        <v>133</v>
      </c>
      <c r="B17" s="193">
        <v>859802</v>
      </c>
      <c r="C17" s="193">
        <f>859802-394337+1032115</f>
        <v>1497580</v>
      </c>
      <c r="D17" s="193">
        <f>859802-394337+1032115</f>
        <v>1497580</v>
      </c>
      <c r="E17" s="193">
        <f>859802-394337+1032115</f>
        <v>1497580</v>
      </c>
      <c r="F17" s="193">
        <f>859802-394337+1032115</f>
        <v>1497580</v>
      </c>
      <c r="G17" s="193">
        <f>F17-E17</f>
        <v>0</v>
      </c>
    </row>
    <row r="18" spans="1:9" s="10" customFormat="1" ht="18" customHeight="1" x14ac:dyDescent="0.25">
      <c r="A18" s="192" t="s">
        <v>342</v>
      </c>
      <c r="B18" s="193">
        <v>0</v>
      </c>
      <c r="C18" s="193">
        <v>528886</v>
      </c>
      <c r="D18" s="193">
        <v>528886</v>
      </c>
      <c r="E18" s="193">
        <v>528886</v>
      </c>
      <c r="F18" s="193">
        <v>528886</v>
      </c>
      <c r="G18" s="193">
        <f t="shared" ref="G18:G20" si="1">F18-E18</f>
        <v>0</v>
      </c>
    </row>
    <row r="19" spans="1:9" s="10" customFormat="1" ht="18" customHeight="1" x14ac:dyDescent="0.25">
      <c r="A19" s="192" t="s">
        <v>354</v>
      </c>
      <c r="B19" s="193">
        <v>0</v>
      </c>
      <c r="C19" s="193">
        <v>0</v>
      </c>
      <c r="D19" s="193">
        <v>0</v>
      </c>
      <c r="E19" s="193">
        <v>464903</v>
      </c>
      <c r="F19" s="193">
        <v>464903</v>
      </c>
      <c r="G19" s="193">
        <f t="shared" si="1"/>
        <v>0</v>
      </c>
    </row>
    <row r="20" spans="1:9" s="10" customFormat="1" ht="18" customHeight="1" x14ac:dyDescent="0.25">
      <c r="A20" s="192" t="s">
        <v>358</v>
      </c>
      <c r="B20" s="193">
        <v>0</v>
      </c>
      <c r="C20" s="193">
        <v>0</v>
      </c>
      <c r="D20" s="193">
        <v>0</v>
      </c>
      <c r="E20" s="193">
        <v>1710000</v>
      </c>
      <c r="F20" s="193">
        <v>1710000</v>
      </c>
      <c r="G20" s="193">
        <f t="shared" si="1"/>
        <v>0</v>
      </c>
    </row>
    <row r="21" spans="1:9" s="10" customFormat="1" ht="18" customHeight="1" x14ac:dyDescent="0.25">
      <c r="A21" s="192" t="s">
        <v>314</v>
      </c>
      <c r="B21" s="193">
        <v>8430000</v>
      </c>
      <c r="C21" s="193">
        <v>8430000</v>
      </c>
      <c r="D21" s="193">
        <v>8430000</v>
      </c>
      <c r="E21" s="193">
        <v>8430000</v>
      </c>
      <c r="F21" s="193">
        <v>8430000</v>
      </c>
      <c r="G21" s="193">
        <f t="shared" ref="G21" si="2">D21-C21</f>
        <v>0</v>
      </c>
    </row>
    <row r="22" spans="1:9" s="10" customFormat="1" ht="31.5" x14ac:dyDescent="0.25">
      <c r="A22" s="187" t="s">
        <v>4</v>
      </c>
      <c r="B22" s="5">
        <f>B23+B25+B26+B27+B28</f>
        <v>4000000</v>
      </c>
      <c r="C22" s="5">
        <f>C23+C25+C26+C27+C28</f>
        <v>4000000</v>
      </c>
      <c r="D22" s="5">
        <f>D23+D25+D26+D27+D28</f>
        <v>4000000</v>
      </c>
      <c r="E22" s="5">
        <f>E23+E25+E26+E27+E28</f>
        <v>18247660</v>
      </c>
      <c r="F22" s="5">
        <f>F23+F25+F26+F27+F28</f>
        <v>18247660</v>
      </c>
      <c r="G22" s="5">
        <f>F22-E22</f>
        <v>0</v>
      </c>
    </row>
    <row r="23" spans="1:9" s="10" customFormat="1" x14ac:dyDescent="0.25">
      <c r="A23" s="176" t="s">
        <v>31</v>
      </c>
      <c r="B23" s="20">
        <f>B24:J24</f>
        <v>4000000</v>
      </c>
      <c r="C23" s="20">
        <f>C24:K24</f>
        <v>4000000</v>
      </c>
      <c r="D23" s="20">
        <f>D24:L24</f>
        <v>4000000</v>
      </c>
      <c r="E23" s="20">
        <f>E24:M24</f>
        <v>18247660</v>
      </c>
      <c r="F23" s="20">
        <f>F24:N24</f>
        <v>4000000</v>
      </c>
      <c r="G23" s="20">
        <f>F23-E23</f>
        <v>-14247660</v>
      </c>
      <c r="H23" s="28"/>
      <c r="I23" s="28"/>
    </row>
    <row r="24" spans="1:9" s="10" customFormat="1" x14ac:dyDescent="0.25">
      <c r="A24" s="176" t="s">
        <v>131</v>
      </c>
      <c r="B24" s="20">
        <v>4000000</v>
      </c>
      <c r="C24" s="20">
        <v>4000000</v>
      </c>
      <c r="D24" s="20">
        <v>4000000</v>
      </c>
      <c r="E24" s="20">
        <f>4000000+14247660</f>
        <v>18247660</v>
      </c>
      <c r="F24" s="20">
        <v>4000000</v>
      </c>
      <c r="G24" s="20">
        <f>F24-E24</f>
        <v>-14247660</v>
      </c>
    </row>
    <row r="25" spans="1:9" s="10" customFormat="1" ht="47.25" x14ac:dyDescent="0.25">
      <c r="A25" s="176" t="s">
        <v>32</v>
      </c>
      <c r="B25" s="20"/>
      <c r="C25" s="191"/>
      <c r="D25" s="191"/>
      <c r="E25" s="191"/>
      <c r="F25" s="191"/>
      <c r="G25" s="190"/>
    </row>
    <row r="26" spans="1:9" s="10" customFormat="1" ht="31.5" x14ac:dyDescent="0.25">
      <c r="A26" s="176" t="s">
        <v>33</v>
      </c>
      <c r="B26" s="20"/>
      <c r="C26" s="191"/>
      <c r="D26" s="191"/>
      <c r="E26" s="191"/>
      <c r="F26" s="191"/>
      <c r="G26" s="190"/>
    </row>
    <row r="27" spans="1:9" s="10" customFormat="1" ht="31.5" x14ac:dyDescent="0.25">
      <c r="A27" s="176" t="s">
        <v>34</v>
      </c>
      <c r="B27" s="20"/>
      <c r="C27" s="191"/>
      <c r="D27" s="191"/>
      <c r="E27" s="191"/>
      <c r="F27" s="191"/>
      <c r="G27" s="190"/>
    </row>
    <row r="28" spans="1:9" s="10" customFormat="1" ht="31.5" x14ac:dyDescent="0.25">
      <c r="A28" s="176" t="s">
        <v>96</v>
      </c>
      <c r="B28" s="20">
        <v>0</v>
      </c>
      <c r="C28" s="190">
        <v>0</v>
      </c>
      <c r="D28" s="190">
        <v>0</v>
      </c>
      <c r="E28" s="190">
        <v>0</v>
      </c>
      <c r="F28" s="190">
        <v>14247660</v>
      </c>
      <c r="G28" s="190">
        <f>F28-E28</f>
        <v>14247660</v>
      </c>
    </row>
    <row r="29" spans="1:9" s="10" customFormat="1" ht="28.35" customHeight="1" x14ac:dyDescent="0.25">
      <c r="A29" s="187" t="s">
        <v>5</v>
      </c>
      <c r="B29" s="5">
        <f t="shared" ref="B29:F29" si="3">B30+B33+B41</f>
        <v>10700000</v>
      </c>
      <c r="C29" s="5">
        <f t="shared" si="3"/>
        <v>10700000</v>
      </c>
      <c r="D29" s="5">
        <f t="shared" si="3"/>
        <v>10700000</v>
      </c>
      <c r="E29" s="5">
        <f t="shared" si="3"/>
        <v>10700000</v>
      </c>
      <c r="F29" s="5">
        <f t="shared" si="3"/>
        <v>10700000</v>
      </c>
      <c r="G29" s="5">
        <f>F29-E29</f>
        <v>0</v>
      </c>
    </row>
    <row r="30" spans="1:9" s="10" customFormat="1" ht="27.75" customHeight="1" x14ac:dyDescent="0.25">
      <c r="A30" s="176" t="s">
        <v>35</v>
      </c>
      <c r="B30" s="20">
        <v>6600000</v>
      </c>
      <c r="C30" s="20">
        <v>6600000</v>
      </c>
      <c r="D30" s="20">
        <v>6600000</v>
      </c>
      <c r="E30" s="20">
        <v>6600000</v>
      </c>
      <c r="F30" s="20">
        <v>6600000</v>
      </c>
      <c r="G30" s="20">
        <f>F30-E30</f>
        <v>0</v>
      </c>
    </row>
    <row r="31" spans="1:9" s="10" customFormat="1" ht="28.35" customHeight="1" x14ac:dyDescent="0.25">
      <c r="A31" s="188" t="s">
        <v>36</v>
      </c>
      <c r="B31" s="190">
        <v>5400000</v>
      </c>
      <c r="C31" s="190">
        <v>5400000</v>
      </c>
      <c r="D31" s="190">
        <v>5400000</v>
      </c>
      <c r="E31" s="190">
        <v>5400000</v>
      </c>
      <c r="F31" s="190">
        <v>5400000</v>
      </c>
      <c r="G31" s="20">
        <f t="shared" ref="G31:G38" si="4">F31-E31</f>
        <v>0</v>
      </c>
    </row>
    <row r="32" spans="1:9" s="10" customFormat="1" ht="28.35" customHeight="1" x14ac:dyDescent="0.25">
      <c r="A32" s="188" t="s">
        <v>132</v>
      </c>
      <c r="B32" s="190">
        <v>1200000</v>
      </c>
      <c r="C32" s="190">
        <v>1200000</v>
      </c>
      <c r="D32" s="190">
        <v>1200000</v>
      </c>
      <c r="E32" s="190">
        <v>1200000</v>
      </c>
      <c r="F32" s="190">
        <v>1200000</v>
      </c>
      <c r="G32" s="20">
        <f t="shared" si="4"/>
        <v>0</v>
      </c>
    </row>
    <row r="33" spans="1:7" s="10" customFormat="1" ht="28.35" customHeight="1" x14ac:dyDescent="0.25">
      <c r="A33" s="176" t="s">
        <v>37</v>
      </c>
      <c r="B33" s="20">
        <f t="shared" ref="B33" si="5">B34+B36+B37</f>
        <v>4000000</v>
      </c>
      <c r="C33" s="20">
        <v>4000000</v>
      </c>
      <c r="D33" s="20">
        <v>4000000</v>
      </c>
      <c r="E33" s="20">
        <v>4000000</v>
      </c>
      <c r="F33" s="20">
        <v>4000000</v>
      </c>
      <c r="G33" s="20">
        <f t="shared" si="4"/>
        <v>0</v>
      </c>
    </row>
    <row r="34" spans="1:7" s="10" customFormat="1" ht="28.35" customHeight="1" x14ac:dyDescent="0.25">
      <c r="A34" s="176" t="s">
        <v>38</v>
      </c>
      <c r="B34" s="20">
        <v>2500000</v>
      </c>
      <c r="C34" s="20">
        <v>2500000</v>
      </c>
      <c r="D34" s="20">
        <v>2500000</v>
      </c>
      <c r="E34" s="20">
        <v>2500000</v>
      </c>
      <c r="F34" s="20">
        <v>2500000</v>
      </c>
      <c r="G34" s="20">
        <f t="shared" si="4"/>
        <v>0</v>
      </c>
    </row>
    <row r="35" spans="1:7" s="10" customFormat="1" ht="28.35" customHeight="1" x14ac:dyDescent="0.25">
      <c r="A35" s="176" t="s">
        <v>39</v>
      </c>
      <c r="B35" s="190">
        <v>2500000</v>
      </c>
      <c r="C35" s="190">
        <v>2500000</v>
      </c>
      <c r="D35" s="190">
        <v>2500000</v>
      </c>
      <c r="E35" s="190">
        <v>2500000</v>
      </c>
      <c r="F35" s="190">
        <v>2500000</v>
      </c>
      <c r="G35" s="20">
        <f t="shared" si="4"/>
        <v>0</v>
      </c>
    </row>
    <row r="36" spans="1:7" s="10" customFormat="1" ht="28.35" customHeight="1" x14ac:dyDescent="0.25">
      <c r="A36" s="176" t="s">
        <v>40</v>
      </c>
      <c r="B36" s="190">
        <v>1000000</v>
      </c>
      <c r="C36" s="190">
        <v>1000000</v>
      </c>
      <c r="D36" s="190">
        <v>1000000</v>
      </c>
      <c r="E36" s="190">
        <v>1000000</v>
      </c>
      <c r="F36" s="190">
        <v>1000000</v>
      </c>
      <c r="G36" s="20">
        <f t="shared" si="4"/>
        <v>0</v>
      </c>
    </row>
    <row r="37" spans="1:7" s="10" customFormat="1" ht="28.35" customHeight="1" x14ac:dyDescent="0.25">
      <c r="A37" s="176" t="s">
        <v>41</v>
      </c>
      <c r="B37" s="20">
        <v>500000</v>
      </c>
      <c r="C37" s="20">
        <f>C38</f>
        <v>500000</v>
      </c>
      <c r="D37" s="20">
        <f>D38</f>
        <v>500000</v>
      </c>
      <c r="E37" s="20">
        <v>500000</v>
      </c>
      <c r="F37" s="20">
        <v>500000</v>
      </c>
      <c r="G37" s="20">
        <f t="shared" si="4"/>
        <v>0</v>
      </c>
    </row>
    <row r="38" spans="1:7" s="10" customFormat="1" ht="28.35" customHeight="1" x14ac:dyDescent="0.25">
      <c r="A38" s="176" t="s">
        <v>42</v>
      </c>
      <c r="B38" s="190">
        <v>500000</v>
      </c>
      <c r="C38" s="190">
        <v>500000</v>
      </c>
      <c r="D38" s="190">
        <v>500000</v>
      </c>
      <c r="E38" s="190">
        <v>500000</v>
      </c>
      <c r="F38" s="190">
        <v>500000</v>
      </c>
      <c r="G38" s="20">
        <f t="shared" si="4"/>
        <v>0</v>
      </c>
    </row>
    <row r="39" spans="1:7" s="10" customFormat="1" ht="28.35" customHeight="1" x14ac:dyDescent="0.25">
      <c r="A39" s="176" t="s">
        <v>43</v>
      </c>
      <c r="B39" s="20"/>
      <c r="C39" s="191"/>
      <c r="D39" s="191"/>
      <c r="E39" s="191"/>
      <c r="F39" s="191"/>
      <c r="G39" s="20"/>
    </row>
    <row r="40" spans="1:7" s="10" customFormat="1" ht="28.35" customHeight="1" x14ac:dyDescent="0.25">
      <c r="A40" s="176" t="s">
        <v>91</v>
      </c>
      <c r="B40" s="20"/>
      <c r="C40" s="191"/>
      <c r="D40" s="191"/>
      <c r="E40" s="191"/>
      <c r="F40" s="191"/>
      <c r="G40" s="20"/>
    </row>
    <row r="41" spans="1:7" s="10" customFormat="1" ht="28.35" customHeight="1" x14ac:dyDescent="0.25">
      <c r="A41" s="176" t="s">
        <v>44</v>
      </c>
      <c r="B41" s="20">
        <v>100000</v>
      </c>
      <c r="C41" s="190">
        <v>100000</v>
      </c>
      <c r="D41" s="190">
        <v>100000</v>
      </c>
      <c r="E41" s="190">
        <v>100000</v>
      </c>
      <c r="F41" s="190">
        <v>100000</v>
      </c>
      <c r="G41" s="20">
        <f>F41-E41</f>
        <v>0</v>
      </c>
    </row>
    <row r="42" spans="1:7" s="10" customFormat="1" ht="28.35" customHeight="1" x14ac:dyDescent="0.25">
      <c r="A42" s="187" t="s">
        <v>6</v>
      </c>
      <c r="B42" s="5">
        <f t="shared" ref="B42:D42" si="6">B43+B44+B46+B47+B49+B50+B51+B52+B53</f>
        <v>1050000</v>
      </c>
      <c r="C42" s="5">
        <f t="shared" si="6"/>
        <v>1050000</v>
      </c>
      <c r="D42" s="5">
        <f t="shared" si="6"/>
        <v>1050000</v>
      </c>
      <c r="E42" s="5">
        <v>1050000</v>
      </c>
      <c r="F42" s="5">
        <v>1050000</v>
      </c>
      <c r="G42" s="5">
        <f>F42-E42</f>
        <v>0</v>
      </c>
    </row>
    <row r="43" spans="1:7" s="10" customFormat="1" ht="28.35" customHeight="1" x14ac:dyDescent="0.25">
      <c r="A43" s="188" t="s">
        <v>45</v>
      </c>
      <c r="B43" s="20"/>
      <c r="C43" s="191"/>
      <c r="D43" s="191"/>
      <c r="E43" s="191"/>
      <c r="F43" s="191"/>
      <c r="G43" s="190"/>
    </row>
    <row r="44" spans="1:7" s="23" customFormat="1" ht="28.35" customHeight="1" x14ac:dyDescent="0.25">
      <c r="A44" s="188" t="s">
        <v>46</v>
      </c>
      <c r="B44" s="20">
        <v>600000</v>
      </c>
      <c r="C44" s="190">
        <v>600000</v>
      </c>
      <c r="D44" s="190">
        <v>600000</v>
      </c>
      <c r="E44" s="190">
        <v>600000</v>
      </c>
      <c r="F44" s="190">
        <v>600000</v>
      </c>
      <c r="G44" s="190">
        <f>F44-E44</f>
        <v>0</v>
      </c>
    </row>
    <row r="45" spans="1:7" s="24" customFormat="1" ht="28.35" customHeight="1" x14ac:dyDescent="0.25">
      <c r="A45" s="188" t="s">
        <v>84</v>
      </c>
      <c r="B45" s="20">
        <v>600000</v>
      </c>
      <c r="C45" s="20">
        <v>600000</v>
      </c>
      <c r="D45" s="20">
        <v>600000</v>
      </c>
      <c r="E45" s="20">
        <v>600000</v>
      </c>
      <c r="F45" s="20">
        <v>600000</v>
      </c>
      <c r="G45" s="190">
        <f>F45-E45</f>
        <v>0</v>
      </c>
    </row>
    <row r="46" spans="1:7" s="25" customFormat="1" ht="28.35" customHeight="1" x14ac:dyDescent="0.25">
      <c r="A46" s="176" t="s">
        <v>47</v>
      </c>
      <c r="B46" s="20"/>
      <c r="C46" s="190"/>
      <c r="D46" s="190"/>
      <c r="E46" s="190"/>
      <c r="F46" s="190"/>
      <c r="G46" s="190"/>
    </row>
    <row r="47" spans="1:7" s="25" customFormat="1" ht="28.35" customHeight="1" x14ac:dyDescent="0.25">
      <c r="A47" s="176" t="s">
        <v>48</v>
      </c>
      <c r="B47" s="20">
        <v>100000</v>
      </c>
      <c r="C47" s="20">
        <v>100000</v>
      </c>
      <c r="D47" s="20">
        <v>100000</v>
      </c>
      <c r="E47" s="20">
        <v>100000</v>
      </c>
      <c r="F47" s="20">
        <v>100000</v>
      </c>
      <c r="G47" s="190">
        <f>F47-E47</f>
        <v>0</v>
      </c>
    </row>
    <row r="48" spans="1:7" s="25" customFormat="1" ht="28.35" customHeight="1" x14ac:dyDescent="0.25">
      <c r="A48" s="194" t="s">
        <v>105</v>
      </c>
      <c r="B48" s="20"/>
      <c r="C48" s="190"/>
      <c r="D48" s="190"/>
      <c r="E48" s="190"/>
      <c r="F48" s="190"/>
      <c r="G48" s="190"/>
    </row>
    <row r="49" spans="1:7" s="25" customFormat="1" ht="28.35" customHeight="1" x14ac:dyDescent="0.25">
      <c r="A49" s="194" t="s">
        <v>49</v>
      </c>
      <c r="B49" s="20"/>
      <c r="C49" s="190"/>
      <c r="D49" s="190"/>
      <c r="E49" s="190"/>
      <c r="F49" s="190"/>
      <c r="G49" s="190"/>
    </row>
    <row r="50" spans="1:7" s="25" customFormat="1" ht="28.35" customHeight="1" x14ac:dyDescent="0.25">
      <c r="A50" s="188" t="s">
        <v>50</v>
      </c>
      <c r="B50" s="20">
        <v>350000</v>
      </c>
      <c r="C50" s="190">
        <v>350000</v>
      </c>
      <c r="D50" s="190">
        <v>350000</v>
      </c>
      <c r="E50" s="190">
        <v>350000</v>
      </c>
      <c r="F50" s="190">
        <v>350000</v>
      </c>
      <c r="G50" s="190">
        <f>F50-E50</f>
        <v>0</v>
      </c>
    </row>
    <row r="51" spans="1:7" s="25" customFormat="1" ht="28.35" customHeight="1" x14ac:dyDescent="0.25">
      <c r="A51" s="188" t="s">
        <v>51</v>
      </c>
      <c r="B51" s="20"/>
      <c r="C51" s="190"/>
      <c r="D51" s="190"/>
      <c r="E51" s="190"/>
      <c r="F51" s="190"/>
      <c r="G51" s="190"/>
    </row>
    <row r="52" spans="1:7" s="25" customFormat="1" ht="28.35" customHeight="1" x14ac:dyDescent="0.25">
      <c r="A52" s="188" t="s">
        <v>52</v>
      </c>
      <c r="B52" s="20">
        <v>0</v>
      </c>
      <c r="C52" s="190">
        <v>0</v>
      </c>
      <c r="D52" s="190">
        <v>0</v>
      </c>
      <c r="E52" s="190">
        <v>0</v>
      </c>
      <c r="F52" s="190"/>
      <c r="G52" s="190">
        <f>E52-D52</f>
        <v>0</v>
      </c>
    </row>
    <row r="53" spans="1:7" s="25" customFormat="1" ht="31.5" x14ac:dyDescent="0.25">
      <c r="A53" s="194" t="s">
        <v>92</v>
      </c>
      <c r="B53" s="20"/>
      <c r="C53" s="190"/>
      <c r="D53" s="190"/>
      <c r="E53" s="190"/>
      <c r="F53" s="190"/>
      <c r="G53" s="190"/>
    </row>
    <row r="54" spans="1:7" s="25" customFormat="1" ht="28.35" customHeight="1" x14ac:dyDescent="0.25">
      <c r="A54" s="187" t="s">
        <v>7</v>
      </c>
      <c r="B54" s="5">
        <f t="shared" ref="B54:F54" si="7">SUM(B55:B58)</f>
        <v>0</v>
      </c>
      <c r="C54" s="5">
        <f t="shared" si="7"/>
        <v>3588000</v>
      </c>
      <c r="D54" s="5">
        <f t="shared" si="7"/>
        <v>3588000</v>
      </c>
      <c r="E54" s="5">
        <f t="shared" si="7"/>
        <v>3588000</v>
      </c>
      <c r="F54" s="5">
        <f t="shared" si="7"/>
        <v>3588000</v>
      </c>
      <c r="G54" s="191">
        <f>F54-E54</f>
        <v>0</v>
      </c>
    </row>
    <row r="55" spans="1:7" s="25" customFormat="1" ht="28.35" customHeight="1" x14ac:dyDescent="0.25">
      <c r="A55" s="176" t="s">
        <v>53</v>
      </c>
      <c r="B55" s="20"/>
      <c r="C55" s="190"/>
      <c r="D55" s="190"/>
      <c r="E55" s="190"/>
      <c r="F55" s="190"/>
      <c r="G55" s="190"/>
    </row>
    <row r="56" spans="1:7" s="23" customFormat="1" ht="28.35" customHeight="1" x14ac:dyDescent="0.25">
      <c r="A56" s="176" t="s">
        <v>54</v>
      </c>
      <c r="B56" s="20">
        <v>0</v>
      </c>
      <c r="C56" s="190">
        <v>3588000</v>
      </c>
      <c r="D56" s="190">
        <v>3588000</v>
      </c>
      <c r="E56" s="190">
        <v>3588000</v>
      </c>
      <c r="F56" s="190">
        <v>3588000</v>
      </c>
      <c r="G56" s="190">
        <f>F56-E56</f>
        <v>0</v>
      </c>
    </row>
    <row r="57" spans="1:7" s="23" customFormat="1" ht="28.35" customHeight="1" x14ac:dyDescent="0.25">
      <c r="A57" s="195" t="s">
        <v>55</v>
      </c>
      <c r="B57" s="20"/>
      <c r="C57" s="191"/>
      <c r="D57" s="191"/>
      <c r="E57" s="191"/>
      <c r="F57" s="191"/>
      <c r="G57" s="190"/>
    </row>
    <row r="58" spans="1:7" s="25" customFormat="1" ht="28.35" customHeight="1" x14ac:dyDescent="0.25">
      <c r="A58" s="176" t="s">
        <v>56</v>
      </c>
      <c r="B58" s="20"/>
      <c r="C58" s="190"/>
      <c r="D58" s="190"/>
      <c r="E58" s="190"/>
      <c r="F58" s="190"/>
      <c r="G58" s="190"/>
    </row>
    <row r="59" spans="1:7" s="25" customFormat="1" ht="28.35" customHeight="1" x14ac:dyDescent="0.25">
      <c r="A59" s="187" t="s">
        <v>8</v>
      </c>
      <c r="B59" s="5">
        <f t="shared" ref="B59:F59" si="8">SUM(B60:B62)</f>
        <v>0</v>
      </c>
      <c r="C59" s="5">
        <f t="shared" si="8"/>
        <v>0</v>
      </c>
      <c r="D59" s="5">
        <f t="shared" si="8"/>
        <v>0</v>
      </c>
      <c r="E59" s="5">
        <f t="shared" si="8"/>
        <v>0</v>
      </c>
      <c r="F59" s="5">
        <f t="shared" si="8"/>
        <v>0</v>
      </c>
      <c r="G59" s="191">
        <f>F59-E59</f>
        <v>0</v>
      </c>
    </row>
    <row r="60" spans="1:7" s="25" customFormat="1" ht="32.25" customHeight="1" x14ac:dyDescent="0.25">
      <c r="A60" s="176" t="s">
        <v>57</v>
      </c>
      <c r="B60" s="20"/>
      <c r="C60" s="190"/>
      <c r="D60" s="190"/>
      <c r="E60" s="190"/>
      <c r="F60" s="190"/>
      <c r="G60" s="190"/>
    </row>
    <row r="61" spans="1:7" s="23" customFormat="1" ht="31.5" x14ac:dyDescent="0.25">
      <c r="A61" s="176" t="s">
        <v>58</v>
      </c>
      <c r="B61" s="20"/>
      <c r="C61" s="191"/>
      <c r="D61" s="191"/>
      <c r="E61" s="191"/>
      <c r="F61" s="191"/>
      <c r="G61" s="190"/>
    </row>
    <row r="62" spans="1:7" s="23" customFormat="1" x14ac:dyDescent="0.25">
      <c r="A62" s="176" t="s">
        <v>59</v>
      </c>
      <c r="B62" s="20"/>
      <c r="C62" s="191"/>
      <c r="D62" s="191"/>
      <c r="E62" s="191"/>
      <c r="F62" s="191"/>
      <c r="G62" s="190"/>
    </row>
    <row r="63" spans="1:7" s="25" customFormat="1" ht="28.35" customHeight="1" x14ac:dyDescent="0.25">
      <c r="A63" s="196" t="s">
        <v>9</v>
      </c>
      <c r="B63" s="5">
        <f>B64+B65+B66</f>
        <v>0</v>
      </c>
      <c r="C63" s="5">
        <f>C64+C65+C66</f>
        <v>0</v>
      </c>
      <c r="D63" s="5">
        <f>D64+D65+D66</f>
        <v>0</v>
      </c>
      <c r="E63" s="5">
        <f>E64+E65+E66</f>
        <v>0</v>
      </c>
      <c r="F63" s="5">
        <f>F64+F65+F66</f>
        <v>0</v>
      </c>
      <c r="G63" s="191">
        <v>0</v>
      </c>
    </row>
    <row r="64" spans="1:7" s="25" customFormat="1" ht="47.25" x14ac:dyDescent="0.25">
      <c r="A64" s="176" t="s">
        <v>60</v>
      </c>
      <c r="B64" s="20"/>
      <c r="C64" s="190"/>
      <c r="D64" s="190"/>
      <c r="E64" s="190"/>
      <c r="F64" s="190"/>
      <c r="G64" s="190"/>
    </row>
    <row r="65" spans="1:8" s="23" customFormat="1" ht="31.5" x14ac:dyDescent="0.25">
      <c r="A65" s="176" t="s">
        <v>61</v>
      </c>
      <c r="B65" s="20"/>
      <c r="C65" s="190"/>
      <c r="D65" s="190"/>
      <c r="E65" s="190"/>
      <c r="F65" s="190"/>
      <c r="G65" s="190"/>
    </row>
    <row r="66" spans="1:8" s="25" customFormat="1" x14ac:dyDescent="0.25">
      <c r="A66" s="176" t="s">
        <v>62</v>
      </c>
      <c r="B66" s="20"/>
      <c r="C66" s="190"/>
      <c r="D66" s="190"/>
      <c r="E66" s="190"/>
      <c r="F66" s="190"/>
      <c r="G66" s="190"/>
    </row>
    <row r="67" spans="1:8" s="25" customFormat="1" ht="28.35" customHeight="1" x14ac:dyDescent="0.25">
      <c r="A67" s="187" t="s">
        <v>10</v>
      </c>
      <c r="B67" s="5">
        <f>B63+B59+B54+B42+B29+B22+B5</f>
        <v>46348342</v>
      </c>
      <c r="C67" s="5">
        <f>C63+C59+C54+C42+C29+C22+C5</f>
        <v>52258253</v>
      </c>
      <c r="D67" s="5">
        <f>D63+D59+D54+D42+D29+D22+D5</f>
        <v>52646873</v>
      </c>
      <c r="E67" s="5">
        <f>E63+E59+E54+E42+E29+E22+E5</f>
        <v>69069436</v>
      </c>
      <c r="F67" s="5">
        <f>F63+F59+F54+F42+F29+F22+F5</f>
        <v>69069436</v>
      </c>
      <c r="G67" s="5">
        <f>F67-E67</f>
        <v>0</v>
      </c>
    </row>
    <row r="68" spans="1:8" s="23" customFormat="1" ht="31.5" x14ac:dyDescent="0.25">
      <c r="A68" s="196" t="s">
        <v>63</v>
      </c>
      <c r="B68" s="5">
        <f>SUM(B69:B70)</f>
        <v>126000000</v>
      </c>
      <c r="C68" s="5">
        <f>SUM(C69:C70)</f>
        <v>128550203</v>
      </c>
      <c r="D68" s="5">
        <f>SUM(D69:D70)</f>
        <v>128550203</v>
      </c>
      <c r="E68" s="5">
        <f>SUM(E69:E70)</f>
        <v>128550203</v>
      </c>
      <c r="F68" s="5">
        <f>SUM(F69:F70)</f>
        <v>128550203</v>
      </c>
      <c r="G68" s="5">
        <f>F68-E68</f>
        <v>0</v>
      </c>
      <c r="H68" s="26"/>
    </row>
    <row r="69" spans="1:8" s="23" customFormat="1" ht="31.5" x14ac:dyDescent="0.25">
      <c r="A69" s="196" t="s">
        <v>124</v>
      </c>
      <c r="B69" s="22">
        <v>52480871</v>
      </c>
      <c r="C69" s="190">
        <f>52480871+770762+1779441</f>
        <v>55031074</v>
      </c>
      <c r="D69" s="190">
        <f>52480871+770762+1779441</f>
        <v>55031074</v>
      </c>
      <c r="E69" s="190">
        <f>52480871+770762+1779441</f>
        <v>55031074</v>
      </c>
      <c r="F69" s="190">
        <f>52480871+770762+1779441</f>
        <v>55031074</v>
      </c>
      <c r="G69" s="190">
        <f>F69-E69</f>
        <v>0</v>
      </c>
      <c r="H69" s="26"/>
    </row>
    <row r="70" spans="1:8" s="23" customFormat="1" ht="38.25" customHeight="1" x14ac:dyDescent="0.25">
      <c r="A70" s="176" t="s">
        <v>64</v>
      </c>
      <c r="B70" s="20">
        <v>73519129</v>
      </c>
      <c r="C70" s="190">
        <v>73519129</v>
      </c>
      <c r="D70" s="190">
        <v>73519129</v>
      </c>
      <c r="E70" s="190">
        <v>73519129</v>
      </c>
      <c r="F70" s="190">
        <v>73519129</v>
      </c>
      <c r="G70" s="190">
        <f>F70-E70</f>
        <v>0</v>
      </c>
    </row>
    <row r="71" spans="1:8" s="25" customFormat="1" ht="48.75" customHeight="1" x14ac:dyDescent="0.25">
      <c r="A71" s="196" t="s">
        <v>65</v>
      </c>
      <c r="B71" s="5">
        <f>B72+B73</f>
        <v>119237</v>
      </c>
      <c r="C71" s="5">
        <f t="shared" ref="C71:F71" si="9">C72+C73</f>
        <v>554237</v>
      </c>
      <c r="D71" s="5">
        <f t="shared" si="9"/>
        <v>554237</v>
      </c>
      <c r="E71" s="5">
        <f t="shared" si="9"/>
        <v>554237</v>
      </c>
      <c r="F71" s="5">
        <f t="shared" si="9"/>
        <v>1451398</v>
      </c>
      <c r="G71" s="5">
        <f>F71-E71</f>
        <v>897161</v>
      </c>
    </row>
    <row r="72" spans="1:8" s="25" customFormat="1" ht="19.5" customHeight="1" x14ac:dyDescent="0.25">
      <c r="A72" s="176" t="s">
        <v>122</v>
      </c>
      <c r="B72" s="20"/>
      <c r="C72" s="190"/>
      <c r="D72" s="190"/>
      <c r="E72" s="190"/>
      <c r="F72" s="190"/>
      <c r="G72" s="190"/>
    </row>
    <row r="73" spans="1:8" s="25" customFormat="1" ht="19.5" customHeight="1" x14ac:dyDescent="0.25">
      <c r="A73" s="188" t="s">
        <v>123</v>
      </c>
      <c r="B73" s="20">
        <v>119237</v>
      </c>
      <c r="C73" s="190">
        <f>119237+435000</f>
        <v>554237</v>
      </c>
      <c r="D73" s="190">
        <f>119237+435000</f>
        <v>554237</v>
      </c>
      <c r="E73" s="190">
        <f>119237+435000</f>
        <v>554237</v>
      </c>
      <c r="F73" s="190">
        <f>119237+435000+897161</f>
        <v>1451398</v>
      </c>
      <c r="G73" s="190">
        <f>F73-E73</f>
        <v>897161</v>
      </c>
    </row>
    <row r="74" spans="1:8" s="23" customFormat="1" ht="27" customHeight="1" x14ac:dyDescent="0.25">
      <c r="A74" s="196" t="s">
        <v>11</v>
      </c>
      <c r="B74" s="5">
        <f>B71+B68</f>
        <v>126119237</v>
      </c>
      <c r="C74" s="5">
        <f>C71+C68</f>
        <v>129104440</v>
      </c>
      <c r="D74" s="5">
        <f>D71+D68</f>
        <v>129104440</v>
      </c>
      <c r="E74" s="5">
        <f>E71+E68</f>
        <v>129104440</v>
      </c>
      <c r="F74" s="5">
        <f>F71+F68</f>
        <v>130001601</v>
      </c>
      <c r="G74" s="5">
        <f>F74-E74</f>
        <v>897161</v>
      </c>
      <c r="H74" s="26"/>
    </row>
    <row r="75" spans="1:8" s="23" customFormat="1" ht="28.35" customHeight="1" x14ac:dyDescent="0.25">
      <c r="A75" s="187" t="s">
        <v>66</v>
      </c>
      <c r="B75" s="5">
        <f>B67+B74</f>
        <v>172467579</v>
      </c>
      <c r="C75" s="5">
        <f t="shared" ref="C75:E75" si="10">C67+C74</f>
        <v>181362693</v>
      </c>
      <c r="D75" s="5">
        <f t="shared" si="10"/>
        <v>181751313</v>
      </c>
      <c r="E75" s="5">
        <f t="shared" si="10"/>
        <v>198173876</v>
      </c>
      <c r="F75" s="5">
        <f t="shared" ref="F75" si="11">F67+F74</f>
        <v>199071037</v>
      </c>
      <c r="G75" s="5">
        <f>F75-E75</f>
        <v>897161</v>
      </c>
      <c r="H75" s="26"/>
    </row>
    <row r="76" spans="1:8" s="23" customFormat="1" ht="28.35" customHeight="1" x14ac:dyDescent="0.25">
      <c r="A76" s="180" t="s">
        <v>97</v>
      </c>
      <c r="B76" s="5">
        <v>5</v>
      </c>
      <c r="C76" s="191">
        <v>5</v>
      </c>
      <c r="D76" s="191">
        <v>5</v>
      </c>
      <c r="E76" s="191">
        <v>5</v>
      </c>
      <c r="F76" s="191">
        <v>5</v>
      </c>
      <c r="G76" s="191"/>
    </row>
    <row r="77" spans="1:8" s="23" customFormat="1" ht="28.35" customHeight="1" x14ac:dyDescent="0.25">
      <c r="A77" s="180" t="s">
        <v>67</v>
      </c>
      <c r="B77" s="5">
        <v>2</v>
      </c>
      <c r="C77" s="191">
        <v>2</v>
      </c>
      <c r="D77" s="191">
        <v>2</v>
      </c>
      <c r="E77" s="191">
        <v>2</v>
      </c>
      <c r="F77" s="191">
        <v>2</v>
      </c>
      <c r="G77" s="191"/>
    </row>
    <row r="78" spans="1:8" x14ac:dyDescent="0.25">
      <c r="B78" s="9"/>
    </row>
    <row r="79" spans="1:8" x14ac:dyDescent="0.25">
      <c r="B79" s="9"/>
      <c r="C79" s="27"/>
      <c r="D79" s="27"/>
      <c r="E79" s="27"/>
      <c r="F79" s="27"/>
    </row>
    <row r="80" spans="1:8" x14ac:dyDescent="0.25">
      <c r="B80" s="9"/>
    </row>
  </sheetData>
  <sheetProtection selectLockedCells="1" selectUnlockedCells="1"/>
  <mergeCells count="1">
    <mergeCell ref="A3:G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2019. évi költségvetéséről szóló 4/2020. (III. 03.) önkormányzati rendelethez&amp;R
</oddHeader>
  </headerFooter>
  <rowBreaks count="1" manualBreakCount="1">
    <brk id="4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zoomScaleNormal="100" workbookViewId="0">
      <selection sqref="A1:J1"/>
    </sheetView>
  </sheetViews>
  <sheetFormatPr defaultRowHeight="15.75" x14ac:dyDescent="0.25"/>
  <cols>
    <col min="1" max="1" width="97.42578125" style="50" bestFit="1" customWidth="1"/>
    <col min="2" max="2" width="11.7109375" style="50" bestFit="1" customWidth="1"/>
    <col min="3" max="3" width="11" style="50" bestFit="1" customWidth="1"/>
    <col min="4" max="4" width="12.7109375" style="50" bestFit="1" customWidth="1"/>
    <col min="5" max="5" width="17.42578125" style="50" bestFit="1" customWidth="1"/>
    <col min="6" max="9" width="20" style="50" customWidth="1"/>
    <col min="10" max="10" width="12" style="50" bestFit="1" customWidth="1"/>
    <col min="11" max="254" width="9.140625" style="50"/>
    <col min="255" max="255" width="77.5703125" style="50" customWidth="1"/>
    <col min="256" max="256" width="8.42578125" style="50" customWidth="1"/>
    <col min="257" max="257" width="9.140625" style="50"/>
    <col min="258" max="258" width="11" style="50" bestFit="1" customWidth="1"/>
    <col min="259" max="259" width="15.28515625" style="50" customWidth="1"/>
    <col min="260" max="510" width="9.140625" style="50"/>
    <col min="511" max="511" width="77.5703125" style="50" customWidth="1"/>
    <col min="512" max="512" width="8.42578125" style="50" customWidth="1"/>
    <col min="513" max="513" width="9.140625" style="50"/>
    <col min="514" max="514" width="11" style="50" bestFit="1" customWidth="1"/>
    <col min="515" max="515" width="15.28515625" style="50" customWidth="1"/>
    <col min="516" max="766" width="9.140625" style="50"/>
    <col min="767" max="767" width="77.5703125" style="50" customWidth="1"/>
    <col min="768" max="768" width="8.42578125" style="50" customWidth="1"/>
    <col min="769" max="769" width="9.140625" style="50"/>
    <col min="770" max="770" width="11" style="50" bestFit="1" customWidth="1"/>
    <col min="771" max="771" width="15.28515625" style="50" customWidth="1"/>
    <col min="772" max="1022" width="9.140625" style="50"/>
    <col min="1023" max="1023" width="77.5703125" style="50" customWidth="1"/>
    <col min="1024" max="1024" width="8.42578125" style="50" customWidth="1"/>
    <col min="1025" max="1025" width="9.140625" style="50"/>
    <col min="1026" max="1026" width="11" style="50" bestFit="1" customWidth="1"/>
    <col min="1027" max="1027" width="15.28515625" style="50" customWidth="1"/>
    <col min="1028" max="1278" width="9.140625" style="50"/>
    <col min="1279" max="1279" width="77.5703125" style="50" customWidth="1"/>
    <col min="1280" max="1280" width="8.42578125" style="50" customWidth="1"/>
    <col min="1281" max="1281" width="9.140625" style="50"/>
    <col min="1282" max="1282" width="11" style="50" bestFit="1" customWidth="1"/>
    <col min="1283" max="1283" width="15.28515625" style="50" customWidth="1"/>
    <col min="1284" max="1534" width="9.140625" style="50"/>
    <col min="1535" max="1535" width="77.5703125" style="50" customWidth="1"/>
    <col min="1536" max="1536" width="8.42578125" style="50" customWidth="1"/>
    <col min="1537" max="1537" width="9.140625" style="50"/>
    <col min="1538" max="1538" width="11" style="50" bestFit="1" customWidth="1"/>
    <col min="1539" max="1539" width="15.28515625" style="50" customWidth="1"/>
    <col min="1540" max="1790" width="9.140625" style="50"/>
    <col min="1791" max="1791" width="77.5703125" style="50" customWidth="1"/>
    <col min="1792" max="1792" width="8.42578125" style="50" customWidth="1"/>
    <col min="1793" max="1793" width="9.140625" style="50"/>
    <col min="1794" max="1794" width="11" style="50" bestFit="1" customWidth="1"/>
    <col min="1795" max="1795" width="15.28515625" style="50" customWidth="1"/>
    <col min="1796" max="2046" width="9.140625" style="50"/>
    <col min="2047" max="2047" width="77.5703125" style="50" customWidth="1"/>
    <col min="2048" max="2048" width="8.42578125" style="50" customWidth="1"/>
    <col min="2049" max="2049" width="9.140625" style="50"/>
    <col min="2050" max="2050" width="11" style="50" bestFit="1" customWidth="1"/>
    <col min="2051" max="2051" width="15.28515625" style="50" customWidth="1"/>
    <col min="2052" max="2302" width="9.140625" style="50"/>
    <col min="2303" max="2303" width="77.5703125" style="50" customWidth="1"/>
    <col min="2304" max="2304" width="8.42578125" style="50" customWidth="1"/>
    <col min="2305" max="2305" width="9.140625" style="50"/>
    <col min="2306" max="2306" width="11" style="50" bestFit="1" customWidth="1"/>
    <col min="2307" max="2307" width="15.28515625" style="50" customWidth="1"/>
    <col min="2308" max="2558" width="9.140625" style="50"/>
    <col min="2559" max="2559" width="77.5703125" style="50" customWidth="1"/>
    <col min="2560" max="2560" width="8.42578125" style="50" customWidth="1"/>
    <col min="2561" max="2561" width="9.140625" style="50"/>
    <col min="2562" max="2562" width="11" style="50" bestFit="1" customWidth="1"/>
    <col min="2563" max="2563" width="15.28515625" style="50" customWidth="1"/>
    <col min="2564" max="2814" width="9.140625" style="50"/>
    <col min="2815" max="2815" width="77.5703125" style="50" customWidth="1"/>
    <col min="2816" max="2816" width="8.42578125" style="50" customWidth="1"/>
    <col min="2817" max="2817" width="9.140625" style="50"/>
    <col min="2818" max="2818" width="11" style="50" bestFit="1" customWidth="1"/>
    <col min="2819" max="2819" width="15.28515625" style="50" customWidth="1"/>
    <col min="2820" max="3070" width="9.140625" style="50"/>
    <col min="3071" max="3071" width="77.5703125" style="50" customWidth="1"/>
    <col min="3072" max="3072" width="8.42578125" style="50" customWidth="1"/>
    <col min="3073" max="3073" width="9.140625" style="50"/>
    <col min="3074" max="3074" width="11" style="50" bestFit="1" customWidth="1"/>
    <col min="3075" max="3075" width="15.28515625" style="50" customWidth="1"/>
    <col min="3076" max="3326" width="9.140625" style="50"/>
    <col min="3327" max="3327" width="77.5703125" style="50" customWidth="1"/>
    <col min="3328" max="3328" width="8.42578125" style="50" customWidth="1"/>
    <col min="3329" max="3329" width="9.140625" style="50"/>
    <col min="3330" max="3330" width="11" style="50" bestFit="1" customWidth="1"/>
    <col min="3331" max="3331" width="15.28515625" style="50" customWidth="1"/>
    <col min="3332" max="3582" width="9.140625" style="50"/>
    <col min="3583" max="3583" width="77.5703125" style="50" customWidth="1"/>
    <col min="3584" max="3584" width="8.42578125" style="50" customWidth="1"/>
    <col min="3585" max="3585" width="9.140625" style="50"/>
    <col min="3586" max="3586" width="11" style="50" bestFit="1" customWidth="1"/>
    <col min="3587" max="3587" width="15.28515625" style="50" customWidth="1"/>
    <col min="3588" max="3838" width="9.140625" style="50"/>
    <col min="3839" max="3839" width="77.5703125" style="50" customWidth="1"/>
    <col min="3840" max="3840" width="8.42578125" style="50" customWidth="1"/>
    <col min="3841" max="3841" width="9.140625" style="50"/>
    <col min="3842" max="3842" width="11" style="50" bestFit="1" customWidth="1"/>
    <col min="3843" max="3843" width="15.28515625" style="50" customWidth="1"/>
    <col min="3844" max="4094" width="9.140625" style="50"/>
    <col min="4095" max="4095" width="77.5703125" style="50" customWidth="1"/>
    <col min="4096" max="4096" width="8.42578125" style="50" customWidth="1"/>
    <col min="4097" max="4097" width="9.140625" style="50"/>
    <col min="4098" max="4098" width="11" style="50" bestFit="1" customWidth="1"/>
    <col min="4099" max="4099" width="15.28515625" style="50" customWidth="1"/>
    <col min="4100" max="4350" width="9.140625" style="50"/>
    <col min="4351" max="4351" width="77.5703125" style="50" customWidth="1"/>
    <col min="4352" max="4352" width="8.42578125" style="50" customWidth="1"/>
    <col min="4353" max="4353" width="9.140625" style="50"/>
    <col min="4354" max="4354" width="11" style="50" bestFit="1" customWidth="1"/>
    <col min="4355" max="4355" width="15.28515625" style="50" customWidth="1"/>
    <col min="4356" max="4606" width="9.140625" style="50"/>
    <col min="4607" max="4607" width="77.5703125" style="50" customWidth="1"/>
    <col min="4608" max="4608" width="8.42578125" style="50" customWidth="1"/>
    <col min="4609" max="4609" width="9.140625" style="50"/>
    <col min="4610" max="4610" width="11" style="50" bestFit="1" customWidth="1"/>
    <col min="4611" max="4611" width="15.28515625" style="50" customWidth="1"/>
    <col min="4612" max="4862" width="9.140625" style="50"/>
    <col min="4863" max="4863" width="77.5703125" style="50" customWidth="1"/>
    <col min="4864" max="4864" width="8.42578125" style="50" customWidth="1"/>
    <col min="4865" max="4865" width="9.140625" style="50"/>
    <col min="4866" max="4866" width="11" style="50" bestFit="1" customWidth="1"/>
    <col min="4867" max="4867" width="15.28515625" style="50" customWidth="1"/>
    <col min="4868" max="5118" width="9.140625" style="50"/>
    <col min="5119" max="5119" width="77.5703125" style="50" customWidth="1"/>
    <col min="5120" max="5120" width="8.42578125" style="50" customWidth="1"/>
    <col min="5121" max="5121" width="9.140625" style="50"/>
    <col min="5122" max="5122" width="11" style="50" bestFit="1" customWidth="1"/>
    <col min="5123" max="5123" width="15.28515625" style="50" customWidth="1"/>
    <col min="5124" max="5374" width="9.140625" style="50"/>
    <col min="5375" max="5375" width="77.5703125" style="50" customWidth="1"/>
    <col min="5376" max="5376" width="8.42578125" style="50" customWidth="1"/>
    <col min="5377" max="5377" width="9.140625" style="50"/>
    <col min="5378" max="5378" width="11" style="50" bestFit="1" customWidth="1"/>
    <col min="5379" max="5379" width="15.28515625" style="50" customWidth="1"/>
    <col min="5380" max="5630" width="9.140625" style="50"/>
    <col min="5631" max="5631" width="77.5703125" style="50" customWidth="1"/>
    <col min="5632" max="5632" width="8.42578125" style="50" customWidth="1"/>
    <col min="5633" max="5633" width="9.140625" style="50"/>
    <col min="5634" max="5634" width="11" style="50" bestFit="1" customWidth="1"/>
    <col min="5635" max="5635" width="15.28515625" style="50" customWidth="1"/>
    <col min="5636" max="5886" width="9.140625" style="50"/>
    <col min="5887" max="5887" width="77.5703125" style="50" customWidth="1"/>
    <col min="5888" max="5888" width="8.42578125" style="50" customWidth="1"/>
    <col min="5889" max="5889" width="9.140625" style="50"/>
    <col min="5890" max="5890" width="11" style="50" bestFit="1" customWidth="1"/>
    <col min="5891" max="5891" width="15.28515625" style="50" customWidth="1"/>
    <col min="5892" max="6142" width="9.140625" style="50"/>
    <col min="6143" max="6143" width="77.5703125" style="50" customWidth="1"/>
    <col min="6144" max="6144" width="8.42578125" style="50" customWidth="1"/>
    <col min="6145" max="6145" width="9.140625" style="50"/>
    <col min="6146" max="6146" width="11" style="50" bestFit="1" customWidth="1"/>
    <col min="6147" max="6147" width="15.28515625" style="50" customWidth="1"/>
    <col min="6148" max="6398" width="9.140625" style="50"/>
    <col min="6399" max="6399" width="77.5703125" style="50" customWidth="1"/>
    <col min="6400" max="6400" width="8.42578125" style="50" customWidth="1"/>
    <col min="6401" max="6401" width="9.140625" style="50"/>
    <col min="6402" max="6402" width="11" style="50" bestFit="1" customWidth="1"/>
    <col min="6403" max="6403" width="15.28515625" style="50" customWidth="1"/>
    <col min="6404" max="6654" width="9.140625" style="50"/>
    <col min="6655" max="6655" width="77.5703125" style="50" customWidth="1"/>
    <col min="6656" max="6656" width="8.42578125" style="50" customWidth="1"/>
    <col min="6657" max="6657" width="9.140625" style="50"/>
    <col min="6658" max="6658" width="11" style="50" bestFit="1" customWidth="1"/>
    <col min="6659" max="6659" width="15.28515625" style="50" customWidth="1"/>
    <col min="6660" max="6910" width="9.140625" style="50"/>
    <col min="6911" max="6911" width="77.5703125" style="50" customWidth="1"/>
    <col min="6912" max="6912" width="8.42578125" style="50" customWidth="1"/>
    <col min="6913" max="6913" width="9.140625" style="50"/>
    <col min="6914" max="6914" width="11" style="50" bestFit="1" customWidth="1"/>
    <col min="6915" max="6915" width="15.28515625" style="50" customWidth="1"/>
    <col min="6916" max="7166" width="9.140625" style="50"/>
    <col min="7167" max="7167" width="77.5703125" style="50" customWidth="1"/>
    <col min="7168" max="7168" width="8.42578125" style="50" customWidth="1"/>
    <col min="7169" max="7169" width="9.140625" style="50"/>
    <col min="7170" max="7170" width="11" style="50" bestFit="1" customWidth="1"/>
    <col min="7171" max="7171" width="15.28515625" style="50" customWidth="1"/>
    <col min="7172" max="7422" width="9.140625" style="50"/>
    <col min="7423" max="7423" width="77.5703125" style="50" customWidth="1"/>
    <col min="7424" max="7424" width="8.42578125" style="50" customWidth="1"/>
    <col min="7425" max="7425" width="9.140625" style="50"/>
    <col min="7426" max="7426" width="11" style="50" bestFit="1" customWidth="1"/>
    <col min="7427" max="7427" width="15.28515625" style="50" customWidth="1"/>
    <col min="7428" max="7678" width="9.140625" style="50"/>
    <col min="7679" max="7679" width="77.5703125" style="50" customWidth="1"/>
    <col min="7680" max="7680" width="8.42578125" style="50" customWidth="1"/>
    <col min="7681" max="7681" width="9.140625" style="50"/>
    <col min="7682" max="7682" width="11" style="50" bestFit="1" customWidth="1"/>
    <col min="7683" max="7683" width="15.28515625" style="50" customWidth="1"/>
    <col min="7684" max="7934" width="9.140625" style="50"/>
    <col min="7935" max="7935" width="77.5703125" style="50" customWidth="1"/>
    <col min="7936" max="7936" width="8.42578125" style="50" customWidth="1"/>
    <col min="7937" max="7937" width="9.140625" style="50"/>
    <col min="7938" max="7938" width="11" style="50" bestFit="1" customWidth="1"/>
    <col min="7939" max="7939" width="15.28515625" style="50" customWidth="1"/>
    <col min="7940" max="8190" width="9.140625" style="50"/>
    <col min="8191" max="8191" width="77.5703125" style="50" customWidth="1"/>
    <col min="8192" max="8192" width="8.42578125" style="50" customWidth="1"/>
    <col min="8193" max="8193" width="9.140625" style="50"/>
    <col min="8194" max="8194" width="11" style="50" bestFit="1" customWidth="1"/>
    <col min="8195" max="8195" width="15.28515625" style="50" customWidth="1"/>
    <col min="8196" max="8446" width="9.140625" style="50"/>
    <col min="8447" max="8447" width="77.5703125" style="50" customWidth="1"/>
    <col min="8448" max="8448" width="8.42578125" style="50" customWidth="1"/>
    <col min="8449" max="8449" width="9.140625" style="50"/>
    <col min="8450" max="8450" width="11" style="50" bestFit="1" customWidth="1"/>
    <col min="8451" max="8451" width="15.28515625" style="50" customWidth="1"/>
    <col min="8452" max="8702" width="9.140625" style="50"/>
    <col min="8703" max="8703" width="77.5703125" style="50" customWidth="1"/>
    <col min="8704" max="8704" width="8.42578125" style="50" customWidth="1"/>
    <col min="8705" max="8705" width="9.140625" style="50"/>
    <col min="8706" max="8706" width="11" style="50" bestFit="1" customWidth="1"/>
    <col min="8707" max="8707" width="15.28515625" style="50" customWidth="1"/>
    <col min="8708" max="8958" width="9.140625" style="50"/>
    <col min="8959" max="8959" width="77.5703125" style="50" customWidth="1"/>
    <col min="8960" max="8960" width="8.42578125" style="50" customWidth="1"/>
    <col min="8961" max="8961" width="9.140625" style="50"/>
    <col min="8962" max="8962" width="11" style="50" bestFit="1" customWidth="1"/>
    <col min="8963" max="8963" width="15.28515625" style="50" customWidth="1"/>
    <col min="8964" max="9214" width="9.140625" style="50"/>
    <col min="9215" max="9215" width="77.5703125" style="50" customWidth="1"/>
    <col min="9216" max="9216" width="8.42578125" style="50" customWidth="1"/>
    <col min="9217" max="9217" width="9.140625" style="50"/>
    <col min="9218" max="9218" width="11" style="50" bestFit="1" customWidth="1"/>
    <col min="9219" max="9219" width="15.28515625" style="50" customWidth="1"/>
    <col min="9220" max="9470" width="9.140625" style="50"/>
    <col min="9471" max="9471" width="77.5703125" style="50" customWidth="1"/>
    <col min="9472" max="9472" width="8.42578125" style="50" customWidth="1"/>
    <col min="9473" max="9473" width="9.140625" style="50"/>
    <col min="9474" max="9474" width="11" style="50" bestFit="1" customWidth="1"/>
    <col min="9475" max="9475" width="15.28515625" style="50" customWidth="1"/>
    <col min="9476" max="9726" width="9.140625" style="50"/>
    <col min="9727" max="9727" width="77.5703125" style="50" customWidth="1"/>
    <col min="9728" max="9728" width="8.42578125" style="50" customWidth="1"/>
    <col min="9729" max="9729" width="9.140625" style="50"/>
    <col min="9730" max="9730" width="11" style="50" bestFit="1" customWidth="1"/>
    <col min="9731" max="9731" width="15.28515625" style="50" customWidth="1"/>
    <col min="9732" max="9982" width="9.140625" style="50"/>
    <col min="9983" max="9983" width="77.5703125" style="50" customWidth="1"/>
    <col min="9984" max="9984" width="8.42578125" style="50" customWidth="1"/>
    <col min="9985" max="9985" width="9.140625" style="50"/>
    <col min="9986" max="9986" width="11" style="50" bestFit="1" customWidth="1"/>
    <col min="9987" max="9987" width="15.28515625" style="50" customWidth="1"/>
    <col min="9988" max="10238" width="9.140625" style="50"/>
    <col min="10239" max="10239" width="77.5703125" style="50" customWidth="1"/>
    <col min="10240" max="10240" width="8.42578125" style="50" customWidth="1"/>
    <col min="10241" max="10241" width="9.140625" style="50"/>
    <col min="10242" max="10242" width="11" style="50" bestFit="1" customWidth="1"/>
    <col min="10243" max="10243" width="15.28515625" style="50" customWidth="1"/>
    <col min="10244" max="10494" width="9.140625" style="50"/>
    <col min="10495" max="10495" width="77.5703125" style="50" customWidth="1"/>
    <col min="10496" max="10496" width="8.42578125" style="50" customWidth="1"/>
    <col min="10497" max="10497" width="9.140625" style="50"/>
    <col min="10498" max="10498" width="11" style="50" bestFit="1" customWidth="1"/>
    <col min="10499" max="10499" width="15.28515625" style="50" customWidth="1"/>
    <col min="10500" max="10750" width="9.140625" style="50"/>
    <col min="10751" max="10751" width="77.5703125" style="50" customWidth="1"/>
    <col min="10752" max="10752" width="8.42578125" style="50" customWidth="1"/>
    <col min="10753" max="10753" width="9.140625" style="50"/>
    <col min="10754" max="10754" width="11" style="50" bestFit="1" customWidth="1"/>
    <col min="10755" max="10755" width="15.28515625" style="50" customWidth="1"/>
    <col min="10756" max="11006" width="9.140625" style="50"/>
    <col min="11007" max="11007" width="77.5703125" style="50" customWidth="1"/>
    <col min="11008" max="11008" width="8.42578125" style="50" customWidth="1"/>
    <col min="11009" max="11009" width="9.140625" style="50"/>
    <col min="11010" max="11010" width="11" style="50" bestFit="1" customWidth="1"/>
    <col min="11011" max="11011" width="15.28515625" style="50" customWidth="1"/>
    <col min="11012" max="11262" width="9.140625" style="50"/>
    <col min="11263" max="11263" width="77.5703125" style="50" customWidth="1"/>
    <col min="11264" max="11264" width="8.42578125" style="50" customWidth="1"/>
    <col min="11265" max="11265" width="9.140625" style="50"/>
    <col min="11266" max="11266" width="11" style="50" bestFit="1" customWidth="1"/>
    <col min="11267" max="11267" width="15.28515625" style="50" customWidth="1"/>
    <col min="11268" max="11518" width="9.140625" style="50"/>
    <col min="11519" max="11519" width="77.5703125" style="50" customWidth="1"/>
    <col min="11520" max="11520" width="8.42578125" style="50" customWidth="1"/>
    <col min="11521" max="11521" width="9.140625" style="50"/>
    <col min="11522" max="11522" width="11" style="50" bestFit="1" customWidth="1"/>
    <col min="11523" max="11523" width="15.28515625" style="50" customWidth="1"/>
    <col min="11524" max="11774" width="9.140625" style="50"/>
    <col min="11775" max="11775" width="77.5703125" style="50" customWidth="1"/>
    <col min="11776" max="11776" width="8.42578125" style="50" customWidth="1"/>
    <col min="11777" max="11777" width="9.140625" style="50"/>
    <col min="11778" max="11778" width="11" style="50" bestFit="1" customWidth="1"/>
    <col min="11779" max="11779" width="15.28515625" style="50" customWidth="1"/>
    <col min="11780" max="12030" width="9.140625" style="50"/>
    <col min="12031" max="12031" width="77.5703125" style="50" customWidth="1"/>
    <col min="12032" max="12032" width="8.42578125" style="50" customWidth="1"/>
    <col min="12033" max="12033" width="9.140625" style="50"/>
    <col min="12034" max="12034" width="11" style="50" bestFit="1" customWidth="1"/>
    <col min="12035" max="12035" width="15.28515625" style="50" customWidth="1"/>
    <col min="12036" max="12286" width="9.140625" style="50"/>
    <col min="12287" max="12287" width="77.5703125" style="50" customWidth="1"/>
    <col min="12288" max="12288" width="8.42578125" style="50" customWidth="1"/>
    <col min="12289" max="12289" width="9.140625" style="50"/>
    <col min="12290" max="12290" width="11" style="50" bestFit="1" customWidth="1"/>
    <col min="12291" max="12291" width="15.28515625" style="50" customWidth="1"/>
    <col min="12292" max="12542" width="9.140625" style="50"/>
    <col min="12543" max="12543" width="77.5703125" style="50" customWidth="1"/>
    <col min="12544" max="12544" width="8.42578125" style="50" customWidth="1"/>
    <col min="12545" max="12545" width="9.140625" style="50"/>
    <col min="12546" max="12546" width="11" style="50" bestFit="1" customWidth="1"/>
    <col min="12547" max="12547" width="15.28515625" style="50" customWidth="1"/>
    <col min="12548" max="12798" width="9.140625" style="50"/>
    <col min="12799" max="12799" width="77.5703125" style="50" customWidth="1"/>
    <col min="12800" max="12800" width="8.42578125" style="50" customWidth="1"/>
    <col min="12801" max="12801" width="9.140625" style="50"/>
    <col min="12802" max="12802" width="11" style="50" bestFit="1" customWidth="1"/>
    <col min="12803" max="12803" width="15.28515625" style="50" customWidth="1"/>
    <col min="12804" max="13054" width="9.140625" style="50"/>
    <col min="13055" max="13055" width="77.5703125" style="50" customWidth="1"/>
    <col min="13056" max="13056" width="8.42578125" style="50" customWidth="1"/>
    <col min="13057" max="13057" width="9.140625" style="50"/>
    <col min="13058" max="13058" width="11" style="50" bestFit="1" customWidth="1"/>
    <col min="13059" max="13059" width="15.28515625" style="50" customWidth="1"/>
    <col min="13060" max="13310" width="9.140625" style="50"/>
    <col min="13311" max="13311" width="77.5703125" style="50" customWidth="1"/>
    <col min="13312" max="13312" width="8.42578125" style="50" customWidth="1"/>
    <col min="13313" max="13313" width="9.140625" style="50"/>
    <col min="13314" max="13314" width="11" style="50" bestFit="1" customWidth="1"/>
    <col min="13315" max="13315" width="15.28515625" style="50" customWidth="1"/>
    <col min="13316" max="13566" width="9.140625" style="50"/>
    <col min="13567" max="13567" width="77.5703125" style="50" customWidth="1"/>
    <col min="13568" max="13568" width="8.42578125" style="50" customWidth="1"/>
    <col min="13569" max="13569" width="9.140625" style="50"/>
    <col min="13570" max="13570" width="11" style="50" bestFit="1" customWidth="1"/>
    <col min="13571" max="13571" width="15.28515625" style="50" customWidth="1"/>
    <col min="13572" max="13822" width="9.140625" style="50"/>
    <col min="13823" max="13823" width="77.5703125" style="50" customWidth="1"/>
    <col min="13824" max="13824" width="8.42578125" style="50" customWidth="1"/>
    <col min="13825" max="13825" width="9.140625" style="50"/>
    <col min="13826" max="13826" width="11" style="50" bestFit="1" customWidth="1"/>
    <col min="13827" max="13827" width="15.28515625" style="50" customWidth="1"/>
    <col min="13828" max="14078" width="9.140625" style="50"/>
    <col min="14079" max="14079" width="77.5703125" style="50" customWidth="1"/>
    <col min="14080" max="14080" width="8.42578125" style="50" customWidth="1"/>
    <col min="14081" max="14081" width="9.140625" style="50"/>
    <col min="14082" max="14082" width="11" style="50" bestFit="1" customWidth="1"/>
    <col min="14083" max="14083" width="15.28515625" style="50" customWidth="1"/>
    <col min="14084" max="14334" width="9.140625" style="50"/>
    <col min="14335" max="14335" width="77.5703125" style="50" customWidth="1"/>
    <col min="14336" max="14336" width="8.42578125" style="50" customWidth="1"/>
    <col min="14337" max="14337" width="9.140625" style="50"/>
    <col min="14338" max="14338" width="11" style="50" bestFit="1" customWidth="1"/>
    <col min="14339" max="14339" width="15.28515625" style="50" customWidth="1"/>
    <col min="14340" max="14590" width="9.140625" style="50"/>
    <col min="14591" max="14591" width="77.5703125" style="50" customWidth="1"/>
    <col min="14592" max="14592" width="8.42578125" style="50" customWidth="1"/>
    <col min="14593" max="14593" width="9.140625" style="50"/>
    <col min="14594" max="14594" width="11" style="50" bestFit="1" customWidth="1"/>
    <col min="14595" max="14595" width="15.28515625" style="50" customWidth="1"/>
    <col min="14596" max="14846" width="9.140625" style="50"/>
    <col min="14847" max="14847" width="77.5703125" style="50" customWidth="1"/>
    <col min="14848" max="14848" width="8.42578125" style="50" customWidth="1"/>
    <col min="14849" max="14849" width="9.140625" style="50"/>
    <col min="14850" max="14850" width="11" style="50" bestFit="1" customWidth="1"/>
    <col min="14851" max="14851" width="15.28515625" style="50" customWidth="1"/>
    <col min="14852" max="15102" width="9.140625" style="50"/>
    <col min="15103" max="15103" width="77.5703125" style="50" customWidth="1"/>
    <col min="15104" max="15104" width="8.42578125" style="50" customWidth="1"/>
    <col min="15105" max="15105" width="9.140625" style="50"/>
    <col min="15106" max="15106" width="11" style="50" bestFit="1" customWidth="1"/>
    <col min="15107" max="15107" width="15.28515625" style="50" customWidth="1"/>
    <col min="15108" max="15358" width="9.140625" style="50"/>
    <col min="15359" max="15359" width="77.5703125" style="50" customWidth="1"/>
    <col min="15360" max="15360" width="8.42578125" style="50" customWidth="1"/>
    <col min="15361" max="15361" width="9.140625" style="50"/>
    <col min="15362" max="15362" width="11" style="50" bestFit="1" customWidth="1"/>
    <col min="15363" max="15363" width="15.28515625" style="50" customWidth="1"/>
    <col min="15364" max="15614" width="9.140625" style="50"/>
    <col min="15615" max="15615" width="77.5703125" style="50" customWidth="1"/>
    <col min="15616" max="15616" width="8.42578125" style="50" customWidth="1"/>
    <col min="15617" max="15617" width="9.140625" style="50"/>
    <col min="15618" max="15618" width="11" style="50" bestFit="1" customWidth="1"/>
    <col min="15619" max="15619" width="15.28515625" style="50" customWidth="1"/>
    <col min="15620" max="15870" width="9.140625" style="50"/>
    <col min="15871" max="15871" width="77.5703125" style="50" customWidth="1"/>
    <col min="15872" max="15872" width="8.42578125" style="50" customWidth="1"/>
    <col min="15873" max="15873" width="9.140625" style="50"/>
    <col min="15874" max="15874" width="11" style="50" bestFit="1" customWidth="1"/>
    <col min="15875" max="15875" width="15.28515625" style="50" customWidth="1"/>
    <col min="15876" max="16126" width="9.140625" style="50"/>
    <col min="16127" max="16127" width="77.5703125" style="50" customWidth="1"/>
    <col min="16128" max="16128" width="8.42578125" style="50" customWidth="1"/>
    <col min="16129" max="16129" width="9.140625" style="50"/>
    <col min="16130" max="16130" width="11" style="50" bestFit="1" customWidth="1"/>
    <col min="16131" max="16131" width="15.28515625" style="50" customWidth="1"/>
    <col min="16132" max="16384" width="9.140625" style="50"/>
  </cols>
  <sheetData>
    <row r="1" spans="1:10" ht="31.5" customHeight="1" x14ac:dyDescent="0.25">
      <c r="A1" s="202" t="s">
        <v>311</v>
      </c>
      <c r="B1" s="202"/>
      <c r="C1" s="202"/>
      <c r="D1" s="202"/>
      <c r="E1" s="202"/>
      <c r="F1" s="202"/>
      <c r="G1" s="202"/>
      <c r="H1" s="202"/>
      <c r="I1" s="202"/>
      <c r="J1" s="202"/>
    </row>
    <row r="3" spans="1:10" ht="15.75" customHeight="1" x14ac:dyDescent="0.25">
      <c r="A3" s="204" t="s">
        <v>90</v>
      </c>
      <c r="B3" s="205" t="s">
        <v>140</v>
      </c>
      <c r="C3" s="204" t="s">
        <v>139</v>
      </c>
      <c r="D3" s="206" t="s">
        <v>138</v>
      </c>
      <c r="E3" s="203" t="s">
        <v>310</v>
      </c>
      <c r="F3" s="203" t="s">
        <v>332</v>
      </c>
      <c r="G3" s="203" t="s">
        <v>347</v>
      </c>
      <c r="H3" s="203" t="s">
        <v>353</v>
      </c>
      <c r="I3" s="203" t="s">
        <v>360</v>
      </c>
      <c r="J3" s="201" t="s">
        <v>333</v>
      </c>
    </row>
    <row r="4" spans="1:10" x14ac:dyDescent="0.25">
      <c r="A4" s="204"/>
      <c r="B4" s="205"/>
      <c r="C4" s="204"/>
      <c r="D4" s="206"/>
      <c r="E4" s="203"/>
      <c r="F4" s="203"/>
      <c r="G4" s="203"/>
      <c r="H4" s="203"/>
      <c r="I4" s="203"/>
      <c r="J4" s="201"/>
    </row>
    <row r="5" spans="1:10" x14ac:dyDescent="0.25">
      <c r="A5" s="74" t="s">
        <v>286</v>
      </c>
      <c r="B5" s="74"/>
      <c r="C5" s="75"/>
      <c r="D5" s="76"/>
      <c r="E5" s="165">
        <f t="shared" ref="E5:I7" si="0">E6</f>
        <v>14087060</v>
      </c>
      <c r="F5" s="165">
        <f t="shared" si="0"/>
        <v>14087060</v>
      </c>
      <c r="G5" s="165">
        <f t="shared" si="0"/>
        <v>14087060</v>
      </c>
      <c r="H5" s="165">
        <f t="shared" si="0"/>
        <v>14087060</v>
      </c>
      <c r="I5" s="165">
        <f t="shared" si="0"/>
        <v>14087060</v>
      </c>
      <c r="J5" s="161">
        <f>I5-H5</f>
        <v>0</v>
      </c>
    </row>
    <row r="6" spans="1:10" x14ac:dyDescent="0.25">
      <c r="A6" s="74" t="s">
        <v>2</v>
      </c>
      <c r="B6" s="74"/>
      <c r="C6" s="75"/>
      <c r="D6" s="76"/>
      <c r="E6" s="165">
        <f>E7</f>
        <v>14087060</v>
      </c>
      <c r="F6" s="165">
        <f>F7</f>
        <v>14087060</v>
      </c>
      <c r="G6" s="165">
        <f>G7</f>
        <v>14087060</v>
      </c>
      <c r="H6" s="165">
        <f>H7</f>
        <v>14087060</v>
      </c>
      <c r="I6" s="165">
        <f>I7</f>
        <v>14087060</v>
      </c>
      <c r="J6" s="161">
        <f t="shared" ref="J6:J7" si="1">G6-F6</f>
        <v>0</v>
      </c>
    </row>
    <row r="7" spans="1:10" x14ac:dyDescent="0.25">
      <c r="A7" s="74" t="s">
        <v>68</v>
      </c>
      <c r="B7" s="74"/>
      <c r="C7" s="77"/>
      <c r="D7" s="76"/>
      <c r="E7" s="150">
        <f t="shared" si="0"/>
        <v>14087060</v>
      </c>
      <c r="F7" s="150">
        <f t="shared" si="0"/>
        <v>14087060</v>
      </c>
      <c r="G7" s="150">
        <f t="shared" si="0"/>
        <v>14087060</v>
      </c>
      <c r="H7" s="150">
        <f t="shared" si="0"/>
        <v>14087060</v>
      </c>
      <c r="I7" s="150">
        <f t="shared" si="0"/>
        <v>14087060</v>
      </c>
      <c r="J7" s="161">
        <f t="shared" si="1"/>
        <v>0</v>
      </c>
    </row>
    <row r="8" spans="1:10" x14ac:dyDescent="0.25">
      <c r="A8" s="80" t="s">
        <v>69</v>
      </c>
      <c r="B8" s="74"/>
      <c r="C8" s="78">
        <v>39.39</v>
      </c>
      <c r="D8" s="79">
        <v>4580000</v>
      </c>
      <c r="E8" s="149">
        <f>E10+E19+E22+E25+E30</f>
        <v>14087060</v>
      </c>
      <c r="F8" s="149">
        <f>F10+F19+F22+F25+F30</f>
        <v>14087060</v>
      </c>
      <c r="G8" s="149">
        <f>G10+G19+G22+G25+G30</f>
        <v>14087060</v>
      </c>
      <c r="H8" s="149">
        <f>H10+H19+H22+H25+H30</f>
        <v>14087060</v>
      </c>
      <c r="I8" s="149">
        <f>I10+I19+I22+I25+I30</f>
        <v>14087060</v>
      </c>
      <c r="J8" s="163">
        <f>I8-H8</f>
        <v>0</v>
      </c>
    </row>
    <row r="9" spans="1:10" x14ac:dyDescent="0.25">
      <c r="A9" s="80" t="s">
        <v>71</v>
      </c>
      <c r="B9" s="74"/>
      <c r="C9" s="77"/>
      <c r="D9" s="76"/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3">
        <f>I9-H9</f>
        <v>0</v>
      </c>
    </row>
    <row r="10" spans="1:10" x14ac:dyDescent="0.25">
      <c r="A10" s="168" t="s">
        <v>99</v>
      </c>
      <c r="B10" s="74"/>
      <c r="C10" s="77"/>
      <c r="D10" s="76"/>
      <c r="E10" s="150">
        <f>E11+E12+E13+E14+E15+E16+E17+E18</f>
        <v>7495610</v>
      </c>
      <c r="F10" s="150">
        <f>F11+F12+F13+F14+F15+F16+F17+F18</f>
        <v>7495610</v>
      </c>
      <c r="G10" s="150">
        <f>G11+G12+G13+G14+G15+G16+G17+G18</f>
        <v>7495610</v>
      </c>
      <c r="H10" s="150">
        <f>H11+H12+H13+H14+H15+H16+H17+H18</f>
        <v>7495610</v>
      </c>
      <c r="I10" s="150">
        <f>I11+I12+I13+I14+I15+I16+I17+I18</f>
        <v>7495610</v>
      </c>
      <c r="J10" s="161">
        <f>I10-H10</f>
        <v>0</v>
      </c>
    </row>
    <row r="11" spans="1:10" x14ac:dyDescent="0.25">
      <c r="A11" s="169" t="s">
        <v>70</v>
      </c>
      <c r="B11" s="74"/>
      <c r="C11" s="77"/>
      <c r="D11" s="76"/>
      <c r="E11" s="149">
        <v>787190</v>
      </c>
      <c r="F11" s="149">
        <v>787190</v>
      </c>
      <c r="G11" s="149">
        <v>787190</v>
      </c>
      <c r="H11" s="149">
        <v>787190</v>
      </c>
      <c r="I11" s="149">
        <v>787190</v>
      </c>
      <c r="J11" s="163">
        <f>I11-H11</f>
        <v>0</v>
      </c>
    </row>
    <row r="12" spans="1:10" x14ac:dyDescent="0.25">
      <c r="A12" s="169" t="s">
        <v>71</v>
      </c>
      <c r="B12" s="74"/>
      <c r="C12" s="77"/>
      <c r="D12" s="76"/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3">
        <f t="shared" ref="J12:J18" si="2">I12-H12</f>
        <v>0</v>
      </c>
    </row>
    <row r="13" spans="1:10" x14ac:dyDescent="0.25">
      <c r="A13" s="169" t="s">
        <v>72</v>
      </c>
      <c r="B13" s="74"/>
      <c r="C13" s="75"/>
      <c r="D13" s="76"/>
      <c r="E13" s="149">
        <v>5696000</v>
      </c>
      <c r="F13" s="149">
        <v>5696000</v>
      </c>
      <c r="G13" s="149">
        <v>5696000</v>
      </c>
      <c r="H13" s="149">
        <v>5696000</v>
      </c>
      <c r="I13" s="149">
        <v>5696000</v>
      </c>
      <c r="J13" s="163">
        <f t="shared" si="2"/>
        <v>0</v>
      </c>
    </row>
    <row r="14" spans="1:10" x14ac:dyDescent="0.25">
      <c r="A14" s="169" t="s">
        <v>71</v>
      </c>
      <c r="B14" s="74"/>
      <c r="C14" s="75"/>
      <c r="D14" s="76"/>
      <c r="E14" s="167">
        <v>0</v>
      </c>
      <c r="F14" s="167">
        <v>0</v>
      </c>
      <c r="G14" s="167">
        <v>0</v>
      </c>
      <c r="H14" s="167">
        <v>0</v>
      </c>
      <c r="I14" s="167">
        <v>0</v>
      </c>
      <c r="J14" s="163">
        <f t="shared" si="2"/>
        <v>0</v>
      </c>
    </row>
    <row r="15" spans="1:10" x14ac:dyDescent="0.25">
      <c r="A15" s="169" t="s">
        <v>73</v>
      </c>
      <c r="B15" s="74"/>
      <c r="C15" s="75"/>
      <c r="D15" s="76"/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63">
        <f t="shared" si="2"/>
        <v>0</v>
      </c>
    </row>
    <row r="16" spans="1:10" x14ac:dyDescent="0.25">
      <c r="A16" s="169" t="s">
        <v>71</v>
      </c>
      <c r="B16" s="74"/>
      <c r="C16" s="75"/>
      <c r="D16" s="76"/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3">
        <f t="shared" si="2"/>
        <v>0</v>
      </c>
    </row>
    <row r="17" spans="1:10" x14ac:dyDescent="0.25">
      <c r="A17" s="169" t="s">
        <v>74</v>
      </c>
      <c r="B17" s="74"/>
      <c r="C17" s="75"/>
      <c r="D17" s="76"/>
      <c r="E17" s="149">
        <v>1012420</v>
      </c>
      <c r="F17" s="149">
        <v>1012420</v>
      </c>
      <c r="G17" s="149">
        <v>1012420</v>
      </c>
      <c r="H17" s="149">
        <v>1012420</v>
      </c>
      <c r="I17" s="149">
        <v>1012420</v>
      </c>
      <c r="J17" s="163">
        <f t="shared" si="2"/>
        <v>0</v>
      </c>
    </row>
    <row r="18" spans="1:10" x14ac:dyDescent="0.25">
      <c r="A18" s="169" t="s">
        <v>71</v>
      </c>
      <c r="B18" s="74"/>
      <c r="C18" s="75"/>
      <c r="D18" s="76"/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3">
        <f t="shared" si="2"/>
        <v>0</v>
      </c>
    </row>
    <row r="19" spans="1:10" x14ac:dyDescent="0.25">
      <c r="A19" s="74" t="s">
        <v>100</v>
      </c>
      <c r="B19" s="74"/>
      <c r="C19" s="75"/>
      <c r="D19" s="76"/>
      <c r="E19" s="165">
        <f>E20+E21</f>
        <v>5000000</v>
      </c>
      <c r="F19" s="165">
        <f>F20+F21</f>
        <v>5000000</v>
      </c>
      <c r="G19" s="165">
        <f>G20+G21</f>
        <v>5000000</v>
      </c>
      <c r="H19" s="165">
        <f>H20+H21</f>
        <v>5000000</v>
      </c>
      <c r="I19" s="165">
        <f>I20+I21</f>
        <v>5000000</v>
      </c>
      <c r="J19" s="161">
        <f t="shared" ref="J19:J26" si="3">I19-H19</f>
        <v>0</v>
      </c>
    </row>
    <row r="20" spans="1:10" x14ac:dyDescent="0.25">
      <c r="A20" s="80" t="s">
        <v>93</v>
      </c>
      <c r="B20" s="80"/>
      <c r="C20" s="80"/>
      <c r="D20" s="79">
        <v>2700</v>
      </c>
      <c r="E20" s="149">
        <v>5000000</v>
      </c>
      <c r="F20" s="149">
        <v>5000000</v>
      </c>
      <c r="G20" s="149">
        <v>5000000</v>
      </c>
      <c r="H20" s="149">
        <v>5000000</v>
      </c>
      <c r="I20" s="149">
        <v>5000000</v>
      </c>
      <c r="J20" s="163">
        <f t="shared" si="3"/>
        <v>0</v>
      </c>
    </row>
    <row r="21" spans="1:10" x14ac:dyDescent="0.25">
      <c r="A21" s="169" t="s">
        <v>71</v>
      </c>
      <c r="B21" s="74"/>
      <c r="C21" s="81"/>
      <c r="D21" s="79"/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63">
        <f t="shared" si="3"/>
        <v>0</v>
      </c>
    </row>
    <row r="22" spans="1:10" x14ac:dyDescent="0.25">
      <c r="A22" s="74" t="s">
        <v>101</v>
      </c>
      <c r="B22" s="79"/>
      <c r="C22" s="81"/>
      <c r="D22" s="79"/>
      <c r="E22" s="150">
        <f>E23+E24</f>
        <v>48450</v>
      </c>
      <c r="F22" s="150">
        <f>F23+F24</f>
        <v>48450</v>
      </c>
      <c r="G22" s="150">
        <f>G23+G24</f>
        <v>48450</v>
      </c>
      <c r="H22" s="150">
        <f>H23+H24</f>
        <v>48450</v>
      </c>
      <c r="I22" s="150">
        <f>I23+I24</f>
        <v>48450</v>
      </c>
      <c r="J22" s="161">
        <f t="shared" si="3"/>
        <v>0</v>
      </c>
    </row>
    <row r="23" spans="1:10" x14ac:dyDescent="0.25">
      <c r="A23" s="80" t="s">
        <v>75</v>
      </c>
      <c r="B23" s="79">
        <v>2550</v>
      </c>
      <c r="C23" s="81"/>
      <c r="D23" s="82"/>
      <c r="E23" s="170">
        <v>48450</v>
      </c>
      <c r="F23" s="170">
        <v>48450</v>
      </c>
      <c r="G23" s="170">
        <v>48450</v>
      </c>
      <c r="H23" s="170">
        <v>48450</v>
      </c>
      <c r="I23" s="170">
        <v>48450</v>
      </c>
      <c r="J23" s="163">
        <f t="shared" si="3"/>
        <v>0</v>
      </c>
    </row>
    <row r="24" spans="1:10" x14ac:dyDescent="0.25">
      <c r="A24" s="169" t="s">
        <v>71</v>
      </c>
      <c r="B24" s="74"/>
      <c r="C24" s="75"/>
      <c r="D24" s="83"/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163">
        <f t="shared" si="3"/>
        <v>0</v>
      </c>
    </row>
    <row r="25" spans="1:10" x14ac:dyDescent="0.25">
      <c r="A25" s="171" t="s">
        <v>102</v>
      </c>
      <c r="B25" s="74"/>
      <c r="C25" s="81"/>
      <c r="D25" s="79"/>
      <c r="E25" s="172">
        <f>E26</f>
        <v>552600</v>
      </c>
      <c r="F25" s="172">
        <f>F26</f>
        <v>552600</v>
      </c>
      <c r="G25" s="172">
        <f>G26</f>
        <v>552600</v>
      </c>
      <c r="H25" s="172">
        <f>H26</f>
        <v>552600</v>
      </c>
      <c r="I25" s="172">
        <f>I26</f>
        <v>552600</v>
      </c>
      <c r="J25" s="161">
        <f t="shared" si="3"/>
        <v>0</v>
      </c>
    </row>
    <row r="26" spans="1:10" x14ac:dyDescent="0.25">
      <c r="A26" s="166" t="s">
        <v>103</v>
      </c>
      <c r="B26" s="74"/>
      <c r="C26" s="81"/>
      <c r="D26" s="79"/>
      <c r="E26" s="163">
        <v>552600</v>
      </c>
      <c r="F26" s="163">
        <v>552600</v>
      </c>
      <c r="G26" s="163">
        <v>552600</v>
      </c>
      <c r="H26" s="163">
        <v>552600</v>
      </c>
      <c r="I26" s="163">
        <v>552600</v>
      </c>
      <c r="J26" s="163">
        <f t="shared" si="3"/>
        <v>0</v>
      </c>
    </row>
    <row r="27" spans="1:10" x14ac:dyDescent="0.25">
      <c r="A27" s="169" t="s">
        <v>71</v>
      </c>
      <c r="B27" s="74"/>
      <c r="C27" s="81"/>
      <c r="D27" s="79"/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63">
        <f t="shared" ref="J27:J28" si="4">I27-H27</f>
        <v>0</v>
      </c>
    </row>
    <row r="28" spans="1:10" x14ac:dyDescent="0.25">
      <c r="A28" s="168" t="s">
        <v>336</v>
      </c>
      <c r="B28" s="74"/>
      <c r="C28" s="75"/>
      <c r="D28" s="76"/>
      <c r="E28" s="150">
        <v>0</v>
      </c>
      <c r="F28" s="150">
        <v>0</v>
      </c>
      <c r="G28" s="150">
        <v>0</v>
      </c>
      <c r="H28" s="150">
        <v>0</v>
      </c>
      <c r="I28" s="150">
        <v>0</v>
      </c>
      <c r="J28" s="161">
        <f t="shared" si="4"/>
        <v>0</v>
      </c>
    </row>
    <row r="29" spans="1:10" x14ac:dyDescent="0.25">
      <c r="A29" s="168"/>
      <c r="B29" s="74"/>
      <c r="C29" s="75"/>
      <c r="D29" s="76"/>
      <c r="E29" s="150"/>
      <c r="F29" s="150"/>
      <c r="G29" s="150"/>
      <c r="H29" s="150"/>
      <c r="I29" s="150"/>
      <c r="J29" s="166"/>
    </row>
    <row r="30" spans="1:10" x14ac:dyDescent="0.25">
      <c r="A30" s="168" t="s">
        <v>287</v>
      </c>
      <c r="B30" s="74"/>
      <c r="C30" s="75"/>
      <c r="D30" s="76"/>
      <c r="E30" s="150">
        <v>990400</v>
      </c>
      <c r="F30" s="150">
        <v>990400</v>
      </c>
      <c r="G30" s="150">
        <v>990400</v>
      </c>
      <c r="H30" s="150">
        <v>990400</v>
      </c>
      <c r="I30" s="150">
        <v>990400</v>
      </c>
      <c r="J30" s="161">
        <f>I30-H30</f>
        <v>0</v>
      </c>
    </row>
    <row r="31" spans="1:10" x14ac:dyDescent="0.25">
      <c r="A31" s="169"/>
      <c r="B31" s="74"/>
      <c r="C31" s="81"/>
      <c r="D31" s="79"/>
      <c r="E31" s="149"/>
      <c r="F31" s="149"/>
      <c r="G31" s="149"/>
      <c r="H31" s="149"/>
      <c r="I31" s="149"/>
      <c r="J31" s="166"/>
    </row>
    <row r="32" spans="1:10" x14ac:dyDescent="0.25">
      <c r="A32" s="74" t="s">
        <v>104</v>
      </c>
      <c r="B32" s="74"/>
      <c r="C32" s="81"/>
      <c r="D32" s="79"/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161">
        <f>I32-H32</f>
        <v>0</v>
      </c>
    </row>
    <row r="33" spans="1:10" x14ac:dyDescent="0.25">
      <c r="A33" s="166"/>
      <c r="B33" s="80"/>
      <c r="C33" s="80"/>
      <c r="D33" s="79"/>
      <c r="E33" s="170"/>
      <c r="F33" s="170"/>
      <c r="G33" s="170"/>
      <c r="H33" s="170"/>
      <c r="I33" s="170"/>
      <c r="J33" s="166"/>
    </row>
    <row r="34" spans="1:10" x14ac:dyDescent="0.25">
      <c r="A34" s="74" t="s">
        <v>292</v>
      </c>
      <c r="B34" s="74"/>
      <c r="C34" s="81"/>
      <c r="D34" s="79"/>
      <c r="E34" s="76">
        <f>E36+E37+E35</f>
        <v>5334000</v>
      </c>
      <c r="F34" s="76">
        <f>F36+F37+F35</f>
        <v>5380125</v>
      </c>
      <c r="G34" s="76">
        <f>G36+G37+G35+G39</f>
        <v>6553166</v>
      </c>
      <c r="H34" s="76">
        <f>H36+H37+H35+H39</f>
        <v>6576077</v>
      </c>
      <c r="I34" s="76">
        <f>I36+I37+I35+I39</f>
        <v>6576077</v>
      </c>
      <c r="J34" s="161">
        <f>I34-H34</f>
        <v>0</v>
      </c>
    </row>
    <row r="35" spans="1:10" x14ac:dyDescent="0.25">
      <c r="A35" s="74" t="s">
        <v>288</v>
      </c>
      <c r="B35" s="74"/>
      <c r="C35" s="81"/>
      <c r="D35" s="79"/>
      <c r="E35" s="76">
        <v>0</v>
      </c>
      <c r="F35" s="76">
        <v>46125</v>
      </c>
      <c r="G35" s="76">
        <f>46125+23041</f>
        <v>69166</v>
      </c>
      <c r="H35" s="76">
        <f>46125+23041+22911</f>
        <v>92077</v>
      </c>
      <c r="I35" s="76">
        <f>46125+23041+22911</f>
        <v>92077</v>
      </c>
      <c r="J35" s="161">
        <f t="shared" ref="J35:J37" si="5">I35-H35</f>
        <v>0</v>
      </c>
    </row>
    <row r="36" spans="1:10" x14ac:dyDescent="0.25">
      <c r="A36" s="74" t="s">
        <v>289</v>
      </c>
      <c r="B36" s="74"/>
      <c r="C36" s="81"/>
      <c r="D36" s="79"/>
      <c r="E36" s="76">
        <v>2234000</v>
      </c>
      <c r="F36" s="76">
        <v>2234000</v>
      </c>
      <c r="G36" s="76">
        <v>2234000</v>
      </c>
      <c r="H36" s="76">
        <v>2234000</v>
      </c>
      <c r="I36" s="76">
        <v>2234000</v>
      </c>
      <c r="J36" s="161">
        <f t="shared" si="5"/>
        <v>0</v>
      </c>
    </row>
    <row r="37" spans="1:10" x14ac:dyDescent="0.25">
      <c r="A37" s="74" t="s">
        <v>290</v>
      </c>
      <c r="B37" s="80"/>
      <c r="C37" s="81"/>
      <c r="D37" s="79"/>
      <c r="E37" s="76">
        <f>E38</f>
        <v>3100000</v>
      </c>
      <c r="F37" s="76">
        <f>F38</f>
        <v>3100000</v>
      </c>
      <c r="G37" s="76">
        <f>G38</f>
        <v>3100000</v>
      </c>
      <c r="H37" s="76">
        <f>H38</f>
        <v>3100000</v>
      </c>
      <c r="I37" s="76">
        <f>I38</f>
        <v>3100000</v>
      </c>
      <c r="J37" s="161">
        <f t="shared" si="5"/>
        <v>0</v>
      </c>
    </row>
    <row r="38" spans="1:10" x14ac:dyDescent="0.25">
      <c r="A38" s="173" t="s">
        <v>305</v>
      </c>
      <c r="B38" s="80"/>
      <c r="C38" s="81"/>
      <c r="D38" s="79"/>
      <c r="E38" s="79">
        <v>3100000</v>
      </c>
      <c r="F38" s="79">
        <v>3100000</v>
      </c>
      <c r="G38" s="79">
        <v>3100000</v>
      </c>
      <c r="H38" s="79">
        <v>3100000</v>
      </c>
      <c r="I38" s="79">
        <v>3100000</v>
      </c>
      <c r="J38" s="163">
        <f>I38-H38</f>
        <v>0</v>
      </c>
    </row>
    <row r="39" spans="1:10" s="85" customFormat="1" x14ac:dyDescent="0.25">
      <c r="A39" s="81" t="s">
        <v>345</v>
      </c>
      <c r="B39" s="74"/>
      <c r="C39" s="84"/>
      <c r="D39" s="75"/>
      <c r="E39" s="81">
        <v>0</v>
      </c>
      <c r="F39" s="81">
        <v>0</v>
      </c>
      <c r="G39" s="81">
        <v>1150000</v>
      </c>
      <c r="H39" s="81">
        <v>1150000</v>
      </c>
      <c r="I39" s="81">
        <v>1150000</v>
      </c>
      <c r="J39" s="163">
        <f>I39-H39</f>
        <v>0</v>
      </c>
    </row>
    <row r="40" spans="1:10" x14ac:dyDescent="0.25">
      <c r="A40" s="80"/>
      <c r="B40" s="80"/>
      <c r="C40" s="80"/>
      <c r="D40" s="79"/>
      <c r="E40" s="174"/>
      <c r="F40" s="174"/>
      <c r="G40" s="174"/>
      <c r="H40" s="174"/>
      <c r="I40" s="174"/>
      <c r="J40" s="166"/>
    </row>
    <row r="41" spans="1:10" x14ac:dyDescent="0.25">
      <c r="A41" s="75" t="s">
        <v>294</v>
      </c>
      <c r="B41" s="86"/>
      <c r="C41" s="86"/>
      <c r="D41" s="86"/>
      <c r="E41" s="172">
        <f>E42</f>
        <v>1800000</v>
      </c>
      <c r="F41" s="172">
        <f>F42</f>
        <v>1800000</v>
      </c>
      <c r="G41" s="172">
        <f>G42</f>
        <v>1800000</v>
      </c>
      <c r="H41" s="172">
        <f>H42</f>
        <v>1800000</v>
      </c>
      <c r="I41" s="172">
        <f>I42</f>
        <v>1800000</v>
      </c>
      <c r="J41" s="161">
        <f>I41-H41</f>
        <v>0</v>
      </c>
    </row>
    <row r="42" spans="1:10" x14ac:dyDescent="0.25">
      <c r="A42" s="81" t="s">
        <v>295</v>
      </c>
      <c r="B42" s="81"/>
      <c r="C42" s="81"/>
      <c r="D42" s="79"/>
      <c r="E42" s="170">
        <v>1800000</v>
      </c>
      <c r="F42" s="170">
        <v>1800000</v>
      </c>
      <c r="G42" s="170">
        <v>1800000</v>
      </c>
      <c r="H42" s="170">
        <v>1800000</v>
      </c>
      <c r="I42" s="170">
        <v>1800000</v>
      </c>
      <c r="J42" s="163">
        <f>I42-H42</f>
        <v>0</v>
      </c>
    </row>
    <row r="43" spans="1:10" x14ac:dyDescent="0.25">
      <c r="A43" s="81"/>
      <c r="B43" s="81"/>
      <c r="C43" s="81"/>
      <c r="D43" s="79"/>
      <c r="E43" s="170"/>
      <c r="F43" s="170"/>
      <c r="G43" s="170"/>
      <c r="H43" s="170"/>
      <c r="I43" s="170"/>
      <c r="J43" s="166"/>
    </row>
    <row r="44" spans="1:10" x14ac:dyDescent="0.25">
      <c r="A44" s="75" t="s">
        <v>291</v>
      </c>
      <c r="B44" s="81"/>
      <c r="C44" s="81"/>
      <c r="D44" s="79"/>
      <c r="E44" s="172">
        <v>0</v>
      </c>
      <c r="F44" s="172">
        <f>F45</f>
        <v>1150000</v>
      </c>
      <c r="G44" s="172">
        <f>G45+G46</f>
        <v>388620</v>
      </c>
      <c r="H44" s="172">
        <f>H45+H46</f>
        <v>388620</v>
      </c>
      <c r="I44" s="172">
        <f>I45+I46</f>
        <v>388620</v>
      </c>
      <c r="J44" s="161">
        <f>I44-H44</f>
        <v>0</v>
      </c>
    </row>
    <row r="45" spans="1:10" x14ac:dyDescent="0.25">
      <c r="A45" s="81" t="s">
        <v>345</v>
      </c>
      <c r="B45" s="81"/>
      <c r="C45" s="81"/>
      <c r="D45" s="79"/>
      <c r="E45" s="170">
        <v>0</v>
      </c>
      <c r="F45" s="170">
        <v>1150000</v>
      </c>
      <c r="G45" s="170">
        <v>0</v>
      </c>
      <c r="H45" s="170">
        <v>0</v>
      </c>
      <c r="I45" s="170">
        <v>0</v>
      </c>
      <c r="J45" s="163">
        <f>H45-G45</f>
        <v>0</v>
      </c>
    </row>
    <row r="46" spans="1:10" x14ac:dyDescent="0.25">
      <c r="A46" s="81" t="s">
        <v>348</v>
      </c>
      <c r="B46" s="81"/>
      <c r="C46" s="81"/>
      <c r="D46" s="79"/>
      <c r="E46" s="170">
        <v>0</v>
      </c>
      <c r="F46" s="170">
        <v>0</v>
      </c>
      <c r="G46" s="170">
        <v>388620</v>
      </c>
      <c r="H46" s="170">
        <v>388620</v>
      </c>
      <c r="I46" s="170">
        <v>388620</v>
      </c>
      <c r="J46" s="163">
        <f>I46-H46</f>
        <v>0</v>
      </c>
    </row>
    <row r="47" spans="1:10" x14ac:dyDescent="0.25">
      <c r="A47" s="81"/>
      <c r="B47" s="81"/>
      <c r="C47" s="81"/>
      <c r="D47" s="79"/>
      <c r="E47" s="170"/>
      <c r="F47" s="170"/>
      <c r="G47" s="170"/>
      <c r="H47" s="170"/>
      <c r="I47" s="170"/>
      <c r="J47" s="166"/>
    </row>
    <row r="48" spans="1:10" x14ac:dyDescent="0.25">
      <c r="A48" s="74" t="s">
        <v>76</v>
      </c>
      <c r="B48" s="174"/>
      <c r="C48" s="174"/>
      <c r="D48" s="174"/>
      <c r="E48" s="172">
        <f>E41+E34+E32+E5</f>
        <v>21221060</v>
      </c>
      <c r="F48" s="172">
        <f>F41+F34+F32+F5+F44</f>
        <v>22417185</v>
      </c>
      <c r="G48" s="172">
        <f>G41+G34+G32+G5+G44</f>
        <v>22828846</v>
      </c>
      <c r="H48" s="172">
        <f>H41+H34+H32+H5+H44</f>
        <v>22851757</v>
      </c>
      <c r="I48" s="172">
        <f>I41+I34+I32+I5+I44</f>
        <v>22851757</v>
      </c>
      <c r="J48" s="161">
        <f>I48-H48</f>
        <v>0</v>
      </c>
    </row>
    <row r="51" spans="5:5" x14ac:dyDescent="0.25">
      <c r="E51" s="51"/>
    </row>
  </sheetData>
  <mergeCells count="11">
    <mergeCell ref="J3:J4"/>
    <mergeCell ref="A1:J1"/>
    <mergeCell ref="F3:F4"/>
    <mergeCell ref="A3:A4"/>
    <mergeCell ref="B3:B4"/>
    <mergeCell ref="C3:C4"/>
    <mergeCell ref="D3:D4"/>
    <mergeCell ref="E3:E4"/>
    <mergeCell ref="G3:G4"/>
    <mergeCell ref="H3:H4"/>
    <mergeCell ref="I3:I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2019. évi költségvetéséről szóló 4/2020. (III. 03.)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L39"/>
  <sheetViews>
    <sheetView view="pageLayout" zoomScaleNormal="75" zoomScaleSheetLayoutView="80" workbookViewId="0">
      <selection activeCell="A2" sqref="A2:G3"/>
    </sheetView>
  </sheetViews>
  <sheetFormatPr defaultColWidth="9" defaultRowHeight="15.75" x14ac:dyDescent="0.25"/>
  <cols>
    <col min="1" max="1" width="44.7109375" style="64" customWidth="1"/>
    <col min="2" max="2" width="14" style="64" customWidth="1"/>
    <col min="3" max="3" width="12.42578125" style="64" customWidth="1"/>
    <col min="4" max="4" width="12.5703125" style="64" customWidth="1"/>
    <col min="5" max="5" width="11.85546875" style="64" customWidth="1"/>
    <col min="6" max="6" width="12.28515625" style="64" customWidth="1"/>
    <col min="7" max="7" width="14.7109375" style="64" customWidth="1"/>
    <col min="8" max="8" width="15.28515625" style="64" customWidth="1"/>
    <col min="9" max="11" width="9" style="64"/>
    <col min="12" max="12" width="11.28515625" style="64" bestFit="1" customWidth="1"/>
    <col min="13" max="16384" width="9" style="64"/>
  </cols>
  <sheetData>
    <row r="2" spans="1:8" x14ac:dyDescent="0.25">
      <c r="A2" s="207" t="s">
        <v>312</v>
      </c>
      <c r="B2" s="207"/>
      <c r="C2" s="207"/>
      <c r="D2" s="207"/>
      <c r="E2" s="207"/>
      <c r="F2" s="207"/>
      <c r="G2" s="207"/>
    </row>
    <row r="3" spans="1:8" x14ac:dyDescent="0.25">
      <c r="A3" s="207"/>
      <c r="B3" s="207"/>
      <c r="C3" s="207"/>
      <c r="D3" s="207"/>
      <c r="E3" s="207"/>
      <c r="F3" s="207"/>
      <c r="G3" s="207"/>
    </row>
    <row r="4" spans="1:8" ht="51.75" customHeight="1" x14ac:dyDescent="0.25">
      <c r="A4" s="157" t="s">
        <v>90</v>
      </c>
      <c r="B4" s="13" t="str">
        <f>'1.sz.tábla '!B4</f>
        <v>2019. évi eredeti előirányzat</v>
      </c>
      <c r="C4" s="13" t="str">
        <f>'1.sz.tábla '!C4</f>
        <v>I. Módosítás</v>
      </c>
      <c r="D4" s="13" t="s">
        <v>347</v>
      </c>
      <c r="E4" s="13" t="s">
        <v>353</v>
      </c>
      <c r="F4" s="13" t="s">
        <v>360</v>
      </c>
      <c r="G4" s="13" t="str">
        <f>'1.sz.tábla '!G4</f>
        <v>Eltérés</v>
      </c>
    </row>
    <row r="5" spans="1:8" ht="30.75" customHeight="1" x14ac:dyDescent="0.25">
      <c r="A5" s="158" t="s">
        <v>111</v>
      </c>
      <c r="B5" s="57"/>
      <c r="C5" s="159"/>
      <c r="D5" s="159"/>
      <c r="E5" s="159"/>
      <c r="F5" s="159"/>
      <c r="G5" s="159"/>
    </row>
    <row r="6" spans="1:8" s="66" customFormat="1" ht="18.95" customHeight="1" x14ac:dyDescent="0.25">
      <c r="A6" s="160" t="s">
        <v>78</v>
      </c>
      <c r="B6" s="58">
        <f>SUM(B7:B8)</f>
        <v>11331764</v>
      </c>
      <c r="C6" s="58">
        <f>SUM(C7:C8)</f>
        <v>12714792</v>
      </c>
      <c r="D6" s="58">
        <f>SUM(D7:D8)</f>
        <v>12939792</v>
      </c>
      <c r="E6" s="58">
        <f>SUM(E7:E8)</f>
        <v>13027292</v>
      </c>
      <c r="F6" s="58">
        <f>SUM(F7:F8)</f>
        <v>13027292</v>
      </c>
      <c r="G6" s="65">
        <f t="shared" ref="G6:G34" si="0">F6-E6</f>
        <v>0</v>
      </c>
    </row>
    <row r="7" spans="1:8" s="66" customFormat="1" ht="18.95" customHeight="1" x14ac:dyDescent="0.25">
      <c r="A7" s="162" t="s">
        <v>316</v>
      </c>
      <c r="B7" s="69">
        <v>8231764</v>
      </c>
      <c r="C7" s="69">
        <f>8231764+442583+940425+20</f>
        <v>9614792</v>
      </c>
      <c r="D7" s="69">
        <f>9614792+225000</f>
        <v>9839792</v>
      </c>
      <c r="E7" s="69">
        <f>9839792+87500</f>
        <v>9927292</v>
      </c>
      <c r="F7" s="69">
        <v>9927292</v>
      </c>
      <c r="G7" s="69">
        <f t="shared" si="0"/>
        <v>0</v>
      </c>
    </row>
    <row r="8" spans="1:8" s="66" customFormat="1" ht="18.95" customHeight="1" x14ac:dyDescent="0.25">
      <c r="A8" s="162" t="s">
        <v>317</v>
      </c>
      <c r="B8" s="69">
        <v>3100000</v>
      </c>
      <c r="C8" s="69">
        <v>3100000</v>
      </c>
      <c r="D8" s="69">
        <v>3100000</v>
      </c>
      <c r="E8" s="69">
        <v>3100000</v>
      </c>
      <c r="F8" s="69">
        <v>3100000</v>
      </c>
      <c r="G8" s="69">
        <f t="shared" si="0"/>
        <v>0</v>
      </c>
    </row>
    <row r="9" spans="1:8" s="66" customFormat="1" ht="18.95" customHeight="1" x14ac:dyDescent="0.25">
      <c r="A9" s="160" t="s">
        <v>79</v>
      </c>
      <c r="B9" s="58">
        <f>SUM(B10:B11)</f>
        <v>3271315</v>
      </c>
      <c r="C9" s="58">
        <f>SUM(C10:C11)</f>
        <v>2115461</v>
      </c>
      <c r="D9" s="58">
        <f>SUM(D10:D11)</f>
        <v>2154836</v>
      </c>
      <c r="E9" s="58">
        <f>SUM(E10:E11)</f>
        <v>2168749</v>
      </c>
      <c r="F9" s="58">
        <f>SUM(F10:F11)</f>
        <v>2168749</v>
      </c>
      <c r="G9" s="65">
        <f t="shared" si="0"/>
        <v>0</v>
      </c>
      <c r="H9" s="67"/>
    </row>
    <row r="10" spans="1:8" s="66" customFormat="1" ht="18.95" customHeight="1" x14ac:dyDescent="0.25">
      <c r="A10" s="162" t="s">
        <v>318</v>
      </c>
      <c r="B10" s="69">
        <v>2831315</v>
      </c>
      <c r="C10" s="163">
        <f>2831315-1333847+86303+91690</f>
        <v>1675461</v>
      </c>
      <c r="D10" s="163">
        <f>1675461+39375</f>
        <v>1714836</v>
      </c>
      <c r="E10" s="163">
        <f>1714836+13913</f>
        <v>1728749</v>
      </c>
      <c r="F10" s="163">
        <v>1728749</v>
      </c>
      <c r="G10" s="69">
        <f t="shared" si="0"/>
        <v>0</v>
      </c>
      <c r="H10" s="67"/>
    </row>
    <row r="11" spans="1:8" s="66" customFormat="1" ht="18.95" customHeight="1" x14ac:dyDescent="0.25">
      <c r="A11" s="162" t="s">
        <v>319</v>
      </c>
      <c r="B11" s="69">
        <v>440000</v>
      </c>
      <c r="C11" s="163">
        <v>440000</v>
      </c>
      <c r="D11" s="163">
        <v>440000</v>
      </c>
      <c r="E11" s="163">
        <v>440000</v>
      </c>
      <c r="F11" s="163">
        <v>440000</v>
      </c>
      <c r="G11" s="69">
        <f t="shared" si="0"/>
        <v>0</v>
      </c>
      <c r="H11" s="67"/>
    </row>
    <row r="12" spans="1:8" s="66" customFormat="1" ht="18.95" customHeight="1" x14ac:dyDescent="0.25">
      <c r="A12" s="160" t="s">
        <v>80</v>
      </c>
      <c r="B12" s="58">
        <f>SUM(B13:B30)</f>
        <v>44728404</v>
      </c>
      <c r="C12" s="58">
        <f>SUM(C13:C30)</f>
        <v>44878404</v>
      </c>
      <c r="D12" s="58">
        <f>SUM(D13:D30)</f>
        <v>45844874</v>
      </c>
      <c r="E12" s="58">
        <f>SUM(E13:E30)</f>
        <v>47554874</v>
      </c>
      <c r="F12" s="58">
        <f>SUM(F13:F30)</f>
        <v>47964874</v>
      </c>
      <c r="G12" s="58">
        <f t="shared" si="0"/>
        <v>410000</v>
      </c>
      <c r="H12" s="67"/>
    </row>
    <row r="13" spans="1:8" ht="19.7" customHeight="1" x14ac:dyDescent="0.25">
      <c r="A13" s="162" t="s">
        <v>301</v>
      </c>
      <c r="B13" s="69">
        <v>70000</v>
      </c>
      <c r="C13" s="163">
        <v>70000</v>
      </c>
      <c r="D13" s="163">
        <v>70000</v>
      </c>
      <c r="E13" s="163">
        <v>70000</v>
      </c>
      <c r="F13" s="163">
        <f>70000+30000</f>
        <v>100000</v>
      </c>
      <c r="G13" s="69">
        <f t="shared" si="0"/>
        <v>30000</v>
      </c>
    </row>
    <row r="14" spans="1:8" ht="19.7" customHeight="1" x14ac:dyDescent="0.25">
      <c r="A14" s="162" t="s">
        <v>300</v>
      </c>
      <c r="B14" s="69">
        <v>2300000</v>
      </c>
      <c r="C14" s="163">
        <v>2300000</v>
      </c>
      <c r="D14" s="163">
        <f>2300000+306000</f>
        <v>2606000</v>
      </c>
      <c r="E14" s="163">
        <v>2606000</v>
      </c>
      <c r="F14" s="163">
        <f>2606000-30000</f>
        <v>2576000</v>
      </c>
      <c r="G14" s="69">
        <f t="shared" si="0"/>
        <v>-30000</v>
      </c>
    </row>
    <row r="15" spans="1:8" ht="19.7" customHeight="1" x14ac:dyDescent="0.25">
      <c r="A15" s="162" t="s">
        <v>320</v>
      </c>
      <c r="B15" s="69">
        <v>421260</v>
      </c>
      <c r="C15" s="163">
        <v>421260</v>
      </c>
      <c r="D15" s="163">
        <v>421260</v>
      </c>
      <c r="E15" s="163">
        <v>421260</v>
      </c>
      <c r="F15" s="163">
        <v>421260</v>
      </c>
      <c r="G15" s="69">
        <f t="shared" si="0"/>
        <v>0</v>
      </c>
    </row>
    <row r="16" spans="1:8" ht="19.7" customHeight="1" x14ac:dyDescent="0.25">
      <c r="A16" s="162" t="s">
        <v>303</v>
      </c>
      <c r="B16" s="69">
        <v>500000</v>
      </c>
      <c r="C16" s="163">
        <v>500000</v>
      </c>
      <c r="D16" s="163">
        <v>500000</v>
      </c>
      <c r="E16" s="163">
        <v>500000</v>
      </c>
      <c r="F16" s="163">
        <v>500000</v>
      </c>
      <c r="G16" s="69">
        <f t="shared" si="0"/>
        <v>0</v>
      </c>
    </row>
    <row r="17" spans="1:12" ht="19.7" customHeight="1" x14ac:dyDescent="0.25">
      <c r="A17" s="162" t="s">
        <v>304</v>
      </c>
      <c r="B17" s="69">
        <v>400000</v>
      </c>
      <c r="C17" s="163">
        <v>400000</v>
      </c>
      <c r="D17" s="163">
        <v>400000</v>
      </c>
      <c r="E17" s="163">
        <v>400000</v>
      </c>
      <c r="F17" s="163">
        <v>400000</v>
      </c>
      <c r="G17" s="69">
        <f t="shared" si="0"/>
        <v>0</v>
      </c>
      <c r="L17" s="89"/>
    </row>
    <row r="18" spans="1:12" ht="19.7" customHeight="1" x14ac:dyDescent="0.25">
      <c r="A18" s="162" t="s">
        <v>106</v>
      </c>
      <c r="B18" s="69">
        <v>2000000</v>
      </c>
      <c r="C18" s="163">
        <v>2000000</v>
      </c>
      <c r="D18" s="163">
        <v>2000000</v>
      </c>
      <c r="E18" s="163">
        <v>2000000</v>
      </c>
      <c r="F18" s="163">
        <f>2000000+70000</f>
        <v>2070000</v>
      </c>
      <c r="G18" s="69">
        <f t="shared" si="0"/>
        <v>70000</v>
      </c>
    </row>
    <row r="19" spans="1:12" ht="19.7" customHeight="1" x14ac:dyDescent="0.25">
      <c r="A19" s="162" t="s">
        <v>107</v>
      </c>
      <c r="B19" s="69">
        <v>0</v>
      </c>
      <c r="C19" s="163">
        <v>0</v>
      </c>
      <c r="D19" s="163">
        <v>0</v>
      </c>
      <c r="E19" s="163">
        <v>0</v>
      </c>
      <c r="F19" s="163">
        <v>0</v>
      </c>
      <c r="G19" s="69">
        <f t="shared" si="0"/>
        <v>0</v>
      </c>
    </row>
    <row r="20" spans="1:12" ht="19.7" customHeight="1" x14ac:dyDescent="0.25">
      <c r="A20" s="162" t="s">
        <v>299</v>
      </c>
      <c r="B20" s="69">
        <v>2000000</v>
      </c>
      <c r="C20" s="163">
        <v>2000000</v>
      </c>
      <c r="D20" s="163">
        <v>2000000</v>
      </c>
      <c r="E20" s="163">
        <f>2000000-350000</f>
        <v>1650000</v>
      </c>
      <c r="F20" s="163">
        <v>1650000</v>
      </c>
      <c r="G20" s="69">
        <f t="shared" si="0"/>
        <v>0</v>
      </c>
    </row>
    <row r="21" spans="1:12" ht="19.7" customHeight="1" x14ac:dyDescent="0.25">
      <c r="A21" s="162" t="s">
        <v>356</v>
      </c>
      <c r="B21" s="69">
        <v>0</v>
      </c>
      <c r="C21" s="163">
        <v>0</v>
      </c>
      <c r="D21" s="163">
        <v>0</v>
      </c>
      <c r="E21" s="163">
        <v>350000</v>
      </c>
      <c r="F21" s="163">
        <v>350000</v>
      </c>
      <c r="G21" s="69">
        <f t="shared" si="0"/>
        <v>0</v>
      </c>
    </row>
    <row r="22" spans="1:12" ht="31.5" x14ac:dyDescent="0.25">
      <c r="A22" s="162" t="s">
        <v>350</v>
      </c>
      <c r="B22" s="69">
        <v>1500000</v>
      </c>
      <c r="C22" s="163">
        <f>1500000+118110</f>
        <v>1618110</v>
      </c>
      <c r="D22" s="163">
        <f>1500000+118110+50000+405000</f>
        <v>2073110</v>
      </c>
      <c r="E22" s="163">
        <v>2073110</v>
      </c>
      <c r="F22" s="163">
        <v>2073110</v>
      </c>
      <c r="G22" s="69">
        <f t="shared" si="0"/>
        <v>0</v>
      </c>
    </row>
    <row r="23" spans="1:12" ht="19.7" customHeight="1" x14ac:dyDescent="0.25">
      <c r="A23" s="162" t="s">
        <v>110</v>
      </c>
      <c r="B23" s="69">
        <v>3000000</v>
      </c>
      <c r="C23" s="163">
        <v>3000000</v>
      </c>
      <c r="D23" s="163">
        <v>3000000</v>
      </c>
      <c r="E23" s="163">
        <v>3000000</v>
      </c>
      <c r="F23" s="163">
        <v>3000000</v>
      </c>
      <c r="G23" s="69">
        <f t="shared" si="0"/>
        <v>0</v>
      </c>
      <c r="L23" s="89"/>
    </row>
    <row r="24" spans="1:12" ht="31.5" x14ac:dyDescent="0.25">
      <c r="A24" s="162" t="s">
        <v>359</v>
      </c>
      <c r="B24" s="69">
        <v>0</v>
      </c>
      <c r="C24" s="163">
        <v>0</v>
      </c>
      <c r="D24" s="163">
        <v>0</v>
      </c>
      <c r="E24" s="163">
        <v>1710000</v>
      </c>
      <c r="F24" s="163">
        <v>1710000</v>
      </c>
      <c r="G24" s="69">
        <f t="shared" si="0"/>
        <v>0</v>
      </c>
      <c r="L24" s="89"/>
    </row>
    <row r="25" spans="1:12" ht="19.7" customHeight="1" x14ac:dyDescent="0.25">
      <c r="A25" s="162" t="s">
        <v>321</v>
      </c>
      <c r="B25" s="69">
        <v>5385827</v>
      </c>
      <c r="C25" s="163">
        <v>5385827</v>
      </c>
      <c r="D25" s="163">
        <v>5385827</v>
      </c>
      <c r="E25" s="163">
        <v>5385827</v>
      </c>
      <c r="F25" s="163">
        <v>5385827</v>
      </c>
      <c r="G25" s="69">
        <f t="shared" si="0"/>
        <v>0</v>
      </c>
    </row>
    <row r="26" spans="1:12" ht="19.7" customHeight="1" x14ac:dyDescent="0.25">
      <c r="A26" s="162" t="s">
        <v>120</v>
      </c>
      <c r="B26" s="69">
        <v>100000</v>
      </c>
      <c r="C26" s="163">
        <v>100000</v>
      </c>
      <c r="D26" s="163">
        <v>100000</v>
      </c>
      <c r="E26" s="163">
        <v>100000</v>
      </c>
      <c r="F26" s="163">
        <v>100000</v>
      </c>
      <c r="G26" s="69">
        <f t="shared" si="0"/>
        <v>0</v>
      </c>
    </row>
    <row r="27" spans="1:12" ht="31.5" x14ac:dyDescent="0.25">
      <c r="A27" s="162" t="s">
        <v>351</v>
      </c>
      <c r="B27" s="69">
        <v>2500000</v>
      </c>
      <c r="C27" s="163">
        <f>2500000+31890</f>
        <v>2531890</v>
      </c>
      <c r="D27" s="163">
        <f>2500000+31890+82620+13500+109350</f>
        <v>2737360</v>
      </c>
      <c r="E27" s="163">
        <v>2737360</v>
      </c>
      <c r="F27" s="163">
        <v>2737360</v>
      </c>
      <c r="G27" s="69">
        <f t="shared" si="0"/>
        <v>0</v>
      </c>
    </row>
    <row r="28" spans="1:12" ht="31.5" x14ac:dyDescent="0.25">
      <c r="A28" s="162" t="s">
        <v>322</v>
      </c>
      <c r="B28" s="69">
        <v>1567913</v>
      </c>
      <c r="C28" s="163">
        <v>1567913</v>
      </c>
      <c r="D28" s="163">
        <f>1567913</f>
        <v>1567913</v>
      </c>
      <c r="E28" s="163">
        <v>1567913</v>
      </c>
      <c r="F28" s="163">
        <v>1567913</v>
      </c>
      <c r="G28" s="69">
        <f t="shared" si="0"/>
        <v>0</v>
      </c>
    </row>
    <row r="29" spans="1:12" ht="19.7" customHeight="1" x14ac:dyDescent="0.25">
      <c r="A29" s="162" t="s">
        <v>108</v>
      </c>
      <c r="B29" s="69">
        <v>22283404</v>
      </c>
      <c r="C29" s="163">
        <v>22283404</v>
      </c>
      <c r="D29" s="163">
        <v>22283404</v>
      </c>
      <c r="E29" s="163">
        <v>22283404</v>
      </c>
      <c r="F29" s="163">
        <f>22283404+340000</f>
        <v>22623404</v>
      </c>
      <c r="G29" s="69">
        <f>F29-E29</f>
        <v>340000</v>
      </c>
    </row>
    <row r="30" spans="1:12" ht="19.7" customHeight="1" x14ac:dyDescent="0.25">
      <c r="A30" s="162" t="s">
        <v>109</v>
      </c>
      <c r="B30" s="69">
        <v>700000</v>
      </c>
      <c r="C30" s="163">
        <v>700000</v>
      </c>
      <c r="D30" s="163">
        <v>700000</v>
      </c>
      <c r="E30" s="163">
        <v>700000</v>
      </c>
      <c r="F30" s="163">
        <v>700000</v>
      </c>
      <c r="G30" s="69">
        <f t="shared" si="0"/>
        <v>0</v>
      </c>
    </row>
    <row r="31" spans="1:12" s="66" customFormat="1" ht="22.5" customHeight="1" x14ac:dyDescent="0.25">
      <c r="A31" s="160" t="s">
        <v>121</v>
      </c>
      <c r="B31" s="58">
        <f>B32+B33+B34</f>
        <v>2234000</v>
      </c>
      <c r="C31" s="58">
        <f>C32+C33+C34</f>
        <v>2234000</v>
      </c>
      <c r="D31" s="58">
        <f>D32+D33+D34</f>
        <v>2234000</v>
      </c>
      <c r="E31" s="58">
        <f>E32+E33+E34</f>
        <v>2234000</v>
      </c>
      <c r="F31" s="58">
        <f>F32+F33+F34</f>
        <v>2234000</v>
      </c>
      <c r="G31" s="65">
        <f t="shared" si="0"/>
        <v>0</v>
      </c>
    </row>
    <row r="32" spans="1:12" s="66" customFormat="1" ht="21" customHeight="1" x14ac:dyDescent="0.25">
      <c r="A32" s="162" t="s">
        <v>302</v>
      </c>
      <c r="B32" s="22">
        <v>2234000</v>
      </c>
      <c r="C32" s="22">
        <v>2234000</v>
      </c>
      <c r="D32" s="22">
        <v>2234000</v>
      </c>
      <c r="E32" s="22">
        <v>2234000</v>
      </c>
      <c r="F32" s="22">
        <v>2234000</v>
      </c>
      <c r="G32" s="69">
        <f t="shared" si="0"/>
        <v>0</v>
      </c>
    </row>
    <row r="33" spans="1:11" s="66" customFormat="1" ht="18.75" customHeight="1" x14ac:dyDescent="0.25">
      <c r="A33" s="162" t="s">
        <v>129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69">
        <f t="shared" si="0"/>
        <v>0</v>
      </c>
    </row>
    <row r="34" spans="1:11" ht="19.7" customHeight="1" x14ac:dyDescent="0.25">
      <c r="A34" s="162" t="s">
        <v>130</v>
      </c>
      <c r="B34" s="22">
        <v>0</v>
      </c>
      <c r="C34" s="163">
        <v>0</v>
      </c>
      <c r="D34" s="163">
        <v>0</v>
      </c>
      <c r="E34" s="163">
        <v>0</v>
      </c>
      <c r="F34" s="163">
        <v>0</v>
      </c>
      <c r="G34" s="69">
        <f t="shared" si="0"/>
        <v>0</v>
      </c>
    </row>
    <row r="35" spans="1:11" s="66" customFormat="1" ht="27" customHeight="1" x14ac:dyDescent="0.25">
      <c r="A35" s="160" t="s">
        <v>81</v>
      </c>
      <c r="B35" s="58">
        <f>B36+B37+B38</f>
        <v>10175801</v>
      </c>
      <c r="C35" s="58">
        <f>C36+C37+C38</f>
        <v>10552226</v>
      </c>
      <c r="D35" s="58">
        <f>D36+D37+D38</f>
        <v>10552226</v>
      </c>
      <c r="E35" s="58">
        <f>E36+E37+E38</f>
        <v>9848727</v>
      </c>
      <c r="F35" s="58">
        <f>F36+F37+F38</f>
        <v>9848727</v>
      </c>
      <c r="G35" s="58">
        <f>'4.sz.tábla'!G4</f>
        <v>0</v>
      </c>
      <c r="H35" s="59"/>
      <c r="I35" s="68"/>
      <c r="J35" s="68"/>
      <c r="K35" s="68"/>
    </row>
    <row r="36" spans="1:11" ht="31.5" x14ac:dyDescent="0.25">
      <c r="A36" s="164" t="s">
        <v>306</v>
      </c>
      <c r="B36" s="22">
        <f>'4.sz.tábla'!B4</f>
        <v>10075801</v>
      </c>
      <c r="C36" s="22">
        <f>'4.sz.tábla'!C4</f>
        <v>10452226</v>
      </c>
      <c r="D36" s="22">
        <f>'4.sz.tábla'!D4</f>
        <v>10452226</v>
      </c>
      <c r="E36" s="22">
        <f>'4.sz.tábla'!E4</f>
        <v>9748727</v>
      </c>
      <c r="F36" s="22">
        <f>'4.sz.tábla'!F4</f>
        <v>9748727</v>
      </c>
      <c r="G36" s="22">
        <f>'4.sz.tábla'!G8</f>
        <v>0</v>
      </c>
      <c r="H36" s="60"/>
      <c r="I36" s="61"/>
      <c r="J36" s="61"/>
      <c r="K36" s="61"/>
    </row>
    <row r="37" spans="1:11" ht="31.5" x14ac:dyDescent="0.25">
      <c r="A37" s="164" t="s">
        <v>307</v>
      </c>
      <c r="B37" s="22">
        <f>'4.sz.tábla'!B9</f>
        <v>100000</v>
      </c>
      <c r="C37" s="22">
        <f>'4.sz.tábla'!C9</f>
        <v>100000</v>
      </c>
      <c r="D37" s="22">
        <f>'4.sz.tábla'!D9</f>
        <v>100000</v>
      </c>
      <c r="E37" s="22">
        <f>'4.sz.tábla'!E9</f>
        <v>100000</v>
      </c>
      <c r="F37" s="22">
        <f>'4.sz.tábla'!F9</f>
        <v>100000</v>
      </c>
      <c r="G37" s="22">
        <f>'4.sz.tábla'!G9</f>
        <v>0</v>
      </c>
      <c r="H37" s="60"/>
      <c r="I37" s="61"/>
      <c r="J37" s="61"/>
      <c r="K37" s="61"/>
    </row>
    <row r="38" spans="1:11" ht="31.5" x14ac:dyDescent="0.25">
      <c r="A38" s="164" t="s">
        <v>308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f>D38-C38</f>
        <v>0</v>
      </c>
      <c r="H38" s="60"/>
      <c r="I38" s="61"/>
      <c r="J38" s="61"/>
      <c r="K38" s="61"/>
    </row>
    <row r="39" spans="1:11" s="66" customFormat="1" ht="31.5" x14ac:dyDescent="0.25">
      <c r="A39" s="158" t="s">
        <v>82</v>
      </c>
      <c r="B39" s="58">
        <f>B6+B9+B12+B31+B35</f>
        <v>71741284</v>
      </c>
      <c r="C39" s="58">
        <f>C6+C9+C12+C31+C35</f>
        <v>72494883</v>
      </c>
      <c r="D39" s="58">
        <f>D6+D9+D12+D31+D35</f>
        <v>73725728</v>
      </c>
      <c r="E39" s="58">
        <f>E6+E9+E12+E31+E35</f>
        <v>74833642</v>
      </c>
      <c r="F39" s="58">
        <f>F6+F9+F12+F31+F35</f>
        <v>75243642</v>
      </c>
      <c r="G39" s="58">
        <f>F39-E39</f>
        <v>410000</v>
      </c>
      <c r="H39" s="62"/>
      <c r="I39" s="63"/>
      <c r="J39" s="63"/>
      <c r="K39" s="63"/>
    </row>
  </sheetData>
  <sheetProtection selectLockedCells="1" selectUnlockedCells="1"/>
  <mergeCells count="1">
    <mergeCell ref="A2:G3"/>
  </mergeCells>
  <phoneticPr fontId="20" type="noConversion"/>
  <printOptions horizontalCentered="1"/>
  <pageMargins left="0.55118110236220474" right="0.55118110236220474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2019. évi költségvetéséről szóló 4/2020. (III. 03.)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0"/>
  <sheetViews>
    <sheetView view="pageLayout" zoomScaleNormal="100" workbookViewId="0">
      <selection sqref="A1:G1"/>
    </sheetView>
  </sheetViews>
  <sheetFormatPr defaultColWidth="9" defaultRowHeight="15.75" x14ac:dyDescent="0.25"/>
  <cols>
    <col min="1" max="1" width="40.85546875" style="49" customWidth="1"/>
    <col min="2" max="2" width="15.28515625" style="49" customWidth="1"/>
    <col min="3" max="4" width="12.5703125" style="50" customWidth="1"/>
    <col min="5" max="5" width="14.42578125" style="50" customWidth="1"/>
    <col min="6" max="6" width="13.85546875" style="50" customWidth="1"/>
    <col min="7" max="7" width="14.5703125" style="50" customWidth="1"/>
    <col min="8" max="8" width="15.28515625" style="50" customWidth="1"/>
    <col min="9" max="16384" width="9" style="50"/>
  </cols>
  <sheetData>
    <row r="1" spans="1:8" ht="36.75" customHeight="1" x14ac:dyDescent="0.25">
      <c r="A1" s="208" t="s">
        <v>312</v>
      </c>
      <c r="B1" s="208"/>
      <c r="C1" s="208"/>
      <c r="D1" s="208"/>
      <c r="E1" s="208"/>
      <c r="F1" s="208"/>
      <c r="G1" s="208"/>
    </row>
    <row r="3" spans="1:8" ht="47.25" x14ac:dyDescent="0.25">
      <c r="A3" s="147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347</v>
      </c>
      <c r="E3" s="13" t="s">
        <v>353</v>
      </c>
      <c r="F3" s="13" t="s">
        <v>360</v>
      </c>
      <c r="G3" s="13" t="str">
        <f>'1.sz.tábla '!G4</f>
        <v>Eltérés</v>
      </c>
    </row>
    <row r="4" spans="1:8" ht="31.5" x14ac:dyDescent="0.25">
      <c r="A4" s="148" t="s">
        <v>112</v>
      </c>
      <c r="B4" s="54">
        <f>SUM(B5:B8)</f>
        <v>10075801</v>
      </c>
      <c r="C4" s="54">
        <f>SUM(C5:C8)</f>
        <v>10452226</v>
      </c>
      <c r="D4" s="54">
        <f>SUM(D5:D8)</f>
        <v>10452226</v>
      </c>
      <c r="E4" s="54">
        <f>SUM(E5:E8)</f>
        <v>9748727</v>
      </c>
      <c r="F4" s="54">
        <f>SUM(F5:F8)</f>
        <v>9748727</v>
      </c>
      <c r="G4" s="54">
        <f>F4-E4</f>
        <v>0</v>
      </c>
      <c r="H4" s="51"/>
    </row>
    <row r="5" spans="1:8" ht="31.5" x14ac:dyDescent="0.25">
      <c r="A5" s="143" t="s">
        <v>113</v>
      </c>
      <c r="B5" s="55">
        <v>3442936</v>
      </c>
      <c r="C5" s="149">
        <v>3442936</v>
      </c>
      <c r="D5" s="149">
        <v>3442936</v>
      </c>
      <c r="E5" s="149">
        <v>2915494</v>
      </c>
      <c r="F5" s="149">
        <v>2915494</v>
      </c>
      <c r="G5" s="149">
        <f>F5-E5</f>
        <v>0</v>
      </c>
    </row>
    <row r="6" spans="1:8" ht="28.5" customHeight="1" x14ac:dyDescent="0.25">
      <c r="A6" s="143" t="s">
        <v>137</v>
      </c>
      <c r="B6" s="55">
        <v>6182865</v>
      </c>
      <c r="C6" s="149">
        <v>6182865</v>
      </c>
      <c r="D6" s="149">
        <v>6182865</v>
      </c>
      <c r="E6" s="149">
        <v>6182865</v>
      </c>
      <c r="F6" s="149">
        <v>6182865</v>
      </c>
      <c r="G6" s="149">
        <f t="shared" ref="G6:G8" si="0">F6-E6</f>
        <v>0</v>
      </c>
    </row>
    <row r="7" spans="1:8" ht="28.5" customHeight="1" x14ac:dyDescent="0.25">
      <c r="A7" s="143" t="s">
        <v>117</v>
      </c>
      <c r="B7" s="55">
        <v>450000</v>
      </c>
      <c r="C7" s="149">
        <v>450000</v>
      </c>
      <c r="D7" s="149">
        <v>450000</v>
      </c>
      <c r="E7" s="149">
        <v>273943</v>
      </c>
      <c r="F7" s="149">
        <v>273943</v>
      </c>
      <c r="G7" s="149">
        <f t="shared" si="0"/>
        <v>0</v>
      </c>
    </row>
    <row r="8" spans="1:8" ht="31.5" x14ac:dyDescent="0.25">
      <c r="A8" s="143" t="s">
        <v>334</v>
      </c>
      <c r="B8" s="55">
        <v>0</v>
      </c>
      <c r="C8" s="149">
        <v>376425</v>
      </c>
      <c r="D8" s="149">
        <v>376425</v>
      </c>
      <c r="E8" s="149">
        <v>376425</v>
      </c>
      <c r="F8" s="149">
        <v>376425</v>
      </c>
      <c r="G8" s="149">
        <f t="shared" si="0"/>
        <v>0</v>
      </c>
    </row>
    <row r="9" spans="1:8" ht="31.5" x14ac:dyDescent="0.25">
      <c r="A9" s="148" t="s">
        <v>114</v>
      </c>
      <c r="B9" s="54">
        <v>100000</v>
      </c>
      <c r="C9" s="54">
        <v>100000</v>
      </c>
      <c r="D9" s="54">
        <v>100000</v>
      </c>
      <c r="E9" s="54">
        <v>100000</v>
      </c>
      <c r="F9" s="54">
        <v>100000</v>
      </c>
      <c r="G9" s="150">
        <v>0</v>
      </c>
      <c r="H9" s="51"/>
    </row>
    <row r="10" spans="1:8" ht="31.5" customHeight="1" x14ac:dyDescent="0.25">
      <c r="A10" s="143" t="s">
        <v>361</v>
      </c>
      <c r="B10" s="55">
        <v>0</v>
      </c>
      <c r="C10" s="149">
        <v>0</v>
      </c>
      <c r="D10" s="149">
        <v>0</v>
      </c>
      <c r="E10" s="149">
        <v>0</v>
      </c>
      <c r="F10" s="149">
        <v>10000</v>
      </c>
      <c r="G10" s="149">
        <v>10000</v>
      </c>
    </row>
    <row r="11" spans="1:8" ht="28.5" customHeight="1" x14ac:dyDescent="0.25">
      <c r="A11" s="151"/>
      <c r="B11" s="55"/>
      <c r="C11" s="149"/>
      <c r="D11" s="149"/>
      <c r="E11" s="149"/>
      <c r="F11" s="149"/>
      <c r="G11" s="149"/>
    </row>
    <row r="12" spans="1:8" ht="28.5" customHeight="1" x14ac:dyDescent="0.25">
      <c r="A12" s="152"/>
      <c r="B12" s="55"/>
      <c r="C12" s="149"/>
      <c r="D12" s="149"/>
      <c r="E12" s="149"/>
      <c r="F12" s="149"/>
      <c r="G12" s="149"/>
    </row>
    <row r="13" spans="1:8" ht="42" customHeight="1" x14ac:dyDescent="0.25">
      <c r="A13" s="153" t="s">
        <v>115</v>
      </c>
      <c r="B13" s="56">
        <v>0</v>
      </c>
      <c r="C13" s="150">
        <v>0</v>
      </c>
      <c r="D13" s="150">
        <v>0</v>
      </c>
      <c r="E13" s="150">
        <v>0</v>
      </c>
      <c r="F13" s="150">
        <v>0</v>
      </c>
      <c r="G13" s="150">
        <f>F13-E13</f>
        <v>0</v>
      </c>
    </row>
    <row r="14" spans="1:8" x14ac:dyDescent="0.25">
      <c r="A14" s="151"/>
      <c r="B14" s="55"/>
      <c r="C14" s="149"/>
      <c r="D14" s="149"/>
      <c r="E14" s="149"/>
      <c r="F14" s="149"/>
      <c r="G14" s="149"/>
    </row>
    <row r="15" spans="1:8" ht="23.25" customHeight="1" x14ac:dyDescent="0.25">
      <c r="A15" s="154" t="s">
        <v>116</v>
      </c>
      <c r="B15" s="55"/>
      <c r="C15" s="149"/>
      <c r="D15" s="149"/>
      <c r="E15" s="149"/>
      <c r="F15" s="149"/>
      <c r="G15" s="149"/>
    </row>
    <row r="16" spans="1:8" x14ac:dyDescent="0.25">
      <c r="A16" s="151"/>
      <c r="B16" s="55"/>
      <c r="C16" s="149"/>
      <c r="D16" s="149"/>
      <c r="E16" s="149"/>
      <c r="F16" s="149"/>
      <c r="G16" s="149"/>
    </row>
    <row r="17" spans="1:8" x14ac:dyDescent="0.25">
      <c r="A17" s="151"/>
      <c r="B17" s="55"/>
      <c r="C17" s="149"/>
      <c r="D17" s="149"/>
      <c r="E17" s="149"/>
      <c r="F17" s="149"/>
      <c r="G17" s="149"/>
    </row>
    <row r="18" spans="1:8" x14ac:dyDescent="0.25">
      <c r="A18" s="151"/>
      <c r="B18" s="55"/>
      <c r="C18" s="149"/>
      <c r="D18" s="149"/>
      <c r="E18" s="149"/>
      <c r="F18" s="149"/>
      <c r="G18" s="149"/>
    </row>
    <row r="19" spans="1:8" x14ac:dyDescent="0.25">
      <c r="A19" s="151"/>
      <c r="B19" s="55"/>
      <c r="C19" s="149"/>
      <c r="D19" s="149"/>
      <c r="E19" s="149"/>
      <c r="F19" s="149"/>
      <c r="G19" s="149"/>
    </row>
    <row r="20" spans="1:8" x14ac:dyDescent="0.25">
      <c r="A20" s="151"/>
      <c r="B20" s="55"/>
      <c r="C20" s="149"/>
      <c r="D20" s="149"/>
      <c r="E20" s="149"/>
      <c r="F20" s="149"/>
      <c r="G20" s="149"/>
    </row>
    <row r="21" spans="1:8" x14ac:dyDescent="0.25">
      <c r="A21" s="155" t="s">
        <v>77</v>
      </c>
      <c r="B21" s="156">
        <f>B9+B4</f>
        <v>10175801</v>
      </c>
      <c r="C21" s="156">
        <f>C9+C4</f>
        <v>10552226</v>
      </c>
      <c r="D21" s="156">
        <f>D9+D4</f>
        <v>10552226</v>
      </c>
      <c r="E21" s="156">
        <f>E9+E4</f>
        <v>9848727</v>
      </c>
      <c r="F21" s="156">
        <f>F9+F4</f>
        <v>9848727</v>
      </c>
      <c r="G21" s="156">
        <f>F21-E21</f>
        <v>0</v>
      </c>
      <c r="H21" s="51"/>
    </row>
    <row r="22" spans="1:8" x14ac:dyDescent="0.25">
      <c r="A22" s="72"/>
      <c r="B22" s="72"/>
      <c r="C22" s="73"/>
      <c r="D22" s="73"/>
      <c r="E22" s="73"/>
      <c r="F22" s="73"/>
      <c r="G22" s="73"/>
    </row>
    <row r="23" spans="1:8" x14ac:dyDescent="0.25">
      <c r="B23" s="52"/>
    </row>
    <row r="28" spans="1:8" x14ac:dyDescent="0.25">
      <c r="B28" s="53"/>
    </row>
    <row r="29" spans="1:8" x14ac:dyDescent="0.25">
      <c r="B29" s="53"/>
    </row>
    <row r="30" spans="1:8" x14ac:dyDescent="0.25">
      <c r="B30" s="53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2019. évi költségvetéséről szóló 4/2020. (III. 03.)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37"/>
  <sheetViews>
    <sheetView view="pageLayout" zoomScaleNormal="80" zoomScaleSheetLayoutView="80" workbookViewId="0">
      <selection sqref="A1:G1"/>
    </sheetView>
  </sheetViews>
  <sheetFormatPr defaultColWidth="9" defaultRowHeight="18" customHeight="1" x14ac:dyDescent="0.25"/>
  <cols>
    <col min="1" max="1" width="44.5703125" style="43" customWidth="1"/>
    <col min="2" max="2" width="15.140625" style="44" customWidth="1"/>
    <col min="3" max="7" width="15.28515625" style="44" customWidth="1"/>
    <col min="8" max="8" width="15.28515625" style="45" customWidth="1"/>
    <col min="9" max="9" width="23.85546875" style="46" customWidth="1"/>
    <col min="10" max="16384" width="9" style="46"/>
  </cols>
  <sheetData>
    <row r="1" spans="1:8" ht="33.75" customHeight="1" x14ac:dyDescent="0.25">
      <c r="A1" s="209" t="s">
        <v>313</v>
      </c>
      <c r="B1" s="209"/>
      <c r="C1" s="209"/>
      <c r="D1" s="209"/>
      <c r="E1" s="209"/>
      <c r="F1" s="209"/>
      <c r="G1" s="209"/>
    </row>
    <row r="3" spans="1:8" ht="48.75" customHeight="1" x14ac:dyDescent="0.25">
      <c r="A3" s="136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347</v>
      </c>
      <c r="E3" s="13" t="s">
        <v>353</v>
      </c>
      <c r="F3" s="13" t="s">
        <v>360</v>
      </c>
      <c r="G3" s="13" t="str">
        <f>'1.sz.tábla '!G4</f>
        <v>Eltérés</v>
      </c>
    </row>
    <row r="4" spans="1:8" s="33" customFormat="1" ht="22.5" customHeight="1" x14ac:dyDescent="0.25">
      <c r="A4" s="137" t="s">
        <v>141</v>
      </c>
      <c r="B4" s="138">
        <f>SUM(B6:B20)</f>
        <v>8532598</v>
      </c>
      <c r="C4" s="138">
        <f>SUM(C6:C20)</f>
        <v>16780611</v>
      </c>
      <c r="D4" s="138">
        <f>SUM(D6:D20)</f>
        <v>16239611</v>
      </c>
      <c r="E4" s="138">
        <f>SUM(E6:E22)</f>
        <v>30487271</v>
      </c>
      <c r="F4" s="138">
        <f>SUM(F6:F22)</f>
        <v>30656071</v>
      </c>
      <c r="G4" s="138">
        <f>F4-E4</f>
        <v>168800</v>
      </c>
      <c r="H4" s="32"/>
    </row>
    <row r="5" spans="1:8" s="33" customFormat="1" ht="21.75" customHeight="1" x14ac:dyDescent="0.25">
      <c r="A5" s="210" t="s">
        <v>136</v>
      </c>
      <c r="B5" s="211"/>
      <c r="C5" s="211"/>
      <c r="D5" s="211"/>
      <c r="E5" s="211"/>
      <c r="F5" s="211"/>
      <c r="G5" s="212"/>
      <c r="H5" s="32"/>
    </row>
    <row r="6" spans="1:8" s="33" customFormat="1" ht="21.75" customHeight="1" x14ac:dyDescent="0.25">
      <c r="A6" s="139" t="s">
        <v>297</v>
      </c>
      <c r="B6" s="37">
        <v>3302000</v>
      </c>
      <c r="C6" s="37">
        <v>3302000</v>
      </c>
      <c r="D6" s="37">
        <v>3302000</v>
      </c>
      <c r="E6" s="37">
        <v>3302000</v>
      </c>
      <c r="F6" s="37">
        <v>3302000</v>
      </c>
      <c r="G6" s="37">
        <f>F6-E6</f>
        <v>0</v>
      </c>
      <c r="H6" s="32"/>
    </row>
    <row r="7" spans="1:8" s="33" customFormat="1" ht="21.75" customHeight="1" x14ac:dyDescent="0.25">
      <c r="A7" s="210" t="s">
        <v>337</v>
      </c>
      <c r="B7" s="211"/>
      <c r="C7" s="211"/>
      <c r="D7" s="211"/>
      <c r="E7" s="211"/>
      <c r="F7" s="211"/>
      <c r="G7" s="212"/>
      <c r="H7" s="32"/>
    </row>
    <row r="8" spans="1:8" s="33" customFormat="1" ht="33.75" customHeight="1" x14ac:dyDescent="0.25">
      <c r="A8" s="139" t="s">
        <v>349</v>
      </c>
      <c r="B8" s="37">
        <v>3000000</v>
      </c>
      <c r="C8" s="37">
        <v>3000000</v>
      </c>
      <c r="D8" s="37">
        <f>3000000-541000</f>
        <v>2459000</v>
      </c>
      <c r="E8" s="37">
        <f>3000000-541000</f>
        <v>2459000</v>
      </c>
      <c r="F8" s="37">
        <f>3000000-541000</f>
        <v>2459000</v>
      </c>
      <c r="G8" s="37">
        <f>F8-E8</f>
        <v>0</v>
      </c>
      <c r="H8" s="32"/>
    </row>
    <row r="9" spans="1:8" s="33" customFormat="1" ht="33.75" customHeight="1" x14ac:dyDescent="0.25">
      <c r="A9" s="139" t="s">
        <v>346</v>
      </c>
      <c r="B9" s="37">
        <v>0</v>
      </c>
      <c r="C9" s="37">
        <v>4962906</v>
      </c>
      <c r="D9" s="37">
        <v>4962906</v>
      </c>
      <c r="E9" s="37">
        <f>4962906-2947028</f>
        <v>2015878</v>
      </c>
      <c r="F9" s="37">
        <f>4962906-2947028</f>
        <v>2015878</v>
      </c>
      <c r="G9" s="37">
        <f t="shared" ref="G9:G12" si="0">F9-E9</f>
        <v>0</v>
      </c>
      <c r="H9" s="32"/>
    </row>
    <row r="10" spans="1:8" s="33" customFormat="1" ht="33.75" customHeight="1" x14ac:dyDescent="0.25">
      <c r="A10" s="139" t="s">
        <v>338</v>
      </c>
      <c r="B10" s="37">
        <v>0</v>
      </c>
      <c r="C10" s="37">
        <v>2465705</v>
      </c>
      <c r="D10" s="37">
        <v>2465705</v>
      </c>
      <c r="E10" s="37">
        <v>2465705</v>
      </c>
      <c r="F10" s="37">
        <v>2465705</v>
      </c>
      <c r="G10" s="37">
        <f t="shared" si="0"/>
        <v>0</v>
      </c>
      <c r="H10" s="32"/>
    </row>
    <row r="11" spans="1:8" s="33" customFormat="1" ht="33.75" customHeight="1" x14ac:dyDescent="0.25">
      <c r="A11" s="139" t="s">
        <v>340</v>
      </c>
      <c r="B11" s="37">
        <v>0</v>
      </c>
      <c r="C11" s="37">
        <v>900000</v>
      </c>
      <c r="D11" s="37">
        <v>900000</v>
      </c>
      <c r="E11" s="37">
        <v>900000</v>
      </c>
      <c r="F11" s="37">
        <v>900000</v>
      </c>
      <c r="G11" s="37">
        <f t="shared" si="0"/>
        <v>0</v>
      </c>
      <c r="H11" s="32"/>
    </row>
    <row r="12" spans="1:8" s="33" customFormat="1" ht="33.75" customHeight="1" x14ac:dyDescent="0.25">
      <c r="A12" s="139" t="s">
        <v>341</v>
      </c>
      <c r="B12" s="37">
        <v>0</v>
      </c>
      <c r="C12" s="37">
        <v>900000</v>
      </c>
      <c r="D12" s="37">
        <v>900000</v>
      </c>
      <c r="E12" s="37">
        <v>900000</v>
      </c>
      <c r="F12" s="37">
        <v>900000</v>
      </c>
      <c r="G12" s="37">
        <f t="shared" si="0"/>
        <v>0</v>
      </c>
      <c r="H12" s="32"/>
    </row>
    <row r="13" spans="1:8" s="33" customFormat="1" ht="21" customHeight="1" x14ac:dyDescent="0.25">
      <c r="A13" s="210" t="s">
        <v>296</v>
      </c>
      <c r="B13" s="211"/>
      <c r="C13" s="211"/>
      <c r="D13" s="211"/>
      <c r="E13" s="211"/>
      <c r="F13" s="211"/>
      <c r="G13" s="212"/>
      <c r="H13" s="32"/>
    </row>
    <row r="14" spans="1:8" s="33" customFormat="1" ht="23.25" customHeight="1" x14ac:dyDescent="0.25">
      <c r="A14" s="140" t="s">
        <v>362</v>
      </c>
      <c r="B14" s="37">
        <v>0</v>
      </c>
      <c r="C14" s="34">
        <v>0</v>
      </c>
      <c r="D14" s="34">
        <v>0</v>
      </c>
      <c r="E14" s="34">
        <v>0</v>
      </c>
      <c r="F14" s="34">
        <v>75000</v>
      </c>
      <c r="G14" s="37">
        <f>F14-E14</f>
        <v>75000</v>
      </c>
      <c r="H14" s="32"/>
    </row>
    <row r="15" spans="1:8" s="33" customFormat="1" ht="23.25" customHeight="1" x14ac:dyDescent="0.25">
      <c r="A15" s="140" t="s">
        <v>125</v>
      </c>
      <c r="B15" s="37">
        <v>100000</v>
      </c>
      <c r="C15" s="34">
        <v>100000</v>
      </c>
      <c r="D15" s="34">
        <v>100000</v>
      </c>
      <c r="E15" s="34">
        <v>100000</v>
      </c>
      <c r="F15" s="34">
        <f>100000+19050+31750+35000</f>
        <v>185800</v>
      </c>
      <c r="G15" s="37">
        <f>F15-E15</f>
        <v>85800</v>
      </c>
      <c r="H15" s="32"/>
    </row>
    <row r="16" spans="1:8" s="33" customFormat="1" ht="22.5" customHeight="1" x14ac:dyDescent="0.25">
      <c r="A16" s="140" t="s">
        <v>126</v>
      </c>
      <c r="B16" s="37">
        <v>180000</v>
      </c>
      <c r="C16" s="34">
        <v>180000</v>
      </c>
      <c r="D16" s="34">
        <v>180000</v>
      </c>
      <c r="E16" s="34">
        <v>180000</v>
      </c>
      <c r="F16" s="34">
        <v>180000</v>
      </c>
      <c r="G16" s="37">
        <f t="shared" ref="G16:G20" si="1">F16-E16</f>
        <v>0</v>
      </c>
      <c r="H16" s="32"/>
    </row>
    <row r="17" spans="1:8" s="33" customFormat="1" ht="22.5" customHeight="1" x14ac:dyDescent="0.25">
      <c r="A17" s="140" t="s">
        <v>293</v>
      </c>
      <c r="B17" s="37">
        <v>270000</v>
      </c>
      <c r="C17" s="34">
        <f>100000+70000+100000</f>
        <v>270000</v>
      </c>
      <c r="D17" s="34">
        <f>100000+70000+100000</f>
        <v>270000</v>
      </c>
      <c r="E17" s="34">
        <v>270000</v>
      </c>
      <c r="F17" s="34">
        <f>270000+8000</f>
        <v>278000</v>
      </c>
      <c r="G17" s="37">
        <f t="shared" si="1"/>
        <v>8000</v>
      </c>
      <c r="H17" s="32"/>
    </row>
    <row r="18" spans="1:8" s="33" customFormat="1" ht="22.5" customHeight="1" x14ac:dyDescent="0.25">
      <c r="A18" s="140" t="s">
        <v>315</v>
      </c>
      <c r="B18" s="37">
        <v>500000</v>
      </c>
      <c r="C18" s="34">
        <v>500000</v>
      </c>
      <c r="D18" s="34">
        <v>500000</v>
      </c>
      <c r="E18" s="34">
        <v>500000</v>
      </c>
      <c r="F18" s="34">
        <v>500000</v>
      </c>
      <c r="G18" s="37">
        <f t="shared" si="1"/>
        <v>0</v>
      </c>
      <c r="H18" s="32"/>
    </row>
    <row r="19" spans="1:8" s="33" customFormat="1" ht="22.5" customHeight="1" x14ac:dyDescent="0.25">
      <c r="A19" s="140" t="s">
        <v>324</v>
      </c>
      <c r="B19" s="37">
        <v>200000</v>
      </c>
      <c r="C19" s="34">
        <v>200000</v>
      </c>
      <c r="D19" s="34">
        <v>200000</v>
      </c>
      <c r="E19" s="34">
        <v>200000</v>
      </c>
      <c r="F19" s="34">
        <v>200000</v>
      </c>
      <c r="G19" s="37">
        <f t="shared" si="1"/>
        <v>0</v>
      </c>
      <c r="H19" s="32"/>
    </row>
    <row r="20" spans="1:8" s="33" customFormat="1" ht="31.5" x14ac:dyDescent="0.25">
      <c r="A20" s="140" t="s">
        <v>344</v>
      </c>
      <c r="B20" s="37">
        <v>980598</v>
      </c>
      <c r="C20" s="34">
        <v>0</v>
      </c>
      <c r="D20" s="34">
        <v>0</v>
      </c>
      <c r="E20" s="34">
        <v>0</v>
      </c>
      <c r="F20" s="34">
        <v>0</v>
      </c>
      <c r="G20" s="37">
        <f t="shared" si="1"/>
        <v>0</v>
      </c>
      <c r="H20" s="32"/>
    </row>
    <row r="21" spans="1:8" s="33" customFormat="1" ht="31.5" x14ac:dyDescent="0.25">
      <c r="A21" s="140" t="s">
        <v>357</v>
      </c>
      <c r="B21" s="37">
        <v>0</v>
      </c>
      <c r="C21" s="34">
        <v>0</v>
      </c>
      <c r="D21" s="34">
        <v>0</v>
      </c>
      <c r="E21" s="34">
        <v>2947028</v>
      </c>
      <c r="F21" s="34">
        <v>2947028</v>
      </c>
      <c r="G21" s="37">
        <f>F21-E21</f>
        <v>0</v>
      </c>
      <c r="H21" s="32"/>
    </row>
    <row r="22" spans="1:8" s="33" customFormat="1" ht="22.5" customHeight="1" x14ac:dyDescent="0.25">
      <c r="A22" s="140" t="s">
        <v>355</v>
      </c>
      <c r="B22" s="37">
        <v>0</v>
      </c>
      <c r="C22" s="34">
        <v>0</v>
      </c>
      <c r="D22" s="34">
        <v>0</v>
      </c>
      <c r="E22" s="34">
        <v>14247660</v>
      </c>
      <c r="F22" s="34">
        <v>14247660</v>
      </c>
      <c r="G22" s="37">
        <f>F22-E22</f>
        <v>0</v>
      </c>
      <c r="H22" s="32"/>
    </row>
    <row r="23" spans="1:8" s="36" customFormat="1" ht="27" customHeight="1" x14ac:dyDescent="0.25">
      <c r="A23" s="141" t="s">
        <v>142</v>
      </c>
      <c r="B23" s="38">
        <f>SUM(B24:B29)</f>
        <v>87960563</v>
      </c>
      <c r="C23" s="38">
        <f>SUM(C24:C29)</f>
        <v>85644858</v>
      </c>
      <c r="D23" s="38">
        <f>SUM(D24:D29)</f>
        <v>86185858</v>
      </c>
      <c r="E23" s="38">
        <f>SUM(E24:E29)</f>
        <v>86185858</v>
      </c>
      <c r="F23" s="38">
        <f>SUM(F24:F29)</f>
        <v>86185858</v>
      </c>
      <c r="G23" s="38">
        <f>F23-E23</f>
        <v>0</v>
      </c>
      <c r="H23" s="35"/>
    </row>
    <row r="24" spans="1:8" s="36" customFormat="1" ht="27" customHeight="1" x14ac:dyDescent="0.25">
      <c r="A24" s="142" t="s">
        <v>127</v>
      </c>
      <c r="B24" s="39">
        <v>500000</v>
      </c>
      <c r="C24" s="39">
        <v>500000</v>
      </c>
      <c r="D24" s="39">
        <v>500000</v>
      </c>
      <c r="E24" s="39">
        <v>500000</v>
      </c>
      <c r="F24" s="39">
        <f>E24-333000</f>
        <v>167000</v>
      </c>
      <c r="G24" s="34">
        <v>-333000</v>
      </c>
      <c r="H24" s="35"/>
    </row>
    <row r="25" spans="1:8" s="36" customFormat="1" ht="31.5" x14ac:dyDescent="0.25">
      <c r="A25" s="142" t="s">
        <v>339</v>
      </c>
      <c r="B25" s="39">
        <v>10000000</v>
      </c>
      <c r="C25" s="39">
        <f>10000000-2465705+150000</f>
        <v>7684295</v>
      </c>
      <c r="D25" s="39">
        <f>10000000-2465705+150000</f>
        <v>7684295</v>
      </c>
      <c r="E25" s="39">
        <f>10000000-2465705+150000</f>
        <v>7684295</v>
      </c>
      <c r="F25" s="39">
        <f>10000000-2465705+150000</f>
        <v>7684295</v>
      </c>
      <c r="G25" s="34">
        <f t="shared" ref="G25:G29" si="2">F25-E25</f>
        <v>0</v>
      </c>
      <c r="H25" s="35"/>
    </row>
    <row r="26" spans="1:8" s="36" customFormat="1" ht="27" customHeight="1" x14ac:dyDescent="0.25">
      <c r="A26" s="142" t="s">
        <v>128</v>
      </c>
      <c r="B26" s="39">
        <v>76356665</v>
      </c>
      <c r="C26" s="39">
        <v>76356665</v>
      </c>
      <c r="D26" s="39">
        <v>76356665</v>
      </c>
      <c r="E26" s="39">
        <v>76356665</v>
      </c>
      <c r="F26" s="39">
        <v>76356665</v>
      </c>
      <c r="G26" s="34">
        <f t="shared" si="2"/>
        <v>0</v>
      </c>
      <c r="H26" s="35"/>
    </row>
    <row r="27" spans="1:8" s="36" customFormat="1" ht="27" customHeight="1" x14ac:dyDescent="0.25">
      <c r="A27" s="142" t="s">
        <v>323</v>
      </c>
      <c r="B27" s="39">
        <v>403744</v>
      </c>
      <c r="C27" s="39">
        <v>403744</v>
      </c>
      <c r="D27" s="39">
        <v>403744</v>
      </c>
      <c r="E27" s="39">
        <v>403744</v>
      </c>
      <c r="F27" s="39">
        <v>403744</v>
      </c>
      <c r="G27" s="34">
        <f t="shared" si="2"/>
        <v>0</v>
      </c>
      <c r="H27" s="35"/>
    </row>
    <row r="28" spans="1:8" s="36" customFormat="1" ht="31.5" x14ac:dyDescent="0.25">
      <c r="A28" s="142" t="s">
        <v>309</v>
      </c>
      <c r="B28" s="39">
        <v>154</v>
      </c>
      <c r="C28" s="40">
        <v>154</v>
      </c>
      <c r="D28" s="40">
        <v>154</v>
      </c>
      <c r="E28" s="40">
        <v>154</v>
      </c>
      <c r="F28" s="40">
        <v>154</v>
      </c>
      <c r="G28" s="34">
        <f t="shared" si="2"/>
        <v>0</v>
      </c>
      <c r="H28" s="35"/>
    </row>
    <row r="29" spans="1:8" s="36" customFormat="1" ht="15.75" x14ac:dyDescent="0.25">
      <c r="A29" s="142" t="s">
        <v>352</v>
      </c>
      <c r="B29" s="39">
        <v>700000</v>
      </c>
      <c r="C29" s="40">
        <v>700000</v>
      </c>
      <c r="D29" s="40">
        <f>700000+541000</f>
        <v>1241000</v>
      </c>
      <c r="E29" s="40">
        <f>700000+541000</f>
        <v>1241000</v>
      </c>
      <c r="F29" s="40">
        <f>E29+333000</f>
        <v>1574000</v>
      </c>
      <c r="G29" s="34">
        <f t="shared" si="2"/>
        <v>333000</v>
      </c>
      <c r="H29" s="35"/>
    </row>
    <row r="30" spans="1:8" s="36" customFormat="1" ht="22.5" customHeight="1" x14ac:dyDescent="0.25">
      <c r="A30" s="141" t="s">
        <v>143</v>
      </c>
      <c r="B30" s="38">
        <f>SUM(B31:B31)</f>
        <v>26790</v>
      </c>
      <c r="C30" s="38">
        <f>SUM(C31:C32)</f>
        <v>1007388</v>
      </c>
      <c r="D30" s="38">
        <f>SUM(D31:D32)</f>
        <v>1007388</v>
      </c>
      <c r="E30" s="38">
        <f>SUM(E31:E32)</f>
        <v>1007388</v>
      </c>
      <c r="F30" s="38">
        <f>SUM(F31:F32)</f>
        <v>1007388</v>
      </c>
      <c r="G30" s="38">
        <f>F30-E30</f>
        <v>0</v>
      </c>
      <c r="H30" s="35"/>
    </row>
    <row r="31" spans="1:8" s="36" customFormat="1" ht="31.5" customHeight="1" x14ac:dyDescent="0.25">
      <c r="A31" s="143" t="s">
        <v>298</v>
      </c>
      <c r="B31" s="39">
        <v>26790</v>
      </c>
      <c r="C31" s="39">
        <v>26790</v>
      </c>
      <c r="D31" s="39">
        <v>26790</v>
      </c>
      <c r="E31" s="39">
        <v>26790</v>
      </c>
      <c r="F31" s="39">
        <v>26790</v>
      </c>
      <c r="G31" s="34">
        <f>F31-E31</f>
        <v>0</v>
      </c>
      <c r="H31" s="35"/>
    </row>
    <row r="32" spans="1:8" s="36" customFormat="1" ht="31.5" customHeight="1" x14ac:dyDescent="0.25">
      <c r="A32" s="143" t="s">
        <v>335</v>
      </c>
      <c r="B32" s="39">
        <v>0</v>
      </c>
      <c r="C32" s="39">
        <v>980598</v>
      </c>
      <c r="D32" s="39">
        <v>980598</v>
      </c>
      <c r="E32" s="39">
        <v>980598</v>
      </c>
      <c r="F32" s="39">
        <v>980598</v>
      </c>
      <c r="G32" s="34">
        <f>F32-E32</f>
        <v>0</v>
      </c>
    </row>
    <row r="33" spans="1:9" s="198" customFormat="1" ht="31.5" customHeight="1" x14ac:dyDescent="0.25">
      <c r="A33" s="146" t="s">
        <v>87</v>
      </c>
      <c r="B33" s="38">
        <f>B30+B23+B4</f>
        <v>96519951</v>
      </c>
      <c r="C33" s="38">
        <f>C30+C23+C4</f>
        <v>103432857</v>
      </c>
      <c r="D33" s="38">
        <f>D30+D23+D4</f>
        <v>103432857</v>
      </c>
      <c r="E33" s="38">
        <f>E30+E23+E4</f>
        <v>117680517</v>
      </c>
      <c r="F33" s="38">
        <f>F30+F23+F4</f>
        <v>117849317</v>
      </c>
      <c r="G33" s="197">
        <f>F33-E33</f>
        <v>168800</v>
      </c>
      <c r="H33" s="36"/>
      <c r="I33" s="36"/>
    </row>
    <row r="34" spans="1:9" s="47" customFormat="1" ht="22.5" customHeight="1" x14ac:dyDescent="0.25">
      <c r="A34" s="144" t="s">
        <v>85</v>
      </c>
      <c r="B34" s="41">
        <f t="shared" ref="B34" si="3">B35+B36+B37</f>
        <v>968079</v>
      </c>
      <c r="C34" s="41">
        <f t="shared" ref="C34:F34" si="4">C35+C36+C37</f>
        <v>1403079</v>
      </c>
      <c r="D34" s="41">
        <f t="shared" si="4"/>
        <v>1403079</v>
      </c>
      <c r="E34" s="41">
        <f t="shared" si="4"/>
        <v>1403079</v>
      </c>
      <c r="F34" s="41">
        <f t="shared" si="4"/>
        <v>1403079</v>
      </c>
      <c r="G34" s="197">
        <f t="shared" ref="G34:G37" si="5">F34-E34</f>
        <v>0</v>
      </c>
      <c r="H34" s="36"/>
      <c r="I34" s="36"/>
    </row>
    <row r="35" spans="1:9" ht="21" customHeight="1" x14ac:dyDescent="0.25">
      <c r="A35" s="145" t="s">
        <v>86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34">
        <f t="shared" si="5"/>
        <v>0</v>
      </c>
      <c r="H35" s="36"/>
      <c r="I35" s="36"/>
    </row>
    <row r="36" spans="1:9" ht="21" customHeight="1" x14ac:dyDescent="0.25">
      <c r="A36" s="145" t="s">
        <v>83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34">
        <f t="shared" si="5"/>
        <v>0</v>
      </c>
      <c r="H36" s="36"/>
      <c r="I36" s="36"/>
    </row>
    <row r="37" spans="1:9" ht="15.75" x14ac:dyDescent="0.25">
      <c r="A37" s="145" t="s">
        <v>98</v>
      </c>
      <c r="B37" s="42">
        <v>968079</v>
      </c>
      <c r="C37" s="48">
        <f>968079+435000</f>
        <v>1403079</v>
      </c>
      <c r="D37" s="48">
        <f>968079+435000</f>
        <v>1403079</v>
      </c>
      <c r="E37" s="48">
        <f>968079+435000</f>
        <v>1403079</v>
      </c>
      <c r="F37" s="48">
        <f>968079+435000</f>
        <v>1403079</v>
      </c>
      <c r="G37" s="34">
        <f t="shared" si="5"/>
        <v>0</v>
      </c>
      <c r="H37" s="36"/>
      <c r="I37" s="36"/>
    </row>
  </sheetData>
  <sheetProtection selectLockedCells="1" selectUnlockedCells="1"/>
  <mergeCells count="4">
    <mergeCell ref="A1:G1"/>
    <mergeCell ref="A7:G7"/>
    <mergeCell ref="A5:G5"/>
    <mergeCell ref="A13:G13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74" firstPageNumber="0" orientation="portrait" r:id="rId1"/>
  <headerFooter alignWithMargins="0">
    <oddHeader>&amp;L&amp;"Times New Roman,Normál"&amp;12Vászoly Község Önkormányzata&amp;C&amp;"Times New Roman,Normál"&amp;12 5. melléklet
Az önkormányzat 2019. évi költségvetéséről szóló 4/2020. (III. 03.)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31.85546875" style="90" customWidth="1"/>
    <col min="2" max="2" width="16.42578125" style="89" customWidth="1"/>
    <col min="3" max="3" width="12.42578125" style="89" customWidth="1"/>
    <col min="4" max="4" width="12.7109375" style="89" customWidth="1"/>
    <col min="5" max="5" width="13.7109375" style="89" customWidth="1"/>
    <col min="6" max="6" width="13" style="89" customWidth="1"/>
    <col min="7" max="7" width="12.5703125" style="89" customWidth="1"/>
    <col min="8" max="8" width="38.7109375" style="90" customWidth="1"/>
    <col min="9" max="9" width="15.28515625" style="89" customWidth="1"/>
    <col min="10" max="10" width="12.5703125" style="89" customWidth="1"/>
    <col min="11" max="11" width="12.85546875" style="89" customWidth="1"/>
    <col min="12" max="12" width="12.5703125" style="89" customWidth="1"/>
    <col min="13" max="14" width="13" style="89" customWidth="1"/>
    <col min="15" max="15" width="9.140625" style="89"/>
    <col min="16" max="16" width="10.5703125" style="89" customWidth="1"/>
    <col min="17" max="17" width="9.140625" style="89"/>
    <col min="18" max="18" width="12.28515625" style="89" customWidth="1"/>
    <col min="19" max="16384" width="9.140625" style="89"/>
  </cols>
  <sheetData>
    <row r="2" spans="1:16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6" x14ac:dyDescent="0.25">
      <c r="A3" s="214" t="s">
        <v>325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5" spans="1:16" s="90" customFormat="1" ht="47.25" x14ac:dyDescent="0.25">
      <c r="A5" s="93" t="s">
        <v>144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347</v>
      </c>
      <c r="E5" s="13" t="s">
        <v>353</v>
      </c>
      <c r="F5" s="13" t="str">
        <f>'1.sz.tábla '!F4</f>
        <v>IV. Módosítás</v>
      </c>
      <c r="G5" s="13" t="str">
        <f>'1.sz.tábla '!G4</f>
        <v>Eltérés</v>
      </c>
      <c r="H5" s="93" t="s">
        <v>145</v>
      </c>
      <c r="I5" s="13" t="str">
        <f>B5</f>
        <v>2019. évi eredeti előirányzat</v>
      </c>
      <c r="J5" s="13" t="str">
        <f t="shared" ref="J5" si="0">C5</f>
        <v>I. Módosítás</v>
      </c>
      <c r="K5" s="13" t="s">
        <v>347</v>
      </c>
      <c r="L5" s="13" t="s">
        <v>353</v>
      </c>
      <c r="M5" s="13" t="s">
        <v>360</v>
      </c>
      <c r="N5" s="13" t="str">
        <f>G5</f>
        <v>Eltérés</v>
      </c>
    </row>
    <row r="6" spans="1:16" ht="31.5" x14ac:dyDescent="0.25">
      <c r="A6" s="184" t="s">
        <v>146</v>
      </c>
      <c r="B6" s="69">
        <f>'2.sz.tábla'!B5</f>
        <v>30598342</v>
      </c>
      <c r="C6" s="69">
        <f>'2.sz.tábla'!C5</f>
        <v>32920253</v>
      </c>
      <c r="D6" s="69">
        <f>'2.sz.tábla'!D5</f>
        <v>33308873</v>
      </c>
      <c r="E6" s="69">
        <f>'2.sz.tábla'!E5</f>
        <v>35483776</v>
      </c>
      <c r="F6" s="69">
        <f>'2.sz.tábla'!F5</f>
        <v>35483776</v>
      </c>
      <c r="G6" s="69">
        <f>'2.sz.tábla'!G5</f>
        <v>0</v>
      </c>
      <c r="H6" s="91" t="s">
        <v>147</v>
      </c>
      <c r="I6" s="69">
        <f>'3.sz.tábla '!B6</f>
        <v>11331764</v>
      </c>
      <c r="J6" s="69">
        <f>'3.sz.tábla '!C6</f>
        <v>12714792</v>
      </c>
      <c r="K6" s="69">
        <f>'3.sz.tábla '!D6</f>
        <v>12939792</v>
      </c>
      <c r="L6" s="69">
        <f>'3.sz.tábla '!E6</f>
        <v>13027292</v>
      </c>
      <c r="M6" s="69">
        <f>'3.sz.tábla '!F6</f>
        <v>13027292</v>
      </c>
      <c r="N6" s="69">
        <f>'3.sz.tábla '!G6</f>
        <v>0</v>
      </c>
    </row>
    <row r="7" spans="1:16" ht="19.5" customHeight="1" x14ac:dyDescent="0.25">
      <c r="A7" s="184" t="s">
        <v>148</v>
      </c>
      <c r="B7" s="69">
        <f>'2.sz.tábla'!B29:G29</f>
        <v>10700000</v>
      </c>
      <c r="C7" s="69">
        <f>'2.sz.tábla'!C29:J29</f>
        <v>10700000</v>
      </c>
      <c r="D7" s="69">
        <f>'2.sz.tábla'!D29:K29</f>
        <v>10700000</v>
      </c>
      <c r="E7" s="69">
        <f>'2.sz.tábla'!E29:L29</f>
        <v>10700000</v>
      </c>
      <c r="F7" s="69">
        <f>'2.sz.tábla'!F29:M29</f>
        <v>10700000</v>
      </c>
      <c r="G7" s="69">
        <f>'2.sz.tábla'!C29:I29</f>
        <v>0</v>
      </c>
      <c r="H7" s="91" t="s">
        <v>343</v>
      </c>
      <c r="I7" s="91">
        <f>'3.sz.tábla '!B9</f>
        <v>3271315</v>
      </c>
      <c r="J7" s="91">
        <f>'3.sz.tábla '!C9</f>
        <v>2115461</v>
      </c>
      <c r="K7" s="91">
        <f>'3.sz.tábla '!D9</f>
        <v>2154836</v>
      </c>
      <c r="L7" s="91">
        <f>'3.sz.tábla '!E9</f>
        <v>2168749</v>
      </c>
      <c r="M7" s="91">
        <f>'3.sz.tábla '!F9</f>
        <v>2168749</v>
      </c>
      <c r="N7" s="91">
        <f>'3.sz.tábla '!G9</f>
        <v>0</v>
      </c>
    </row>
    <row r="8" spans="1:16" ht="20.25" customHeight="1" x14ac:dyDescent="0.25">
      <c r="A8" s="91" t="s">
        <v>149</v>
      </c>
      <c r="B8" s="69">
        <f>'2.sz.tábla'!B42</f>
        <v>1050000</v>
      </c>
      <c r="C8" s="69">
        <f>'2.sz.tábla'!C42</f>
        <v>1050000</v>
      </c>
      <c r="D8" s="69">
        <f>'2.sz.tábla'!D42</f>
        <v>1050000</v>
      </c>
      <c r="E8" s="69">
        <f>'2.sz.tábla'!E42</f>
        <v>1050000</v>
      </c>
      <c r="F8" s="69">
        <f>'2.sz.tábla'!F42</f>
        <v>1050000</v>
      </c>
      <c r="G8" s="69">
        <f>'2.sz.tábla'!G42</f>
        <v>0</v>
      </c>
      <c r="H8" s="91" t="s">
        <v>150</v>
      </c>
      <c r="I8" s="69">
        <f>'3.sz.tábla '!B12</f>
        <v>44728404</v>
      </c>
      <c r="J8" s="69">
        <f>'3.sz.tábla '!C12</f>
        <v>44878404</v>
      </c>
      <c r="K8" s="69">
        <f>'3.sz.tábla '!D12</f>
        <v>45844874</v>
      </c>
      <c r="L8" s="69">
        <f>'3.sz.tábla '!E12</f>
        <v>47554874</v>
      </c>
      <c r="M8" s="69">
        <f>'3.sz.tábla '!F12</f>
        <v>47964874</v>
      </c>
      <c r="N8" s="69">
        <f>'3.sz.tábla '!G12</f>
        <v>410000</v>
      </c>
      <c r="P8" s="92"/>
    </row>
    <row r="9" spans="1:16" ht="47.25" x14ac:dyDescent="0.25">
      <c r="A9" s="184" t="s">
        <v>151</v>
      </c>
      <c r="B9" s="69"/>
      <c r="C9" s="69"/>
      <c r="D9" s="69"/>
      <c r="E9" s="69"/>
      <c r="F9" s="69"/>
      <c r="G9" s="69"/>
      <c r="H9" s="91" t="s">
        <v>152</v>
      </c>
      <c r="I9" s="69">
        <f>'3.sz.tábla '!B32</f>
        <v>2234000</v>
      </c>
      <c r="J9" s="69">
        <f>'3.sz.tábla '!C32</f>
        <v>2234000</v>
      </c>
      <c r="K9" s="69">
        <f>'3.sz.tábla '!D32</f>
        <v>2234000</v>
      </c>
      <c r="L9" s="69">
        <f>'3.sz.tábla '!E32</f>
        <v>2234000</v>
      </c>
      <c r="M9" s="69">
        <f>'3.sz.tábla '!F32</f>
        <v>2234000</v>
      </c>
      <c r="N9" s="69">
        <f>'3.sz.tábla '!G32</f>
        <v>0</v>
      </c>
    </row>
    <row r="10" spans="1:16" x14ac:dyDescent="0.25">
      <c r="A10" s="91"/>
      <c r="B10" s="69"/>
      <c r="C10" s="69"/>
      <c r="D10" s="69"/>
      <c r="E10" s="69"/>
      <c r="F10" s="69"/>
      <c r="G10" s="69"/>
      <c r="H10" s="91" t="s">
        <v>81</v>
      </c>
      <c r="I10" s="69">
        <f t="shared" ref="I10:N10" si="1">I12+I13+I14</f>
        <v>10175801</v>
      </c>
      <c r="J10" s="69">
        <f t="shared" si="1"/>
        <v>10552226</v>
      </c>
      <c r="K10" s="69">
        <f t="shared" si="1"/>
        <v>10552226</v>
      </c>
      <c r="L10" s="69">
        <f t="shared" si="1"/>
        <v>9848727</v>
      </c>
      <c r="M10" s="69">
        <f t="shared" si="1"/>
        <v>9848727</v>
      </c>
      <c r="N10" s="69">
        <f t="shared" si="1"/>
        <v>0</v>
      </c>
    </row>
    <row r="11" spans="1:16" x14ac:dyDescent="0.25">
      <c r="A11" s="91"/>
      <c r="B11" s="69"/>
      <c r="C11" s="69"/>
      <c r="D11" s="69"/>
      <c r="E11" s="69"/>
      <c r="F11" s="69"/>
      <c r="G11" s="69"/>
      <c r="H11" s="91" t="s">
        <v>153</v>
      </c>
      <c r="I11" s="69">
        <f>'3.sz.tábla '!B38</f>
        <v>0</v>
      </c>
      <c r="J11" s="69">
        <f>'3.sz.tábla '!C38</f>
        <v>0</v>
      </c>
      <c r="K11" s="69">
        <f>'3.sz.tábla '!D38</f>
        <v>0</v>
      </c>
      <c r="L11" s="69">
        <f>'3.sz.tábla '!E38</f>
        <v>0</v>
      </c>
      <c r="M11" s="69">
        <f>'3.sz.tábla '!F38</f>
        <v>0</v>
      </c>
      <c r="N11" s="69">
        <f>'3.sz.tábla '!G38</f>
        <v>0</v>
      </c>
    </row>
    <row r="12" spans="1:16" ht="31.5" x14ac:dyDescent="0.25">
      <c r="A12" s="184"/>
      <c r="B12" s="69"/>
      <c r="C12" s="69"/>
      <c r="D12" s="69"/>
      <c r="E12" s="69"/>
      <c r="F12" s="69"/>
      <c r="G12" s="69"/>
      <c r="H12" s="91" t="s">
        <v>154</v>
      </c>
      <c r="I12" s="69">
        <f>'3.sz.tábla '!B36</f>
        <v>10075801</v>
      </c>
      <c r="J12" s="69">
        <f>'3.sz.tábla '!C36</f>
        <v>10452226</v>
      </c>
      <c r="K12" s="69">
        <f>'3.sz.tábla '!D36</f>
        <v>10452226</v>
      </c>
      <c r="L12" s="69">
        <f>'3.sz.tábla '!E36</f>
        <v>9748727</v>
      </c>
      <c r="M12" s="69">
        <f>'3.sz.tábla '!F36</f>
        <v>9748727</v>
      </c>
      <c r="N12" s="69">
        <f>'3.sz.tábla '!G36</f>
        <v>0</v>
      </c>
    </row>
    <row r="13" spans="1:16" ht="31.5" x14ac:dyDescent="0.25">
      <c r="A13" s="185"/>
      <c r="B13" s="69"/>
      <c r="C13" s="69"/>
      <c r="D13" s="69"/>
      <c r="E13" s="69"/>
      <c r="F13" s="69"/>
      <c r="G13" s="69"/>
      <c r="H13" s="91" t="s">
        <v>155</v>
      </c>
      <c r="I13" s="91">
        <f>'3.sz.tábla '!B37</f>
        <v>100000</v>
      </c>
      <c r="J13" s="91">
        <f>'3.sz.tábla '!C37</f>
        <v>100000</v>
      </c>
      <c r="K13" s="91">
        <f>'3.sz.tábla '!D37</f>
        <v>100000</v>
      </c>
      <c r="L13" s="91">
        <f>'3.sz.tábla '!E37</f>
        <v>100000</v>
      </c>
      <c r="M13" s="91">
        <f>'3.sz.tábla '!F37</f>
        <v>100000</v>
      </c>
      <c r="N13" s="91">
        <f>'3.sz.tábla '!G37</f>
        <v>0</v>
      </c>
    </row>
    <row r="14" spans="1:16" ht="47.25" x14ac:dyDescent="0.25">
      <c r="A14" s="184"/>
      <c r="B14" s="69"/>
      <c r="C14" s="69"/>
      <c r="D14" s="69"/>
      <c r="E14" s="69"/>
      <c r="F14" s="69"/>
      <c r="G14" s="69"/>
      <c r="H14" s="91" t="s">
        <v>156</v>
      </c>
      <c r="I14" s="69"/>
      <c r="J14" s="69"/>
      <c r="K14" s="69"/>
      <c r="L14" s="69"/>
      <c r="M14" s="69"/>
      <c r="N14" s="69"/>
    </row>
    <row r="15" spans="1:16" ht="31.5" x14ac:dyDescent="0.25">
      <c r="A15" s="91"/>
      <c r="B15" s="69"/>
      <c r="C15" s="69"/>
      <c r="D15" s="69"/>
      <c r="E15" s="69"/>
      <c r="F15" s="69"/>
      <c r="G15" s="69"/>
      <c r="H15" s="91" t="s">
        <v>157</v>
      </c>
      <c r="I15" s="69">
        <f>'1.sz.tábla '!B25</f>
        <v>3238265</v>
      </c>
      <c r="J15" s="69">
        <f>'1.sz.tábla '!C25</f>
        <v>4031874</v>
      </c>
      <c r="K15" s="69">
        <f>'1.sz.tábla '!D25</f>
        <v>3189649</v>
      </c>
      <c r="L15" s="69">
        <f>'1.sz.tábla '!E25</f>
        <v>4256638</v>
      </c>
      <c r="M15" s="69">
        <f>'1.sz.tábla '!F25</f>
        <v>4574999</v>
      </c>
      <c r="N15" s="69">
        <f>'1.sz.tábla '!G25</f>
        <v>318361</v>
      </c>
    </row>
    <row r="16" spans="1:16" s="67" customFormat="1" ht="31.5" x14ac:dyDescent="0.25">
      <c r="A16" s="93" t="s">
        <v>158</v>
      </c>
      <c r="B16" s="65">
        <f t="shared" ref="B16:G16" si="2">SUM(B6:B15)</f>
        <v>42348342</v>
      </c>
      <c r="C16" s="65">
        <f t="shared" si="2"/>
        <v>44670253</v>
      </c>
      <c r="D16" s="65">
        <f t="shared" si="2"/>
        <v>45058873</v>
      </c>
      <c r="E16" s="65">
        <f t="shared" si="2"/>
        <v>47233776</v>
      </c>
      <c r="F16" s="65">
        <f t="shared" si="2"/>
        <v>47233776</v>
      </c>
      <c r="G16" s="65">
        <f t="shared" si="2"/>
        <v>0</v>
      </c>
      <c r="H16" s="93" t="s">
        <v>159</v>
      </c>
      <c r="I16" s="65">
        <f>I6+I7+I8+I9+I10+I15</f>
        <v>74979549</v>
      </c>
      <c r="J16" s="65">
        <f>J6+J7+J8+J9+J10+J15+J11</f>
        <v>76526757</v>
      </c>
      <c r="K16" s="65">
        <f>K6+K7+K8+K9+K10+K15+K11</f>
        <v>76915377</v>
      </c>
      <c r="L16" s="65">
        <f>L6+L7+L8+L9+L10+L15+L11</f>
        <v>79090280</v>
      </c>
      <c r="M16" s="65">
        <f>M6+M7+M8+M9+M10+M15+M11</f>
        <v>79818641</v>
      </c>
      <c r="N16" s="65">
        <f>N6+N7+N8+N9+N10+N15+N11</f>
        <v>728361</v>
      </c>
    </row>
    <row r="17" spans="1:14" s="67" customFormat="1" x14ac:dyDescent="0.25">
      <c r="A17" s="93" t="s">
        <v>160</v>
      </c>
      <c r="B17" s="65"/>
      <c r="C17" s="65"/>
      <c r="D17" s="65"/>
      <c r="E17" s="65"/>
      <c r="F17" s="65"/>
      <c r="G17" s="69"/>
      <c r="H17" s="93" t="s">
        <v>161</v>
      </c>
      <c r="I17" s="65">
        <f t="shared" ref="I17:N17" si="3">I16-B16</f>
        <v>32631207</v>
      </c>
      <c r="J17" s="65">
        <f t="shared" si="3"/>
        <v>31856504</v>
      </c>
      <c r="K17" s="65">
        <f t="shared" si="3"/>
        <v>31856504</v>
      </c>
      <c r="L17" s="65">
        <f t="shared" si="3"/>
        <v>31856504</v>
      </c>
      <c r="M17" s="65">
        <f t="shared" si="3"/>
        <v>32584865</v>
      </c>
      <c r="N17" s="65">
        <f t="shared" si="3"/>
        <v>728361</v>
      </c>
    </row>
    <row r="18" spans="1:14" s="67" customFormat="1" ht="31.5" x14ac:dyDescent="0.25">
      <c r="A18" s="93" t="s">
        <v>162</v>
      </c>
      <c r="B18" s="65">
        <f t="shared" ref="B18:G18" si="4">SUM(B19)</f>
        <v>126000000</v>
      </c>
      <c r="C18" s="65">
        <f t="shared" si="4"/>
        <v>128550203</v>
      </c>
      <c r="D18" s="65">
        <f t="shared" si="4"/>
        <v>128550203</v>
      </c>
      <c r="E18" s="65">
        <f t="shared" si="4"/>
        <v>128550203</v>
      </c>
      <c r="F18" s="65">
        <f t="shared" si="4"/>
        <v>128550203</v>
      </c>
      <c r="G18" s="65">
        <f t="shared" si="4"/>
        <v>0</v>
      </c>
      <c r="H18" s="93" t="s">
        <v>163</v>
      </c>
      <c r="I18" s="65">
        <f t="shared" ref="I18:N18" si="5">I19+I20+I21+I22</f>
        <v>968079</v>
      </c>
      <c r="J18" s="65">
        <f t="shared" si="5"/>
        <v>1403079</v>
      </c>
      <c r="K18" s="65">
        <f t="shared" si="5"/>
        <v>1403079</v>
      </c>
      <c r="L18" s="65">
        <f t="shared" si="5"/>
        <v>1403079</v>
      </c>
      <c r="M18" s="65">
        <f t="shared" si="5"/>
        <v>1403079</v>
      </c>
      <c r="N18" s="65">
        <f t="shared" si="5"/>
        <v>0</v>
      </c>
    </row>
    <row r="19" spans="1:14" ht="31.5" x14ac:dyDescent="0.25">
      <c r="A19" s="91" t="s">
        <v>164</v>
      </c>
      <c r="B19" s="69">
        <f>'2.sz.tábla'!B68</f>
        <v>126000000</v>
      </c>
      <c r="C19" s="69">
        <f>'2.sz.tábla'!C68</f>
        <v>128550203</v>
      </c>
      <c r="D19" s="69">
        <f>'2.sz.tábla'!D68</f>
        <v>128550203</v>
      </c>
      <c r="E19" s="69">
        <f>'2.sz.tábla'!E68</f>
        <v>128550203</v>
      </c>
      <c r="F19" s="69">
        <f>'2.sz.tábla'!F68</f>
        <v>128550203</v>
      </c>
      <c r="G19" s="69">
        <f>'2.sz.tábla'!G68</f>
        <v>0</v>
      </c>
      <c r="H19" s="91" t="s">
        <v>165</v>
      </c>
      <c r="I19" s="69">
        <f>'5. sz. tábla'!B37</f>
        <v>968079</v>
      </c>
      <c r="J19" s="69">
        <f>'5. sz. tábla'!C37</f>
        <v>1403079</v>
      </c>
      <c r="K19" s="69">
        <f>'5. sz. tábla'!D37</f>
        <v>1403079</v>
      </c>
      <c r="L19" s="69">
        <f>'5. sz. tábla'!E37</f>
        <v>1403079</v>
      </c>
      <c r="M19" s="69">
        <f>'5. sz. tábla'!F37</f>
        <v>1403079</v>
      </c>
      <c r="N19" s="69">
        <f>'5. sz. tábla'!G37</f>
        <v>0</v>
      </c>
    </row>
    <row r="20" spans="1:14" s="67" customFormat="1" ht="31.5" x14ac:dyDescent="0.25">
      <c r="A20" s="93" t="s">
        <v>166</v>
      </c>
      <c r="B20" s="93">
        <f t="shared" ref="B20:G20" si="6">SUM(B21:B23)</f>
        <v>119237</v>
      </c>
      <c r="C20" s="93">
        <f t="shared" si="6"/>
        <v>554237</v>
      </c>
      <c r="D20" s="93">
        <f t="shared" si="6"/>
        <v>554237</v>
      </c>
      <c r="E20" s="93">
        <f t="shared" si="6"/>
        <v>554237</v>
      </c>
      <c r="F20" s="93">
        <f t="shared" si="6"/>
        <v>1451398</v>
      </c>
      <c r="G20" s="93">
        <f t="shared" si="6"/>
        <v>897161</v>
      </c>
      <c r="H20" s="91" t="s">
        <v>167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</row>
    <row r="21" spans="1:14" x14ac:dyDescent="0.25">
      <c r="A21" s="91" t="s">
        <v>168</v>
      </c>
      <c r="B21" s="69">
        <f>'[2]2.sz.tábla'!B70</f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91" t="s">
        <v>169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</row>
    <row r="22" spans="1:14" x14ac:dyDescent="0.25">
      <c r="A22" s="91" t="s">
        <v>170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91" t="s">
        <v>171</v>
      </c>
      <c r="I22" s="91">
        <f>'[2]5. sz. tábla'!B27</f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</row>
    <row r="23" spans="1:14" ht="31.5" x14ac:dyDescent="0.25">
      <c r="A23" s="91" t="s">
        <v>172</v>
      </c>
      <c r="B23" s="69">
        <f>'2.sz.tábla'!B73</f>
        <v>119237</v>
      </c>
      <c r="C23" s="69">
        <f>'2.sz.tábla'!C73</f>
        <v>554237</v>
      </c>
      <c r="D23" s="69">
        <f>'2.sz.tábla'!D73</f>
        <v>554237</v>
      </c>
      <c r="E23" s="69">
        <f>'2.sz.tábla'!E73</f>
        <v>554237</v>
      </c>
      <c r="F23" s="69">
        <f>'2.sz.tábla'!F73</f>
        <v>1451398</v>
      </c>
      <c r="G23" s="69">
        <f>'2.sz.tábla'!G73</f>
        <v>897161</v>
      </c>
      <c r="H23" s="91"/>
      <c r="I23" s="91"/>
      <c r="J23" s="91"/>
      <c r="K23" s="91"/>
      <c r="L23" s="91"/>
      <c r="M23" s="91"/>
      <c r="N23" s="69"/>
    </row>
    <row r="24" spans="1:14" x14ac:dyDescent="0.25">
      <c r="A24" s="93" t="s">
        <v>173</v>
      </c>
      <c r="B24" s="65">
        <f t="shared" ref="B24:G24" si="7">B16+B18+B20</f>
        <v>168467579</v>
      </c>
      <c r="C24" s="65">
        <f t="shared" si="7"/>
        <v>173774693</v>
      </c>
      <c r="D24" s="65">
        <f t="shared" si="7"/>
        <v>174163313</v>
      </c>
      <c r="E24" s="65">
        <f t="shared" si="7"/>
        <v>176338216</v>
      </c>
      <c r="F24" s="65">
        <f t="shared" si="7"/>
        <v>177235377</v>
      </c>
      <c r="G24" s="65">
        <f t="shared" si="7"/>
        <v>897161</v>
      </c>
      <c r="H24" s="93" t="s">
        <v>174</v>
      </c>
      <c r="I24" s="65">
        <f>I16+I18</f>
        <v>75947628</v>
      </c>
      <c r="J24" s="65">
        <f t="shared" ref="J24:M24" si="8">J18+J16</f>
        <v>77929836</v>
      </c>
      <c r="K24" s="65">
        <f t="shared" si="8"/>
        <v>78318456</v>
      </c>
      <c r="L24" s="65">
        <f t="shared" si="8"/>
        <v>80493359</v>
      </c>
      <c r="M24" s="65">
        <f t="shared" si="8"/>
        <v>81221720</v>
      </c>
      <c r="N24" s="65">
        <f>N18+N16</f>
        <v>728361</v>
      </c>
    </row>
    <row r="26" spans="1:14" x14ac:dyDescent="0.25">
      <c r="A26" s="213" t="s">
        <v>326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</row>
    <row r="28" spans="1:14" s="90" customFormat="1" ht="47.25" x14ac:dyDescent="0.25">
      <c r="A28" s="93" t="s">
        <v>175</v>
      </c>
      <c r="B28" s="13" t="str">
        <f>B5</f>
        <v>2019. évi eredeti előirányzat</v>
      </c>
      <c r="C28" s="13" t="str">
        <f>C5</f>
        <v>I. Módosítás</v>
      </c>
      <c r="D28" s="13" t="str">
        <f>D5</f>
        <v>II. Módosítás</v>
      </c>
      <c r="E28" s="13" t="str">
        <f>E5</f>
        <v>III. Módosítás</v>
      </c>
      <c r="F28" s="13" t="str">
        <f>F5</f>
        <v>IV. Módosítás</v>
      </c>
      <c r="G28" s="13" t="str">
        <f t="shared" ref="G28" si="9">G5</f>
        <v>Eltérés</v>
      </c>
      <c r="H28" s="93" t="s">
        <v>176</v>
      </c>
      <c r="I28" s="13" t="str">
        <f>B28</f>
        <v>2019. évi eredeti előirányzat</v>
      </c>
      <c r="J28" s="13" t="str">
        <f>J5</f>
        <v>I. Módosítás</v>
      </c>
      <c r="K28" s="13" t="str">
        <f>K5</f>
        <v>II. Módosítás</v>
      </c>
      <c r="L28" s="13" t="str">
        <f>L5</f>
        <v>III. Módosítás</v>
      </c>
      <c r="M28" s="13" t="str">
        <f>M5</f>
        <v>IV. Módosítás</v>
      </c>
      <c r="N28" s="13" t="str">
        <f>G28</f>
        <v>Eltérés</v>
      </c>
    </row>
    <row r="29" spans="1:14" ht="31.5" x14ac:dyDescent="0.25">
      <c r="A29" s="184" t="s">
        <v>177</v>
      </c>
      <c r="B29" s="69">
        <f>'2.sz.tábla'!B22</f>
        <v>4000000</v>
      </c>
      <c r="C29" s="69">
        <f>'2.sz.tábla'!C22</f>
        <v>4000000</v>
      </c>
      <c r="D29" s="69">
        <f>'2.sz.tábla'!D22</f>
        <v>4000000</v>
      </c>
      <c r="E29" s="69">
        <f>'2.sz.tábla'!E22</f>
        <v>18247660</v>
      </c>
      <c r="F29" s="69">
        <f>'2.sz.tábla'!F22</f>
        <v>18247660</v>
      </c>
      <c r="G29" s="69">
        <f>'2.sz.tábla'!G22</f>
        <v>0</v>
      </c>
      <c r="H29" s="91" t="s">
        <v>178</v>
      </c>
      <c r="I29" s="69">
        <f>'5. sz. tábla'!B4</f>
        <v>8532598</v>
      </c>
      <c r="J29" s="69">
        <f>'5. sz. tábla'!C4</f>
        <v>16780611</v>
      </c>
      <c r="K29" s="69">
        <f>'5. sz. tábla'!D4</f>
        <v>16239611</v>
      </c>
      <c r="L29" s="69">
        <f>'5. sz. tábla'!E4</f>
        <v>30487271</v>
      </c>
      <c r="M29" s="69">
        <f>'5. sz. tábla'!F4</f>
        <v>30656071</v>
      </c>
      <c r="N29" s="69">
        <f>'5. sz. tábla'!G4</f>
        <v>168800</v>
      </c>
    </row>
    <row r="30" spans="1:14" x14ac:dyDescent="0.25">
      <c r="A30" s="91" t="s">
        <v>179</v>
      </c>
      <c r="B30" s="69">
        <f>'2.sz.tábla'!B54</f>
        <v>0</v>
      </c>
      <c r="C30" s="69">
        <f>'2.sz.tábla'!C54</f>
        <v>3588000</v>
      </c>
      <c r="D30" s="69">
        <f>'2.sz.tábla'!D54</f>
        <v>3588000</v>
      </c>
      <c r="E30" s="69">
        <f>'2.sz.tábla'!E54</f>
        <v>3588000</v>
      </c>
      <c r="F30" s="69">
        <f>'2.sz.tábla'!F54</f>
        <v>3588000</v>
      </c>
      <c r="G30" s="69">
        <f>'2.sz.tábla'!G54</f>
        <v>0</v>
      </c>
      <c r="H30" s="91" t="s">
        <v>180</v>
      </c>
      <c r="I30" s="91"/>
      <c r="J30" s="91"/>
      <c r="K30" s="91"/>
      <c r="L30" s="91"/>
      <c r="M30" s="91"/>
      <c r="N30" s="69"/>
    </row>
    <row r="31" spans="1:14" ht="31.5" x14ac:dyDescent="0.25">
      <c r="A31" s="91" t="s">
        <v>181</v>
      </c>
      <c r="B31" s="69">
        <f>'[2]1.sz.tábla '!B11</f>
        <v>0</v>
      </c>
      <c r="C31" s="69">
        <v>0</v>
      </c>
      <c r="D31" s="69">
        <v>0</v>
      </c>
      <c r="E31" s="69">
        <v>0</v>
      </c>
      <c r="F31" s="69">
        <v>0</v>
      </c>
      <c r="G31" s="69">
        <v>0</v>
      </c>
      <c r="H31" s="91" t="s">
        <v>182</v>
      </c>
      <c r="I31" s="69">
        <f>'5. sz. tábla'!B23</f>
        <v>87960563</v>
      </c>
      <c r="J31" s="69">
        <f>'5. sz. tábla'!C23</f>
        <v>85644858</v>
      </c>
      <c r="K31" s="69">
        <f>'5. sz. tábla'!D23</f>
        <v>86185858</v>
      </c>
      <c r="L31" s="69">
        <f>'5. sz. tábla'!E23</f>
        <v>86185858</v>
      </c>
      <c r="M31" s="69">
        <f>'5. sz. tábla'!F23</f>
        <v>86185858</v>
      </c>
      <c r="N31" s="69">
        <f>'5. sz. tábla'!G23</f>
        <v>0</v>
      </c>
    </row>
    <row r="32" spans="1:14" x14ac:dyDescent="0.25">
      <c r="A32" s="91"/>
      <c r="B32" s="69"/>
      <c r="C32" s="69"/>
      <c r="D32" s="69"/>
      <c r="E32" s="69"/>
      <c r="F32" s="69"/>
      <c r="G32" s="69"/>
      <c r="H32" s="91" t="s">
        <v>183</v>
      </c>
      <c r="I32" s="69">
        <f>'5. sz. tábla'!B31</f>
        <v>26790</v>
      </c>
      <c r="J32" s="69">
        <f>'5. sz. tábla'!C31</f>
        <v>26790</v>
      </c>
      <c r="K32" s="69">
        <f>'5. sz. tábla'!D31</f>
        <v>26790</v>
      </c>
      <c r="L32" s="69">
        <f>'5. sz. tábla'!E31</f>
        <v>26790</v>
      </c>
      <c r="M32" s="69">
        <f>'5. sz. tábla'!F31</f>
        <v>26790</v>
      </c>
      <c r="N32" s="69">
        <f>'5. sz. tábla'!G31</f>
        <v>0</v>
      </c>
    </row>
    <row r="33" spans="1:14" ht="31.5" x14ac:dyDescent="0.25">
      <c r="A33" s="91"/>
      <c r="B33" s="91"/>
      <c r="C33" s="91"/>
      <c r="D33" s="91"/>
      <c r="E33" s="91"/>
      <c r="F33" s="91"/>
      <c r="G33" s="69"/>
      <c r="H33" s="91" t="s">
        <v>184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</row>
    <row r="34" spans="1:14" ht="31.5" x14ac:dyDescent="0.25">
      <c r="A34" s="91"/>
      <c r="B34" s="91"/>
      <c r="C34" s="91"/>
      <c r="D34" s="91"/>
      <c r="E34" s="91"/>
      <c r="F34" s="91"/>
      <c r="G34" s="69"/>
      <c r="H34" s="94" t="s">
        <v>185</v>
      </c>
      <c r="I34" s="95">
        <f>'5. sz. tábla'!B32</f>
        <v>0</v>
      </c>
      <c r="J34" s="95">
        <f>'5. sz. tábla'!C32</f>
        <v>980598</v>
      </c>
      <c r="K34" s="95">
        <f>'5. sz. tábla'!D32</f>
        <v>980598</v>
      </c>
      <c r="L34" s="95">
        <f>'5. sz. tábla'!E32</f>
        <v>980598</v>
      </c>
      <c r="M34" s="95">
        <f>'5. sz. tábla'!F32</f>
        <v>980598</v>
      </c>
      <c r="N34" s="95">
        <f>'5. sz. tábla'!G32</f>
        <v>0</v>
      </c>
    </row>
    <row r="35" spans="1:14" ht="47.25" x14ac:dyDescent="0.25">
      <c r="A35" s="91"/>
      <c r="B35" s="69"/>
      <c r="C35" s="69"/>
      <c r="D35" s="69"/>
      <c r="E35" s="69"/>
      <c r="F35" s="69"/>
      <c r="G35" s="69"/>
      <c r="H35" s="91" t="s">
        <v>186</v>
      </c>
      <c r="I35" s="69"/>
      <c r="J35" s="69"/>
      <c r="K35" s="69"/>
      <c r="L35" s="69"/>
      <c r="M35" s="69"/>
      <c r="N35" s="69"/>
    </row>
    <row r="36" spans="1:14" ht="47.25" x14ac:dyDescent="0.25">
      <c r="A36" s="91"/>
      <c r="B36" s="69"/>
      <c r="C36" s="69"/>
      <c r="D36" s="69"/>
      <c r="E36" s="69"/>
      <c r="F36" s="69"/>
      <c r="G36" s="69"/>
      <c r="H36" s="91" t="s">
        <v>187</v>
      </c>
      <c r="I36" s="69"/>
      <c r="J36" s="69"/>
      <c r="K36" s="69"/>
      <c r="L36" s="69"/>
      <c r="M36" s="69"/>
      <c r="N36" s="69"/>
    </row>
    <row r="37" spans="1:14" s="67" customFormat="1" ht="31.5" x14ac:dyDescent="0.25">
      <c r="A37" s="93" t="s">
        <v>188</v>
      </c>
      <c r="B37" s="65">
        <f t="shared" ref="B37:G37" si="10">SUM(B29:B35)</f>
        <v>4000000</v>
      </c>
      <c r="C37" s="65">
        <f t="shared" si="10"/>
        <v>7588000</v>
      </c>
      <c r="D37" s="65">
        <f t="shared" si="10"/>
        <v>7588000</v>
      </c>
      <c r="E37" s="65">
        <f t="shared" si="10"/>
        <v>21835660</v>
      </c>
      <c r="F37" s="65">
        <f t="shared" si="10"/>
        <v>21835660</v>
      </c>
      <c r="G37" s="65">
        <f t="shared" si="10"/>
        <v>0</v>
      </c>
      <c r="H37" s="93" t="s">
        <v>189</v>
      </c>
      <c r="I37" s="65">
        <f>SUM(I29:I32)</f>
        <v>96519951</v>
      </c>
      <c r="J37" s="65">
        <f>SUM(J29:J34)</f>
        <v>103432857</v>
      </c>
      <c r="K37" s="65">
        <f>SUM(K29:K34)</f>
        <v>103432857</v>
      </c>
      <c r="L37" s="65">
        <f>SUM(L29:L34)</f>
        <v>117680517</v>
      </c>
      <c r="M37" s="65">
        <f>SUM(M29:M34)</f>
        <v>117849317</v>
      </c>
      <c r="N37" s="65">
        <f>SUM(N29:N34)</f>
        <v>168800</v>
      </c>
    </row>
    <row r="38" spans="1:14" s="67" customFormat="1" x14ac:dyDescent="0.25">
      <c r="A38" s="93" t="s">
        <v>190</v>
      </c>
      <c r="B38" s="65"/>
      <c r="C38" s="65"/>
      <c r="D38" s="65"/>
      <c r="E38" s="65"/>
      <c r="F38" s="65"/>
      <c r="G38" s="69"/>
      <c r="H38" s="93" t="s">
        <v>191</v>
      </c>
      <c r="I38" s="65">
        <f t="shared" ref="I38:N38" si="11">I37-B37</f>
        <v>92519951</v>
      </c>
      <c r="J38" s="65">
        <f t="shared" si="11"/>
        <v>95844857</v>
      </c>
      <c r="K38" s="65">
        <f t="shared" si="11"/>
        <v>95844857</v>
      </c>
      <c r="L38" s="65">
        <f t="shared" si="11"/>
        <v>95844857</v>
      </c>
      <c r="M38" s="65">
        <f t="shared" si="11"/>
        <v>96013657</v>
      </c>
      <c r="N38" s="65">
        <f t="shared" si="11"/>
        <v>168800</v>
      </c>
    </row>
    <row r="39" spans="1:14" s="67" customFormat="1" ht="31.5" x14ac:dyDescent="0.25">
      <c r="A39" s="93" t="s">
        <v>192</v>
      </c>
      <c r="B39" s="65">
        <f>SUM(B40)</f>
        <v>126000000</v>
      </c>
      <c r="C39" s="65">
        <f t="shared" ref="C39:G39" si="12">SUM(C40)</f>
        <v>128550203</v>
      </c>
      <c r="D39" s="65">
        <f t="shared" si="12"/>
        <v>128550203</v>
      </c>
      <c r="E39" s="65">
        <f t="shared" si="12"/>
        <v>128550203</v>
      </c>
      <c r="F39" s="65">
        <f t="shared" si="12"/>
        <v>128550203</v>
      </c>
      <c r="G39" s="65">
        <f t="shared" si="12"/>
        <v>0</v>
      </c>
      <c r="H39" s="93" t="s">
        <v>193</v>
      </c>
      <c r="I39" s="65">
        <f>SUM(I40:I42)</f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</row>
    <row r="40" spans="1:14" x14ac:dyDescent="0.25">
      <c r="A40" s="91" t="s">
        <v>194</v>
      </c>
      <c r="B40" s="69">
        <f>'1.sz.tábla '!B13</f>
        <v>126000000</v>
      </c>
      <c r="C40" s="69">
        <f>'1.sz.tábla '!C13</f>
        <v>128550203</v>
      </c>
      <c r="D40" s="69">
        <f>'1.sz.tábla '!D13</f>
        <v>128550203</v>
      </c>
      <c r="E40" s="69">
        <f>'1.sz.tábla '!E13</f>
        <v>128550203</v>
      </c>
      <c r="F40" s="69">
        <f>'1.sz.tábla '!F13</f>
        <v>128550203</v>
      </c>
      <c r="G40" s="69">
        <f>'1.sz.tábla '!G13</f>
        <v>0</v>
      </c>
      <c r="H40" s="91" t="s">
        <v>195</v>
      </c>
      <c r="I40" s="69"/>
      <c r="J40" s="69"/>
      <c r="K40" s="69"/>
      <c r="L40" s="69"/>
      <c r="M40" s="69"/>
      <c r="N40" s="69"/>
    </row>
    <row r="41" spans="1:14" ht="31.5" x14ac:dyDescent="0.25">
      <c r="A41" s="93" t="s">
        <v>196</v>
      </c>
      <c r="B41" s="65">
        <f t="shared" ref="B41:G41" si="13">SUM(B42:B43)</f>
        <v>0</v>
      </c>
      <c r="C41" s="65">
        <f t="shared" si="13"/>
        <v>0</v>
      </c>
      <c r="D41" s="65">
        <f t="shared" si="13"/>
        <v>0</v>
      </c>
      <c r="E41" s="65">
        <f t="shared" si="13"/>
        <v>0</v>
      </c>
      <c r="F41" s="65">
        <f t="shared" si="13"/>
        <v>0</v>
      </c>
      <c r="G41" s="65">
        <f t="shared" si="13"/>
        <v>0</v>
      </c>
      <c r="H41" s="91" t="s">
        <v>197</v>
      </c>
      <c r="I41" s="69"/>
      <c r="J41" s="69"/>
      <c r="K41" s="69"/>
      <c r="L41" s="69"/>
      <c r="M41" s="69"/>
      <c r="N41" s="69"/>
    </row>
    <row r="42" spans="1:14" ht="31.5" x14ac:dyDescent="0.25">
      <c r="A42" s="91" t="s">
        <v>198</v>
      </c>
      <c r="B42" s="69"/>
      <c r="C42" s="69"/>
      <c r="D42" s="69"/>
      <c r="E42" s="69"/>
      <c r="F42" s="69"/>
      <c r="G42" s="69"/>
      <c r="H42" s="91" t="s">
        <v>199</v>
      </c>
      <c r="I42" s="69"/>
      <c r="J42" s="69"/>
      <c r="K42" s="69"/>
      <c r="L42" s="69"/>
      <c r="M42" s="69"/>
      <c r="N42" s="69"/>
    </row>
    <row r="43" spans="1:14" x14ac:dyDescent="0.25">
      <c r="A43" s="91" t="s">
        <v>200</v>
      </c>
      <c r="B43" s="69"/>
      <c r="C43" s="69"/>
      <c r="D43" s="69"/>
      <c r="E43" s="69"/>
      <c r="F43" s="69"/>
      <c r="G43" s="69"/>
      <c r="H43" s="91"/>
      <c r="I43" s="69"/>
      <c r="J43" s="69"/>
      <c r="K43" s="69"/>
      <c r="L43" s="69"/>
      <c r="M43" s="69"/>
      <c r="N43" s="69"/>
    </row>
    <row r="44" spans="1:14" s="67" customFormat="1" x14ac:dyDescent="0.25">
      <c r="A44" s="93" t="s">
        <v>201</v>
      </c>
      <c r="B44" s="65">
        <f t="shared" ref="B44:G44" si="14">B37+B39+B41</f>
        <v>130000000</v>
      </c>
      <c r="C44" s="65">
        <f t="shared" si="14"/>
        <v>136138203</v>
      </c>
      <c r="D44" s="65">
        <f t="shared" si="14"/>
        <v>136138203</v>
      </c>
      <c r="E44" s="65">
        <f t="shared" si="14"/>
        <v>150385863</v>
      </c>
      <c r="F44" s="65">
        <f t="shared" si="14"/>
        <v>150385863</v>
      </c>
      <c r="G44" s="65">
        <f t="shared" si="14"/>
        <v>0</v>
      </c>
      <c r="H44" s="93" t="s">
        <v>202</v>
      </c>
      <c r="I44" s="65">
        <f t="shared" ref="I44:N44" si="15">I37+I39</f>
        <v>96519951</v>
      </c>
      <c r="J44" s="65">
        <f t="shared" si="15"/>
        <v>103432857</v>
      </c>
      <c r="K44" s="65">
        <f t="shared" si="15"/>
        <v>103432857</v>
      </c>
      <c r="L44" s="65">
        <f t="shared" si="15"/>
        <v>117680517</v>
      </c>
      <c r="M44" s="65">
        <f t="shared" si="15"/>
        <v>117849317</v>
      </c>
      <c r="N44" s="65">
        <f t="shared" si="15"/>
        <v>168800</v>
      </c>
    </row>
    <row r="45" spans="1:14" x14ac:dyDescent="0.25">
      <c r="A45" s="96"/>
      <c r="B45" s="97"/>
      <c r="C45" s="97"/>
      <c r="D45" s="97"/>
      <c r="E45" s="97"/>
      <c r="F45" s="97"/>
      <c r="G45" s="97"/>
      <c r="H45" s="96"/>
      <c r="I45" s="97"/>
      <c r="J45" s="97"/>
      <c r="K45" s="97"/>
      <c r="L45" s="97"/>
      <c r="M45" s="97"/>
      <c r="N45" s="97"/>
    </row>
    <row r="46" spans="1:14" x14ac:dyDescent="0.25">
      <c r="A46" s="96"/>
      <c r="B46" s="97"/>
      <c r="C46" s="97"/>
      <c r="D46" s="97"/>
      <c r="E46" s="97"/>
      <c r="F46" s="97"/>
      <c r="G46" s="97"/>
      <c r="H46" s="96"/>
      <c r="I46" s="97"/>
      <c r="J46" s="97"/>
      <c r="K46" s="97"/>
      <c r="L46" s="97"/>
      <c r="M46" s="97"/>
      <c r="N46" s="97"/>
    </row>
    <row r="47" spans="1:14" x14ac:dyDescent="0.25">
      <c r="A47" s="213" t="s">
        <v>327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</row>
    <row r="49" spans="1:14" s="90" customFormat="1" ht="47.25" x14ac:dyDescent="0.25">
      <c r="A49" s="93" t="s">
        <v>203</v>
      </c>
      <c r="B49" s="13" t="str">
        <f t="shared" ref="B49:G49" si="16">B5</f>
        <v>2019. évi eredeti előirányzat</v>
      </c>
      <c r="C49" s="13" t="str">
        <f t="shared" si="16"/>
        <v>I. Módosítás</v>
      </c>
      <c r="D49" s="13" t="str">
        <f t="shared" si="16"/>
        <v>II. Módosítás</v>
      </c>
      <c r="E49" s="13" t="str">
        <f t="shared" si="16"/>
        <v>III. Módosítás</v>
      </c>
      <c r="F49" s="13" t="str">
        <f t="shared" si="16"/>
        <v>IV. Módosítás</v>
      </c>
      <c r="G49" s="13" t="str">
        <f t="shared" si="16"/>
        <v>Eltérés</v>
      </c>
      <c r="H49" s="93" t="s">
        <v>204</v>
      </c>
      <c r="I49" s="13" t="str">
        <f>B49</f>
        <v>2019. évi eredeti előirányzat</v>
      </c>
      <c r="J49" s="13" t="str">
        <f>J5</f>
        <v>I. Módosítás</v>
      </c>
      <c r="K49" s="13" t="str">
        <f>K5</f>
        <v>II. Módosítás</v>
      </c>
      <c r="L49" s="13" t="str">
        <f>L5</f>
        <v>III. Módosítás</v>
      </c>
      <c r="M49" s="13" t="str">
        <f>M5</f>
        <v>IV. Módosítás</v>
      </c>
      <c r="N49" s="13" t="str">
        <f>G49</f>
        <v>Eltérés</v>
      </c>
    </row>
    <row r="50" spans="1:14" x14ac:dyDescent="0.25">
      <c r="A50" s="91" t="s">
        <v>205</v>
      </c>
      <c r="B50" s="69">
        <f t="shared" ref="B50:G50" si="17">B16</f>
        <v>42348342</v>
      </c>
      <c r="C50" s="69">
        <f t="shared" si="17"/>
        <v>44670253</v>
      </c>
      <c r="D50" s="69">
        <f t="shared" si="17"/>
        <v>45058873</v>
      </c>
      <c r="E50" s="69">
        <f t="shared" si="17"/>
        <v>47233776</v>
      </c>
      <c r="F50" s="69">
        <f t="shared" si="17"/>
        <v>47233776</v>
      </c>
      <c r="G50" s="69">
        <f t="shared" si="17"/>
        <v>0</v>
      </c>
      <c r="H50" s="91" t="s">
        <v>206</v>
      </c>
      <c r="I50" s="69">
        <f t="shared" ref="I50:N50" si="18">I16</f>
        <v>74979549</v>
      </c>
      <c r="J50" s="69">
        <f t="shared" si="18"/>
        <v>76526757</v>
      </c>
      <c r="K50" s="69">
        <f t="shared" si="18"/>
        <v>76915377</v>
      </c>
      <c r="L50" s="69">
        <f t="shared" si="18"/>
        <v>79090280</v>
      </c>
      <c r="M50" s="69">
        <f t="shared" si="18"/>
        <v>79818641</v>
      </c>
      <c r="N50" s="69">
        <f t="shared" si="18"/>
        <v>728361</v>
      </c>
    </row>
    <row r="51" spans="1:14" ht="31.5" x14ac:dyDescent="0.25">
      <c r="A51" s="91" t="s">
        <v>207</v>
      </c>
      <c r="B51" s="69">
        <f t="shared" ref="B51:G51" si="19">B37</f>
        <v>4000000</v>
      </c>
      <c r="C51" s="69">
        <f t="shared" si="19"/>
        <v>7588000</v>
      </c>
      <c r="D51" s="69">
        <f t="shared" si="19"/>
        <v>7588000</v>
      </c>
      <c r="E51" s="69">
        <f t="shared" si="19"/>
        <v>21835660</v>
      </c>
      <c r="F51" s="69">
        <f t="shared" si="19"/>
        <v>21835660</v>
      </c>
      <c r="G51" s="69">
        <f t="shared" si="19"/>
        <v>0</v>
      </c>
      <c r="H51" s="91" t="s">
        <v>208</v>
      </c>
      <c r="I51" s="69">
        <f t="shared" ref="I51:N51" si="20">I37</f>
        <v>96519951</v>
      </c>
      <c r="J51" s="69">
        <f t="shared" si="20"/>
        <v>103432857</v>
      </c>
      <c r="K51" s="69">
        <f t="shared" si="20"/>
        <v>103432857</v>
      </c>
      <c r="L51" s="69">
        <f t="shared" si="20"/>
        <v>117680517</v>
      </c>
      <c r="M51" s="69">
        <f t="shared" si="20"/>
        <v>117849317</v>
      </c>
      <c r="N51" s="69">
        <f t="shared" si="20"/>
        <v>168800</v>
      </c>
    </row>
    <row r="52" spans="1:14" s="67" customFormat="1" ht="31.5" x14ac:dyDescent="0.25">
      <c r="A52" s="93" t="s">
        <v>10</v>
      </c>
      <c r="B52" s="65">
        <f>SUM(B50:B51)</f>
        <v>46348342</v>
      </c>
      <c r="C52" s="65">
        <f t="shared" ref="C52:F52" si="21">SUM(C50:C51)</f>
        <v>52258253</v>
      </c>
      <c r="D52" s="65">
        <f t="shared" si="21"/>
        <v>52646873</v>
      </c>
      <c r="E52" s="65">
        <f t="shared" si="21"/>
        <v>69069436</v>
      </c>
      <c r="F52" s="65">
        <f t="shared" si="21"/>
        <v>69069436</v>
      </c>
      <c r="G52" s="65">
        <f>SUM(G50:G51)</f>
        <v>0</v>
      </c>
      <c r="H52" s="93" t="s">
        <v>19</v>
      </c>
      <c r="I52" s="65">
        <f>SUM(I50:I51)</f>
        <v>171499500</v>
      </c>
      <c r="J52" s="65">
        <f t="shared" ref="J52:M52" si="22">SUM(J50:J51)</f>
        <v>179959614</v>
      </c>
      <c r="K52" s="65">
        <f t="shared" si="22"/>
        <v>180348234</v>
      </c>
      <c r="L52" s="65">
        <f t="shared" si="22"/>
        <v>196770797</v>
      </c>
      <c r="M52" s="65">
        <f t="shared" si="22"/>
        <v>197667958</v>
      </c>
      <c r="N52" s="65">
        <f>SUM(N50:N51)</f>
        <v>897161</v>
      </c>
    </row>
    <row r="53" spans="1:14" s="67" customFormat="1" x14ac:dyDescent="0.25">
      <c r="A53" s="93" t="s">
        <v>209</v>
      </c>
      <c r="B53" s="65"/>
      <c r="C53" s="65"/>
      <c r="D53" s="65"/>
      <c r="E53" s="65"/>
      <c r="F53" s="65"/>
      <c r="G53" s="65"/>
      <c r="H53" s="93" t="s">
        <v>210</v>
      </c>
      <c r="I53" s="65">
        <f t="shared" ref="I53:N53" si="23">I52-B52</f>
        <v>125151158</v>
      </c>
      <c r="J53" s="65">
        <f t="shared" si="23"/>
        <v>127701361</v>
      </c>
      <c r="K53" s="65">
        <f t="shared" si="23"/>
        <v>127701361</v>
      </c>
      <c r="L53" s="65">
        <f t="shared" si="23"/>
        <v>127701361</v>
      </c>
      <c r="M53" s="65">
        <f t="shared" si="23"/>
        <v>128598522</v>
      </c>
      <c r="N53" s="65">
        <f t="shared" si="23"/>
        <v>897161</v>
      </c>
    </row>
    <row r="54" spans="1:14" s="67" customFormat="1" ht="31.5" x14ac:dyDescent="0.25">
      <c r="A54" s="93" t="s">
        <v>211</v>
      </c>
      <c r="B54" s="65">
        <f>SUM(B55:B56)</f>
        <v>126000000</v>
      </c>
      <c r="C54" s="65">
        <f t="shared" ref="C54:G54" si="24">SUM(C55:C56)</f>
        <v>128550203</v>
      </c>
      <c r="D54" s="65">
        <f t="shared" si="24"/>
        <v>128550203</v>
      </c>
      <c r="E54" s="65">
        <f t="shared" si="24"/>
        <v>128550203</v>
      </c>
      <c r="F54" s="65">
        <f t="shared" si="24"/>
        <v>128550203</v>
      </c>
      <c r="G54" s="65">
        <f t="shared" si="24"/>
        <v>0</v>
      </c>
      <c r="H54" s="93" t="s">
        <v>212</v>
      </c>
      <c r="I54" s="65">
        <f>SUM(I55:I56)</f>
        <v>968079</v>
      </c>
      <c r="J54" s="65">
        <f>SUM(J55:J56)</f>
        <v>1403079</v>
      </c>
      <c r="K54" s="65">
        <f>SUM(K55:K56)</f>
        <v>1403079</v>
      </c>
      <c r="L54" s="65">
        <f t="shared" ref="L54:N54" si="25">SUM(L55:L56)</f>
        <v>1403079</v>
      </c>
      <c r="M54" s="65">
        <f t="shared" si="25"/>
        <v>1403079</v>
      </c>
      <c r="N54" s="65">
        <f t="shared" si="25"/>
        <v>0</v>
      </c>
    </row>
    <row r="55" spans="1:14" ht="31.5" x14ac:dyDescent="0.25">
      <c r="A55" s="91" t="s">
        <v>162</v>
      </c>
      <c r="B55" s="69">
        <f>'2.sz.tábla'!B69</f>
        <v>52480871</v>
      </c>
      <c r="C55" s="69">
        <f>'2.sz.tábla'!C69</f>
        <v>55031074</v>
      </c>
      <c r="D55" s="69">
        <f>'2.sz.tábla'!D69</f>
        <v>55031074</v>
      </c>
      <c r="E55" s="69">
        <f>'2.sz.tábla'!E69</f>
        <v>55031074</v>
      </c>
      <c r="F55" s="69">
        <f>'2.sz.tábla'!F69</f>
        <v>55031074</v>
      </c>
      <c r="G55" s="69">
        <f>'2.sz.tábla'!G69</f>
        <v>0</v>
      </c>
      <c r="H55" s="91" t="s">
        <v>213</v>
      </c>
      <c r="I55" s="69">
        <f t="shared" ref="I55:N55" si="26">I18</f>
        <v>968079</v>
      </c>
      <c r="J55" s="69">
        <f t="shared" si="26"/>
        <v>1403079</v>
      </c>
      <c r="K55" s="69">
        <f t="shared" si="26"/>
        <v>1403079</v>
      </c>
      <c r="L55" s="69">
        <f t="shared" si="26"/>
        <v>1403079</v>
      </c>
      <c r="M55" s="69">
        <f t="shared" si="26"/>
        <v>1403079</v>
      </c>
      <c r="N55" s="69">
        <f t="shared" si="26"/>
        <v>0</v>
      </c>
    </row>
    <row r="56" spans="1:14" ht="31.5" x14ac:dyDescent="0.25">
      <c r="A56" s="91" t="s">
        <v>192</v>
      </c>
      <c r="B56" s="69">
        <f>'2.sz.tábla'!B70</f>
        <v>73519129</v>
      </c>
      <c r="C56" s="69">
        <f>'2.sz.tábla'!C70</f>
        <v>73519129</v>
      </c>
      <c r="D56" s="69">
        <f>'2.sz.tábla'!D70</f>
        <v>73519129</v>
      </c>
      <c r="E56" s="69">
        <f>'2.sz.tábla'!E70</f>
        <v>73519129</v>
      </c>
      <c r="F56" s="69">
        <f>'2.sz.tábla'!F70</f>
        <v>73519129</v>
      </c>
      <c r="G56" s="69">
        <f>'2.sz.tábla'!G70</f>
        <v>0</v>
      </c>
      <c r="H56" s="91" t="s">
        <v>214</v>
      </c>
      <c r="I56" s="69">
        <f>I39</f>
        <v>0</v>
      </c>
      <c r="J56" s="69">
        <f t="shared" ref="J56:N56" si="27">J39</f>
        <v>0</v>
      </c>
      <c r="K56" s="69">
        <f t="shared" si="27"/>
        <v>0</v>
      </c>
      <c r="L56" s="69">
        <f t="shared" si="27"/>
        <v>0</v>
      </c>
      <c r="M56" s="69">
        <f t="shared" si="27"/>
        <v>0</v>
      </c>
      <c r="N56" s="69">
        <f t="shared" si="27"/>
        <v>0</v>
      </c>
    </row>
    <row r="57" spans="1:14" s="67" customFormat="1" ht="31.5" x14ac:dyDescent="0.25">
      <c r="A57" s="93" t="s">
        <v>215</v>
      </c>
      <c r="B57" s="65">
        <f>SUM(B58:B59)</f>
        <v>119237</v>
      </c>
      <c r="C57" s="65">
        <f t="shared" ref="C57:G57" si="28">SUM(C58:C59)</f>
        <v>554237</v>
      </c>
      <c r="D57" s="65">
        <f t="shared" si="28"/>
        <v>554237</v>
      </c>
      <c r="E57" s="65">
        <f t="shared" si="28"/>
        <v>554237</v>
      </c>
      <c r="F57" s="65">
        <f t="shared" si="28"/>
        <v>1451398</v>
      </c>
      <c r="G57" s="65">
        <f t="shared" si="28"/>
        <v>897161</v>
      </c>
      <c r="H57" s="93"/>
      <c r="I57" s="93"/>
      <c r="J57" s="93"/>
      <c r="K57" s="93"/>
      <c r="L57" s="93"/>
      <c r="M57" s="93"/>
      <c r="N57" s="93"/>
    </row>
    <row r="58" spans="1:14" ht="31.5" x14ac:dyDescent="0.25">
      <c r="A58" s="91" t="s">
        <v>166</v>
      </c>
      <c r="B58" s="69">
        <f>B20</f>
        <v>119237</v>
      </c>
      <c r="C58" s="69">
        <f t="shared" ref="C58:G58" si="29">C20</f>
        <v>554237</v>
      </c>
      <c r="D58" s="69">
        <f t="shared" si="29"/>
        <v>554237</v>
      </c>
      <c r="E58" s="69">
        <f t="shared" si="29"/>
        <v>554237</v>
      </c>
      <c r="F58" s="69">
        <f t="shared" si="29"/>
        <v>1451398</v>
      </c>
      <c r="G58" s="69">
        <f t="shared" si="29"/>
        <v>897161</v>
      </c>
      <c r="H58" s="91"/>
      <c r="I58" s="69"/>
      <c r="J58" s="69"/>
      <c r="K58" s="69"/>
      <c r="L58" s="69"/>
      <c r="M58" s="69"/>
      <c r="N58" s="69"/>
    </row>
    <row r="59" spans="1:14" ht="31.5" x14ac:dyDescent="0.25">
      <c r="A59" s="91" t="s">
        <v>196</v>
      </c>
      <c r="B59" s="69">
        <f t="shared" ref="B59:G59" si="30">B41</f>
        <v>0</v>
      </c>
      <c r="C59" s="69">
        <f t="shared" si="30"/>
        <v>0</v>
      </c>
      <c r="D59" s="69">
        <f t="shared" si="30"/>
        <v>0</v>
      </c>
      <c r="E59" s="69">
        <f t="shared" si="30"/>
        <v>0</v>
      </c>
      <c r="F59" s="69">
        <f t="shared" si="30"/>
        <v>0</v>
      </c>
      <c r="G59" s="69">
        <f t="shared" si="30"/>
        <v>0</v>
      </c>
      <c r="H59" s="93"/>
      <c r="I59" s="65"/>
      <c r="J59" s="65"/>
      <c r="K59" s="65"/>
      <c r="L59" s="65"/>
      <c r="M59" s="65"/>
      <c r="N59" s="65"/>
    </row>
    <row r="60" spans="1:14" s="67" customFormat="1" x14ac:dyDescent="0.25">
      <c r="A60" s="93" t="s">
        <v>66</v>
      </c>
      <c r="B60" s="65">
        <f t="shared" ref="B60:G60" si="31">B52+B54+B57</f>
        <v>172467579</v>
      </c>
      <c r="C60" s="65">
        <f t="shared" si="31"/>
        <v>181362693</v>
      </c>
      <c r="D60" s="65">
        <f t="shared" si="31"/>
        <v>181751313</v>
      </c>
      <c r="E60" s="65">
        <f t="shared" si="31"/>
        <v>198173876</v>
      </c>
      <c r="F60" s="65">
        <f t="shared" si="31"/>
        <v>199071037</v>
      </c>
      <c r="G60" s="65">
        <f t="shared" si="31"/>
        <v>897161</v>
      </c>
      <c r="H60" s="93" t="s">
        <v>216</v>
      </c>
      <c r="I60" s="65">
        <f t="shared" ref="I60:N60" si="32">I52+I54</f>
        <v>172467579</v>
      </c>
      <c r="J60" s="65">
        <f t="shared" si="32"/>
        <v>181362693</v>
      </c>
      <c r="K60" s="65">
        <f t="shared" si="32"/>
        <v>181751313</v>
      </c>
      <c r="L60" s="65">
        <f t="shared" si="32"/>
        <v>198173876</v>
      </c>
      <c r="M60" s="65">
        <f t="shared" si="32"/>
        <v>199071037</v>
      </c>
      <c r="N60" s="65">
        <f t="shared" si="32"/>
        <v>897161</v>
      </c>
    </row>
    <row r="61" spans="1:14" x14ac:dyDescent="0.25">
      <c r="A61" s="90" t="s">
        <v>217</v>
      </c>
      <c r="I61" s="89">
        <f t="shared" ref="I61:N61" si="33">B60-I60</f>
        <v>0</v>
      </c>
      <c r="J61" s="89">
        <f t="shared" si="33"/>
        <v>0</v>
      </c>
      <c r="K61" s="89">
        <f t="shared" si="33"/>
        <v>0</v>
      </c>
      <c r="L61" s="89">
        <f t="shared" si="33"/>
        <v>0</v>
      </c>
      <c r="M61" s="89">
        <f t="shared" si="33"/>
        <v>0</v>
      </c>
      <c r="N61" s="89">
        <f t="shared" si="33"/>
        <v>0</v>
      </c>
    </row>
  </sheetData>
  <mergeCells count="4">
    <mergeCell ref="A2:N2"/>
    <mergeCell ref="A3:N3"/>
    <mergeCell ref="A26:N26"/>
    <mergeCell ref="A47:N47"/>
  </mergeCells>
  <pageMargins left="0.6692913385826772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2019. évi költségvetéséről szóló 4/2020. (III. 03.)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9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41.85546875" style="98" customWidth="1"/>
    <col min="2" max="2" width="13" style="99" customWidth="1"/>
    <col min="3" max="3" width="12.42578125" style="99" customWidth="1"/>
    <col min="4" max="4" width="12.140625" style="99" customWidth="1"/>
    <col min="5" max="5" width="13.42578125" style="99" customWidth="1"/>
    <col min="6" max="6" width="12.7109375" style="99" customWidth="1"/>
    <col min="7" max="7" width="12" style="99" customWidth="1"/>
    <col min="8" max="8" width="40.7109375" style="99" customWidth="1"/>
    <col min="9" max="9" width="14.28515625" style="99" customWidth="1"/>
    <col min="10" max="10" width="12.140625" style="99" customWidth="1"/>
    <col min="11" max="12" width="13.28515625" style="99" customWidth="1"/>
    <col min="13" max="13" width="13" style="99" customWidth="1"/>
    <col min="14" max="14" width="13.7109375" style="99" customWidth="1"/>
    <col min="15" max="16384" width="9.140625" style="99"/>
  </cols>
  <sheetData>
    <row r="2" spans="1:14" x14ac:dyDescent="0.25">
      <c r="H2" s="100"/>
    </row>
    <row r="3" spans="1:14" ht="15.75" customHeight="1" x14ac:dyDescent="0.25">
      <c r="A3" s="215" t="s">
        <v>328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5" spans="1:14" s="98" customFormat="1" ht="47.25" x14ac:dyDescent="0.25">
      <c r="A5" s="102" t="s">
        <v>144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347</v>
      </c>
      <c r="E5" s="13" t="s">
        <v>353</v>
      </c>
      <c r="F5" s="13" t="s">
        <v>360</v>
      </c>
      <c r="G5" s="13" t="str">
        <f>'1.sz.tábla '!G4</f>
        <v>Eltérés</v>
      </c>
      <c r="H5" s="102" t="s">
        <v>145</v>
      </c>
      <c r="I5" s="13" t="str">
        <f>B5</f>
        <v>2019. évi eredeti előirányzat</v>
      </c>
      <c r="J5" s="13" t="str">
        <f>C5</f>
        <v>I. Módosítás</v>
      </c>
      <c r="K5" s="13" t="s">
        <v>347</v>
      </c>
      <c r="L5" s="13" t="s">
        <v>353</v>
      </c>
      <c r="M5" s="13" t="s">
        <v>360</v>
      </c>
      <c r="N5" s="13" t="str">
        <f t="shared" ref="N5" si="0">G5</f>
        <v>Eltérés</v>
      </c>
    </row>
    <row r="6" spans="1:14" s="98" customFormat="1" x14ac:dyDescent="0.25">
      <c r="A6" s="102" t="s">
        <v>218</v>
      </c>
      <c r="B6" s="107"/>
      <c r="C6" s="107"/>
      <c r="D6" s="107"/>
      <c r="E6" s="107"/>
      <c r="F6" s="107"/>
      <c r="G6" s="107"/>
      <c r="H6" s="102" t="s">
        <v>14</v>
      </c>
      <c r="I6" s="103"/>
      <c r="J6" s="103"/>
      <c r="K6" s="103"/>
      <c r="L6" s="103"/>
      <c r="M6" s="103"/>
      <c r="N6" s="103"/>
    </row>
    <row r="7" spans="1:14" ht="31.5" x14ac:dyDescent="0.25">
      <c r="A7" s="186" t="s">
        <v>219</v>
      </c>
      <c r="B7" s="104">
        <f>'6. sz. tábla'!B6</f>
        <v>30598342</v>
      </c>
      <c r="C7" s="104">
        <f>'6. sz. tábla'!C6</f>
        <v>32920253</v>
      </c>
      <c r="D7" s="104">
        <f>'6. sz. tábla'!D6</f>
        <v>33308873</v>
      </c>
      <c r="E7" s="104">
        <f>'6. sz. tábla'!E6</f>
        <v>35483776</v>
      </c>
      <c r="F7" s="104">
        <f>'6. sz. tábla'!F6</f>
        <v>35483776</v>
      </c>
      <c r="G7" s="104">
        <f>'6. sz. tábla'!G6</f>
        <v>0</v>
      </c>
      <c r="H7" s="105" t="s">
        <v>147</v>
      </c>
      <c r="I7" s="104">
        <f>'6. sz. tábla'!I6</f>
        <v>11331764</v>
      </c>
      <c r="J7" s="104">
        <f>'6. sz. tábla'!J6</f>
        <v>12714792</v>
      </c>
      <c r="K7" s="104">
        <f>'6. sz. tábla'!K6</f>
        <v>12939792</v>
      </c>
      <c r="L7" s="104">
        <f>'6. sz. tábla'!L6</f>
        <v>13027292</v>
      </c>
      <c r="M7" s="104">
        <f>'6. sz. tábla'!M6</f>
        <v>13027292</v>
      </c>
      <c r="N7" s="104">
        <f>'6. sz. tábla'!N6</f>
        <v>0</v>
      </c>
    </row>
    <row r="8" spans="1:14" ht="17.25" customHeight="1" x14ac:dyDescent="0.25">
      <c r="A8" s="105" t="s">
        <v>148</v>
      </c>
      <c r="B8" s="104">
        <f>'6. sz. tábla'!B7</f>
        <v>10700000</v>
      </c>
      <c r="C8" s="104">
        <f>'6. sz. tábla'!C7</f>
        <v>10700000</v>
      </c>
      <c r="D8" s="104">
        <f>'6. sz. tábla'!D7</f>
        <v>10700000</v>
      </c>
      <c r="E8" s="104">
        <f>'6. sz. tábla'!E7</f>
        <v>10700000</v>
      </c>
      <c r="F8" s="104">
        <f>'6. sz. tábla'!F7</f>
        <v>10700000</v>
      </c>
      <c r="G8" s="104">
        <f>'6. sz. tábla'!G7</f>
        <v>0</v>
      </c>
      <c r="H8" s="105" t="s">
        <v>79</v>
      </c>
      <c r="I8" s="104">
        <f>'6. sz. tábla'!I7</f>
        <v>3271315</v>
      </c>
      <c r="J8" s="104">
        <f>'6. sz. tábla'!J7</f>
        <v>2115461</v>
      </c>
      <c r="K8" s="104">
        <f>'6. sz. tábla'!K7</f>
        <v>2154836</v>
      </c>
      <c r="L8" s="104">
        <f>'6. sz. tábla'!L7</f>
        <v>2168749</v>
      </c>
      <c r="M8" s="104">
        <f>'6. sz. tábla'!M7</f>
        <v>2168749</v>
      </c>
      <c r="N8" s="104">
        <f>'6. sz. tábla'!N7</f>
        <v>0</v>
      </c>
    </row>
    <row r="9" spans="1:14" x14ac:dyDescent="0.25">
      <c r="A9" s="105" t="s">
        <v>149</v>
      </c>
      <c r="B9" s="104">
        <f>'6. sz. tábla'!B8-600000</f>
        <v>450000</v>
      </c>
      <c r="C9" s="104">
        <f>'6. sz. tábla'!C8-600000</f>
        <v>450000</v>
      </c>
      <c r="D9" s="104">
        <f>'6. sz. tábla'!D8-600000</f>
        <v>450000</v>
      </c>
      <c r="E9" s="104">
        <f>'6. sz. tábla'!E8-600000</f>
        <v>450000</v>
      </c>
      <c r="F9" s="104">
        <f>'6. sz. tábla'!F8-600000</f>
        <v>450000</v>
      </c>
      <c r="G9" s="104">
        <f>'6. sz. tábla'!G8</f>
        <v>0</v>
      </c>
      <c r="H9" s="105" t="s">
        <v>80</v>
      </c>
      <c r="I9" s="104">
        <f>'6. sz. tábla'!I8</f>
        <v>44728404</v>
      </c>
      <c r="J9" s="104">
        <f>'6. sz. tábla'!J8</f>
        <v>44878404</v>
      </c>
      <c r="K9" s="104">
        <f>'6. sz. tábla'!K8</f>
        <v>45844874</v>
      </c>
      <c r="L9" s="104">
        <f>'6. sz. tábla'!L8</f>
        <v>47554874</v>
      </c>
      <c r="M9" s="104">
        <f>'6. sz. tábla'!M8</f>
        <v>47964874</v>
      </c>
      <c r="N9" s="104">
        <f>'6. sz. tábla'!N8</f>
        <v>410000</v>
      </c>
    </row>
    <row r="10" spans="1:14" ht="31.5" x14ac:dyDescent="0.25">
      <c r="A10" s="184" t="s">
        <v>151</v>
      </c>
      <c r="B10" s="104">
        <f>'[2]6. sz. tábla '!B9</f>
        <v>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5" t="s">
        <v>152</v>
      </c>
      <c r="I10" s="104">
        <f>'6. sz. tábla'!I9</f>
        <v>2234000</v>
      </c>
      <c r="J10" s="104">
        <f>'6. sz. tábla'!J9</f>
        <v>2234000</v>
      </c>
      <c r="K10" s="104">
        <f>'6. sz. tábla'!K9</f>
        <v>2234000</v>
      </c>
      <c r="L10" s="104">
        <f>'6. sz. tábla'!L9</f>
        <v>2234000</v>
      </c>
      <c r="M10" s="104">
        <f>'6. sz. tábla'!M9</f>
        <v>2234000</v>
      </c>
      <c r="N10" s="104">
        <f>'6. sz. tábla'!N9</f>
        <v>0</v>
      </c>
    </row>
    <row r="11" spans="1:14" x14ac:dyDescent="0.25">
      <c r="A11" s="105"/>
      <c r="B11" s="104"/>
      <c r="C11" s="104"/>
      <c r="D11" s="104"/>
      <c r="E11" s="104"/>
      <c r="F11" s="104"/>
      <c r="G11" s="104"/>
      <c r="H11" s="105" t="s">
        <v>81</v>
      </c>
      <c r="I11" s="104">
        <f>'6. sz. tábla'!I10</f>
        <v>10175801</v>
      </c>
      <c r="J11" s="104">
        <f>'6. sz. tábla'!J10+J12</f>
        <v>10552226</v>
      </c>
      <c r="K11" s="104">
        <f>'6. sz. tábla'!K10+K12</f>
        <v>10552226</v>
      </c>
      <c r="L11" s="104">
        <f>'6. sz. tábla'!L10+L12</f>
        <v>9848727</v>
      </c>
      <c r="M11" s="104">
        <f>'6. sz. tábla'!M10+M12</f>
        <v>9848727</v>
      </c>
      <c r="N11" s="104">
        <f>'6. sz. tábla'!N10</f>
        <v>0</v>
      </c>
    </row>
    <row r="12" spans="1:14" x14ac:dyDescent="0.25">
      <c r="A12" s="105"/>
      <c r="B12" s="104"/>
      <c r="C12" s="104"/>
      <c r="D12" s="104"/>
      <c r="E12" s="104"/>
      <c r="F12" s="104"/>
      <c r="G12" s="104"/>
      <c r="H12" s="91" t="s">
        <v>153</v>
      </c>
      <c r="I12" s="104">
        <f>'6. sz. tábla'!I11</f>
        <v>0</v>
      </c>
      <c r="J12" s="104">
        <f>'6. sz. tábla'!J11</f>
        <v>0</v>
      </c>
      <c r="K12" s="104">
        <f>'6. sz. tábla'!K11</f>
        <v>0</v>
      </c>
      <c r="L12" s="104">
        <f>'6. sz. tábla'!L11</f>
        <v>0</v>
      </c>
      <c r="M12" s="104">
        <f>'6. sz. tábla'!M11</f>
        <v>0</v>
      </c>
      <c r="N12" s="104">
        <f>'6. sz. tábla'!N11</f>
        <v>0</v>
      </c>
    </row>
    <row r="13" spans="1:14" ht="31.5" x14ac:dyDescent="0.25">
      <c r="A13" s="105"/>
      <c r="B13" s="104"/>
      <c r="C13" s="104"/>
      <c r="D13" s="104"/>
      <c r="E13" s="104"/>
      <c r="F13" s="104"/>
      <c r="G13" s="104"/>
      <c r="H13" s="91" t="s">
        <v>154</v>
      </c>
      <c r="I13" s="104">
        <f>'6. sz. tábla'!I12</f>
        <v>10075801</v>
      </c>
      <c r="J13" s="104">
        <f>'6. sz. tábla'!J12</f>
        <v>10452226</v>
      </c>
      <c r="K13" s="104">
        <f>'6. sz. tábla'!K12</f>
        <v>10452226</v>
      </c>
      <c r="L13" s="104">
        <f>'6. sz. tábla'!L12</f>
        <v>9748727</v>
      </c>
      <c r="M13" s="104">
        <f>'6. sz. tábla'!M12</f>
        <v>9748727</v>
      </c>
      <c r="N13" s="104">
        <f>'6. sz. tábla'!N12</f>
        <v>0</v>
      </c>
    </row>
    <row r="14" spans="1:14" ht="31.5" x14ac:dyDescent="0.25">
      <c r="A14" s="186"/>
      <c r="B14" s="104"/>
      <c r="C14" s="106"/>
      <c r="D14" s="106"/>
      <c r="E14" s="106"/>
      <c r="F14" s="106"/>
      <c r="G14" s="104"/>
      <c r="H14" s="91" t="s">
        <v>155</v>
      </c>
      <c r="I14" s="104">
        <f>'6. sz. tábla'!I13</f>
        <v>100000</v>
      </c>
      <c r="J14" s="104">
        <f>'6. sz. tábla'!J13</f>
        <v>100000</v>
      </c>
      <c r="K14" s="104">
        <f>'6. sz. tábla'!K13</f>
        <v>100000</v>
      </c>
      <c r="L14" s="104">
        <f>'6. sz. tábla'!L13</f>
        <v>100000</v>
      </c>
      <c r="M14" s="104">
        <f>'6. sz. tábla'!M13</f>
        <v>100000</v>
      </c>
      <c r="N14" s="104">
        <f>'6. sz. tábla'!N13</f>
        <v>0</v>
      </c>
    </row>
    <row r="15" spans="1:14" ht="30.75" customHeight="1" x14ac:dyDescent="0.25">
      <c r="A15" s="184"/>
      <c r="B15" s="104"/>
      <c r="C15" s="104"/>
      <c r="D15" s="104"/>
      <c r="E15" s="104"/>
      <c r="F15" s="104"/>
      <c r="G15" s="104"/>
      <c r="H15" s="91" t="s">
        <v>156</v>
      </c>
      <c r="I15" s="104">
        <f>'6. sz. tábla'!I14</f>
        <v>0</v>
      </c>
      <c r="J15" s="104">
        <f>'6. sz. tábla'!J14</f>
        <v>0</v>
      </c>
      <c r="K15" s="104">
        <f>'6. sz. tábla'!K14</f>
        <v>0</v>
      </c>
      <c r="L15" s="104">
        <f>'6. sz. tábla'!L14</f>
        <v>0</v>
      </c>
      <c r="M15" s="104">
        <f>'6. sz. tábla'!M14</f>
        <v>0</v>
      </c>
      <c r="N15" s="104">
        <f>'6. sz. tábla'!N14</f>
        <v>0</v>
      </c>
    </row>
    <row r="16" spans="1:14" x14ac:dyDescent="0.25">
      <c r="A16" s="105"/>
      <c r="B16" s="104"/>
      <c r="C16" s="104"/>
      <c r="D16" s="104"/>
      <c r="E16" s="104"/>
      <c r="F16" s="104"/>
      <c r="G16" s="104"/>
      <c r="H16" s="91" t="s">
        <v>157</v>
      </c>
      <c r="I16" s="104">
        <f>'6. sz. tábla'!I15</f>
        <v>3238265</v>
      </c>
      <c r="J16" s="104">
        <f>'6. sz. tábla'!J15</f>
        <v>4031874</v>
      </c>
      <c r="K16" s="104">
        <f>'6. sz. tábla'!K15</f>
        <v>3189649</v>
      </c>
      <c r="L16" s="104">
        <f>'6. sz. tábla'!L15</f>
        <v>4256638</v>
      </c>
      <c r="M16" s="104">
        <f>'6. sz. tábla'!M15</f>
        <v>4574999</v>
      </c>
      <c r="N16" s="104">
        <f>'6. sz. tábla'!N15</f>
        <v>318361</v>
      </c>
    </row>
    <row r="17" spans="1:14" s="108" customFormat="1" ht="31.5" x14ac:dyDescent="0.25">
      <c r="A17" s="102" t="s">
        <v>220</v>
      </c>
      <c r="B17" s="107">
        <f t="shared" ref="B17:G17" si="1">SUM(B7:B16)</f>
        <v>41748342</v>
      </c>
      <c r="C17" s="107">
        <f t="shared" si="1"/>
        <v>44070253</v>
      </c>
      <c r="D17" s="107">
        <f t="shared" si="1"/>
        <v>44458873</v>
      </c>
      <c r="E17" s="107">
        <f t="shared" si="1"/>
        <v>46633776</v>
      </c>
      <c r="F17" s="107">
        <f t="shared" si="1"/>
        <v>46633776</v>
      </c>
      <c r="G17" s="107">
        <f t="shared" si="1"/>
        <v>0</v>
      </c>
      <c r="H17" s="102" t="s">
        <v>221</v>
      </c>
      <c r="I17" s="107">
        <f>I7+I8+I9+I10+I11+I16</f>
        <v>74979549</v>
      </c>
      <c r="J17" s="107">
        <f>J7+J8+J9+J10+J11+J16</f>
        <v>76526757</v>
      </c>
      <c r="K17" s="107">
        <f>K7+K8+K9+K10+K11+K16</f>
        <v>76915377</v>
      </c>
      <c r="L17" s="107">
        <f>L7+L8+L9+L10+L11+L16</f>
        <v>79090280</v>
      </c>
      <c r="M17" s="107">
        <f>M7+M8+M9+M10+M11+M16</f>
        <v>79818641</v>
      </c>
      <c r="N17" s="107">
        <f>N7+N8+N9+N10+N11+N12+N16</f>
        <v>728361</v>
      </c>
    </row>
    <row r="18" spans="1:14" x14ac:dyDescent="0.25">
      <c r="A18" s="103" t="s">
        <v>222</v>
      </c>
      <c r="B18" s="104">
        <f>'6. sz. tábla'!B19</f>
        <v>126000000</v>
      </c>
      <c r="C18" s="104">
        <f>'6. sz. tábla'!C19</f>
        <v>128550203</v>
      </c>
      <c r="D18" s="104">
        <f>'6. sz. tábla'!D19</f>
        <v>128550203</v>
      </c>
      <c r="E18" s="104">
        <f>'6. sz. tábla'!E19</f>
        <v>128550203</v>
      </c>
      <c r="F18" s="104">
        <f>'6. sz. tábla'!F19</f>
        <v>128550203</v>
      </c>
      <c r="G18" s="104">
        <f>'6. sz. tábla'!G19</f>
        <v>0</v>
      </c>
      <c r="H18" s="103" t="s">
        <v>223</v>
      </c>
      <c r="I18" s="104">
        <f>'5. sz. tábla'!B37</f>
        <v>968079</v>
      </c>
      <c r="J18" s="104">
        <f>'5. sz. tábla'!C37</f>
        <v>1403079</v>
      </c>
      <c r="K18" s="104">
        <f>'5. sz. tábla'!D37</f>
        <v>1403079</v>
      </c>
      <c r="L18" s="104">
        <f>'5. sz. tábla'!E37</f>
        <v>1403079</v>
      </c>
      <c r="M18" s="104">
        <f>'5. sz. tábla'!F37</f>
        <v>1403079</v>
      </c>
      <c r="N18" s="104">
        <f>'5. sz. tábla'!G37</f>
        <v>0</v>
      </c>
    </row>
    <row r="19" spans="1:14" ht="47.25" x14ac:dyDescent="0.25">
      <c r="A19" s="102" t="s">
        <v>224</v>
      </c>
      <c r="B19" s="107">
        <f>B17+B18</f>
        <v>167748342</v>
      </c>
      <c r="C19" s="107">
        <f t="shared" ref="C19:F19" si="2">C17+C18</f>
        <v>172620456</v>
      </c>
      <c r="D19" s="107">
        <f t="shared" si="2"/>
        <v>173009076</v>
      </c>
      <c r="E19" s="107">
        <f t="shared" si="2"/>
        <v>175183979</v>
      </c>
      <c r="F19" s="107">
        <f t="shared" si="2"/>
        <v>175183979</v>
      </c>
      <c r="G19" s="107">
        <f>G17+G18</f>
        <v>0</v>
      </c>
      <c r="H19" s="102" t="s">
        <v>225</v>
      </c>
      <c r="I19" s="107">
        <f>I17+I18</f>
        <v>75947628</v>
      </c>
      <c r="J19" s="107">
        <f t="shared" ref="J19:N19" si="3">J17+J18</f>
        <v>77929836</v>
      </c>
      <c r="K19" s="107">
        <f t="shared" si="3"/>
        <v>78318456</v>
      </c>
      <c r="L19" s="107">
        <f t="shared" si="3"/>
        <v>80493359</v>
      </c>
      <c r="M19" s="107">
        <f t="shared" si="3"/>
        <v>81221720</v>
      </c>
      <c r="N19" s="107">
        <f t="shared" si="3"/>
        <v>728361</v>
      </c>
    </row>
    <row r="20" spans="1:14" x14ac:dyDescent="0.25">
      <c r="A20" s="102" t="s">
        <v>226</v>
      </c>
      <c r="B20" s="107"/>
      <c r="C20" s="107"/>
      <c r="D20" s="107"/>
      <c r="E20" s="107"/>
      <c r="F20" s="107"/>
      <c r="G20" s="104"/>
      <c r="H20" s="107" t="s">
        <v>15</v>
      </c>
      <c r="I20" s="104"/>
      <c r="J20" s="104"/>
      <c r="K20" s="104"/>
      <c r="L20" s="104"/>
      <c r="M20" s="104"/>
      <c r="N20" s="104"/>
    </row>
    <row r="21" spans="1:14" ht="31.5" x14ac:dyDescent="0.25">
      <c r="A21" s="184" t="s">
        <v>177</v>
      </c>
      <c r="B21" s="104">
        <f>'6. sz. tábla'!B29</f>
        <v>4000000</v>
      </c>
      <c r="C21" s="104">
        <f>'6. sz. tábla'!C29</f>
        <v>4000000</v>
      </c>
      <c r="D21" s="104">
        <f>'6. sz. tábla'!D29</f>
        <v>4000000</v>
      </c>
      <c r="E21" s="104">
        <f>'6. sz. tábla'!E29</f>
        <v>18247660</v>
      </c>
      <c r="F21" s="104">
        <f>'6. sz. tábla'!F29</f>
        <v>18247660</v>
      </c>
      <c r="G21" s="104">
        <f>'6. sz. tábla'!G29</f>
        <v>0</v>
      </c>
      <c r="H21" s="105" t="s">
        <v>178</v>
      </c>
      <c r="I21" s="104">
        <f>'6. sz. tábla'!I29</f>
        <v>8532598</v>
      </c>
      <c r="J21" s="104">
        <f>'6. sz. tábla'!J29</f>
        <v>16780611</v>
      </c>
      <c r="K21" s="104">
        <f>'6. sz. tábla'!K29</f>
        <v>16239611</v>
      </c>
      <c r="L21" s="104">
        <f>'6. sz. tábla'!L29</f>
        <v>30487271</v>
      </c>
      <c r="M21" s="104">
        <f>'6. sz. tábla'!M29</f>
        <v>30656071</v>
      </c>
      <c r="N21" s="104">
        <f>'6. sz. tábla'!N29</f>
        <v>168800</v>
      </c>
    </row>
    <row r="22" spans="1:14" x14ac:dyDescent="0.25">
      <c r="A22" s="91" t="s">
        <v>227</v>
      </c>
      <c r="B22" s="104">
        <f>'6. sz. tábla'!B30</f>
        <v>0</v>
      </c>
      <c r="C22" s="104">
        <f>'6. sz. tábla'!C30</f>
        <v>3588000</v>
      </c>
      <c r="D22" s="104">
        <f>'6. sz. tábla'!D30</f>
        <v>3588000</v>
      </c>
      <c r="E22" s="104">
        <f>'6. sz. tábla'!E30</f>
        <v>3588000</v>
      </c>
      <c r="F22" s="104">
        <f>'6. sz. tábla'!F30</f>
        <v>3588000</v>
      </c>
      <c r="G22" s="104">
        <f>'6. sz. tábla'!G30</f>
        <v>0</v>
      </c>
      <c r="H22" s="105" t="s">
        <v>180</v>
      </c>
      <c r="I22" s="104"/>
      <c r="J22" s="104"/>
      <c r="K22" s="104"/>
      <c r="L22" s="104"/>
      <c r="M22" s="104"/>
      <c r="N22" s="104"/>
    </row>
    <row r="23" spans="1:14" ht="31.5" x14ac:dyDescent="0.25">
      <c r="A23" s="91" t="s">
        <v>228</v>
      </c>
      <c r="B23" s="104">
        <f>'6. sz. tábla'!B31</f>
        <v>0</v>
      </c>
      <c r="C23" s="104">
        <f>'6. sz. tábla'!C31</f>
        <v>0</v>
      </c>
      <c r="D23" s="104">
        <f>'6. sz. tábla'!D31</f>
        <v>0</v>
      </c>
      <c r="E23" s="104">
        <f>'6. sz. tábla'!E31</f>
        <v>0</v>
      </c>
      <c r="F23" s="104">
        <f>'6. sz. tábla'!F31</f>
        <v>0</v>
      </c>
      <c r="G23" s="104">
        <f>'6. sz. tábla'!G31</f>
        <v>0</v>
      </c>
      <c r="H23" s="105" t="s">
        <v>182</v>
      </c>
      <c r="I23" s="104">
        <f>'6. sz. tábla'!I31</f>
        <v>87960563</v>
      </c>
      <c r="J23" s="104">
        <f>'6. sz. tábla'!J31</f>
        <v>85644858</v>
      </c>
      <c r="K23" s="104">
        <f>'6. sz. tábla'!K31</f>
        <v>86185858</v>
      </c>
      <c r="L23" s="104">
        <f>'6. sz. tábla'!L31</f>
        <v>86185858</v>
      </c>
      <c r="M23" s="104">
        <f>'6. sz. tábla'!M31</f>
        <v>86185858</v>
      </c>
      <c r="N23" s="104">
        <f>'6. sz. tábla'!N31</f>
        <v>0</v>
      </c>
    </row>
    <row r="24" spans="1:14" x14ac:dyDescent="0.25">
      <c r="A24" s="105"/>
      <c r="B24" s="104"/>
      <c r="C24" s="104"/>
      <c r="D24" s="104"/>
      <c r="E24" s="104"/>
      <c r="F24" s="104"/>
      <c r="G24" s="104"/>
      <c r="H24" s="105" t="s">
        <v>229</v>
      </c>
      <c r="I24" s="104"/>
      <c r="J24" s="104"/>
      <c r="K24" s="104"/>
      <c r="L24" s="104"/>
      <c r="M24" s="104"/>
      <c r="N24" s="104"/>
    </row>
    <row r="25" spans="1:14" ht="31.5" x14ac:dyDescent="0.25">
      <c r="A25" s="105"/>
      <c r="B25" s="104"/>
      <c r="C25" s="104"/>
      <c r="D25" s="104"/>
      <c r="E25" s="104"/>
      <c r="F25" s="104"/>
      <c r="G25" s="104"/>
      <c r="H25" s="105" t="s">
        <v>230</v>
      </c>
      <c r="I25" s="104"/>
      <c r="J25" s="104"/>
      <c r="K25" s="104"/>
      <c r="L25" s="104"/>
      <c r="M25" s="104"/>
      <c r="N25" s="104"/>
    </row>
    <row r="26" spans="1:14" ht="31.5" x14ac:dyDescent="0.25">
      <c r="A26" s="105"/>
      <c r="B26" s="104"/>
      <c r="C26" s="104"/>
      <c r="D26" s="104"/>
      <c r="E26" s="104"/>
      <c r="F26" s="104"/>
      <c r="G26" s="104"/>
      <c r="H26" s="109" t="s">
        <v>231</v>
      </c>
      <c r="I26" s="104"/>
      <c r="J26" s="104"/>
      <c r="K26" s="104"/>
      <c r="L26" s="104"/>
      <c r="M26" s="104"/>
      <c r="N26" s="104"/>
    </row>
    <row r="27" spans="1:14" ht="30.75" customHeight="1" x14ac:dyDescent="0.25">
      <c r="A27" s="103"/>
      <c r="B27" s="104"/>
      <c r="C27" s="104"/>
      <c r="D27" s="104"/>
      <c r="E27" s="104"/>
      <c r="F27" s="104"/>
      <c r="G27" s="104"/>
      <c r="H27" s="105" t="s">
        <v>232</v>
      </c>
      <c r="I27" s="104"/>
      <c r="J27" s="104"/>
      <c r="K27" s="104"/>
      <c r="L27" s="104"/>
      <c r="M27" s="104"/>
      <c r="N27" s="104"/>
    </row>
    <row r="28" spans="1:14" s="108" customFormat="1" ht="31.5" x14ac:dyDescent="0.25">
      <c r="A28" s="102" t="s">
        <v>233</v>
      </c>
      <c r="B28" s="107">
        <f>SUM(B21:B27)</f>
        <v>4000000</v>
      </c>
      <c r="C28" s="107">
        <f t="shared" ref="C28:G28" si="4">SUM(C21:C27)</f>
        <v>7588000</v>
      </c>
      <c r="D28" s="107">
        <f t="shared" si="4"/>
        <v>7588000</v>
      </c>
      <c r="E28" s="107">
        <f t="shared" si="4"/>
        <v>21835660</v>
      </c>
      <c r="F28" s="107">
        <f t="shared" si="4"/>
        <v>21835660</v>
      </c>
      <c r="G28" s="107">
        <f t="shared" si="4"/>
        <v>0</v>
      </c>
      <c r="H28" s="102" t="s">
        <v>221</v>
      </c>
      <c r="I28" s="107">
        <f>SUM(I21:I27)</f>
        <v>96493161</v>
      </c>
      <c r="J28" s="107">
        <f t="shared" ref="J28:N28" si="5">SUM(J21:J27)</f>
        <v>102425469</v>
      </c>
      <c r="K28" s="107">
        <f t="shared" si="5"/>
        <v>102425469</v>
      </c>
      <c r="L28" s="107">
        <f t="shared" si="5"/>
        <v>116673129</v>
      </c>
      <c r="M28" s="107">
        <f t="shared" si="5"/>
        <v>116841929</v>
      </c>
      <c r="N28" s="107">
        <f t="shared" si="5"/>
        <v>168800</v>
      </c>
    </row>
    <row r="29" spans="1:14" ht="15" customHeight="1" x14ac:dyDescent="0.25">
      <c r="A29" s="103" t="s">
        <v>222</v>
      </c>
      <c r="B29" s="104">
        <f>'2.sz.tábla'!B71</f>
        <v>119237</v>
      </c>
      <c r="C29" s="104">
        <f>'2.sz.tábla'!C71</f>
        <v>554237</v>
      </c>
      <c r="D29" s="104">
        <f>'2.sz.tábla'!D71</f>
        <v>554237</v>
      </c>
      <c r="E29" s="104">
        <f>'2.sz.tábla'!E71</f>
        <v>554237</v>
      </c>
      <c r="F29" s="104">
        <f>'2.sz.tábla'!F71</f>
        <v>1451398</v>
      </c>
      <c r="G29" s="104">
        <f>'2.sz.tábla'!G71</f>
        <v>897161</v>
      </c>
      <c r="H29" s="103" t="s">
        <v>223</v>
      </c>
      <c r="I29" s="104"/>
      <c r="J29" s="104"/>
      <c r="K29" s="104"/>
      <c r="L29" s="104"/>
      <c r="M29" s="104"/>
      <c r="N29" s="104"/>
    </row>
    <row r="30" spans="1:14" ht="47.25" x14ac:dyDescent="0.25">
      <c r="A30" s="102" t="s">
        <v>234</v>
      </c>
      <c r="B30" s="107">
        <f>B28+B29</f>
        <v>4119237</v>
      </c>
      <c r="C30" s="107">
        <f t="shared" ref="C30:G30" si="6">C28+C29</f>
        <v>8142237</v>
      </c>
      <c r="D30" s="107">
        <f t="shared" si="6"/>
        <v>8142237</v>
      </c>
      <c r="E30" s="107">
        <f t="shared" si="6"/>
        <v>22389897</v>
      </c>
      <c r="F30" s="107">
        <f t="shared" si="6"/>
        <v>23287058</v>
      </c>
      <c r="G30" s="107">
        <f t="shared" si="6"/>
        <v>897161</v>
      </c>
      <c r="H30" s="102" t="s">
        <v>235</v>
      </c>
      <c r="I30" s="107">
        <f t="shared" ref="I30:N30" si="7">I28+I29</f>
        <v>96493161</v>
      </c>
      <c r="J30" s="107">
        <f t="shared" si="7"/>
        <v>102425469</v>
      </c>
      <c r="K30" s="107">
        <f t="shared" si="7"/>
        <v>102425469</v>
      </c>
      <c r="L30" s="107">
        <f t="shared" si="7"/>
        <v>116673129</v>
      </c>
      <c r="M30" s="107">
        <f t="shared" si="7"/>
        <v>116841929</v>
      </c>
      <c r="N30" s="107">
        <f t="shared" si="7"/>
        <v>168800</v>
      </c>
    </row>
    <row r="31" spans="1:14" x14ac:dyDescent="0.25">
      <c r="B31" s="99">
        <f t="shared" ref="B31:G31" si="8">B30+B19</f>
        <v>171867579</v>
      </c>
      <c r="C31" s="99">
        <f t="shared" si="8"/>
        <v>180762693</v>
      </c>
      <c r="D31" s="99">
        <f t="shared" si="8"/>
        <v>181151313</v>
      </c>
      <c r="E31" s="99">
        <f t="shared" si="8"/>
        <v>197573876</v>
      </c>
      <c r="F31" s="99">
        <f t="shared" si="8"/>
        <v>198471037</v>
      </c>
      <c r="G31" s="99">
        <f t="shared" si="8"/>
        <v>897161</v>
      </c>
      <c r="I31" s="99">
        <f t="shared" ref="I31:N31" si="9">I30+I19</f>
        <v>172440789</v>
      </c>
      <c r="J31" s="99">
        <f t="shared" si="9"/>
        <v>180355305</v>
      </c>
      <c r="K31" s="99">
        <f t="shared" si="9"/>
        <v>180743925</v>
      </c>
      <c r="L31" s="99">
        <f t="shared" si="9"/>
        <v>197166488</v>
      </c>
      <c r="M31" s="99">
        <f t="shared" si="9"/>
        <v>198063649</v>
      </c>
      <c r="N31" s="99">
        <f t="shared" si="9"/>
        <v>897161</v>
      </c>
    </row>
    <row r="32" spans="1:14" ht="15.75" customHeight="1" x14ac:dyDescent="0.25">
      <c r="A32" s="215" t="s">
        <v>330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4" spans="1:14" s="98" customFormat="1" ht="47.25" x14ac:dyDescent="0.25">
      <c r="A34" s="102" t="s">
        <v>144</v>
      </c>
      <c r="B34" s="13" t="str">
        <f>B5</f>
        <v>2019. évi eredeti előirányzat</v>
      </c>
      <c r="C34" s="13" t="str">
        <f t="shared" ref="C34:G34" si="10">C5</f>
        <v>I. Módosítás</v>
      </c>
      <c r="D34" s="13" t="str">
        <f>'6. sz. tábla'!D5</f>
        <v>II. Módosítás</v>
      </c>
      <c r="E34" s="13" t="str">
        <f>'6. sz. tábla'!E5</f>
        <v>III. Módosítás</v>
      </c>
      <c r="F34" s="13" t="str">
        <f>'6. sz. tábla'!F5</f>
        <v>IV. Módosítás</v>
      </c>
      <c r="G34" s="13" t="str">
        <f t="shared" si="10"/>
        <v>Eltérés</v>
      </c>
      <c r="H34" s="102" t="s">
        <v>145</v>
      </c>
      <c r="I34" s="13" t="str">
        <f>B34</f>
        <v>2019. évi eredeti előirányzat</v>
      </c>
      <c r="J34" s="13" t="str">
        <f>C34</f>
        <v>I. Módosítás</v>
      </c>
      <c r="K34" s="13" t="str">
        <f>'6. sz. tábla'!K5</f>
        <v>II. Módosítás</v>
      </c>
      <c r="L34" s="13" t="str">
        <f>'6. sz. tábla'!L5</f>
        <v>III. Módosítás</v>
      </c>
      <c r="M34" s="13" t="str">
        <f>'6. sz. tábla'!M5</f>
        <v>IV. Módosítás</v>
      </c>
      <c r="N34" s="13" t="str">
        <f>G34</f>
        <v>Eltérés</v>
      </c>
    </row>
    <row r="35" spans="1:14" x14ac:dyDescent="0.25">
      <c r="A35" s="102" t="s">
        <v>218</v>
      </c>
      <c r="B35" s="101"/>
      <c r="C35" s="101"/>
      <c r="D35" s="101"/>
      <c r="E35" s="101"/>
      <c r="F35" s="101"/>
      <c r="G35" s="101"/>
      <c r="H35" s="102" t="s">
        <v>14</v>
      </c>
      <c r="I35" s="104"/>
      <c r="J35" s="104"/>
      <c r="K35" s="104"/>
      <c r="L35" s="104"/>
      <c r="M35" s="104"/>
      <c r="N35" s="104"/>
    </row>
    <row r="36" spans="1:14" ht="31.5" x14ac:dyDescent="0.25">
      <c r="A36" s="186" t="s">
        <v>219</v>
      </c>
      <c r="B36" s="104"/>
      <c r="C36" s="104"/>
      <c r="D36" s="104"/>
      <c r="E36" s="104"/>
      <c r="F36" s="104"/>
      <c r="G36" s="104"/>
      <c r="H36" s="105" t="s">
        <v>147</v>
      </c>
      <c r="I36" s="104"/>
      <c r="J36" s="104"/>
      <c r="K36" s="104"/>
      <c r="L36" s="104"/>
      <c r="M36" s="104"/>
      <c r="N36" s="104"/>
    </row>
    <row r="37" spans="1:14" x14ac:dyDescent="0.25">
      <c r="A37" s="105" t="s">
        <v>148</v>
      </c>
      <c r="B37" s="104"/>
      <c r="C37" s="104"/>
      <c r="D37" s="104"/>
      <c r="E37" s="104"/>
      <c r="F37" s="104"/>
      <c r="G37" s="104"/>
      <c r="H37" s="105" t="s">
        <v>79</v>
      </c>
      <c r="I37" s="104"/>
      <c r="J37" s="104"/>
      <c r="K37" s="104"/>
      <c r="L37" s="104"/>
      <c r="M37" s="104"/>
      <c r="N37" s="104"/>
    </row>
    <row r="38" spans="1:14" x14ac:dyDescent="0.25">
      <c r="A38" s="105" t="s">
        <v>149</v>
      </c>
      <c r="B38" s="104">
        <f>'2.sz.tábla'!B44</f>
        <v>600000</v>
      </c>
      <c r="C38" s="104">
        <f>'2.sz.tábla'!C44</f>
        <v>600000</v>
      </c>
      <c r="D38" s="104">
        <f>'2.sz.tábla'!D44</f>
        <v>600000</v>
      </c>
      <c r="E38" s="104">
        <f>'2.sz.tábla'!E44</f>
        <v>600000</v>
      </c>
      <c r="F38" s="104">
        <f>'2.sz.tábla'!F44</f>
        <v>600000</v>
      </c>
      <c r="G38" s="104">
        <f>'2.sz.tábla'!G44</f>
        <v>0</v>
      </c>
      <c r="H38" s="105" t="s">
        <v>80</v>
      </c>
      <c r="I38" s="104"/>
      <c r="J38" s="104"/>
      <c r="K38" s="104"/>
      <c r="L38" s="104"/>
      <c r="M38" s="104"/>
      <c r="N38" s="104"/>
    </row>
    <row r="39" spans="1:14" ht="31.5" x14ac:dyDescent="0.25">
      <c r="A39" s="184" t="s">
        <v>151</v>
      </c>
      <c r="B39" s="104"/>
      <c r="C39" s="104"/>
      <c r="D39" s="104"/>
      <c r="E39" s="104"/>
      <c r="F39" s="104"/>
      <c r="G39" s="104"/>
      <c r="H39" s="105" t="s">
        <v>152</v>
      </c>
      <c r="I39" s="104"/>
      <c r="J39" s="104"/>
      <c r="K39" s="104"/>
      <c r="L39" s="104"/>
      <c r="M39" s="104"/>
      <c r="N39" s="104"/>
    </row>
    <row r="40" spans="1:14" x14ac:dyDescent="0.25">
      <c r="A40" s="105"/>
      <c r="B40" s="104"/>
      <c r="C40" s="104"/>
      <c r="D40" s="104"/>
      <c r="E40" s="104"/>
      <c r="F40" s="104"/>
      <c r="G40" s="104"/>
      <c r="H40" s="105" t="s">
        <v>81</v>
      </c>
      <c r="I40" s="104"/>
      <c r="J40" s="104"/>
      <c r="K40" s="104"/>
      <c r="L40" s="104"/>
      <c r="M40" s="104"/>
      <c r="N40" s="104"/>
    </row>
    <row r="41" spans="1:14" x14ac:dyDescent="0.25">
      <c r="A41" s="105"/>
      <c r="B41" s="104"/>
      <c r="C41" s="104"/>
      <c r="D41" s="104"/>
      <c r="E41" s="104"/>
      <c r="F41" s="104"/>
      <c r="G41" s="104"/>
      <c r="H41" s="91" t="s">
        <v>153</v>
      </c>
      <c r="I41" s="104"/>
      <c r="J41" s="104"/>
      <c r="K41" s="104"/>
      <c r="L41" s="104"/>
      <c r="M41" s="104"/>
      <c r="N41" s="104"/>
    </row>
    <row r="42" spans="1:14" ht="31.5" x14ac:dyDescent="0.25">
      <c r="A42" s="105"/>
      <c r="B42" s="104"/>
      <c r="C42" s="104"/>
      <c r="D42" s="104"/>
      <c r="E42" s="104"/>
      <c r="F42" s="104"/>
      <c r="G42" s="104"/>
      <c r="H42" s="91" t="s">
        <v>154</v>
      </c>
      <c r="I42" s="104"/>
      <c r="J42" s="104"/>
      <c r="K42" s="104"/>
      <c r="L42" s="104"/>
      <c r="M42" s="104"/>
      <c r="N42" s="104"/>
    </row>
    <row r="43" spans="1:14" ht="31.5" x14ac:dyDescent="0.25">
      <c r="A43" s="186"/>
      <c r="B43" s="104"/>
      <c r="C43" s="106"/>
      <c r="D43" s="106"/>
      <c r="E43" s="106"/>
      <c r="F43" s="106"/>
      <c r="G43" s="104"/>
      <c r="H43" s="91" t="s">
        <v>155</v>
      </c>
      <c r="I43" s="104"/>
      <c r="J43" s="104"/>
      <c r="K43" s="104"/>
      <c r="L43" s="104"/>
      <c r="M43" s="104"/>
      <c r="N43" s="104"/>
    </row>
    <row r="44" spans="1:14" ht="30" customHeight="1" x14ac:dyDescent="0.25">
      <c r="A44" s="184"/>
      <c r="B44" s="104"/>
      <c r="C44" s="104"/>
      <c r="D44" s="104"/>
      <c r="E44" s="104"/>
      <c r="F44" s="104"/>
      <c r="G44" s="104"/>
      <c r="H44" s="91" t="s">
        <v>156</v>
      </c>
      <c r="I44" s="104"/>
      <c r="J44" s="104"/>
      <c r="K44" s="104"/>
      <c r="L44" s="104"/>
      <c r="M44" s="104"/>
      <c r="N44" s="104"/>
    </row>
    <row r="45" spans="1:14" x14ac:dyDescent="0.25">
      <c r="A45" s="105"/>
      <c r="B45" s="104"/>
      <c r="C45" s="104"/>
      <c r="D45" s="104"/>
      <c r="E45" s="104"/>
      <c r="F45" s="104"/>
      <c r="G45" s="104"/>
      <c r="H45" s="91" t="s">
        <v>157</v>
      </c>
      <c r="I45" s="104"/>
      <c r="J45" s="104"/>
      <c r="K45" s="104"/>
      <c r="L45" s="104"/>
      <c r="M45" s="104"/>
      <c r="N45" s="104"/>
    </row>
    <row r="46" spans="1:14" ht="47.25" x14ac:dyDescent="0.25">
      <c r="A46" s="102" t="s">
        <v>236</v>
      </c>
      <c r="B46" s="107"/>
      <c r="C46" s="107"/>
      <c r="D46" s="107"/>
      <c r="E46" s="107"/>
      <c r="F46" s="107"/>
      <c r="G46" s="104"/>
      <c r="H46" s="102" t="s">
        <v>237</v>
      </c>
      <c r="I46" s="107">
        <f t="shared" ref="I46:N46" si="11">SUM(I36:I45)</f>
        <v>0</v>
      </c>
      <c r="J46" s="107">
        <f t="shared" si="11"/>
        <v>0</v>
      </c>
      <c r="K46" s="107">
        <f t="shared" si="11"/>
        <v>0</v>
      </c>
      <c r="L46" s="107">
        <f t="shared" si="11"/>
        <v>0</v>
      </c>
      <c r="M46" s="107">
        <f t="shared" si="11"/>
        <v>0</v>
      </c>
      <c r="N46" s="107">
        <f t="shared" si="11"/>
        <v>0</v>
      </c>
    </row>
    <row r="47" spans="1:14" x14ac:dyDescent="0.25">
      <c r="A47" s="103" t="s">
        <v>222</v>
      </c>
      <c r="B47" s="104"/>
      <c r="C47" s="104"/>
      <c r="D47" s="104"/>
      <c r="E47" s="104"/>
      <c r="F47" s="104"/>
      <c r="G47" s="104"/>
      <c r="H47" s="103" t="s">
        <v>223</v>
      </c>
      <c r="I47" s="104"/>
      <c r="J47" s="104"/>
      <c r="K47" s="104"/>
      <c r="L47" s="104"/>
      <c r="M47" s="104"/>
      <c r="N47" s="104"/>
    </row>
    <row r="48" spans="1:14" ht="47.25" x14ac:dyDescent="0.25">
      <c r="A48" s="102" t="s">
        <v>238</v>
      </c>
      <c r="B48" s="107">
        <f>B38</f>
        <v>600000</v>
      </c>
      <c r="C48" s="107">
        <f t="shared" ref="C48:G48" si="12">C38</f>
        <v>600000</v>
      </c>
      <c r="D48" s="107">
        <f t="shared" si="12"/>
        <v>600000</v>
      </c>
      <c r="E48" s="107">
        <f t="shared" si="12"/>
        <v>600000</v>
      </c>
      <c r="F48" s="107">
        <f t="shared" si="12"/>
        <v>600000</v>
      </c>
      <c r="G48" s="107">
        <f t="shared" si="12"/>
        <v>0</v>
      </c>
      <c r="H48" s="102" t="s">
        <v>239</v>
      </c>
      <c r="I48" s="107">
        <f t="shared" ref="I48:N48" si="13">I46+I47</f>
        <v>0</v>
      </c>
      <c r="J48" s="107">
        <f t="shared" si="13"/>
        <v>0</v>
      </c>
      <c r="K48" s="107">
        <f t="shared" si="13"/>
        <v>0</v>
      </c>
      <c r="L48" s="107">
        <f t="shared" si="13"/>
        <v>0</v>
      </c>
      <c r="M48" s="107">
        <f t="shared" si="13"/>
        <v>0</v>
      </c>
      <c r="N48" s="107">
        <f t="shared" si="13"/>
        <v>0</v>
      </c>
    </row>
    <row r="49" spans="1:14" x14ac:dyDescent="0.25">
      <c r="A49" s="102" t="s">
        <v>226</v>
      </c>
      <c r="B49" s="107"/>
      <c r="C49" s="107"/>
      <c r="D49" s="107"/>
      <c r="E49" s="107"/>
      <c r="F49" s="107"/>
      <c r="G49" s="104"/>
      <c r="H49" s="107" t="s">
        <v>15</v>
      </c>
      <c r="I49" s="104"/>
      <c r="J49" s="104"/>
      <c r="K49" s="104"/>
      <c r="L49" s="104"/>
      <c r="M49" s="104"/>
      <c r="N49" s="104"/>
    </row>
    <row r="50" spans="1:14" ht="31.5" x14ac:dyDescent="0.25">
      <c r="A50" s="184" t="s">
        <v>177</v>
      </c>
      <c r="B50" s="104"/>
      <c r="C50" s="104"/>
      <c r="D50" s="104"/>
      <c r="E50" s="104"/>
      <c r="F50" s="104"/>
      <c r="G50" s="104">
        <v>0</v>
      </c>
      <c r="H50" s="105" t="s">
        <v>178</v>
      </c>
      <c r="I50" s="104"/>
      <c r="J50" s="104"/>
      <c r="K50" s="104"/>
      <c r="L50" s="104"/>
      <c r="M50" s="104"/>
      <c r="N50" s="104"/>
    </row>
    <row r="51" spans="1:14" x14ac:dyDescent="0.25">
      <c r="A51" s="91" t="s">
        <v>227</v>
      </c>
      <c r="B51" s="104">
        <f>B22</f>
        <v>0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5" t="s">
        <v>180</v>
      </c>
      <c r="I51" s="104"/>
      <c r="J51" s="104"/>
      <c r="K51" s="104"/>
      <c r="L51" s="104"/>
      <c r="M51" s="104"/>
      <c r="N51" s="104"/>
    </row>
    <row r="52" spans="1:14" ht="31.5" x14ac:dyDescent="0.25">
      <c r="A52" s="91" t="s">
        <v>228</v>
      </c>
      <c r="B52" s="104">
        <f>B23</f>
        <v>0</v>
      </c>
      <c r="C52" s="104">
        <f t="shared" ref="C52:G52" si="14">C23</f>
        <v>0</v>
      </c>
      <c r="D52" s="104">
        <v>0</v>
      </c>
      <c r="E52" s="104">
        <v>0</v>
      </c>
      <c r="F52" s="104">
        <v>0</v>
      </c>
      <c r="G52" s="104">
        <f t="shared" si="14"/>
        <v>0</v>
      </c>
      <c r="H52" s="105" t="s">
        <v>182</v>
      </c>
      <c r="I52" s="104"/>
      <c r="J52" s="104"/>
      <c r="K52" s="104"/>
      <c r="L52" s="104"/>
      <c r="M52" s="104"/>
      <c r="N52" s="104"/>
    </row>
    <row r="53" spans="1:14" x14ac:dyDescent="0.25">
      <c r="A53" s="105"/>
      <c r="B53" s="104"/>
      <c r="C53" s="104"/>
      <c r="D53" s="104"/>
      <c r="E53" s="104"/>
      <c r="F53" s="104"/>
      <c r="G53" s="104"/>
      <c r="H53" s="105" t="s">
        <v>229</v>
      </c>
      <c r="I53" s="104"/>
      <c r="J53" s="104"/>
      <c r="K53" s="104"/>
      <c r="L53" s="104"/>
      <c r="M53" s="104"/>
      <c r="N53" s="104"/>
    </row>
    <row r="54" spans="1:14" ht="31.5" x14ac:dyDescent="0.25">
      <c r="A54" s="105"/>
      <c r="B54" s="104"/>
      <c r="C54" s="104"/>
      <c r="D54" s="104"/>
      <c r="E54" s="104"/>
      <c r="F54" s="104"/>
      <c r="G54" s="104"/>
      <c r="H54" s="105" t="s">
        <v>230</v>
      </c>
      <c r="I54" s="104">
        <f>'5. sz. tábla'!B31</f>
        <v>26790</v>
      </c>
      <c r="J54" s="104">
        <f>'5. sz. tábla'!C31</f>
        <v>26790</v>
      </c>
      <c r="K54" s="104">
        <f>'5. sz. tábla'!D31</f>
        <v>26790</v>
      </c>
      <c r="L54" s="104">
        <f>'5. sz. tábla'!E31</f>
        <v>26790</v>
      </c>
      <c r="M54" s="104">
        <f>'5. sz. tábla'!F31</f>
        <v>26790</v>
      </c>
      <c r="N54" s="104">
        <f>'5. sz. tábla'!G31</f>
        <v>0</v>
      </c>
    </row>
    <row r="55" spans="1:14" ht="31.5" x14ac:dyDescent="0.25">
      <c r="A55" s="105"/>
      <c r="B55" s="104"/>
      <c r="C55" s="104"/>
      <c r="D55" s="104"/>
      <c r="E55" s="104"/>
      <c r="F55" s="104"/>
      <c r="G55" s="104"/>
      <c r="H55" s="109" t="s">
        <v>231</v>
      </c>
      <c r="I55" s="104">
        <f>'5. sz. tábla'!B32</f>
        <v>0</v>
      </c>
      <c r="J55" s="104">
        <f>'5. sz. tábla'!C32</f>
        <v>980598</v>
      </c>
      <c r="K55" s="104">
        <f>'5. sz. tábla'!D32</f>
        <v>980598</v>
      </c>
      <c r="L55" s="104">
        <f>'5. sz. tábla'!E32</f>
        <v>980598</v>
      </c>
      <c r="M55" s="104">
        <f>'5. sz. tábla'!F32</f>
        <v>980598</v>
      </c>
      <c r="N55" s="104">
        <f>'5. sz. tábla'!G32</f>
        <v>0</v>
      </c>
    </row>
    <row r="56" spans="1:14" ht="47.25" x14ac:dyDescent="0.25">
      <c r="A56" s="103"/>
      <c r="B56" s="104"/>
      <c r="C56" s="104"/>
      <c r="D56" s="104"/>
      <c r="E56" s="104"/>
      <c r="F56" s="104"/>
      <c r="G56" s="104"/>
      <c r="H56" s="91" t="s">
        <v>186</v>
      </c>
      <c r="I56" s="104"/>
      <c r="J56" s="104"/>
      <c r="K56" s="104"/>
      <c r="L56" s="104"/>
      <c r="M56" s="104"/>
      <c r="N56" s="104"/>
    </row>
    <row r="57" spans="1:14" ht="47.25" x14ac:dyDescent="0.25">
      <c r="A57" s="103"/>
      <c r="B57" s="104"/>
      <c r="C57" s="104"/>
      <c r="D57" s="104"/>
      <c r="E57" s="104"/>
      <c r="F57" s="104"/>
      <c r="G57" s="104"/>
      <c r="H57" s="91" t="s">
        <v>232</v>
      </c>
      <c r="I57" s="104"/>
      <c r="J57" s="104"/>
      <c r="K57" s="104"/>
      <c r="L57" s="104"/>
      <c r="M57" s="104"/>
      <c r="N57" s="104"/>
    </row>
    <row r="58" spans="1:14" ht="47.25" x14ac:dyDescent="0.25">
      <c r="A58" s="102" t="s">
        <v>240</v>
      </c>
      <c r="B58" s="107">
        <f>SUM(B50:B56)</f>
        <v>0</v>
      </c>
      <c r="C58" s="107">
        <f t="shared" ref="C58:G58" si="15">SUM(C50:C56)</f>
        <v>0</v>
      </c>
      <c r="D58" s="107">
        <f t="shared" si="15"/>
        <v>0</v>
      </c>
      <c r="E58" s="107">
        <f t="shared" si="15"/>
        <v>0</v>
      </c>
      <c r="F58" s="107">
        <f t="shared" si="15"/>
        <v>0</v>
      </c>
      <c r="G58" s="107">
        <f t="shared" si="15"/>
        <v>0</v>
      </c>
      <c r="H58" s="102" t="s">
        <v>241</v>
      </c>
      <c r="I58" s="107">
        <f t="shared" ref="I58:N58" si="16">SUM(I50:I56)</f>
        <v>26790</v>
      </c>
      <c r="J58" s="107">
        <f t="shared" si="16"/>
        <v>1007388</v>
      </c>
      <c r="K58" s="107">
        <f t="shared" si="16"/>
        <v>1007388</v>
      </c>
      <c r="L58" s="107">
        <f t="shared" si="16"/>
        <v>1007388</v>
      </c>
      <c r="M58" s="107">
        <f t="shared" si="16"/>
        <v>1007388</v>
      </c>
      <c r="N58" s="107">
        <f t="shared" si="16"/>
        <v>0</v>
      </c>
    </row>
    <row r="59" spans="1:14" x14ac:dyDescent="0.25">
      <c r="A59" s="103" t="s">
        <v>222</v>
      </c>
      <c r="B59" s="104">
        <f>'[2]2.sz.tábla'!B70</f>
        <v>0</v>
      </c>
      <c r="C59" s="104">
        <v>0</v>
      </c>
      <c r="D59" s="104">
        <v>0</v>
      </c>
      <c r="E59" s="104">
        <v>0</v>
      </c>
      <c r="F59" s="104">
        <v>0</v>
      </c>
      <c r="G59" s="104">
        <v>0</v>
      </c>
      <c r="H59" s="103" t="s">
        <v>223</v>
      </c>
      <c r="I59" s="104">
        <f>'[2]5. sz. tábla'!B27</f>
        <v>0</v>
      </c>
      <c r="J59" s="104">
        <v>0</v>
      </c>
      <c r="K59" s="104">
        <v>0</v>
      </c>
      <c r="L59" s="104">
        <v>0</v>
      </c>
      <c r="M59" s="104">
        <v>0</v>
      </c>
      <c r="N59" s="104">
        <v>0</v>
      </c>
    </row>
    <row r="60" spans="1:14" x14ac:dyDescent="0.25">
      <c r="A60" s="103"/>
      <c r="B60" s="104"/>
      <c r="C60" s="104"/>
      <c r="D60" s="104"/>
      <c r="E60" s="104"/>
      <c r="F60" s="104"/>
      <c r="G60" s="104"/>
      <c r="H60" s="105"/>
      <c r="I60" s="104"/>
      <c r="J60" s="104"/>
      <c r="K60" s="104"/>
      <c r="L60" s="104"/>
      <c r="M60" s="104"/>
      <c r="N60" s="104"/>
    </row>
    <row r="61" spans="1:14" ht="47.25" x14ac:dyDescent="0.25">
      <c r="A61" s="102" t="s">
        <v>242</v>
      </c>
      <c r="B61" s="107">
        <f>B58+B59</f>
        <v>0</v>
      </c>
      <c r="C61" s="107">
        <f t="shared" ref="C61:G61" si="17">C58+C59</f>
        <v>0</v>
      </c>
      <c r="D61" s="107">
        <f t="shared" si="17"/>
        <v>0</v>
      </c>
      <c r="E61" s="107">
        <f t="shared" si="17"/>
        <v>0</v>
      </c>
      <c r="F61" s="107">
        <f t="shared" si="17"/>
        <v>0</v>
      </c>
      <c r="G61" s="107">
        <f t="shared" si="17"/>
        <v>0</v>
      </c>
      <c r="H61" s="102" t="s">
        <v>243</v>
      </c>
      <c r="I61" s="107">
        <f t="shared" ref="I61:N61" si="18">I58+I59</f>
        <v>26790</v>
      </c>
      <c r="J61" s="107">
        <f t="shared" si="18"/>
        <v>1007388</v>
      </c>
      <c r="K61" s="107">
        <f t="shared" si="18"/>
        <v>1007388</v>
      </c>
      <c r="L61" s="107">
        <f t="shared" si="18"/>
        <v>1007388</v>
      </c>
      <c r="M61" s="107">
        <f t="shared" si="18"/>
        <v>1007388</v>
      </c>
      <c r="N61" s="107">
        <f t="shared" si="18"/>
        <v>0</v>
      </c>
    </row>
    <row r="62" spans="1:14" ht="15.75" customHeight="1" x14ac:dyDescent="0.25">
      <c r="A62" s="215" t="s">
        <v>331</v>
      </c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</row>
    <row r="64" spans="1:14" s="98" customFormat="1" ht="47.25" x14ac:dyDescent="0.25">
      <c r="A64" s="102" t="s">
        <v>144</v>
      </c>
      <c r="B64" s="13" t="str">
        <f>B5</f>
        <v>2019. évi eredeti előirányzat</v>
      </c>
      <c r="C64" s="13" t="str">
        <f t="shared" ref="C64:G64" si="19">C5</f>
        <v>I. Módosítás</v>
      </c>
      <c r="D64" s="13" t="str">
        <f t="shared" si="19"/>
        <v>II. Módosítás</v>
      </c>
      <c r="E64" s="13" t="str">
        <f t="shared" si="19"/>
        <v>III. Módosítás</v>
      </c>
      <c r="F64" s="13" t="str">
        <f t="shared" si="19"/>
        <v>IV. Módosítás</v>
      </c>
      <c r="G64" s="13" t="str">
        <f t="shared" si="19"/>
        <v>Eltérés</v>
      </c>
      <c r="H64" s="102" t="s">
        <v>145</v>
      </c>
      <c r="I64" s="13" t="str">
        <f>B64</f>
        <v>2019. évi eredeti előirányzat</v>
      </c>
      <c r="J64" s="13" t="str">
        <f>C64</f>
        <v>I. Módosítás</v>
      </c>
      <c r="K64" s="13" t="str">
        <f>D64</f>
        <v>II. Módosítás</v>
      </c>
      <c r="L64" s="13" t="str">
        <f>E64</f>
        <v>III. Módosítás</v>
      </c>
      <c r="M64" s="13" t="str">
        <f>F64</f>
        <v>IV. Módosítás</v>
      </c>
      <c r="N64" s="13" t="str">
        <f t="shared" ref="N64" si="20">G64</f>
        <v>Eltérés</v>
      </c>
    </row>
    <row r="65" spans="1:14" x14ac:dyDescent="0.25">
      <c r="A65" s="102" t="s">
        <v>218</v>
      </c>
      <c r="B65" s="101"/>
      <c r="C65" s="101"/>
      <c r="D65" s="101"/>
      <c r="E65" s="101"/>
      <c r="F65" s="101"/>
      <c r="G65" s="101"/>
      <c r="H65" s="102" t="s">
        <v>14</v>
      </c>
      <c r="I65" s="104"/>
      <c r="J65" s="104"/>
      <c r="K65" s="104"/>
      <c r="L65" s="104"/>
      <c r="M65" s="104"/>
      <c r="N65" s="104"/>
    </row>
    <row r="66" spans="1:14" ht="31.5" x14ac:dyDescent="0.25">
      <c r="A66" s="186" t="s">
        <v>219</v>
      </c>
      <c r="B66" s="104">
        <v>0</v>
      </c>
      <c r="C66" s="104">
        <v>0</v>
      </c>
      <c r="D66" s="104">
        <v>0</v>
      </c>
      <c r="E66" s="104">
        <v>0</v>
      </c>
      <c r="F66" s="104">
        <v>0</v>
      </c>
      <c r="G66" s="104">
        <v>0</v>
      </c>
      <c r="H66" s="105" t="s">
        <v>147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</row>
    <row r="67" spans="1:14" x14ac:dyDescent="0.25">
      <c r="A67" s="105" t="s">
        <v>148</v>
      </c>
      <c r="B67" s="104">
        <v>0</v>
      </c>
      <c r="C67" s="104">
        <v>0</v>
      </c>
      <c r="D67" s="104">
        <v>0</v>
      </c>
      <c r="E67" s="104">
        <v>0</v>
      </c>
      <c r="F67" s="104">
        <v>0</v>
      </c>
      <c r="G67" s="104">
        <f t="shared" ref="G67" si="21">G8</f>
        <v>0</v>
      </c>
      <c r="H67" s="105" t="s">
        <v>79</v>
      </c>
      <c r="I67" s="104">
        <v>0</v>
      </c>
      <c r="J67" s="104">
        <v>0</v>
      </c>
      <c r="K67" s="104">
        <v>0</v>
      </c>
      <c r="L67" s="104">
        <v>0</v>
      </c>
      <c r="M67" s="104">
        <v>0</v>
      </c>
      <c r="N67" s="104">
        <v>0</v>
      </c>
    </row>
    <row r="68" spans="1:14" x14ac:dyDescent="0.25">
      <c r="A68" s="105" t="s">
        <v>149</v>
      </c>
      <c r="B68" s="104">
        <v>0</v>
      </c>
      <c r="C68" s="104">
        <v>0</v>
      </c>
      <c r="D68" s="104">
        <v>0</v>
      </c>
      <c r="E68" s="104">
        <v>0</v>
      </c>
      <c r="F68" s="104">
        <v>0</v>
      </c>
      <c r="G68" s="104">
        <f>G9+G38</f>
        <v>0</v>
      </c>
      <c r="H68" s="105" t="s">
        <v>150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</row>
    <row r="69" spans="1:14" ht="31.5" x14ac:dyDescent="0.25">
      <c r="A69" s="184" t="s">
        <v>151</v>
      </c>
      <c r="B69" s="104">
        <f>B10</f>
        <v>0</v>
      </c>
      <c r="C69" s="104">
        <f t="shared" ref="C69:G69" si="22">C10</f>
        <v>0</v>
      </c>
      <c r="D69" s="104">
        <v>0</v>
      </c>
      <c r="E69" s="104">
        <v>0</v>
      </c>
      <c r="F69" s="104">
        <v>0</v>
      </c>
      <c r="G69" s="104">
        <f t="shared" si="22"/>
        <v>0</v>
      </c>
      <c r="H69" s="105" t="s">
        <v>152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f t="shared" ref="N69" si="23">N10</f>
        <v>0</v>
      </c>
    </row>
    <row r="70" spans="1:14" x14ac:dyDescent="0.25">
      <c r="A70" s="105"/>
      <c r="B70" s="104"/>
      <c r="C70" s="104"/>
      <c r="D70" s="104"/>
      <c r="E70" s="104"/>
      <c r="F70" s="104"/>
      <c r="G70" s="104"/>
      <c r="H70" s="105" t="s">
        <v>81</v>
      </c>
      <c r="I70" s="104">
        <v>0</v>
      </c>
      <c r="J70" s="104">
        <v>0</v>
      </c>
      <c r="K70" s="104">
        <v>0</v>
      </c>
      <c r="L70" s="104">
        <v>0</v>
      </c>
      <c r="M70" s="104">
        <v>0</v>
      </c>
      <c r="N70" s="104">
        <v>0</v>
      </c>
    </row>
    <row r="71" spans="1:14" x14ac:dyDescent="0.25">
      <c r="A71" s="105"/>
      <c r="B71" s="104"/>
      <c r="C71" s="104"/>
      <c r="D71" s="104"/>
      <c r="E71" s="104"/>
      <c r="F71" s="104"/>
      <c r="G71" s="104"/>
      <c r="H71" s="91" t="s">
        <v>153</v>
      </c>
      <c r="I71" s="104">
        <f t="shared" ref="I71:N71" si="24">I12</f>
        <v>0</v>
      </c>
      <c r="J71" s="104">
        <f t="shared" si="24"/>
        <v>0</v>
      </c>
      <c r="K71" s="104">
        <v>0</v>
      </c>
      <c r="L71" s="104">
        <v>0</v>
      </c>
      <c r="M71" s="104">
        <v>0</v>
      </c>
      <c r="N71" s="104">
        <f t="shared" si="24"/>
        <v>0</v>
      </c>
    </row>
    <row r="72" spans="1:14" ht="31.5" x14ac:dyDescent="0.25">
      <c r="A72" s="105"/>
      <c r="B72" s="104"/>
      <c r="C72" s="104"/>
      <c r="D72" s="104"/>
      <c r="E72" s="104"/>
      <c r="F72" s="104"/>
      <c r="G72" s="104"/>
      <c r="H72" s="91" t="s">
        <v>154</v>
      </c>
      <c r="I72" s="104"/>
      <c r="J72" s="104"/>
      <c r="K72" s="104"/>
      <c r="L72" s="104"/>
      <c r="M72" s="104"/>
      <c r="N72" s="104"/>
    </row>
    <row r="73" spans="1:14" ht="31.5" x14ac:dyDescent="0.25">
      <c r="A73" s="186"/>
      <c r="B73" s="104"/>
      <c r="C73" s="106"/>
      <c r="D73" s="106"/>
      <c r="E73" s="106"/>
      <c r="F73" s="106"/>
      <c r="G73" s="106"/>
      <c r="H73" s="91" t="s">
        <v>155</v>
      </c>
      <c r="I73" s="104"/>
      <c r="J73" s="104"/>
      <c r="K73" s="104"/>
      <c r="L73" s="104"/>
      <c r="M73" s="104"/>
      <c r="N73" s="104"/>
    </row>
    <row r="74" spans="1:14" ht="47.25" x14ac:dyDescent="0.25">
      <c r="A74" s="184"/>
      <c r="B74" s="104"/>
      <c r="C74" s="104"/>
      <c r="D74" s="104"/>
      <c r="E74" s="104"/>
      <c r="F74" s="104"/>
      <c r="G74" s="104"/>
      <c r="H74" s="91" t="s">
        <v>156</v>
      </c>
      <c r="I74" s="104"/>
      <c r="J74" s="104"/>
      <c r="K74" s="104"/>
      <c r="L74" s="104"/>
      <c r="M74" s="104"/>
      <c r="N74" s="104"/>
    </row>
    <row r="75" spans="1:14" x14ac:dyDescent="0.25">
      <c r="A75" s="105"/>
      <c r="B75" s="104"/>
      <c r="C75" s="104"/>
      <c r="D75" s="104"/>
      <c r="E75" s="104"/>
      <c r="F75" s="104"/>
      <c r="G75" s="104"/>
      <c r="H75" s="91" t="s">
        <v>157</v>
      </c>
      <c r="I75" s="104">
        <v>0</v>
      </c>
      <c r="J75" s="104">
        <v>0</v>
      </c>
      <c r="K75" s="104">
        <v>0</v>
      </c>
      <c r="L75" s="104">
        <v>0</v>
      </c>
      <c r="M75" s="104">
        <v>0</v>
      </c>
      <c r="N75" s="104">
        <v>0</v>
      </c>
    </row>
    <row r="76" spans="1:14" ht="47.25" x14ac:dyDescent="0.25">
      <c r="A76" s="102" t="s">
        <v>244</v>
      </c>
      <c r="B76" s="107">
        <f>SUM(B66:B75)</f>
        <v>0</v>
      </c>
      <c r="C76" s="107">
        <f t="shared" ref="C76:E76" si="25">SUM(C66:C75)</f>
        <v>0</v>
      </c>
      <c r="D76" s="107">
        <f t="shared" si="25"/>
        <v>0</v>
      </c>
      <c r="E76" s="107">
        <f t="shared" si="25"/>
        <v>0</v>
      </c>
      <c r="F76" s="107">
        <v>0</v>
      </c>
      <c r="G76" s="107">
        <f>SUM(G66:G75)</f>
        <v>0</v>
      </c>
      <c r="H76" s="102" t="s">
        <v>245</v>
      </c>
      <c r="I76" s="107">
        <f>SUM(I66:I75)</f>
        <v>0</v>
      </c>
      <c r="J76" s="107">
        <f t="shared" ref="J76:N76" si="26">SUM(J66:J75)</f>
        <v>0</v>
      </c>
      <c r="K76" s="107">
        <f t="shared" si="26"/>
        <v>0</v>
      </c>
      <c r="L76" s="107">
        <f t="shared" si="26"/>
        <v>0</v>
      </c>
      <c r="M76" s="107">
        <v>0</v>
      </c>
      <c r="N76" s="107">
        <f t="shared" si="26"/>
        <v>0</v>
      </c>
    </row>
    <row r="77" spans="1:14" x14ac:dyDescent="0.25">
      <c r="A77" s="103" t="s">
        <v>222</v>
      </c>
      <c r="B77" s="104">
        <v>0</v>
      </c>
      <c r="C77" s="104">
        <v>0</v>
      </c>
      <c r="D77" s="104">
        <v>0</v>
      </c>
      <c r="E77" s="104">
        <v>0</v>
      </c>
      <c r="F77" s="104">
        <v>0</v>
      </c>
      <c r="G77" s="104">
        <v>0</v>
      </c>
      <c r="H77" s="103" t="s">
        <v>223</v>
      </c>
      <c r="I77" s="104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</row>
    <row r="78" spans="1:14" ht="63" x14ac:dyDescent="0.25">
      <c r="A78" s="102" t="s">
        <v>246</v>
      </c>
      <c r="B78" s="107">
        <f>B76+B77</f>
        <v>0</v>
      </c>
      <c r="C78" s="107">
        <f t="shared" ref="C78:G78" si="27">C76+C77</f>
        <v>0</v>
      </c>
      <c r="D78" s="107">
        <f t="shared" si="27"/>
        <v>0</v>
      </c>
      <c r="E78" s="107">
        <f t="shared" si="27"/>
        <v>0</v>
      </c>
      <c r="F78" s="107">
        <v>0</v>
      </c>
      <c r="G78" s="107">
        <f t="shared" si="27"/>
        <v>0</v>
      </c>
      <c r="H78" s="102" t="s">
        <v>247</v>
      </c>
      <c r="I78" s="107">
        <f>I76+I77</f>
        <v>0</v>
      </c>
      <c r="J78" s="107">
        <f t="shared" ref="J78:N78" si="28">J76+J77</f>
        <v>0</v>
      </c>
      <c r="K78" s="107">
        <f t="shared" si="28"/>
        <v>0</v>
      </c>
      <c r="L78" s="107">
        <f t="shared" si="28"/>
        <v>0</v>
      </c>
      <c r="M78" s="107">
        <v>0</v>
      </c>
      <c r="N78" s="107">
        <f t="shared" si="28"/>
        <v>0</v>
      </c>
    </row>
    <row r="79" spans="1:14" x14ac:dyDescent="0.25">
      <c r="A79" s="102" t="s">
        <v>226</v>
      </c>
      <c r="B79" s="107"/>
      <c r="C79" s="107"/>
      <c r="D79" s="107"/>
      <c r="E79" s="107"/>
      <c r="F79" s="107"/>
      <c r="G79" s="107"/>
      <c r="H79" s="107" t="s">
        <v>15</v>
      </c>
      <c r="I79" s="104"/>
      <c r="J79" s="104"/>
      <c r="K79" s="104"/>
      <c r="L79" s="104"/>
      <c r="M79" s="104"/>
      <c r="N79" s="104"/>
    </row>
    <row r="80" spans="1:14" ht="31.5" x14ac:dyDescent="0.25">
      <c r="A80" s="184" t="s">
        <v>177</v>
      </c>
      <c r="B80" s="104">
        <v>0</v>
      </c>
      <c r="C80" s="104">
        <v>0</v>
      </c>
      <c r="D80" s="104">
        <v>0</v>
      </c>
      <c r="E80" s="104">
        <v>0</v>
      </c>
      <c r="F80" s="104">
        <v>0</v>
      </c>
      <c r="G80" s="104">
        <v>0</v>
      </c>
      <c r="H80" s="105" t="s">
        <v>178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</row>
    <row r="81" spans="1:14" x14ac:dyDescent="0.25">
      <c r="A81" s="91" t="s">
        <v>227</v>
      </c>
      <c r="B81" s="104">
        <f t="shared" ref="B81:G82" si="29">B22</f>
        <v>0</v>
      </c>
      <c r="C81" s="104">
        <v>0</v>
      </c>
      <c r="D81" s="104">
        <v>0</v>
      </c>
      <c r="E81" s="104">
        <v>0</v>
      </c>
      <c r="F81" s="104">
        <v>0</v>
      </c>
      <c r="G81" s="104">
        <v>0</v>
      </c>
      <c r="H81" s="105" t="s">
        <v>180</v>
      </c>
      <c r="I81" s="104"/>
      <c r="J81" s="104"/>
      <c r="K81" s="104"/>
      <c r="L81" s="104"/>
      <c r="M81" s="104"/>
      <c r="N81" s="104"/>
    </row>
    <row r="82" spans="1:14" ht="31.5" x14ac:dyDescent="0.25">
      <c r="A82" s="91" t="s">
        <v>228</v>
      </c>
      <c r="B82" s="104">
        <f t="shared" si="29"/>
        <v>0</v>
      </c>
      <c r="C82" s="104">
        <f t="shared" si="29"/>
        <v>0</v>
      </c>
      <c r="D82" s="104">
        <f t="shared" si="29"/>
        <v>0</v>
      </c>
      <c r="E82" s="104">
        <f t="shared" si="29"/>
        <v>0</v>
      </c>
      <c r="F82" s="104">
        <v>0</v>
      </c>
      <c r="G82" s="104">
        <f t="shared" si="29"/>
        <v>0</v>
      </c>
      <c r="H82" s="105" t="s">
        <v>182</v>
      </c>
      <c r="I82" s="104">
        <v>0</v>
      </c>
      <c r="J82" s="104">
        <v>0</v>
      </c>
      <c r="K82" s="104">
        <v>0</v>
      </c>
      <c r="L82" s="104">
        <v>0</v>
      </c>
      <c r="M82" s="104">
        <v>0</v>
      </c>
      <c r="N82" s="104">
        <v>0</v>
      </c>
    </row>
    <row r="83" spans="1:14" x14ac:dyDescent="0.25">
      <c r="A83" s="105"/>
      <c r="B83" s="104"/>
      <c r="C83" s="104"/>
      <c r="D83" s="104"/>
      <c r="E83" s="104"/>
      <c r="F83" s="104"/>
      <c r="G83" s="104"/>
      <c r="H83" s="105" t="s">
        <v>229</v>
      </c>
      <c r="I83" s="104">
        <v>0</v>
      </c>
      <c r="J83" s="104">
        <v>0</v>
      </c>
      <c r="K83" s="104">
        <v>0</v>
      </c>
      <c r="L83" s="104">
        <v>0</v>
      </c>
      <c r="M83" s="104">
        <v>0</v>
      </c>
      <c r="N83" s="104">
        <f t="shared" ref="N83" si="30">N54</f>
        <v>0</v>
      </c>
    </row>
    <row r="84" spans="1:14" ht="47.25" x14ac:dyDescent="0.25">
      <c r="A84" s="102" t="s">
        <v>240</v>
      </c>
      <c r="B84" s="107">
        <f>SUM(B80:B82)</f>
        <v>0</v>
      </c>
      <c r="C84" s="107">
        <f t="shared" ref="C84:G84" si="31">SUM(C80:C82)</f>
        <v>0</v>
      </c>
      <c r="D84" s="107">
        <f t="shared" si="31"/>
        <v>0</v>
      </c>
      <c r="E84" s="107">
        <f t="shared" si="31"/>
        <v>0</v>
      </c>
      <c r="F84" s="107">
        <v>0</v>
      </c>
      <c r="G84" s="107">
        <f t="shared" si="31"/>
        <v>0</v>
      </c>
      <c r="H84" s="105" t="s">
        <v>230</v>
      </c>
      <c r="I84" s="104"/>
      <c r="J84" s="104"/>
      <c r="K84" s="104"/>
      <c r="L84" s="104"/>
      <c r="M84" s="104"/>
      <c r="N84" s="104"/>
    </row>
    <row r="85" spans="1:14" ht="31.5" x14ac:dyDescent="0.25">
      <c r="A85" s="103" t="s">
        <v>222</v>
      </c>
      <c r="B85" s="104">
        <v>0</v>
      </c>
      <c r="C85" s="104">
        <v>0</v>
      </c>
      <c r="D85" s="104">
        <v>0</v>
      </c>
      <c r="E85" s="104">
        <v>0</v>
      </c>
      <c r="F85" s="104">
        <v>0</v>
      </c>
      <c r="G85" s="104">
        <v>0</v>
      </c>
      <c r="H85" s="109" t="s">
        <v>231</v>
      </c>
      <c r="I85" s="104"/>
      <c r="J85" s="104"/>
      <c r="K85" s="104"/>
      <c r="L85" s="104"/>
      <c r="M85" s="104"/>
      <c r="N85" s="104"/>
    </row>
    <row r="86" spans="1:14" ht="47.25" x14ac:dyDescent="0.25">
      <c r="A86" s="103"/>
      <c r="B86" s="104"/>
      <c r="C86" s="104"/>
      <c r="D86" s="104"/>
      <c r="E86" s="104"/>
      <c r="F86" s="104"/>
      <c r="G86" s="104"/>
      <c r="H86" s="91" t="s">
        <v>187</v>
      </c>
      <c r="I86" s="104"/>
      <c r="J86" s="104"/>
      <c r="K86" s="104"/>
      <c r="L86" s="104"/>
      <c r="M86" s="104"/>
      <c r="N86" s="104"/>
    </row>
    <row r="87" spans="1:14" ht="63" x14ac:dyDescent="0.25">
      <c r="A87" s="102" t="s">
        <v>248</v>
      </c>
      <c r="B87" s="107">
        <f>SUM(B80:B86)</f>
        <v>0</v>
      </c>
      <c r="C87" s="107">
        <f>C80+C85</f>
        <v>0</v>
      </c>
      <c r="D87" s="107">
        <f>D80+D85</f>
        <v>0</v>
      </c>
      <c r="E87" s="107">
        <f>E80+E85</f>
        <v>0</v>
      </c>
      <c r="F87" s="107">
        <v>0</v>
      </c>
      <c r="G87" s="107">
        <f>G80+G85</f>
        <v>0</v>
      </c>
      <c r="H87" s="102" t="s">
        <v>249</v>
      </c>
      <c r="I87" s="107">
        <f>SUM(I80:I86)</f>
        <v>0</v>
      </c>
      <c r="J87" s="107">
        <f t="shared" ref="J87:N87" si="32">SUM(J80:J86)</f>
        <v>0</v>
      </c>
      <c r="K87" s="107">
        <f t="shared" si="32"/>
        <v>0</v>
      </c>
      <c r="L87" s="107">
        <f t="shared" si="32"/>
        <v>0</v>
      </c>
      <c r="M87" s="107">
        <v>0</v>
      </c>
      <c r="N87" s="107">
        <f t="shared" si="32"/>
        <v>0</v>
      </c>
    </row>
    <row r="88" spans="1:14" x14ac:dyDescent="0.25">
      <c r="B88" s="99">
        <f>B31+B48</f>
        <v>172467579</v>
      </c>
      <c r="C88" s="99">
        <f t="shared" ref="C88:G88" si="33">C31+C48</f>
        <v>181362693</v>
      </c>
      <c r="D88" s="99">
        <f t="shared" si="33"/>
        <v>181751313</v>
      </c>
      <c r="E88" s="99">
        <f t="shared" si="33"/>
        <v>198173876</v>
      </c>
      <c r="F88" s="99">
        <f t="shared" si="33"/>
        <v>199071037</v>
      </c>
      <c r="G88" s="99">
        <f t="shared" si="33"/>
        <v>897161</v>
      </c>
      <c r="I88" s="107">
        <f>I31+I61</f>
        <v>172467579</v>
      </c>
      <c r="J88" s="107">
        <f t="shared" ref="J88:M88" si="34">J31+J61</f>
        <v>181362693</v>
      </c>
      <c r="K88" s="107">
        <f t="shared" si="34"/>
        <v>181751313</v>
      </c>
      <c r="L88" s="107">
        <f t="shared" si="34"/>
        <v>198173876</v>
      </c>
      <c r="M88" s="107">
        <f t="shared" si="34"/>
        <v>199071037</v>
      </c>
      <c r="N88" s="107">
        <f t="shared" ref="N88" si="35">N31+N61</f>
        <v>897161</v>
      </c>
    </row>
    <row r="89" spans="1:14" x14ac:dyDescent="0.25">
      <c r="A89" s="98" t="s">
        <v>250</v>
      </c>
    </row>
  </sheetData>
  <mergeCells count="3">
    <mergeCell ref="A3:N3"/>
    <mergeCell ref="A32:N32"/>
    <mergeCell ref="A62:N62"/>
  </mergeCells>
  <pageMargins left="0.9055118110236221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2019. évi költségvetéséről szóló 4/2020. (III. 03.)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" sqref="A2:N2"/>
    </sheetView>
  </sheetViews>
  <sheetFormatPr defaultRowHeight="15.75" x14ac:dyDescent="0.25"/>
  <cols>
    <col min="1" max="1" width="44.7109375" style="135" customWidth="1"/>
    <col min="2" max="2" width="12.42578125" style="50" bestFit="1" customWidth="1"/>
    <col min="3" max="4" width="14" style="50" bestFit="1" customWidth="1"/>
    <col min="5" max="6" width="12.42578125" style="50" bestFit="1" customWidth="1"/>
    <col min="7" max="7" width="12.140625" style="50" bestFit="1" customWidth="1"/>
    <col min="8" max="8" width="13.7109375" style="50" bestFit="1" customWidth="1"/>
    <col min="9" max="9" width="12.140625" style="50" bestFit="1" customWidth="1"/>
    <col min="10" max="10" width="13.140625" style="50" bestFit="1" customWidth="1"/>
    <col min="11" max="12" width="12.140625" style="50" bestFit="1" customWidth="1"/>
    <col min="13" max="13" width="12.42578125" style="50" bestFit="1" customWidth="1"/>
    <col min="14" max="14" width="14" style="118" bestFit="1" customWidth="1"/>
    <col min="15" max="15" width="13.5703125" style="50" customWidth="1"/>
    <col min="16" max="16" width="12.140625" style="50" bestFit="1" customWidth="1"/>
    <col min="17" max="17" width="11.7109375" style="50" bestFit="1" customWidth="1"/>
    <col min="18" max="256" width="9.140625" style="50"/>
    <col min="257" max="257" width="51" style="50" customWidth="1"/>
    <col min="258" max="259" width="11.85546875" style="50" bestFit="1" customWidth="1"/>
    <col min="260" max="265" width="13.28515625" style="50" bestFit="1" customWidth="1"/>
    <col min="266" max="266" width="16.140625" style="50" bestFit="1" customWidth="1"/>
    <col min="267" max="269" width="13.28515625" style="50" bestFit="1" customWidth="1"/>
    <col min="270" max="270" width="14.140625" style="50" bestFit="1" customWidth="1"/>
    <col min="271" max="512" width="9.140625" style="50"/>
    <col min="513" max="513" width="51" style="50" customWidth="1"/>
    <col min="514" max="515" width="11.85546875" style="50" bestFit="1" customWidth="1"/>
    <col min="516" max="521" width="13.28515625" style="50" bestFit="1" customWidth="1"/>
    <col min="522" max="522" width="16.140625" style="50" bestFit="1" customWidth="1"/>
    <col min="523" max="525" width="13.28515625" style="50" bestFit="1" customWidth="1"/>
    <col min="526" max="526" width="14.140625" style="50" bestFit="1" customWidth="1"/>
    <col min="527" max="768" width="9.140625" style="50"/>
    <col min="769" max="769" width="51" style="50" customWidth="1"/>
    <col min="770" max="771" width="11.85546875" style="50" bestFit="1" customWidth="1"/>
    <col min="772" max="777" width="13.28515625" style="50" bestFit="1" customWidth="1"/>
    <col min="778" max="778" width="16.140625" style="50" bestFit="1" customWidth="1"/>
    <col min="779" max="781" width="13.28515625" style="50" bestFit="1" customWidth="1"/>
    <col min="782" max="782" width="14.140625" style="50" bestFit="1" customWidth="1"/>
    <col min="783" max="1024" width="9.140625" style="50"/>
    <col min="1025" max="1025" width="51" style="50" customWidth="1"/>
    <col min="1026" max="1027" width="11.85546875" style="50" bestFit="1" customWidth="1"/>
    <col min="1028" max="1033" width="13.28515625" style="50" bestFit="1" customWidth="1"/>
    <col min="1034" max="1034" width="16.140625" style="50" bestFit="1" customWidth="1"/>
    <col min="1035" max="1037" width="13.28515625" style="50" bestFit="1" customWidth="1"/>
    <col min="1038" max="1038" width="14.140625" style="50" bestFit="1" customWidth="1"/>
    <col min="1039" max="1280" width="9.140625" style="50"/>
    <col min="1281" max="1281" width="51" style="50" customWidth="1"/>
    <col min="1282" max="1283" width="11.85546875" style="50" bestFit="1" customWidth="1"/>
    <col min="1284" max="1289" width="13.28515625" style="50" bestFit="1" customWidth="1"/>
    <col min="1290" max="1290" width="16.140625" style="50" bestFit="1" customWidth="1"/>
    <col min="1291" max="1293" width="13.28515625" style="50" bestFit="1" customWidth="1"/>
    <col min="1294" max="1294" width="14.140625" style="50" bestFit="1" customWidth="1"/>
    <col min="1295" max="1536" width="9.140625" style="50"/>
    <col min="1537" max="1537" width="51" style="50" customWidth="1"/>
    <col min="1538" max="1539" width="11.85546875" style="50" bestFit="1" customWidth="1"/>
    <col min="1540" max="1545" width="13.28515625" style="50" bestFit="1" customWidth="1"/>
    <col min="1546" max="1546" width="16.140625" style="50" bestFit="1" customWidth="1"/>
    <col min="1547" max="1549" width="13.28515625" style="50" bestFit="1" customWidth="1"/>
    <col min="1550" max="1550" width="14.140625" style="50" bestFit="1" customWidth="1"/>
    <col min="1551" max="1792" width="9.140625" style="50"/>
    <col min="1793" max="1793" width="51" style="50" customWidth="1"/>
    <col min="1794" max="1795" width="11.85546875" style="50" bestFit="1" customWidth="1"/>
    <col min="1796" max="1801" width="13.28515625" style="50" bestFit="1" customWidth="1"/>
    <col min="1802" max="1802" width="16.140625" style="50" bestFit="1" customWidth="1"/>
    <col min="1803" max="1805" width="13.28515625" style="50" bestFit="1" customWidth="1"/>
    <col min="1806" max="1806" width="14.140625" style="50" bestFit="1" customWidth="1"/>
    <col min="1807" max="2048" width="9.140625" style="50"/>
    <col min="2049" max="2049" width="51" style="50" customWidth="1"/>
    <col min="2050" max="2051" width="11.85546875" style="50" bestFit="1" customWidth="1"/>
    <col min="2052" max="2057" width="13.28515625" style="50" bestFit="1" customWidth="1"/>
    <col min="2058" max="2058" width="16.140625" style="50" bestFit="1" customWidth="1"/>
    <col min="2059" max="2061" width="13.28515625" style="50" bestFit="1" customWidth="1"/>
    <col min="2062" max="2062" width="14.140625" style="50" bestFit="1" customWidth="1"/>
    <col min="2063" max="2304" width="9.140625" style="50"/>
    <col min="2305" max="2305" width="51" style="50" customWidth="1"/>
    <col min="2306" max="2307" width="11.85546875" style="50" bestFit="1" customWidth="1"/>
    <col min="2308" max="2313" width="13.28515625" style="50" bestFit="1" customWidth="1"/>
    <col min="2314" max="2314" width="16.140625" style="50" bestFit="1" customWidth="1"/>
    <col min="2315" max="2317" width="13.28515625" style="50" bestFit="1" customWidth="1"/>
    <col min="2318" max="2318" width="14.140625" style="50" bestFit="1" customWidth="1"/>
    <col min="2319" max="2560" width="9.140625" style="50"/>
    <col min="2561" max="2561" width="51" style="50" customWidth="1"/>
    <col min="2562" max="2563" width="11.85546875" style="50" bestFit="1" customWidth="1"/>
    <col min="2564" max="2569" width="13.28515625" style="50" bestFit="1" customWidth="1"/>
    <col min="2570" max="2570" width="16.140625" style="50" bestFit="1" customWidth="1"/>
    <col min="2571" max="2573" width="13.28515625" style="50" bestFit="1" customWidth="1"/>
    <col min="2574" max="2574" width="14.140625" style="50" bestFit="1" customWidth="1"/>
    <col min="2575" max="2816" width="9.140625" style="50"/>
    <col min="2817" max="2817" width="51" style="50" customWidth="1"/>
    <col min="2818" max="2819" width="11.85546875" style="50" bestFit="1" customWidth="1"/>
    <col min="2820" max="2825" width="13.28515625" style="50" bestFit="1" customWidth="1"/>
    <col min="2826" max="2826" width="16.140625" style="50" bestFit="1" customWidth="1"/>
    <col min="2827" max="2829" width="13.28515625" style="50" bestFit="1" customWidth="1"/>
    <col min="2830" max="2830" width="14.140625" style="50" bestFit="1" customWidth="1"/>
    <col min="2831" max="3072" width="9.140625" style="50"/>
    <col min="3073" max="3073" width="51" style="50" customWidth="1"/>
    <col min="3074" max="3075" width="11.85546875" style="50" bestFit="1" customWidth="1"/>
    <col min="3076" max="3081" width="13.28515625" style="50" bestFit="1" customWidth="1"/>
    <col min="3082" max="3082" width="16.140625" style="50" bestFit="1" customWidth="1"/>
    <col min="3083" max="3085" width="13.28515625" style="50" bestFit="1" customWidth="1"/>
    <col min="3086" max="3086" width="14.140625" style="50" bestFit="1" customWidth="1"/>
    <col min="3087" max="3328" width="9.140625" style="50"/>
    <col min="3329" max="3329" width="51" style="50" customWidth="1"/>
    <col min="3330" max="3331" width="11.85546875" style="50" bestFit="1" customWidth="1"/>
    <col min="3332" max="3337" width="13.28515625" style="50" bestFit="1" customWidth="1"/>
    <col min="3338" max="3338" width="16.140625" style="50" bestFit="1" customWidth="1"/>
    <col min="3339" max="3341" width="13.28515625" style="50" bestFit="1" customWidth="1"/>
    <col min="3342" max="3342" width="14.140625" style="50" bestFit="1" customWidth="1"/>
    <col min="3343" max="3584" width="9.140625" style="50"/>
    <col min="3585" max="3585" width="51" style="50" customWidth="1"/>
    <col min="3586" max="3587" width="11.85546875" style="50" bestFit="1" customWidth="1"/>
    <col min="3588" max="3593" width="13.28515625" style="50" bestFit="1" customWidth="1"/>
    <col min="3594" max="3594" width="16.140625" style="50" bestFit="1" customWidth="1"/>
    <col min="3595" max="3597" width="13.28515625" style="50" bestFit="1" customWidth="1"/>
    <col min="3598" max="3598" width="14.140625" style="50" bestFit="1" customWidth="1"/>
    <col min="3599" max="3840" width="9.140625" style="50"/>
    <col min="3841" max="3841" width="51" style="50" customWidth="1"/>
    <col min="3842" max="3843" width="11.85546875" style="50" bestFit="1" customWidth="1"/>
    <col min="3844" max="3849" width="13.28515625" style="50" bestFit="1" customWidth="1"/>
    <col min="3850" max="3850" width="16.140625" style="50" bestFit="1" customWidth="1"/>
    <col min="3851" max="3853" width="13.28515625" style="50" bestFit="1" customWidth="1"/>
    <col min="3854" max="3854" width="14.140625" style="50" bestFit="1" customWidth="1"/>
    <col min="3855" max="4096" width="9.140625" style="50"/>
    <col min="4097" max="4097" width="51" style="50" customWidth="1"/>
    <col min="4098" max="4099" width="11.85546875" style="50" bestFit="1" customWidth="1"/>
    <col min="4100" max="4105" width="13.28515625" style="50" bestFit="1" customWidth="1"/>
    <col min="4106" max="4106" width="16.140625" style="50" bestFit="1" customWidth="1"/>
    <col min="4107" max="4109" width="13.28515625" style="50" bestFit="1" customWidth="1"/>
    <col min="4110" max="4110" width="14.140625" style="50" bestFit="1" customWidth="1"/>
    <col min="4111" max="4352" width="9.140625" style="50"/>
    <col min="4353" max="4353" width="51" style="50" customWidth="1"/>
    <col min="4354" max="4355" width="11.85546875" style="50" bestFit="1" customWidth="1"/>
    <col min="4356" max="4361" width="13.28515625" style="50" bestFit="1" customWidth="1"/>
    <col min="4362" max="4362" width="16.140625" style="50" bestFit="1" customWidth="1"/>
    <col min="4363" max="4365" width="13.28515625" style="50" bestFit="1" customWidth="1"/>
    <col min="4366" max="4366" width="14.140625" style="50" bestFit="1" customWidth="1"/>
    <col min="4367" max="4608" width="9.140625" style="50"/>
    <col min="4609" max="4609" width="51" style="50" customWidth="1"/>
    <col min="4610" max="4611" width="11.85546875" style="50" bestFit="1" customWidth="1"/>
    <col min="4612" max="4617" width="13.28515625" style="50" bestFit="1" customWidth="1"/>
    <col min="4618" max="4618" width="16.140625" style="50" bestFit="1" customWidth="1"/>
    <col min="4619" max="4621" width="13.28515625" style="50" bestFit="1" customWidth="1"/>
    <col min="4622" max="4622" width="14.140625" style="50" bestFit="1" customWidth="1"/>
    <col min="4623" max="4864" width="9.140625" style="50"/>
    <col min="4865" max="4865" width="51" style="50" customWidth="1"/>
    <col min="4866" max="4867" width="11.85546875" style="50" bestFit="1" customWidth="1"/>
    <col min="4868" max="4873" width="13.28515625" style="50" bestFit="1" customWidth="1"/>
    <col min="4874" max="4874" width="16.140625" style="50" bestFit="1" customWidth="1"/>
    <col min="4875" max="4877" width="13.28515625" style="50" bestFit="1" customWidth="1"/>
    <col min="4878" max="4878" width="14.140625" style="50" bestFit="1" customWidth="1"/>
    <col min="4879" max="5120" width="9.140625" style="50"/>
    <col min="5121" max="5121" width="51" style="50" customWidth="1"/>
    <col min="5122" max="5123" width="11.85546875" style="50" bestFit="1" customWidth="1"/>
    <col min="5124" max="5129" width="13.28515625" style="50" bestFit="1" customWidth="1"/>
    <col min="5130" max="5130" width="16.140625" style="50" bestFit="1" customWidth="1"/>
    <col min="5131" max="5133" width="13.28515625" style="50" bestFit="1" customWidth="1"/>
    <col min="5134" max="5134" width="14.140625" style="50" bestFit="1" customWidth="1"/>
    <col min="5135" max="5376" width="9.140625" style="50"/>
    <col min="5377" max="5377" width="51" style="50" customWidth="1"/>
    <col min="5378" max="5379" width="11.85546875" style="50" bestFit="1" customWidth="1"/>
    <col min="5380" max="5385" width="13.28515625" style="50" bestFit="1" customWidth="1"/>
    <col min="5386" max="5386" width="16.140625" style="50" bestFit="1" customWidth="1"/>
    <col min="5387" max="5389" width="13.28515625" style="50" bestFit="1" customWidth="1"/>
    <col min="5390" max="5390" width="14.140625" style="50" bestFit="1" customWidth="1"/>
    <col min="5391" max="5632" width="9.140625" style="50"/>
    <col min="5633" max="5633" width="51" style="50" customWidth="1"/>
    <col min="5634" max="5635" width="11.85546875" style="50" bestFit="1" customWidth="1"/>
    <col min="5636" max="5641" width="13.28515625" style="50" bestFit="1" customWidth="1"/>
    <col min="5642" max="5642" width="16.140625" style="50" bestFit="1" customWidth="1"/>
    <col min="5643" max="5645" width="13.28515625" style="50" bestFit="1" customWidth="1"/>
    <col min="5646" max="5646" width="14.140625" style="50" bestFit="1" customWidth="1"/>
    <col min="5647" max="5888" width="9.140625" style="50"/>
    <col min="5889" max="5889" width="51" style="50" customWidth="1"/>
    <col min="5890" max="5891" width="11.85546875" style="50" bestFit="1" customWidth="1"/>
    <col min="5892" max="5897" width="13.28515625" style="50" bestFit="1" customWidth="1"/>
    <col min="5898" max="5898" width="16.140625" style="50" bestFit="1" customWidth="1"/>
    <col min="5899" max="5901" width="13.28515625" style="50" bestFit="1" customWidth="1"/>
    <col min="5902" max="5902" width="14.140625" style="50" bestFit="1" customWidth="1"/>
    <col min="5903" max="6144" width="9.140625" style="50"/>
    <col min="6145" max="6145" width="51" style="50" customWidth="1"/>
    <col min="6146" max="6147" width="11.85546875" style="50" bestFit="1" customWidth="1"/>
    <col min="6148" max="6153" width="13.28515625" style="50" bestFit="1" customWidth="1"/>
    <col min="6154" max="6154" width="16.140625" style="50" bestFit="1" customWidth="1"/>
    <col min="6155" max="6157" width="13.28515625" style="50" bestFit="1" customWidth="1"/>
    <col min="6158" max="6158" width="14.140625" style="50" bestFit="1" customWidth="1"/>
    <col min="6159" max="6400" width="9.140625" style="50"/>
    <col min="6401" max="6401" width="51" style="50" customWidth="1"/>
    <col min="6402" max="6403" width="11.85546875" style="50" bestFit="1" customWidth="1"/>
    <col min="6404" max="6409" width="13.28515625" style="50" bestFit="1" customWidth="1"/>
    <col min="6410" max="6410" width="16.140625" style="50" bestFit="1" customWidth="1"/>
    <col min="6411" max="6413" width="13.28515625" style="50" bestFit="1" customWidth="1"/>
    <col min="6414" max="6414" width="14.140625" style="50" bestFit="1" customWidth="1"/>
    <col min="6415" max="6656" width="9.140625" style="50"/>
    <col min="6657" max="6657" width="51" style="50" customWidth="1"/>
    <col min="6658" max="6659" width="11.85546875" style="50" bestFit="1" customWidth="1"/>
    <col min="6660" max="6665" width="13.28515625" style="50" bestFit="1" customWidth="1"/>
    <col min="6666" max="6666" width="16.140625" style="50" bestFit="1" customWidth="1"/>
    <col min="6667" max="6669" width="13.28515625" style="50" bestFit="1" customWidth="1"/>
    <col min="6670" max="6670" width="14.140625" style="50" bestFit="1" customWidth="1"/>
    <col min="6671" max="6912" width="9.140625" style="50"/>
    <col min="6913" max="6913" width="51" style="50" customWidth="1"/>
    <col min="6914" max="6915" width="11.85546875" style="50" bestFit="1" customWidth="1"/>
    <col min="6916" max="6921" width="13.28515625" style="50" bestFit="1" customWidth="1"/>
    <col min="6922" max="6922" width="16.140625" style="50" bestFit="1" customWidth="1"/>
    <col min="6923" max="6925" width="13.28515625" style="50" bestFit="1" customWidth="1"/>
    <col min="6926" max="6926" width="14.140625" style="50" bestFit="1" customWidth="1"/>
    <col min="6927" max="7168" width="9.140625" style="50"/>
    <col min="7169" max="7169" width="51" style="50" customWidth="1"/>
    <col min="7170" max="7171" width="11.85546875" style="50" bestFit="1" customWidth="1"/>
    <col min="7172" max="7177" width="13.28515625" style="50" bestFit="1" customWidth="1"/>
    <col min="7178" max="7178" width="16.140625" style="50" bestFit="1" customWidth="1"/>
    <col min="7179" max="7181" width="13.28515625" style="50" bestFit="1" customWidth="1"/>
    <col min="7182" max="7182" width="14.140625" style="50" bestFit="1" customWidth="1"/>
    <col min="7183" max="7424" width="9.140625" style="50"/>
    <col min="7425" max="7425" width="51" style="50" customWidth="1"/>
    <col min="7426" max="7427" width="11.85546875" style="50" bestFit="1" customWidth="1"/>
    <col min="7428" max="7433" width="13.28515625" style="50" bestFit="1" customWidth="1"/>
    <col min="7434" max="7434" width="16.140625" style="50" bestFit="1" customWidth="1"/>
    <col min="7435" max="7437" width="13.28515625" style="50" bestFit="1" customWidth="1"/>
    <col min="7438" max="7438" width="14.140625" style="50" bestFit="1" customWidth="1"/>
    <col min="7439" max="7680" width="9.140625" style="50"/>
    <col min="7681" max="7681" width="51" style="50" customWidth="1"/>
    <col min="7682" max="7683" width="11.85546875" style="50" bestFit="1" customWidth="1"/>
    <col min="7684" max="7689" width="13.28515625" style="50" bestFit="1" customWidth="1"/>
    <col min="7690" max="7690" width="16.140625" style="50" bestFit="1" customWidth="1"/>
    <col min="7691" max="7693" width="13.28515625" style="50" bestFit="1" customWidth="1"/>
    <col min="7694" max="7694" width="14.140625" style="50" bestFit="1" customWidth="1"/>
    <col min="7695" max="7936" width="9.140625" style="50"/>
    <col min="7937" max="7937" width="51" style="50" customWidth="1"/>
    <col min="7938" max="7939" width="11.85546875" style="50" bestFit="1" customWidth="1"/>
    <col min="7940" max="7945" width="13.28515625" style="50" bestFit="1" customWidth="1"/>
    <col min="7946" max="7946" width="16.140625" style="50" bestFit="1" customWidth="1"/>
    <col min="7947" max="7949" width="13.28515625" style="50" bestFit="1" customWidth="1"/>
    <col min="7950" max="7950" width="14.140625" style="50" bestFit="1" customWidth="1"/>
    <col min="7951" max="8192" width="9.140625" style="50"/>
    <col min="8193" max="8193" width="51" style="50" customWidth="1"/>
    <col min="8194" max="8195" width="11.85546875" style="50" bestFit="1" customWidth="1"/>
    <col min="8196" max="8201" width="13.28515625" style="50" bestFit="1" customWidth="1"/>
    <col min="8202" max="8202" width="16.140625" style="50" bestFit="1" customWidth="1"/>
    <col min="8203" max="8205" width="13.28515625" style="50" bestFit="1" customWidth="1"/>
    <col min="8206" max="8206" width="14.140625" style="50" bestFit="1" customWidth="1"/>
    <col min="8207" max="8448" width="9.140625" style="50"/>
    <col min="8449" max="8449" width="51" style="50" customWidth="1"/>
    <col min="8450" max="8451" width="11.85546875" style="50" bestFit="1" customWidth="1"/>
    <col min="8452" max="8457" width="13.28515625" style="50" bestFit="1" customWidth="1"/>
    <col min="8458" max="8458" width="16.140625" style="50" bestFit="1" customWidth="1"/>
    <col min="8459" max="8461" width="13.28515625" style="50" bestFit="1" customWidth="1"/>
    <col min="8462" max="8462" width="14.140625" style="50" bestFit="1" customWidth="1"/>
    <col min="8463" max="8704" width="9.140625" style="50"/>
    <col min="8705" max="8705" width="51" style="50" customWidth="1"/>
    <col min="8706" max="8707" width="11.85546875" style="50" bestFit="1" customWidth="1"/>
    <col min="8708" max="8713" width="13.28515625" style="50" bestFit="1" customWidth="1"/>
    <col min="8714" max="8714" width="16.140625" style="50" bestFit="1" customWidth="1"/>
    <col min="8715" max="8717" width="13.28515625" style="50" bestFit="1" customWidth="1"/>
    <col min="8718" max="8718" width="14.140625" style="50" bestFit="1" customWidth="1"/>
    <col min="8719" max="8960" width="9.140625" style="50"/>
    <col min="8961" max="8961" width="51" style="50" customWidth="1"/>
    <col min="8962" max="8963" width="11.85546875" style="50" bestFit="1" customWidth="1"/>
    <col min="8964" max="8969" width="13.28515625" style="50" bestFit="1" customWidth="1"/>
    <col min="8970" max="8970" width="16.140625" style="50" bestFit="1" customWidth="1"/>
    <col min="8971" max="8973" width="13.28515625" style="50" bestFit="1" customWidth="1"/>
    <col min="8974" max="8974" width="14.140625" style="50" bestFit="1" customWidth="1"/>
    <col min="8975" max="9216" width="9.140625" style="50"/>
    <col min="9217" max="9217" width="51" style="50" customWidth="1"/>
    <col min="9218" max="9219" width="11.85546875" style="50" bestFit="1" customWidth="1"/>
    <col min="9220" max="9225" width="13.28515625" style="50" bestFit="1" customWidth="1"/>
    <col min="9226" max="9226" width="16.140625" style="50" bestFit="1" customWidth="1"/>
    <col min="9227" max="9229" width="13.28515625" style="50" bestFit="1" customWidth="1"/>
    <col min="9230" max="9230" width="14.140625" style="50" bestFit="1" customWidth="1"/>
    <col min="9231" max="9472" width="9.140625" style="50"/>
    <col min="9473" max="9473" width="51" style="50" customWidth="1"/>
    <col min="9474" max="9475" width="11.85546875" style="50" bestFit="1" customWidth="1"/>
    <col min="9476" max="9481" width="13.28515625" style="50" bestFit="1" customWidth="1"/>
    <col min="9482" max="9482" width="16.140625" style="50" bestFit="1" customWidth="1"/>
    <col min="9483" max="9485" width="13.28515625" style="50" bestFit="1" customWidth="1"/>
    <col min="9486" max="9486" width="14.140625" style="50" bestFit="1" customWidth="1"/>
    <col min="9487" max="9728" width="9.140625" style="50"/>
    <col min="9729" max="9729" width="51" style="50" customWidth="1"/>
    <col min="9730" max="9731" width="11.85546875" style="50" bestFit="1" customWidth="1"/>
    <col min="9732" max="9737" width="13.28515625" style="50" bestFit="1" customWidth="1"/>
    <col min="9738" max="9738" width="16.140625" style="50" bestFit="1" customWidth="1"/>
    <col min="9739" max="9741" width="13.28515625" style="50" bestFit="1" customWidth="1"/>
    <col min="9742" max="9742" width="14.140625" style="50" bestFit="1" customWidth="1"/>
    <col min="9743" max="9984" width="9.140625" style="50"/>
    <col min="9985" max="9985" width="51" style="50" customWidth="1"/>
    <col min="9986" max="9987" width="11.85546875" style="50" bestFit="1" customWidth="1"/>
    <col min="9988" max="9993" width="13.28515625" style="50" bestFit="1" customWidth="1"/>
    <col min="9994" max="9994" width="16.140625" style="50" bestFit="1" customWidth="1"/>
    <col min="9995" max="9997" width="13.28515625" style="50" bestFit="1" customWidth="1"/>
    <col min="9998" max="9998" width="14.140625" style="50" bestFit="1" customWidth="1"/>
    <col min="9999" max="10240" width="9.140625" style="50"/>
    <col min="10241" max="10241" width="51" style="50" customWidth="1"/>
    <col min="10242" max="10243" width="11.85546875" style="50" bestFit="1" customWidth="1"/>
    <col min="10244" max="10249" width="13.28515625" style="50" bestFit="1" customWidth="1"/>
    <col min="10250" max="10250" width="16.140625" style="50" bestFit="1" customWidth="1"/>
    <col min="10251" max="10253" width="13.28515625" style="50" bestFit="1" customWidth="1"/>
    <col min="10254" max="10254" width="14.140625" style="50" bestFit="1" customWidth="1"/>
    <col min="10255" max="10496" width="9.140625" style="50"/>
    <col min="10497" max="10497" width="51" style="50" customWidth="1"/>
    <col min="10498" max="10499" width="11.85546875" style="50" bestFit="1" customWidth="1"/>
    <col min="10500" max="10505" width="13.28515625" style="50" bestFit="1" customWidth="1"/>
    <col min="10506" max="10506" width="16.140625" style="50" bestFit="1" customWidth="1"/>
    <col min="10507" max="10509" width="13.28515625" style="50" bestFit="1" customWidth="1"/>
    <col min="10510" max="10510" width="14.140625" style="50" bestFit="1" customWidth="1"/>
    <col min="10511" max="10752" width="9.140625" style="50"/>
    <col min="10753" max="10753" width="51" style="50" customWidth="1"/>
    <col min="10754" max="10755" width="11.85546875" style="50" bestFit="1" customWidth="1"/>
    <col min="10756" max="10761" width="13.28515625" style="50" bestFit="1" customWidth="1"/>
    <col min="10762" max="10762" width="16.140625" style="50" bestFit="1" customWidth="1"/>
    <col min="10763" max="10765" width="13.28515625" style="50" bestFit="1" customWidth="1"/>
    <col min="10766" max="10766" width="14.140625" style="50" bestFit="1" customWidth="1"/>
    <col min="10767" max="11008" width="9.140625" style="50"/>
    <col min="11009" max="11009" width="51" style="50" customWidth="1"/>
    <col min="11010" max="11011" width="11.85546875" style="50" bestFit="1" customWidth="1"/>
    <col min="11012" max="11017" width="13.28515625" style="50" bestFit="1" customWidth="1"/>
    <col min="11018" max="11018" width="16.140625" style="50" bestFit="1" customWidth="1"/>
    <col min="11019" max="11021" width="13.28515625" style="50" bestFit="1" customWidth="1"/>
    <col min="11022" max="11022" width="14.140625" style="50" bestFit="1" customWidth="1"/>
    <col min="11023" max="11264" width="9.140625" style="50"/>
    <col min="11265" max="11265" width="51" style="50" customWidth="1"/>
    <col min="11266" max="11267" width="11.85546875" style="50" bestFit="1" customWidth="1"/>
    <col min="11268" max="11273" width="13.28515625" style="50" bestFit="1" customWidth="1"/>
    <col min="11274" max="11274" width="16.140625" style="50" bestFit="1" customWidth="1"/>
    <col min="11275" max="11277" width="13.28515625" style="50" bestFit="1" customWidth="1"/>
    <col min="11278" max="11278" width="14.140625" style="50" bestFit="1" customWidth="1"/>
    <col min="11279" max="11520" width="9.140625" style="50"/>
    <col min="11521" max="11521" width="51" style="50" customWidth="1"/>
    <col min="11522" max="11523" width="11.85546875" style="50" bestFit="1" customWidth="1"/>
    <col min="11524" max="11529" width="13.28515625" style="50" bestFit="1" customWidth="1"/>
    <col min="11530" max="11530" width="16.140625" style="50" bestFit="1" customWidth="1"/>
    <col min="11531" max="11533" width="13.28515625" style="50" bestFit="1" customWidth="1"/>
    <col min="11534" max="11534" width="14.140625" style="50" bestFit="1" customWidth="1"/>
    <col min="11535" max="11776" width="9.140625" style="50"/>
    <col min="11777" max="11777" width="51" style="50" customWidth="1"/>
    <col min="11778" max="11779" width="11.85546875" style="50" bestFit="1" customWidth="1"/>
    <col min="11780" max="11785" width="13.28515625" style="50" bestFit="1" customWidth="1"/>
    <col min="11786" max="11786" width="16.140625" style="50" bestFit="1" customWidth="1"/>
    <col min="11787" max="11789" width="13.28515625" style="50" bestFit="1" customWidth="1"/>
    <col min="11790" max="11790" width="14.140625" style="50" bestFit="1" customWidth="1"/>
    <col min="11791" max="12032" width="9.140625" style="50"/>
    <col min="12033" max="12033" width="51" style="50" customWidth="1"/>
    <col min="12034" max="12035" width="11.85546875" style="50" bestFit="1" customWidth="1"/>
    <col min="12036" max="12041" width="13.28515625" style="50" bestFit="1" customWidth="1"/>
    <col min="12042" max="12042" width="16.140625" style="50" bestFit="1" customWidth="1"/>
    <col min="12043" max="12045" width="13.28515625" style="50" bestFit="1" customWidth="1"/>
    <col min="12046" max="12046" width="14.140625" style="50" bestFit="1" customWidth="1"/>
    <col min="12047" max="12288" width="9.140625" style="50"/>
    <col min="12289" max="12289" width="51" style="50" customWidth="1"/>
    <col min="12290" max="12291" width="11.85546875" style="50" bestFit="1" customWidth="1"/>
    <col min="12292" max="12297" width="13.28515625" style="50" bestFit="1" customWidth="1"/>
    <col min="12298" max="12298" width="16.140625" style="50" bestFit="1" customWidth="1"/>
    <col min="12299" max="12301" width="13.28515625" style="50" bestFit="1" customWidth="1"/>
    <col min="12302" max="12302" width="14.140625" style="50" bestFit="1" customWidth="1"/>
    <col min="12303" max="12544" width="9.140625" style="50"/>
    <col min="12545" max="12545" width="51" style="50" customWidth="1"/>
    <col min="12546" max="12547" width="11.85546875" style="50" bestFit="1" customWidth="1"/>
    <col min="12548" max="12553" width="13.28515625" style="50" bestFit="1" customWidth="1"/>
    <col min="12554" max="12554" width="16.140625" style="50" bestFit="1" customWidth="1"/>
    <col min="12555" max="12557" width="13.28515625" style="50" bestFit="1" customWidth="1"/>
    <col min="12558" max="12558" width="14.140625" style="50" bestFit="1" customWidth="1"/>
    <col min="12559" max="12800" width="9.140625" style="50"/>
    <col min="12801" max="12801" width="51" style="50" customWidth="1"/>
    <col min="12802" max="12803" width="11.85546875" style="50" bestFit="1" customWidth="1"/>
    <col min="12804" max="12809" width="13.28515625" style="50" bestFit="1" customWidth="1"/>
    <col min="12810" max="12810" width="16.140625" style="50" bestFit="1" customWidth="1"/>
    <col min="12811" max="12813" width="13.28515625" style="50" bestFit="1" customWidth="1"/>
    <col min="12814" max="12814" width="14.140625" style="50" bestFit="1" customWidth="1"/>
    <col min="12815" max="13056" width="9.140625" style="50"/>
    <col min="13057" max="13057" width="51" style="50" customWidth="1"/>
    <col min="13058" max="13059" width="11.85546875" style="50" bestFit="1" customWidth="1"/>
    <col min="13060" max="13065" width="13.28515625" style="50" bestFit="1" customWidth="1"/>
    <col min="13066" max="13066" width="16.140625" style="50" bestFit="1" customWidth="1"/>
    <col min="13067" max="13069" width="13.28515625" style="50" bestFit="1" customWidth="1"/>
    <col min="13070" max="13070" width="14.140625" style="50" bestFit="1" customWidth="1"/>
    <col min="13071" max="13312" width="9.140625" style="50"/>
    <col min="13313" max="13313" width="51" style="50" customWidth="1"/>
    <col min="13314" max="13315" width="11.85546875" style="50" bestFit="1" customWidth="1"/>
    <col min="13316" max="13321" width="13.28515625" style="50" bestFit="1" customWidth="1"/>
    <col min="13322" max="13322" width="16.140625" style="50" bestFit="1" customWidth="1"/>
    <col min="13323" max="13325" width="13.28515625" style="50" bestFit="1" customWidth="1"/>
    <col min="13326" max="13326" width="14.140625" style="50" bestFit="1" customWidth="1"/>
    <col min="13327" max="13568" width="9.140625" style="50"/>
    <col min="13569" max="13569" width="51" style="50" customWidth="1"/>
    <col min="13570" max="13571" width="11.85546875" style="50" bestFit="1" customWidth="1"/>
    <col min="13572" max="13577" width="13.28515625" style="50" bestFit="1" customWidth="1"/>
    <col min="13578" max="13578" width="16.140625" style="50" bestFit="1" customWidth="1"/>
    <col min="13579" max="13581" width="13.28515625" style="50" bestFit="1" customWidth="1"/>
    <col min="13582" max="13582" width="14.140625" style="50" bestFit="1" customWidth="1"/>
    <col min="13583" max="13824" width="9.140625" style="50"/>
    <col min="13825" max="13825" width="51" style="50" customWidth="1"/>
    <col min="13826" max="13827" width="11.85546875" style="50" bestFit="1" customWidth="1"/>
    <col min="13828" max="13833" width="13.28515625" style="50" bestFit="1" customWidth="1"/>
    <col min="13834" max="13834" width="16.140625" style="50" bestFit="1" customWidth="1"/>
    <col min="13835" max="13837" width="13.28515625" style="50" bestFit="1" customWidth="1"/>
    <col min="13838" max="13838" width="14.140625" style="50" bestFit="1" customWidth="1"/>
    <col min="13839" max="14080" width="9.140625" style="50"/>
    <col min="14081" max="14081" width="51" style="50" customWidth="1"/>
    <col min="14082" max="14083" width="11.85546875" style="50" bestFit="1" customWidth="1"/>
    <col min="14084" max="14089" width="13.28515625" style="50" bestFit="1" customWidth="1"/>
    <col min="14090" max="14090" width="16.140625" style="50" bestFit="1" customWidth="1"/>
    <col min="14091" max="14093" width="13.28515625" style="50" bestFit="1" customWidth="1"/>
    <col min="14094" max="14094" width="14.140625" style="50" bestFit="1" customWidth="1"/>
    <col min="14095" max="14336" width="9.140625" style="50"/>
    <col min="14337" max="14337" width="51" style="50" customWidth="1"/>
    <col min="14338" max="14339" width="11.85546875" style="50" bestFit="1" customWidth="1"/>
    <col min="14340" max="14345" width="13.28515625" style="50" bestFit="1" customWidth="1"/>
    <col min="14346" max="14346" width="16.140625" style="50" bestFit="1" customWidth="1"/>
    <col min="14347" max="14349" width="13.28515625" style="50" bestFit="1" customWidth="1"/>
    <col min="14350" max="14350" width="14.140625" style="50" bestFit="1" customWidth="1"/>
    <col min="14351" max="14592" width="9.140625" style="50"/>
    <col min="14593" max="14593" width="51" style="50" customWidth="1"/>
    <col min="14594" max="14595" width="11.85546875" style="50" bestFit="1" customWidth="1"/>
    <col min="14596" max="14601" width="13.28515625" style="50" bestFit="1" customWidth="1"/>
    <col min="14602" max="14602" width="16.140625" style="50" bestFit="1" customWidth="1"/>
    <col min="14603" max="14605" width="13.28515625" style="50" bestFit="1" customWidth="1"/>
    <col min="14606" max="14606" width="14.140625" style="50" bestFit="1" customWidth="1"/>
    <col min="14607" max="14848" width="9.140625" style="50"/>
    <col min="14849" max="14849" width="51" style="50" customWidth="1"/>
    <col min="14850" max="14851" width="11.85546875" style="50" bestFit="1" customWidth="1"/>
    <col min="14852" max="14857" width="13.28515625" style="50" bestFit="1" customWidth="1"/>
    <col min="14858" max="14858" width="16.140625" style="50" bestFit="1" customWidth="1"/>
    <col min="14859" max="14861" width="13.28515625" style="50" bestFit="1" customWidth="1"/>
    <col min="14862" max="14862" width="14.140625" style="50" bestFit="1" customWidth="1"/>
    <col min="14863" max="15104" width="9.140625" style="50"/>
    <col min="15105" max="15105" width="51" style="50" customWidth="1"/>
    <col min="15106" max="15107" width="11.85546875" style="50" bestFit="1" customWidth="1"/>
    <col min="15108" max="15113" width="13.28515625" style="50" bestFit="1" customWidth="1"/>
    <col min="15114" max="15114" width="16.140625" style="50" bestFit="1" customWidth="1"/>
    <col min="15115" max="15117" width="13.28515625" style="50" bestFit="1" customWidth="1"/>
    <col min="15118" max="15118" width="14.140625" style="50" bestFit="1" customWidth="1"/>
    <col min="15119" max="15360" width="9.140625" style="50"/>
    <col min="15361" max="15361" width="51" style="50" customWidth="1"/>
    <col min="15362" max="15363" width="11.85546875" style="50" bestFit="1" customWidth="1"/>
    <col min="15364" max="15369" width="13.28515625" style="50" bestFit="1" customWidth="1"/>
    <col min="15370" max="15370" width="16.140625" style="50" bestFit="1" customWidth="1"/>
    <col min="15371" max="15373" width="13.28515625" style="50" bestFit="1" customWidth="1"/>
    <col min="15374" max="15374" width="14.140625" style="50" bestFit="1" customWidth="1"/>
    <col min="15375" max="15616" width="9.140625" style="50"/>
    <col min="15617" max="15617" width="51" style="50" customWidth="1"/>
    <col min="15618" max="15619" width="11.85546875" style="50" bestFit="1" customWidth="1"/>
    <col min="15620" max="15625" width="13.28515625" style="50" bestFit="1" customWidth="1"/>
    <col min="15626" max="15626" width="16.140625" style="50" bestFit="1" customWidth="1"/>
    <col min="15627" max="15629" width="13.28515625" style="50" bestFit="1" customWidth="1"/>
    <col min="15630" max="15630" width="14.140625" style="50" bestFit="1" customWidth="1"/>
    <col min="15631" max="15872" width="9.140625" style="50"/>
    <col min="15873" max="15873" width="51" style="50" customWidth="1"/>
    <col min="15874" max="15875" width="11.85546875" style="50" bestFit="1" customWidth="1"/>
    <col min="15876" max="15881" width="13.28515625" style="50" bestFit="1" customWidth="1"/>
    <col min="15882" max="15882" width="16.140625" style="50" bestFit="1" customWidth="1"/>
    <col min="15883" max="15885" width="13.28515625" style="50" bestFit="1" customWidth="1"/>
    <col min="15886" max="15886" width="14.140625" style="50" bestFit="1" customWidth="1"/>
    <col min="15887" max="16128" width="9.140625" style="50"/>
    <col min="16129" max="16129" width="51" style="50" customWidth="1"/>
    <col min="16130" max="16131" width="11.85546875" style="50" bestFit="1" customWidth="1"/>
    <col min="16132" max="16137" width="13.28515625" style="50" bestFit="1" customWidth="1"/>
    <col min="16138" max="16138" width="16.140625" style="50" bestFit="1" customWidth="1"/>
    <col min="16139" max="16141" width="13.28515625" style="50" bestFit="1" customWidth="1"/>
    <col min="16142" max="16142" width="14.140625" style="50" bestFit="1" customWidth="1"/>
    <col min="16143" max="16384" width="9.140625" style="50"/>
  </cols>
  <sheetData>
    <row r="1" spans="1:17" ht="16.5" thickBot="1" x14ac:dyDescent="0.3">
      <c r="A1" s="111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216"/>
      <c r="N1" s="216"/>
    </row>
    <row r="2" spans="1:17" x14ac:dyDescent="0.25">
      <c r="A2" s="217" t="s">
        <v>329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1:17" x14ac:dyDescent="0.2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/>
    </row>
    <row r="4" spans="1:17" s="118" customFormat="1" x14ac:dyDescent="0.25">
      <c r="A4" s="115" t="s">
        <v>251</v>
      </c>
      <c r="B4" s="116" t="s">
        <v>252</v>
      </c>
      <c r="C4" s="116" t="s">
        <v>253</v>
      </c>
      <c r="D4" s="116" t="s">
        <v>254</v>
      </c>
      <c r="E4" s="116" t="s">
        <v>255</v>
      </c>
      <c r="F4" s="116" t="s">
        <v>256</v>
      </c>
      <c r="G4" s="116" t="s">
        <v>257</v>
      </c>
      <c r="H4" s="116" t="s">
        <v>258</v>
      </c>
      <c r="I4" s="116" t="s">
        <v>259</v>
      </c>
      <c r="J4" s="116" t="s">
        <v>260</v>
      </c>
      <c r="K4" s="116" t="s">
        <v>261</v>
      </c>
      <c r="L4" s="116" t="s">
        <v>262</v>
      </c>
      <c r="M4" s="116" t="s">
        <v>263</v>
      </c>
      <c r="N4" s="117" t="s">
        <v>76</v>
      </c>
    </row>
    <row r="5" spans="1:17" x14ac:dyDescent="0.25">
      <c r="A5" s="115" t="s">
        <v>264</v>
      </c>
      <c r="B5" s="119">
        <v>130217497</v>
      </c>
      <c r="C5" s="119">
        <f t="shared" ref="C5:M5" si="0">B35</f>
        <v>126426226</v>
      </c>
      <c r="D5" s="119">
        <f t="shared" si="0"/>
        <v>130879304</v>
      </c>
      <c r="E5" s="119">
        <f t="shared" si="0"/>
        <v>134199499</v>
      </c>
      <c r="F5" s="119">
        <f t="shared" si="0"/>
        <v>133460931</v>
      </c>
      <c r="G5" s="119">
        <f t="shared" si="0"/>
        <v>83285164</v>
      </c>
      <c r="H5" s="119">
        <f t="shared" si="0"/>
        <v>58572355</v>
      </c>
      <c r="I5" s="119">
        <f t="shared" si="0"/>
        <v>60468931</v>
      </c>
      <c r="J5" s="119">
        <f t="shared" si="0"/>
        <v>34013769</v>
      </c>
      <c r="K5" s="119">
        <f t="shared" si="0"/>
        <v>39309599</v>
      </c>
      <c r="L5" s="119">
        <f t="shared" si="0"/>
        <v>33357495</v>
      </c>
      <c r="M5" s="119">
        <f t="shared" si="0"/>
        <v>43203728</v>
      </c>
      <c r="N5" s="120">
        <v>130217497</v>
      </c>
    </row>
    <row r="6" spans="1:17" ht="31.5" x14ac:dyDescent="0.25">
      <c r="A6" s="112" t="s">
        <v>265</v>
      </c>
      <c r="B6" s="121">
        <v>2794896</v>
      </c>
      <c r="C6" s="121">
        <v>2135330</v>
      </c>
      <c r="D6" s="121">
        <v>1884410</v>
      </c>
      <c r="E6" s="121">
        <v>1835727</v>
      </c>
      <c r="F6" s="121">
        <v>1806936</v>
      </c>
      <c r="G6" s="121">
        <v>1840072</v>
      </c>
      <c r="H6" s="121">
        <f>8430000+1150000+1313638</f>
        <v>10893638</v>
      </c>
      <c r="I6" s="121">
        <f>1840072+528886+388620</f>
        <v>2757578</v>
      </c>
      <c r="J6" s="121">
        <f>1840072+464903</f>
        <v>2304975</v>
      </c>
      <c r="K6" s="121">
        <v>1840072</v>
      </c>
      <c r="L6" s="121">
        <f>1840072+1710000</f>
        <v>3550072</v>
      </c>
      <c r="M6" s="121">
        <v>1840070</v>
      </c>
      <c r="N6" s="120">
        <f>SUM(B6:M6)</f>
        <v>35483776</v>
      </c>
      <c r="O6" s="51">
        <f>'1.sz.tábla '!F5</f>
        <v>35483776</v>
      </c>
      <c r="P6" s="51"/>
      <c r="Q6" s="51"/>
    </row>
    <row r="7" spans="1:17" x14ac:dyDescent="0.25">
      <c r="A7" s="112" t="s">
        <v>218</v>
      </c>
      <c r="B7" s="122">
        <v>57091</v>
      </c>
      <c r="C7" s="122">
        <v>50002</v>
      </c>
      <c r="D7" s="122">
        <v>464033</v>
      </c>
      <c r="E7" s="122">
        <v>51821</v>
      </c>
      <c r="F7" s="122">
        <v>357677</v>
      </c>
      <c r="G7" s="122">
        <v>10000</v>
      </c>
      <c r="H7" s="122">
        <v>10000</v>
      </c>
      <c r="I7" s="122">
        <v>10000</v>
      </c>
      <c r="J7" s="122">
        <f>20000-624</f>
        <v>19376</v>
      </c>
      <c r="K7" s="122">
        <v>20000</v>
      </c>
      <c r="L7" s="122">
        <v>0</v>
      </c>
      <c r="M7" s="122">
        <v>0</v>
      </c>
      <c r="N7" s="120">
        <f t="shared" ref="N7:N17" si="1">SUM(B7:M7)</f>
        <v>1050000</v>
      </c>
      <c r="O7" s="123">
        <f>'1.sz.tábla '!F8</f>
        <v>1050000</v>
      </c>
      <c r="P7" s="51"/>
      <c r="Q7" s="51"/>
    </row>
    <row r="8" spans="1:17" x14ac:dyDescent="0.25">
      <c r="A8" s="112" t="s">
        <v>266</v>
      </c>
      <c r="B8" s="122">
        <v>55403</v>
      </c>
      <c r="C8" s="122">
        <v>37126</v>
      </c>
      <c r="D8" s="122">
        <v>5221481</v>
      </c>
      <c r="E8" s="122">
        <v>1025997</v>
      </c>
      <c r="F8" s="122">
        <v>528869</v>
      </c>
      <c r="G8" s="122">
        <v>50000</v>
      </c>
      <c r="H8" s="122">
        <v>55000</v>
      </c>
      <c r="I8" s="122">
        <v>300000</v>
      </c>
      <c r="J8" s="122">
        <v>2000000</v>
      </c>
      <c r="K8" s="122">
        <v>500000</v>
      </c>
      <c r="L8" s="122">
        <v>500000</v>
      </c>
      <c r="M8" s="122">
        <v>426124</v>
      </c>
      <c r="N8" s="120">
        <f t="shared" si="1"/>
        <v>10700000</v>
      </c>
      <c r="O8" s="123">
        <f>'1.sz.tábla '!F7</f>
        <v>10700000</v>
      </c>
      <c r="P8" s="51"/>
      <c r="Q8" s="51"/>
    </row>
    <row r="9" spans="1:17" x14ac:dyDescent="0.25">
      <c r="A9" s="112" t="s">
        <v>267</v>
      </c>
      <c r="B9" s="122">
        <v>0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0">
        <f t="shared" si="1"/>
        <v>0</v>
      </c>
      <c r="O9" s="51"/>
      <c r="P9" s="51"/>
      <c r="Q9" s="51"/>
    </row>
    <row r="10" spans="1:17" x14ac:dyDescent="0.25">
      <c r="A10" s="124" t="s">
        <v>268</v>
      </c>
      <c r="B10" s="125">
        <f>SUM(B6:B9)</f>
        <v>2907390</v>
      </c>
      <c r="C10" s="125">
        <f t="shared" ref="C10:M10" si="2">SUM(C6:C9)</f>
        <v>2222458</v>
      </c>
      <c r="D10" s="125">
        <f t="shared" si="2"/>
        <v>7569924</v>
      </c>
      <c r="E10" s="125">
        <f t="shared" si="2"/>
        <v>2913545</v>
      </c>
      <c r="F10" s="125">
        <f t="shared" si="2"/>
        <v>2693482</v>
      </c>
      <c r="G10" s="125">
        <f t="shared" si="2"/>
        <v>1900072</v>
      </c>
      <c r="H10" s="125">
        <f t="shared" si="2"/>
        <v>10958638</v>
      </c>
      <c r="I10" s="125">
        <f t="shared" si="2"/>
        <v>3067578</v>
      </c>
      <c r="J10" s="125">
        <f t="shared" si="2"/>
        <v>4324351</v>
      </c>
      <c r="K10" s="125">
        <f t="shared" si="2"/>
        <v>2360072</v>
      </c>
      <c r="L10" s="125">
        <f t="shared" si="2"/>
        <v>4050072</v>
      </c>
      <c r="M10" s="125">
        <f t="shared" si="2"/>
        <v>2266194</v>
      </c>
      <c r="N10" s="120">
        <f t="shared" si="1"/>
        <v>47233776</v>
      </c>
      <c r="O10" s="126">
        <f>SUM(O6:O9)</f>
        <v>47233776</v>
      </c>
      <c r="P10" s="51"/>
      <c r="Q10" s="51"/>
    </row>
    <row r="11" spans="1:17" ht="31.5" x14ac:dyDescent="0.25">
      <c r="A11" s="112" t="s">
        <v>269</v>
      </c>
      <c r="B11" s="122"/>
      <c r="C11" s="122"/>
      <c r="D11" s="122"/>
      <c r="E11" s="122"/>
      <c r="F11" s="122"/>
      <c r="G11" s="122"/>
      <c r="H11" s="122"/>
      <c r="I11" s="122"/>
      <c r="J11" s="122">
        <v>4000000</v>
      </c>
      <c r="K11" s="122"/>
      <c r="L11" s="122">
        <v>14247660</v>
      </c>
      <c r="M11" s="122"/>
      <c r="N11" s="120">
        <f t="shared" si="1"/>
        <v>18247660</v>
      </c>
      <c r="O11" s="51">
        <f>'1.sz.tábla '!F6</f>
        <v>18247660</v>
      </c>
      <c r="P11" s="51"/>
      <c r="Q11" s="51"/>
    </row>
    <row r="12" spans="1:17" x14ac:dyDescent="0.25">
      <c r="A12" s="112" t="s">
        <v>270</v>
      </c>
      <c r="B12" s="122">
        <v>0</v>
      </c>
      <c r="C12" s="122">
        <v>3588000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0">
        <f t="shared" si="1"/>
        <v>3588000</v>
      </c>
      <c r="O12" s="51">
        <f>'1.sz.tábla '!F9</f>
        <v>3588000</v>
      </c>
      <c r="P12" s="51"/>
      <c r="Q12" s="51"/>
    </row>
    <row r="13" spans="1:17" x14ac:dyDescent="0.25">
      <c r="A13" s="112" t="s">
        <v>271</v>
      </c>
      <c r="B13" s="122">
        <v>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0">
        <f t="shared" si="1"/>
        <v>0</v>
      </c>
      <c r="O13" s="51">
        <f>'[2]1.sz.tábla '!C11</f>
        <v>0</v>
      </c>
      <c r="P13" s="51"/>
      <c r="Q13" s="51"/>
    </row>
    <row r="14" spans="1:17" x14ac:dyDescent="0.25">
      <c r="A14" s="124" t="s">
        <v>272</v>
      </c>
      <c r="B14" s="125">
        <f t="shared" ref="B14:M14" si="3">SUM(B11:B13)</f>
        <v>0</v>
      </c>
      <c r="C14" s="125">
        <f t="shared" si="3"/>
        <v>3588000</v>
      </c>
      <c r="D14" s="125">
        <f t="shared" si="3"/>
        <v>0</v>
      </c>
      <c r="E14" s="125">
        <f t="shared" si="3"/>
        <v>0</v>
      </c>
      <c r="F14" s="125">
        <f t="shared" si="3"/>
        <v>0</v>
      </c>
      <c r="G14" s="125">
        <f t="shared" si="3"/>
        <v>0</v>
      </c>
      <c r="H14" s="125">
        <f t="shared" si="3"/>
        <v>0</v>
      </c>
      <c r="I14" s="125">
        <f t="shared" si="3"/>
        <v>0</v>
      </c>
      <c r="J14" s="125">
        <f t="shared" si="3"/>
        <v>4000000</v>
      </c>
      <c r="K14" s="125">
        <f t="shared" si="3"/>
        <v>0</v>
      </c>
      <c r="L14" s="125">
        <f t="shared" si="3"/>
        <v>14247660</v>
      </c>
      <c r="M14" s="125">
        <f t="shared" si="3"/>
        <v>0</v>
      </c>
      <c r="N14" s="120">
        <f t="shared" si="1"/>
        <v>21835660</v>
      </c>
      <c r="O14" s="127">
        <f>O11+O12</f>
        <v>21835660</v>
      </c>
      <c r="P14" s="51"/>
      <c r="Q14" s="51"/>
    </row>
    <row r="15" spans="1:17" s="118" customFormat="1" x14ac:dyDescent="0.25">
      <c r="A15" s="115" t="s">
        <v>10</v>
      </c>
      <c r="B15" s="128">
        <f t="shared" ref="B15:M15" si="4">SUM(B10,B14)</f>
        <v>2907390</v>
      </c>
      <c r="C15" s="128">
        <f t="shared" si="4"/>
        <v>5810458</v>
      </c>
      <c r="D15" s="128">
        <f t="shared" si="4"/>
        <v>7569924</v>
      </c>
      <c r="E15" s="128">
        <f t="shared" si="4"/>
        <v>2913545</v>
      </c>
      <c r="F15" s="128">
        <f t="shared" si="4"/>
        <v>2693482</v>
      </c>
      <c r="G15" s="128">
        <f t="shared" si="4"/>
        <v>1900072</v>
      </c>
      <c r="H15" s="128">
        <f t="shared" si="4"/>
        <v>10958638</v>
      </c>
      <c r="I15" s="128">
        <f t="shared" si="4"/>
        <v>3067578</v>
      </c>
      <c r="J15" s="128">
        <f t="shared" si="4"/>
        <v>8324351</v>
      </c>
      <c r="K15" s="128">
        <f t="shared" si="4"/>
        <v>2360072</v>
      </c>
      <c r="L15" s="128">
        <f t="shared" si="4"/>
        <v>18297732</v>
      </c>
      <c r="M15" s="128">
        <f t="shared" si="4"/>
        <v>2266194</v>
      </c>
      <c r="N15" s="120">
        <f t="shared" si="1"/>
        <v>69069436</v>
      </c>
      <c r="O15" s="126">
        <f>O10+O14</f>
        <v>69069436</v>
      </c>
      <c r="P15" s="51"/>
      <c r="Q15" s="51"/>
    </row>
    <row r="16" spans="1:17" ht="31.5" x14ac:dyDescent="0.25">
      <c r="A16" s="112" t="s">
        <v>273</v>
      </c>
      <c r="B16" s="122">
        <v>23237</v>
      </c>
      <c r="C16" s="122">
        <v>12788</v>
      </c>
      <c r="D16" s="122">
        <v>11987</v>
      </c>
      <c r="E16" s="122">
        <v>43890</v>
      </c>
      <c r="F16" s="122">
        <v>9263</v>
      </c>
      <c r="G16" s="122">
        <v>16000</v>
      </c>
      <c r="H16" s="122">
        <v>2072</v>
      </c>
      <c r="I16" s="122">
        <v>87000</v>
      </c>
      <c r="J16" s="122">
        <v>87000</v>
      </c>
      <c r="K16" s="122">
        <v>87000</v>
      </c>
      <c r="L16" s="122">
        <v>87000</v>
      </c>
      <c r="M16" s="122">
        <f>87000+897161</f>
        <v>984161</v>
      </c>
      <c r="N16" s="120">
        <f t="shared" si="1"/>
        <v>1451398</v>
      </c>
      <c r="O16" s="51">
        <f>'1.sz.tábla '!F14</f>
        <v>1451398</v>
      </c>
      <c r="P16" s="51"/>
      <c r="Q16" s="51"/>
    </row>
    <row r="17" spans="1:17" x14ac:dyDescent="0.25">
      <c r="A17" s="112" t="s">
        <v>274</v>
      </c>
      <c r="B17" s="122">
        <v>128550203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0">
        <f t="shared" si="1"/>
        <v>128550203</v>
      </c>
      <c r="O17" s="51"/>
      <c r="P17" s="51"/>
      <c r="Q17" s="51"/>
    </row>
    <row r="18" spans="1:17" x14ac:dyDescent="0.25">
      <c r="A18" s="115" t="s">
        <v>13</v>
      </c>
      <c r="B18" s="56">
        <f>SUM(B15:B17)</f>
        <v>131480830</v>
      </c>
      <c r="C18" s="56">
        <f t="shared" ref="C18:M18" si="5">SUM(C15:C17)</f>
        <v>5823246</v>
      </c>
      <c r="D18" s="56">
        <f t="shared" si="5"/>
        <v>7581911</v>
      </c>
      <c r="E18" s="56">
        <f t="shared" si="5"/>
        <v>2957435</v>
      </c>
      <c r="F18" s="56">
        <f t="shared" si="5"/>
        <v>2702745</v>
      </c>
      <c r="G18" s="56">
        <f t="shared" si="5"/>
        <v>1916072</v>
      </c>
      <c r="H18" s="56">
        <f t="shared" si="5"/>
        <v>10960710</v>
      </c>
      <c r="I18" s="56">
        <f t="shared" si="5"/>
        <v>3154578</v>
      </c>
      <c r="J18" s="56">
        <f t="shared" si="5"/>
        <v>8411351</v>
      </c>
      <c r="K18" s="56">
        <f t="shared" si="5"/>
        <v>2447072</v>
      </c>
      <c r="L18" s="56">
        <f t="shared" si="5"/>
        <v>18384732</v>
      </c>
      <c r="M18" s="56">
        <f t="shared" si="5"/>
        <v>3250355</v>
      </c>
      <c r="N18" s="129">
        <f>SUM(N15:N17)</f>
        <v>199071037</v>
      </c>
      <c r="O18" s="126">
        <f>O15+O16+O17</f>
        <v>70520834</v>
      </c>
      <c r="P18" s="51"/>
      <c r="Q18" s="51"/>
    </row>
    <row r="19" spans="1:17" x14ac:dyDescent="0.25">
      <c r="A19" s="112" t="s">
        <v>275</v>
      </c>
      <c r="B19" s="122">
        <v>586784</v>
      </c>
      <c r="C19" s="122">
        <v>608545</v>
      </c>
      <c r="D19" s="122">
        <v>754694</v>
      </c>
      <c r="E19" s="122">
        <v>811219</v>
      </c>
      <c r="F19" s="122">
        <v>510690</v>
      </c>
      <c r="G19" s="122">
        <f t="shared" ref="G19" si="6">629095+200000</f>
        <v>829095</v>
      </c>
      <c r="H19" s="122">
        <v>1407229</v>
      </c>
      <c r="I19" s="122">
        <v>1407229</v>
      </c>
      <c r="J19" s="122">
        <f>1407229+75000</f>
        <v>1482229</v>
      </c>
      <c r="K19" s="122">
        <f>1407229+75000</f>
        <v>1482229</v>
      </c>
      <c r="L19" s="122">
        <f>1407229+75000</f>
        <v>1482229</v>
      </c>
      <c r="M19" s="122">
        <f>1577620+87500</f>
        <v>1665120</v>
      </c>
      <c r="N19" s="130">
        <f>SUM(B19:M19)</f>
        <v>13027292</v>
      </c>
      <c r="O19" s="131">
        <f>'3.sz.tábla '!F6</f>
        <v>13027292</v>
      </c>
      <c r="P19" s="51"/>
      <c r="Q19" s="51"/>
    </row>
    <row r="20" spans="1:17" x14ac:dyDescent="0.25">
      <c r="A20" s="112" t="s">
        <v>276</v>
      </c>
      <c r="B20" s="122">
        <v>97223</v>
      </c>
      <c r="C20" s="122">
        <v>113971</v>
      </c>
      <c r="D20" s="122">
        <v>76210</v>
      </c>
      <c r="E20" s="122">
        <v>113269</v>
      </c>
      <c r="F20" s="122">
        <v>132170</v>
      </c>
      <c r="G20" s="122">
        <v>204660</v>
      </c>
      <c r="H20" s="122">
        <v>204660</v>
      </c>
      <c r="I20" s="122">
        <v>204660</v>
      </c>
      <c r="J20" s="122">
        <f>204660+13125</f>
        <v>217785</v>
      </c>
      <c r="K20" s="122">
        <f>204660+13125</f>
        <v>217785</v>
      </c>
      <c r="L20" s="122">
        <f>204660+13125</f>
        <v>217785</v>
      </c>
      <c r="M20" s="122">
        <f>204660+149998+13913</f>
        <v>368571</v>
      </c>
      <c r="N20" s="130">
        <f t="shared" ref="N20:N32" si="7">SUM(B20:M20)</f>
        <v>2168749</v>
      </c>
      <c r="O20" s="131">
        <f>'3.sz.tábla '!F9</f>
        <v>2168749</v>
      </c>
      <c r="P20" s="51"/>
      <c r="Q20" s="51"/>
    </row>
    <row r="21" spans="1:17" x14ac:dyDescent="0.25">
      <c r="A21" s="112" t="s">
        <v>277</v>
      </c>
      <c r="B21" s="122">
        <v>5189049</v>
      </c>
      <c r="C21" s="122">
        <v>465673</v>
      </c>
      <c r="D21" s="122">
        <v>1004929</v>
      </c>
      <c r="E21" s="122">
        <v>879613</v>
      </c>
      <c r="F21" s="122">
        <v>6274783</v>
      </c>
      <c r="G21" s="122">
        <v>5000000</v>
      </c>
      <c r="H21" s="122">
        <v>5000000</v>
      </c>
      <c r="I21" s="122">
        <v>5000000</v>
      </c>
      <c r="J21" s="122">
        <v>600000</v>
      </c>
      <c r="K21" s="122">
        <f>5000000+63500</f>
        <v>5063500</v>
      </c>
      <c r="L21" s="122">
        <f>5464357+388620</f>
        <v>5852977</v>
      </c>
      <c r="M21" s="122">
        <f>5000000+514350+1710000+410000</f>
        <v>7634350</v>
      </c>
      <c r="N21" s="130">
        <f t="shared" si="7"/>
        <v>47964874</v>
      </c>
      <c r="O21" s="131">
        <f>'3.sz.tábla '!F12</f>
        <v>47964874</v>
      </c>
      <c r="P21" s="51"/>
      <c r="Q21" s="51"/>
    </row>
    <row r="22" spans="1:17" x14ac:dyDescent="0.25">
      <c r="A22" s="112" t="s">
        <v>278</v>
      </c>
      <c r="B22" s="122">
        <v>0</v>
      </c>
      <c r="C22" s="122">
        <v>140000</v>
      </c>
      <c r="D22" s="122">
        <v>100000</v>
      </c>
      <c r="E22" s="122">
        <v>0</v>
      </c>
      <c r="F22" s="122">
        <v>50000</v>
      </c>
      <c r="G22" s="122">
        <v>70000</v>
      </c>
      <c r="H22" s="122">
        <v>50000</v>
      </c>
      <c r="I22" s="122">
        <v>50000</v>
      </c>
      <c r="J22" s="122">
        <v>50000</v>
      </c>
      <c r="K22" s="122">
        <v>60000</v>
      </c>
      <c r="L22" s="122">
        <v>100000</v>
      </c>
      <c r="M22" s="122">
        <v>1564000</v>
      </c>
      <c r="N22" s="130">
        <f t="shared" si="7"/>
        <v>2234000</v>
      </c>
      <c r="O22" s="131">
        <f>'3.sz.tábla '!D31</f>
        <v>2234000</v>
      </c>
      <c r="P22" s="51"/>
      <c r="Q22" s="51"/>
    </row>
    <row r="23" spans="1:17" x14ac:dyDescent="0.25">
      <c r="A23" s="112" t="s">
        <v>279</v>
      </c>
      <c r="B23" s="122"/>
      <c r="C23" s="122"/>
      <c r="D23" s="122"/>
      <c r="E23" s="122"/>
      <c r="F23" s="122"/>
      <c r="G23" s="122"/>
      <c r="H23" s="122"/>
      <c r="I23" s="122"/>
      <c r="J23" s="122">
        <v>50000</v>
      </c>
      <c r="K23" s="122">
        <v>50000</v>
      </c>
      <c r="L23" s="122"/>
      <c r="M23" s="122"/>
      <c r="N23" s="130">
        <f t="shared" si="7"/>
        <v>100000</v>
      </c>
      <c r="O23" s="131">
        <f>'3.sz.tábla '!F37</f>
        <v>100000</v>
      </c>
      <c r="P23" s="51"/>
      <c r="Q23" s="51"/>
    </row>
    <row r="24" spans="1:17" x14ac:dyDescent="0.25">
      <c r="A24" s="112" t="s">
        <v>280</v>
      </c>
      <c r="B24" s="122">
        <v>0</v>
      </c>
      <c r="C24" s="122">
        <v>0</v>
      </c>
      <c r="D24" s="122">
        <v>1922139</v>
      </c>
      <c r="E24" s="122">
        <v>0</v>
      </c>
      <c r="F24" s="122">
        <v>1949794</v>
      </c>
      <c r="G24" s="122">
        <v>802150</v>
      </c>
      <c r="H24" s="122">
        <f>802150+376425</f>
        <v>1178575</v>
      </c>
      <c r="I24" s="122">
        <f>802150+450000+138818</f>
        <v>1390968</v>
      </c>
      <c r="J24" s="122">
        <v>626275</v>
      </c>
      <c r="K24" s="122">
        <v>626275</v>
      </c>
      <c r="L24" s="122">
        <v>626276</v>
      </c>
      <c r="M24" s="122">
        <v>626275</v>
      </c>
      <c r="N24" s="130">
        <f>SUM(B24:M24)</f>
        <v>9748727</v>
      </c>
      <c r="O24" s="131">
        <f>'4.sz.tábla'!E4</f>
        <v>9748727</v>
      </c>
      <c r="P24" s="51"/>
      <c r="Q24" s="51"/>
    </row>
    <row r="25" spans="1:17" x14ac:dyDescent="0.25">
      <c r="A25" s="112" t="s">
        <v>16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>
        <v>4574999</v>
      </c>
      <c r="N25" s="130">
        <f t="shared" si="7"/>
        <v>4574999</v>
      </c>
      <c r="O25" s="131">
        <f>'1.sz.tábla '!F25</f>
        <v>4574999</v>
      </c>
      <c r="P25" s="51"/>
      <c r="Q25" s="51"/>
    </row>
    <row r="26" spans="1:17" x14ac:dyDescent="0.25">
      <c r="A26" s="124" t="s">
        <v>281</v>
      </c>
      <c r="B26" s="125">
        <f>SUM(B19:B25)</f>
        <v>5873056</v>
      </c>
      <c r="C26" s="125">
        <f t="shared" ref="C26:M26" si="8">SUM(C19:C25)</f>
        <v>1328189</v>
      </c>
      <c r="D26" s="125">
        <f t="shared" si="8"/>
        <v>3857972</v>
      </c>
      <c r="E26" s="125">
        <f t="shared" si="8"/>
        <v>1804101</v>
      </c>
      <c r="F26" s="125">
        <f t="shared" si="8"/>
        <v>8917437</v>
      </c>
      <c r="G26" s="125">
        <f t="shared" si="8"/>
        <v>6905905</v>
      </c>
      <c r="H26" s="125">
        <f t="shared" si="8"/>
        <v>7840464</v>
      </c>
      <c r="I26" s="125">
        <f t="shared" si="8"/>
        <v>8052857</v>
      </c>
      <c r="J26" s="125">
        <f t="shared" si="8"/>
        <v>3026289</v>
      </c>
      <c r="K26" s="125">
        <f t="shared" si="8"/>
        <v>7499789</v>
      </c>
      <c r="L26" s="125">
        <f t="shared" si="8"/>
        <v>8279267</v>
      </c>
      <c r="M26" s="125">
        <f t="shared" si="8"/>
        <v>16433315</v>
      </c>
      <c r="N26" s="130">
        <f>SUM(B26:M26)</f>
        <v>79818641</v>
      </c>
      <c r="O26" s="126">
        <f>SUM(O19:O25)</f>
        <v>79818641</v>
      </c>
      <c r="P26" s="51"/>
      <c r="Q26" s="51"/>
    </row>
    <row r="27" spans="1:17" x14ac:dyDescent="0.25">
      <c r="A27" s="112" t="s">
        <v>88</v>
      </c>
      <c r="B27" s="122">
        <v>0</v>
      </c>
      <c r="C27" s="122">
        <v>41979</v>
      </c>
      <c r="D27" s="122">
        <v>0</v>
      </c>
      <c r="E27" s="122">
        <v>1800000</v>
      </c>
      <c r="F27" s="122">
        <v>2474360</v>
      </c>
      <c r="G27" s="122">
        <v>3200000</v>
      </c>
      <c r="H27" s="122">
        <v>719366</v>
      </c>
      <c r="I27" s="122">
        <v>4962906</v>
      </c>
      <c r="J27" s="122"/>
      <c r="K27" s="122">
        <v>110000</v>
      </c>
      <c r="L27" s="122">
        <v>170000</v>
      </c>
      <c r="M27" s="122">
        <f>3302000-541000+14247660+168800</f>
        <v>17177460</v>
      </c>
      <c r="N27" s="130">
        <f>SUM(B27:M27)</f>
        <v>30656071</v>
      </c>
      <c r="O27" s="131">
        <f>'5. sz. tábla'!F4</f>
        <v>30656071</v>
      </c>
      <c r="P27" s="51"/>
      <c r="Q27" s="51"/>
    </row>
    <row r="28" spans="1:17" x14ac:dyDescent="0.25">
      <c r="A28" s="112" t="s">
        <v>89</v>
      </c>
      <c r="B28" s="122">
        <v>0</v>
      </c>
      <c r="C28" s="122">
        <v>0</v>
      </c>
      <c r="D28" s="122">
        <v>403744</v>
      </c>
      <c r="E28" s="122">
        <v>0</v>
      </c>
      <c r="F28" s="122">
        <v>40485691</v>
      </c>
      <c r="G28" s="122">
        <v>16504744</v>
      </c>
      <c r="H28" s="122">
        <v>500000</v>
      </c>
      <c r="I28" s="122">
        <v>16504744</v>
      </c>
      <c r="J28" s="122">
        <v>0</v>
      </c>
      <c r="K28" s="122">
        <v>700154</v>
      </c>
      <c r="L28" s="122">
        <v>0</v>
      </c>
      <c r="M28" s="122">
        <f>10545781+541000</f>
        <v>11086781</v>
      </c>
      <c r="N28" s="130">
        <f t="shared" si="7"/>
        <v>86185858</v>
      </c>
      <c r="O28" s="131">
        <f>'5. sz. tábla'!F23</f>
        <v>86185858</v>
      </c>
      <c r="P28" s="51"/>
      <c r="Q28" s="51"/>
    </row>
    <row r="29" spans="1:17" x14ac:dyDescent="0.25">
      <c r="A29" s="112" t="s">
        <v>118</v>
      </c>
      <c r="B29" s="122">
        <v>0</v>
      </c>
      <c r="C29" s="122">
        <v>0</v>
      </c>
      <c r="D29" s="122">
        <v>0</v>
      </c>
      <c r="E29" s="122">
        <v>0</v>
      </c>
      <c r="F29" s="122">
        <f>991761</f>
        <v>991761</v>
      </c>
      <c r="G29" s="122">
        <v>2232</v>
      </c>
      <c r="H29" s="122">
        <v>2232</v>
      </c>
      <c r="I29" s="122">
        <v>2233</v>
      </c>
      <c r="J29" s="122">
        <v>2232</v>
      </c>
      <c r="K29" s="122">
        <v>2233</v>
      </c>
      <c r="L29" s="122">
        <v>2232</v>
      </c>
      <c r="M29" s="122">
        <v>2233</v>
      </c>
      <c r="N29" s="130">
        <f t="shared" si="7"/>
        <v>1007388</v>
      </c>
      <c r="O29" s="131">
        <f>'1.sz.tábla '!F23</f>
        <v>1007388</v>
      </c>
      <c r="P29" s="51"/>
      <c r="Q29" s="51"/>
    </row>
    <row r="30" spans="1:17" x14ac:dyDescent="0.25">
      <c r="A30" s="124" t="s">
        <v>282</v>
      </c>
      <c r="B30" s="125">
        <f>B27+B28+B29</f>
        <v>0</v>
      </c>
      <c r="C30" s="125">
        <f t="shared" ref="C30:L30" si="9">SUM(C27:C29)</f>
        <v>41979</v>
      </c>
      <c r="D30" s="125">
        <f t="shared" si="9"/>
        <v>403744</v>
      </c>
      <c r="E30" s="125">
        <f t="shared" si="9"/>
        <v>1800000</v>
      </c>
      <c r="F30" s="125">
        <f t="shared" si="9"/>
        <v>43951812</v>
      </c>
      <c r="G30" s="125">
        <f t="shared" si="9"/>
        <v>19706976</v>
      </c>
      <c r="H30" s="125">
        <f t="shared" si="9"/>
        <v>1221598</v>
      </c>
      <c r="I30" s="125">
        <f t="shared" si="9"/>
        <v>21469883</v>
      </c>
      <c r="J30" s="125">
        <f t="shared" si="9"/>
        <v>2232</v>
      </c>
      <c r="K30" s="125">
        <f t="shared" si="9"/>
        <v>812387</v>
      </c>
      <c r="L30" s="125">
        <f t="shared" si="9"/>
        <v>172232</v>
      </c>
      <c r="M30" s="125">
        <f>SUM(M27:M29)</f>
        <v>28266474</v>
      </c>
      <c r="N30" s="130">
        <f>SUM(B30:M30)</f>
        <v>117849317</v>
      </c>
      <c r="O30" s="126">
        <f>SUM(O27:O29)</f>
        <v>117849317</v>
      </c>
      <c r="P30" s="51"/>
      <c r="Q30" s="51"/>
    </row>
    <row r="31" spans="1:17" x14ac:dyDescent="0.25">
      <c r="A31" s="115" t="s">
        <v>19</v>
      </c>
      <c r="B31" s="128">
        <f>SUM(B30,B26)</f>
        <v>5873056</v>
      </c>
      <c r="C31" s="128">
        <f t="shared" ref="C31:M31" si="10">SUM(C30,C26)</f>
        <v>1370168</v>
      </c>
      <c r="D31" s="128">
        <f t="shared" si="10"/>
        <v>4261716</v>
      </c>
      <c r="E31" s="128">
        <f t="shared" si="10"/>
        <v>3604101</v>
      </c>
      <c r="F31" s="128">
        <f t="shared" si="10"/>
        <v>52869249</v>
      </c>
      <c r="G31" s="128">
        <f t="shared" si="10"/>
        <v>26612881</v>
      </c>
      <c r="H31" s="128">
        <f t="shared" si="10"/>
        <v>9062062</v>
      </c>
      <c r="I31" s="128">
        <f t="shared" si="10"/>
        <v>29522740</v>
      </c>
      <c r="J31" s="128">
        <f t="shared" si="10"/>
        <v>3028521</v>
      </c>
      <c r="K31" s="128">
        <f t="shared" si="10"/>
        <v>8312176</v>
      </c>
      <c r="L31" s="128">
        <f t="shared" si="10"/>
        <v>8451499</v>
      </c>
      <c r="M31" s="128">
        <f t="shared" si="10"/>
        <v>44699789</v>
      </c>
      <c r="N31" s="130">
        <f>SUM(B31:M31)</f>
        <v>197667958</v>
      </c>
      <c r="O31" s="126">
        <f>O26+O30</f>
        <v>197667958</v>
      </c>
      <c r="P31" s="51"/>
      <c r="Q31" s="51"/>
    </row>
    <row r="32" spans="1:17" ht="31.5" x14ac:dyDescent="0.25">
      <c r="A32" s="115" t="s">
        <v>283</v>
      </c>
      <c r="B32" s="128">
        <v>848842</v>
      </c>
      <c r="C32" s="128">
        <v>0</v>
      </c>
      <c r="D32" s="128">
        <v>0</v>
      </c>
      <c r="E32" s="128">
        <v>91902</v>
      </c>
      <c r="F32" s="128">
        <v>9263</v>
      </c>
      <c r="G32" s="128">
        <v>16000</v>
      </c>
      <c r="H32" s="128">
        <v>2072</v>
      </c>
      <c r="I32" s="128">
        <v>87000</v>
      </c>
      <c r="J32" s="128">
        <v>87000</v>
      </c>
      <c r="K32" s="128">
        <v>87000</v>
      </c>
      <c r="L32" s="128">
        <v>87000</v>
      </c>
      <c r="M32" s="128">
        <v>87000</v>
      </c>
      <c r="N32" s="130">
        <f t="shared" si="7"/>
        <v>1403079</v>
      </c>
      <c r="O32" s="131">
        <f>'5. sz. tábla'!F37</f>
        <v>1403079</v>
      </c>
      <c r="P32" s="51"/>
      <c r="Q32" s="51"/>
    </row>
    <row r="33" spans="1:17" x14ac:dyDescent="0.25">
      <c r="A33" s="115" t="s">
        <v>22</v>
      </c>
      <c r="B33" s="128">
        <f>SUM(B31:B32)</f>
        <v>6721898</v>
      </c>
      <c r="C33" s="128">
        <f t="shared" ref="C33:M33" si="11">SUM(C31:C32)</f>
        <v>1370168</v>
      </c>
      <c r="D33" s="128">
        <f t="shared" si="11"/>
        <v>4261716</v>
      </c>
      <c r="E33" s="128">
        <f t="shared" si="11"/>
        <v>3696003</v>
      </c>
      <c r="F33" s="128">
        <f t="shared" si="11"/>
        <v>52878512</v>
      </c>
      <c r="G33" s="128">
        <f t="shared" si="11"/>
        <v>26628881</v>
      </c>
      <c r="H33" s="128">
        <f t="shared" si="11"/>
        <v>9064134</v>
      </c>
      <c r="I33" s="128">
        <f t="shared" si="11"/>
        <v>29609740</v>
      </c>
      <c r="J33" s="128">
        <f t="shared" si="11"/>
        <v>3115521</v>
      </c>
      <c r="K33" s="128">
        <f t="shared" si="11"/>
        <v>8399176</v>
      </c>
      <c r="L33" s="128">
        <f t="shared" si="11"/>
        <v>8538499</v>
      </c>
      <c r="M33" s="128">
        <f t="shared" si="11"/>
        <v>44786789</v>
      </c>
      <c r="N33" s="130">
        <f>SUM(B33:M33)</f>
        <v>199071037</v>
      </c>
      <c r="O33" s="126">
        <f>O31+O32</f>
        <v>199071037</v>
      </c>
      <c r="P33" s="51"/>
      <c r="Q33" s="51"/>
    </row>
    <row r="34" spans="1:17" x14ac:dyDescent="0.25">
      <c r="A34" s="115" t="s">
        <v>284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30">
        <f>SUM(B34:M34)</f>
        <v>0</v>
      </c>
    </row>
    <row r="35" spans="1:17" ht="16.5" thickBot="1" x14ac:dyDescent="0.3">
      <c r="A35" s="132" t="s">
        <v>285</v>
      </c>
      <c r="B35" s="133">
        <f>B5+B15+B16-B33</f>
        <v>126426226</v>
      </c>
      <c r="C35" s="133">
        <f t="shared" ref="C35:M35" si="12">C5+C15+C16-C33</f>
        <v>130879304</v>
      </c>
      <c r="D35" s="133">
        <f t="shared" si="12"/>
        <v>134199499</v>
      </c>
      <c r="E35" s="133">
        <f t="shared" si="12"/>
        <v>133460931</v>
      </c>
      <c r="F35" s="133">
        <f t="shared" si="12"/>
        <v>83285164</v>
      </c>
      <c r="G35" s="133">
        <f t="shared" si="12"/>
        <v>58572355</v>
      </c>
      <c r="H35" s="133">
        <f t="shared" si="12"/>
        <v>60468931</v>
      </c>
      <c r="I35" s="133">
        <f t="shared" si="12"/>
        <v>34013769</v>
      </c>
      <c r="J35" s="133">
        <f t="shared" si="12"/>
        <v>39309599</v>
      </c>
      <c r="K35" s="133">
        <f t="shared" si="12"/>
        <v>33357495</v>
      </c>
      <c r="L35" s="133">
        <f t="shared" si="12"/>
        <v>43203728</v>
      </c>
      <c r="M35" s="133">
        <f t="shared" si="12"/>
        <v>1667294</v>
      </c>
      <c r="N35" s="134">
        <f>+N5+N15+N16-N33</f>
        <v>1667294</v>
      </c>
      <c r="O35" s="51">
        <f>O18-O33</f>
        <v>-128550203</v>
      </c>
    </row>
    <row r="37" spans="1:17" x14ac:dyDescent="0.25">
      <c r="N37" s="126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2019. évi költségvetéséről szóló 4/2020. (III. 03.)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Laczka Mária</cp:lastModifiedBy>
  <cp:lastPrinted>2020-02-28T09:17:38Z</cp:lastPrinted>
  <dcterms:created xsi:type="dcterms:W3CDTF">2014-05-27T12:51:39Z</dcterms:created>
  <dcterms:modified xsi:type="dcterms:W3CDTF">2020-03-03T08:58:46Z</dcterms:modified>
</cp:coreProperties>
</file>